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assgov-my.sharepoint.com/personal/deborah_harrison_mass_gov/Documents/Documents/Agencies/EHS/"/>
    </mc:Choice>
  </mc:AlternateContent>
  <xr:revisionPtr revIDLastSave="0" documentId="8_{0FA3D5DA-4829-4D13-A997-B188579210C4}" xr6:coauthVersionLast="47" xr6:coauthVersionMax="47" xr10:uidLastSave="{00000000-0000-0000-0000-000000000000}"/>
  <bookViews>
    <workbookView xWindow="1740" yWindow="750" windowWidth="22485" windowHeight="15045" firstSheet="1" activeTab="5" xr2:uid="{6F719B66-BB60-46F2-82CF-C32FCD89E705}"/>
  </bookViews>
  <sheets>
    <sheet name="SPRING 24 CAF" sheetId="1" r:id="rId1"/>
    <sheet name="M2023 BLS SALARY CHART (53rd)" sheetId="2" r:id="rId2"/>
    <sheet name="Home Care Direct Servs-8006" sheetId="6" r:id="rId3"/>
    <sheet name="ECOP-8061" sheetId="5" r:id="rId4"/>
    <sheet name="Prot. Services Intake" sheetId="4" r:id="rId5"/>
    <sheet name="Prot. Central Intake &amp; Asses"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lldata" localSheetId="1">#REF!</definedName>
    <definedName name="alldata">#REF!</definedName>
    <definedName name="alled" localSheetId="1">#REF!</definedName>
    <definedName name="alled">#REF!</definedName>
    <definedName name="allstem" localSheetId="1">#REF!</definedName>
    <definedName name="allstem">#REF!</definedName>
    <definedName name="asdfasd">'[1]Complete UFR List'!#REF!</definedName>
    <definedName name="asdfasdf">#REF!</definedName>
    <definedName name="autsupp2">#REF!</definedName>
    <definedName name="Average">#REF!</definedName>
    <definedName name="CAF_NEW">[2]RawDataCalcs!$L$70:$DB$70</definedName>
    <definedName name="Cap" localSheetId="1">[3]RawDataCalcs!$L$35:$DB$35</definedName>
    <definedName name="Cap">[4]RawDataCalcs!$L$70:$DB$70</definedName>
    <definedName name="capa">[5]RawDataCalcs!$L$17:$DB$17</definedName>
    <definedName name="Data">#REF!</definedName>
    <definedName name="Fisc">'[1]Complete UFR List'!#REF!</definedName>
    <definedName name="Floor" localSheetId="1">[3]RawDataCalcs!$L$34:$DB$34</definedName>
    <definedName name="Floor">[4]RawDataCalcs!$L$69:$DB$69</definedName>
    <definedName name="Funds">'[6]RawDataCalcs3386&amp;3401'!$L$68:$DB$68</definedName>
    <definedName name="gk">#REF!</definedName>
    <definedName name="hhh">#REF!</definedName>
    <definedName name="JailDAverage">#REF!</definedName>
    <definedName name="JailDCap">[7]ALLRawDataCalcs!$L$80:$DB$80</definedName>
    <definedName name="JailDFloor">[7]ALLRawDataCalcs!$L$79:$DB$79</definedName>
    <definedName name="JailDgk">#REF!</definedName>
    <definedName name="JailDMax">#REF!</definedName>
    <definedName name="JailDMedian">#REF!</definedName>
    <definedName name="jm">'[1]Complete UFR List'!#REF!</definedName>
    <definedName name="kls">#REF!</definedName>
    <definedName name="ListProviders">'[8]List of Programs'!$A$24:$A$29</definedName>
    <definedName name="Max">#REF!</definedName>
    <definedName name="Median">#REF!</definedName>
    <definedName name="Min">#REF!</definedName>
    <definedName name="mr">#REF!</definedName>
    <definedName name="MT">#REF!</definedName>
    <definedName name="new">#REF!</definedName>
    <definedName name="ok">#REF!</definedName>
    <definedName name="_xlnm.Print_Area" localSheetId="1">'M2023 BLS SALARY CHART (53rd)'!$B$1:$E$46</definedName>
    <definedName name="_xlnm.Print_Area" localSheetId="5">'Prot. Central Intake &amp; Asses'!$B$1:$I$48</definedName>
    <definedName name="_xlnm.Print_Area" localSheetId="4">'Prot. Services Intake'!$A$1:$J$50</definedName>
    <definedName name="_xlnm.Print_Titles" localSheetId="0">'SPRING 24 CAF'!$A:$A</definedName>
    <definedName name="Program_File">#REF!</definedName>
    <definedName name="Programs">'[8]List of Programs'!$B$3:$B$19</definedName>
    <definedName name="ProvFTE">'[9]FTE Data'!$A$3:$AW$56</definedName>
    <definedName name="PurchasedBy">'[9]FTE Data'!$C$263:$AZ$657</definedName>
    <definedName name="resmay2007">#REF!</definedName>
    <definedName name="sheet1" localSheetId="1">#REF!</definedName>
    <definedName name="sheet1">#REF!</definedName>
    <definedName name="Site_list">[9]Lists!$A$2:$A$53</definedName>
    <definedName name="Source">#REF!</definedName>
    <definedName name="Source_2">#REF!</definedName>
    <definedName name="SourcePathAndFileName">#REF!</definedName>
    <definedName name="Total_UFR">#REF!</definedName>
    <definedName name="Total_UFRs">#REF!</definedName>
    <definedName name="Total_UFRs_">#REF!</definedName>
    <definedName name="UFR">'[1]Complete UFR List'!#REF!</definedName>
    <definedName name="UFRS">'[1]Complete UFR List'!#REF!</definedName>
    <definedName name="UPDATE">'[1]Complete UFR List'!#REF!</definedName>
    <definedName name="wefqwerqwe">'[1]Complete UFR List'!#REF!</definedName>
    <definedName name="yes">'[1]Complete UFR 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6" l="1"/>
  <c r="E69" i="6"/>
  <c r="C36" i="6"/>
  <c r="E28" i="6"/>
  <c r="C28" i="6"/>
  <c r="E27" i="6"/>
  <c r="C25" i="6"/>
  <c r="E25" i="6" s="1"/>
  <c r="C21" i="6"/>
  <c r="D18" i="6"/>
  <c r="C15" i="6"/>
  <c r="E15" i="6" s="1"/>
  <c r="E14" i="6"/>
  <c r="C14" i="6"/>
  <c r="C13" i="6"/>
  <c r="E13" i="6" s="1"/>
  <c r="C12" i="6"/>
  <c r="E12" i="6" s="1"/>
  <c r="C11" i="6"/>
  <c r="E11" i="6" s="1"/>
  <c r="E10" i="6"/>
  <c r="C10" i="6"/>
  <c r="C9" i="6"/>
  <c r="E9" i="6" s="1"/>
  <c r="C34" i="5"/>
  <c r="C30" i="5"/>
  <c r="E29" i="5"/>
  <c r="C27" i="5"/>
  <c r="C23" i="5"/>
  <c r="D20" i="5"/>
  <c r="E27" i="5" s="1"/>
  <c r="C17" i="5"/>
  <c r="E17" i="5" s="1"/>
  <c r="C16" i="5"/>
  <c r="E16" i="5" s="1"/>
  <c r="C15" i="5"/>
  <c r="E15" i="5" s="1"/>
  <c r="E14" i="5"/>
  <c r="C14" i="5"/>
  <c r="C13" i="5"/>
  <c r="E13" i="5" s="1"/>
  <c r="C12" i="5"/>
  <c r="E12" i="5" s="1"/>
  <c r="C11" i="5"/>
  <c r="E11" i="5" s="1"/>
  <c r="C10" i="5"/>
  <c r="E10" i="5" s="1"/>
  <c r="E8" i="5"/>
  <c r="L31" i="4"/>
  <c r="M28" i="4"/>
  <c r="M29" i="4" s="1"/>
  <c r="M30" i="4" s="1"/>
  <c r="M31" i="4" s="1"/>
  <c r="H18" i="4"/>
  <c r="G16" i="4"/>
  <c r="G15" i="4"/>
  <c r="D14" i="4"/>
  <c r="H20" i="4" s="1"/>
  <c r="H12" i="4"/>
  <c r="D11" i="4"/>
  <c r="J16" i="4" s="1"/>
  <c r="R10" i="4"/>
  <c r="Q10" i="4"/>
  <c r="L10" i="4"/>
  <c r="I10" i="4"/>
  <c r="D10" i="4"/>
  <c r="J15" i="4" s="1"/>
  <c r="R9" i="4"/>
  <c r="G9" i="4"/>
  <c r="D9" i="4"/>
  <c r="R8" i="4"/>
  <c r="H8" i="4"/>
  <c r="J8" i="4" s="1"/>
  <c r="J10" i="4" s="1"/>
  <c r="G8" i="4"/>
  <c r="M7" i="4"/>
  <c r="M8" i="4" s="1"/>
  <c r="D7" i="4"/>
  <c r="H9" i="4" s="1"/>
  <c r="J9" i="4" s="1"/>
  <c r="D6" i="4"/>
  <c r="S31" i="3"/>
  <c r="K31" i="3"/>
  <c r="T28" i="3"/>
  <c r="T29" i="3" s="1"/>
  <c r="T30" i="3" s="1"/>
  <c r="T31" i="3" s="1"/>
  <c r="L28" i="3"/>
  <c r="L29" i="3" s="1"/>
  <c r="L30" i="3" s="1"/>
  <c r="L31" i="3" s="1"/>
  <c r="C17" i="3"/>
  <c r="G20" i="3" s="1"/>
  <c r="I16" i="3"/>
  <c r="F16" i="3"/>
  <c r="C16" i="3"/>
  <c r="G18" i="3" s="1"/>
  <c r="F15" i="3"/>
  <c r="C14" i="3"/>
  <c r="C13" i="3"/>
  <c r="I15" i="3" s="1"/>
  <c r="G12" i="3"/>
  <c r="C12" i="3"/>
  <c r="S10" i="3"/>
  <c r="Q10" i="3"/>
  <c r="Q13" i="3" s="1"/>
  <c r="Q17" i="3" s="1"/>
  <c r="P10" i="3"/>
  <c r="K10" i="3"/>
  <c r="H10" i="3"/>
  <c r="F9" i="3"/>
  <c r="H8" i="3"/>
  <c r="F8" i="3"/>
  <c r="L7" i="3"/>
  <c r="L9" i="3" s="1"/>
  <c r="C7" i="3"/>
  <c r="G9" i="3" s="1"/>
  <c r="I9" i="3" s="1"/>
  <c r="Q6" i="3"/>
  <c r="I6" i="3"/>
  <c r="C6" i="3"/>
  <c r="G8" i="3" s="1"/>
  <c r="I8" i="3" s="1"/>
  <c r="J52" i="2"/>
  <c r="C52" i="2"/>
  <c r="J51" i="2"/>
  <c r="C51" i="2"/>
  <c r="C50" i="2"/>
  <c r="J50" i="2" s="1"/>
  <c r="J45" i="2"/>
  <c r="J44" i="2"/>
  <c r="C33" i="2"/>
  <c r="J33" i="2" s="1"/>
  <c r="K33" i="2" s="1"/>
  <c r="C32" i="2"/>
  <c r="J32" i="2" s="1"/>
  <c r="K32" i="2" s="1"/>
  <c r="C31" i="2"/>
  <c r="J31" i="2" s="1"/>
  <c r="K31" i="2" s="1"/>
  <c r="C30" i="2"/>
  <c r="J30" i="2" s="1"/>
  <c r="K30" i="2" s="1"/>
  <c r="J29" i="2"/>
  <c r="K29" i="2" s="1"/>
  <c r="C29" i="2"/>
  <c r="J27" i="2"/>
  <c r="K27" i="2" s="1"/>
  <c r="C27" i="2"/>
  <c r="C28" i="2" s="1"/>
  <c r="J28" i="2" s="1"/>
  <c r="K28" i="2" s="1"/>
  <c r="C25" i="2"/>
  <c r="J25" i="2" s="1"/>
  <c r="K25" i="2" s="1"/>
  <c r="C24" i="2"/>
  <c r="J24" i="2" s="1"/>
  <c r="K24" i="2" s="1"/>
  <c r="C23" i="2"/>
  <c r="J23" i="2" s="1"/>
  <c r="K23" i="2" s="1"/>
  <c r="C22" i="2"/>
  <c r="J22" i="2" s="1"/>
  <c r="K22" i="2" s="1"/>
  <c r="J21" i="2"/>
  <c r="K21" i="2" s="1"/>
  <c r="C21" i="2"/>
  <c r="J19" i="2"/>
  <c r="K19" i="2" s="1"/>
  <c r="C19" i="2"/>
  <c r="C20" i="2" s="1"/>
  <c r="J20" i="2" s="1"/>
  <c r="K20" i="2" s="1"/>
  <c r="C17" i="2"/>
  <c r="J17" i="2" s="1"/>
  <c r="K17" i="2" s="1"/>
  <c r="C16" i="2"/>
  <c r="J16" i="2" s="1"/>
  <c r="K16" i="2" s="1"/>
  <c r="C15" i="2"/>
  <c r="J15" i="2" s="1"/>
  <c r="K15" i="2" s="1"/>
  <c r="C14" i="2"/>
  <c r="J14" i="2" s="1"/>
  <c r="K14" i="2" s="1"/>
  <c r="J13" i="2"/>
  <c r="K13" i="2" s="1"/>
  <c r="C13" i="2"/>
  <c r="J11" i="2"/>
  <c r="K11" i="2" s="1"/>
  <c r="C11" i="2"/>
  <c r="C12" i="2" s="1"/>
  <c r="J12" i="2" s="1"/>
  <c r="K12" i="2" s="1"/>
  <c r="C10" i="2"/>
  <c r="J10" i="2" s="1"/>
  <c r="K10" i="2" s="1"/>
  <c r="C9" i="2"/>
  <c r="J9" i="2" s="1"/>
  <c r="K9" i="2" s="1"/>
  <c r="C8" i="2"/>
  <c r="J8" i="2" s="1"/>
  <c r="K8" i="2" s="1"/>
  <c r="J7" i="2"/>
  <c r="K7" i="2" s="1"/>
  <c r="C7" i="2"/>
  <c r="C6" i="2"/>
  <c r="C48" i="2" s="1"/>
  <c r="J48" i="2" s="1"/>
  <c r="J5" i="2"/>
  <c r="K5" i="2" s="1"/>
  <c r="C5" i="2"/>
  <c r="CN41" i="1"/>
  <c r="CM41" i="1"/>
  <c r="CL41" i="1"/>
  <c r="CK41" i="1"/>
  <c r="CJ41" i="1"/>
  <c r="CP41" i="1" s="1"/>
  <c r="CP43" i="1" s="1"/>
  <c r="CI41" i="1"/>
  <c r="CH41" i="1"/>
  <c r="CG41" i="1"/>
  <c r="CP36" i="1"/>
  <c r="CG36" i="1"/>
  <c r="CN27" i="1"/>
  <c r="CM27" i="1"/>
  <c r="CL27" i="1"/>
  <c r="CK27" i="1"/>
  <c r="CJ27" i="1"/>
  <c r="CI27" i="1"/>
  <c r="CH27" i="1"/>
  <c r="CG27" i="1"/>
  <c r="CP27" i="1" s="1"/>
  <c r="CP29" i="1" s="1"/>
  <c r="CN25" i="1"/>
  <c r="CM25" i="1"/>
  <c r="CL25" i="1"/>
  <c r="CK25" i="1"/>
  <c r="CJ25" i="1"/>
  <c r="CI25" i="1"/>
  <c r="CH25" i="1"/>
  <c r="CG25" i="1"/>
  <c r="CP22" i="1"/>
  <c r="CG22" i="1"/>
  <c r="E28" i="5" l="1"/>
  <c r="E30" i="5"/>
  <c r="C16" i="6"/>
  <c r="E16" i="6" s="1"/>
  <c r="E18" i="6" s="1"/>
  <c r="E21" i="6" s="1"/>
  <c r="E22" i="6" s="1"/>
  <c r="E29" i="6" s="1"/>
  <c r="E26" i="6"/>
  <c r="C18" i="5"/>
  <c r="E18" i="5" s="1"/>
  <c r="E20" i="5" s="1"/>
  <c r="E23" i="5" s="1"/>
  <c r="E24" i="5" s="1"/>
  <c r="E31" i="5" s="1"/>
  <c r="J12" i="4"/>
  <c r="J13" i="4" s="1"/>
  <c r="J17" i="4" s="1"/>
  <c r="M9" i="4"/>
  <c r="M10" i="4" s="1"/>
  <c r="R12" i="4"/>
  <c r="R13" i="4" s="1"/>
  <c r="R17" i="4" s="1"/>
  <c r="Q19" i="3"/>
  <c r="Q18" i="3"/>
  <c r="I10" i="3"/>
  <c r="L8" i="3"/>
  <c r="L10" i="3" s="1"/>
  <c r="J6" i="2"/>
  <c r="K6" i="2" s="1"/>
  <c r="C49" i="2"/>
  <c r="J49" i="2" s="1"/>
  <c r="C18" i="2"/>
  <c r="J18" i="2" s="1"/>
  <c r="K18" i="2" s="1"/>
  <c r="C26" i="2"/>
  <c r="J26" i="2" s="1"/>
  <c r="K26" i="2" s="1"/>
  <c r="C34" i="2"/>
  <c r="C36" i="2"/>
  <c r="C47" i="2"/>
  <c r="J47" i="2" s="1"/>
  <c r="E36" i="6" l="1"/>
  <c r="E38" i="6" s="1"/>
  <c r="E39" i="6" s="1"/>
  <c r="E42" i="6" s="1"/>
  <c r="E32" i="6"/>
  <c r="E33" i="6" s="1"/>
  <c r="E32" i="5"/>
  <c r="E33" i="5" s="1"/>
  <c r="E34" i="5"/>
  <c r="J18" i="4"/>
  <c r="J19" i="4"/>
  <c r="R19" i="4"/>
  <c r="R18" i="4"/>
  <c r="Q21" i="3"/>
  <c r="Q22" i="3" s="1"/>
  <c r="Q23" i="3" s="1"/>
  <c r="Q49" i="3" s="1"/>
  <c r="Q20" i="3"/>
  <c r="I13" i="3"/>
  <c r="I17" i="3" s="1"/>
  <c r="I12" i="3"/>
  <c r="K35" i="2"/>
  <c r="J34" i="2"/>
  <c r="K34" i="2" s="1"/>
  <c r="C46" i="2"/>
  <c r="J46" i="2" s="1"/>
  <c r="E35" i="5" l="1"/>
  <c r="E36" i="5" s="1"/>
  <c r="E44" i="5" s="1"/>
  <c r="J20" i="4"/>
  <c r="J21" i="4" s="1"/>
  <c r="J22" i="4" s="1"/>
  <c r="J49" i="4" s="1"/>
  <c r="R21" i="4"/>
  <c r="R22" i="4" s="1"/>
  <c r="R20" i="4"/>
  <c r="I18" i="3"/>
  <c r="I19" i="3" s="1"/>
  <c r="I20" i="3" l="1"/>
  <c r="I21" i="3" s="1"/>
  <c r="I22" i="3" s="1"/>
  <c r="I23" i="3" s="1"/>
  <c r="I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2391F657-8F92-4B5E-91AB-1C2755A10E62}">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 authorId="0" shapeId="0" xr:uid="{A1FE733F-9524-4DCF-B68D-F4536AB769A0}">
      <text>
        <r>
          <rPr>
            <b/>
            <sz val="9"/>
            <color indexed="81"/>
            <rFont val="Tahoma"/>
            <family val="2"/>
          </rPr>
          <t>Solimini, Kara (EHS):</t>
        </r>
        <r>
          <rPr>
            <sz val="9"/>
            <color indexed="81"/>
            <rFont val="Tahoma"/>
            <family val="2"/>
          </rPr>
          <t xml:space="preserve">
this is not a consumer b/c there are about 60K consumers - this is the total units across the 60K people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Farrell, Conor (EHS)</author>
  </authors>
  <commentList>
    <comment ref="I5" authorId="0" shapeId="0" xr:uid="{CB776766-1BAC-4CE7-9DA4-31E8EC91AC5D}">
      <text>
        <r>
          <rPr>
            <b/>
            <sz val="9"/>
            <color indexed="81"/>
            <rFont val="Tahoma"/>
            <charset val="1"/>
          </rPr>
          <t>Farrell, Conor (EHS):</t>
        </r>
        <r>
          <rPr>
            <sz val="9"/>
            <color indexed="81"/>
            <rFont val="Tahoma"/>
            <charset val="1"/>
          </rPr>
          <t xml:space="preserve">
From B. Cunnigham 10/21/24</t>
        </r>
      </text>
    </comment>
  </commentList>
</comments>
</file>

<file path=xl/sharedStrings.xml><?xml version="1.0" encoding="utf-8"?>
<sst xmlns="http://schemas.openxmlformats.org/spreadsheetml/2006/main" count="496" uniqueCount="334">
  <si>
    <t>Massachusetts Economic Indicators</t>
  </si>
  <si>
    <t>S&amp;P Global Market Intelligence, Spring 2024</t>
  </si>
  <si>
    <t>Prepared by Michael Lynch, 781-301-9129</t>
  </si>
  <si>
    <t>FY25</t>
  </si>
  <si>
    <t>FY26</t>
  </si>
  <si>
    <t>FY27</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</si>
  <si>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</si>
  <si>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</si>
  <si>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</si>
  <si>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</si>
  <si>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</si>
  <si>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</si>
  <si>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</si>
  <si>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</si>
  <si>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</si>
  <si>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</si>
  <si>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</si>
  <si>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</si>
  <si>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</si>
  <si>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</si>
  <si>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</si>
  <si>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</si>
  <si>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</si>
  <si>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</si>
  <si>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</si>
  <si>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</si>
  <si>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</si>
  <si>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</si>
  <si>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</si>
  <si>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</si>
  <si>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</si>
  <si>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</si>
  <si>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</si>
  <si>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</si>
  <si>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</si>
  <si>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</si>
  <si>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</si>
  <si>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</si>
  <si>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</si>
  <si>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</si>
  <si>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</si>
  <si>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</si>
  <si>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</si>
  <si>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</si>
  <si>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</si>
  <si>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</si>
  <si>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</si>
  <si>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</si>
  <si>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</si>
  <si>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</si>
  <si>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</si>
  <si>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</si>
  <si>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</si>
  <si>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</si>
  <si>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</si>
  <si>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</si>
  <si>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</si>
  <si>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</si>
  <si>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</si>
  <si>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</si>
  <si>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</si>
  <si>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</si>
  <si>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</si>
  <si>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</si>
  <si>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</si>
  <si>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</si>
  <si>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</si>
  <si>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</si>
  <si>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</si>
  <si>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</si>
  <si>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</si>
  <si>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</si>
  <si>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</si>
  <si>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</si>
  <si>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</si>
  <si>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</si>
  <si>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</si>
  <si>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</si>
  <si>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</si>
  <si>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</si>
  <si>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</si>
  <si>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</si>
  <si>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</si>
  <si>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</si>
  <si>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</si>
  <si>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</si>
  <si>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</si>
  <si>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</si>
  <si>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</si>
  <si>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</si>
  <si>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</si>
  <si>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</si>
  <si>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</si>
  <si>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</si>
  <si>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</si>
  <si>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</si>
  <si>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</si>
  <si>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</si>
  <si>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</si>
  <si>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</si>
  <si>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</si>
  <si>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</si>
  <si>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</si>
  <si>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</si>
  <si>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</si>
  <si>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</si>
  <si>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</si>
  <si>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</si>
  <si>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</si>
  <si>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</si>
  <si>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</si>
  <si>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</si>
  <si>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</si>
  <si>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</si>
  <si>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</si>
  <si>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CPI--BASELINE SCENARIO (1982-84=1)</t>
  </si>
  <si>
    <t>CPIBASEMA</t>
  </si>
  <si>
    <t>CPI--OPTIMISTIC SCENARIO (1982-84=1)</t>
  </si>
  <si>
    <t>CPIOPTMA</t>
  </si>
  <si>
    <t>CPI--PESSIMISTIC SCENARIO (1982-84=1)</t>
  </si>
  <si>
    <t>CPIPESSMA</t>
  </si>
  <si>
    <t>Rate-to-rate CAF</t>
  </si>
  <si>
    <t>Assumption for Rate Reviews that are to be promulgated January 1, 2025</t>
  </si>
  <si>
    <t xml:space="preserve">Base period: </t>
  </si>
  <si>
    <t>FY25Q2</t>
  </si>
  <si>
    <t>Average</t>
  </si>
  <si>
    <t>OPTIMISTIC</t>
  </si>
  <si>
    <t xml:space="preserve">Prospective rate period: </t>
  </si>
  <si>
    <t>January 1, 2025 - December 31, 2026</t>
  </si>
  <si>
    <t>CAF:</t>
  </si>
  <si>
    <t>BASELINE</t>
  </si>
  <si>
    <t>Source:</t>
  </si>
  <si>
    <t>BLS / OES</t>
  </si>
  <si>
    <t>Position</t>
  </si>
  <si>
    <t>53 Percentile</t>
  </si>
  <si>
    <t>Common model titles (not all inclusive)</t>
  </si>
  <si>
    <t>Minimum Education and/or certification/Training/Experience</t>
  </si>
  <si>
    <t>BLS Occupational Code(s)</t>
  </si>
  <si>
    <t>Change</t>
  </si>
  <si>
    <t>Direct Care (hourly)</t>
  </si>
  <si>
    <t>Direct Care, Direct Care Blend, Non Specialized DC, Peer mentor, Family Specialist/ Partner</t>
  </si>
  <si>
    <t>High School diploma / GED / State Training</t>
  </si>
  <si>
    <t xml:space="preserve">
21-1093, 31-1120, 31-2022, 31-9099</t>
  </si>
  <si>
    <t>Direct Care  (annual)</t>
  </si>
  <si>
    <t>Direct Care III (hourly)</t>
  </si>
  <si>
    <t>Direct Care Supervisor, Direct Care Bachelors</t>
  </si>
  <si>
    <t>Bachelors Level or 5+ years related experience</t>
  </si>
  <si>
    <t>21-1094, 21-1015, 21-1018, 21-1023, 39-1022</t>
  </si>
  <si>
    <t>Direct Care III (annual)</t>
  </si>
  <si>
    <t>Developmental Specialist,  Triage Specialist, Medical Assistant</t>
  </si>
  <si>
    <t>Certified Nursing Assistant  (hourly)</t>
  </si>
  <si>
    <t>Completed a state-approved education program and must pass their state’s competency exam. </t>
  </si>
  <si>
    <t xml:space="preserve"> 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</si>
  <si>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</si>
  <si>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</si>
  <si>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</si>
  <si>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</si>
  <si>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</si>
  <si>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</si>
  <si>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</si>
  <si>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</si>
  <si>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</si>
  <si>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</si>
  <si>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21-1021, 21-1019, 21-1022, 21-1029</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</si>
  <si>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</si>
  <si>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</si>
  <si>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</si>
  <si>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</si>
  <si>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</si>
  <si>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</si>
  <si>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Assistant Manager</t>
  </si>
  <si>
    <t>Clinical w/ Independent licensure (hourly)</t>
  </si>
  <si>
    <t>LPHA, LICSW, LMHC, LBHA, BCBA</t>
  </si>
  <si>
    <t xml:space="preserve">Masters with Licensure in Related Discipline </t>
  </si>
  <si>
    <t>19-3033, 21-1021, 21-1022, 19-3034</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</si>
  <si>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</si>
  <si>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</si>
  <si>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</si>
  <si>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</si>
  <si>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</si>
  <si>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</si>
  <si>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</si>
  <si>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</si>
  <si>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</si>
  <si>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</si>
  <si>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</si>
  <si>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 *</t>
  </si>
  <si>
    <t>Occupational Therapists</t>
  </si>
  <si>
    <t xml:space="preserve">
29-1129, 31-2011, 29-1122 (25%/25%/50%)</t>
  </si>
  <si>
    <t>Occupational Therapist (annual) *</t>
  </si>
  <si>
    <t>Physical Therapist (hourly)</t>
  </si>
  <si>
    <t>Physical Therapists</t>
  </si>
  <si>
    <t>29-1129, 31-2021, 29-1123  (20%/20%/60%)</t>
  </si>
  <si>
    <t>Physical Therapist (annual)</t>
  </si>
  <si>
    <t>Clinical Manager / Psychologists (hourly)</t>
  </si>
  <si>
    <t>Clinical Manager, Clinical Director</t>
  </si>
  <si>
    <t>Masters with Licensure in Related Discipline and supervising/managerial related experience</t>
  </si>
  <si>
    <t>19-3033, 19-3034</t>
  </si>
  <si>
    <t>Clinical Manager /  Psychologists  (annual)</t>
  </si>
  <si>
    <t>Speech Language Pathologists (hourly) *</t>
  </si>
  <si>
    <t xml:space="preserve">
29-1129, 29-1127</t>
  </si>
  <si>
    <t>Speech Language Pathologists (annual) *</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</si>
  <si>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</si>
  <si>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</si>
  <si>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</si>
  <si>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</si>
  <si>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</si>
  <si>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</si>
  <si>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</si>
  <si>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</si>
  <si>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r>
      <t xml:space="preserve">Clerical, Support &amp; Direct Care Relief Staff are benched to Direct Care </t>
    </r>
    <r>
      <rPr>
        <b/>
        <i/>
        <sz val="20"/>
        <color theme="1"/>
        <rFont val="Aptos Narrow"/>
        <family val="2"/>
        <scheme val="minor"/>
      </rPr>
      <t>**</t>
    </r>
  </si>
  <si>
    <t xml:space="preserve">Tax and Fringe =  </t>
  </si>
  <si>
    <t xml:space="preserve">Benchmarked to FY25 (proposed) Commonwealth (office of the Comptroller) T&amp;F rate, less </t>
  </si>
  <si>
    <t xml:space="preserve">Terminal leave, and  retirement.  Does include Paid Family Medical Leave tax.
Includes and additional 2% to be used at providers descretion for retirement and/or other benefits
</t>
  </si>
  <si>
    <t>Admin Allocation</t>
  </si>
  <si>
    <t>C.257 Benchmark</t>
  </si>
  <si>
    <t>Misc. BLS benchmarks</t>
  </si>
  <si>
    <t>Psychiatrist *</t>
  </si>
  <si>
    <t>M2021 BLS  NAICS 623200 (Nat'l)   Intellectual and Developmental Disability,   Residential, Mental Health, and Substance Abuse Facilities</t>
  </si>
  <si>
    <t>Medical Director</t>
  </si>
  <si>
    <t>M2022 BLS  (29-1222 Physicians) National Annual Mean</t>
  </si>
  <si>
    <t>Physician Assistants</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</si>
  <si>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</si>
  <si>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</si>
  <si>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</si>
  <si>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</si>
  <si>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</si>
  <si>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</si>
  <si>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</si>
  <si>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</si>
  <si>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</si>
  <si>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</si>
  <si>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</si>
  <si>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</si>
  <si>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</si>
  <si>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</si>
  <si>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</si>
  <si>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</si>
  <si>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</si>
  <si>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</si>
  <si>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Rates Effective 1/1/25</t>
  </si>
  <si>
    <t>CURRENT MODEL</t>
  </si>
  <si>
    <t>Master Look-Up Table</t>
  </si>
  <si>
    <t xml:space="preserve"> Protective Services Centralized Intake &amp; Assessment Program-8007</t>
  </si>
  <si>
    <t>Purchaser Staffing Request</t>
  </si>
  <si>
    <t>Average Clients per Month</t>
  </si>
  <si>
    <t xml:space="preserve"> Protective Services Centralized Intake &amp; Assessment Program</t>
  </si>
  <si>
    <t>Benchmark Salaries</t>
  </si>
  <si>
    <t>Source</t>
  </si>
  <si>
    <t>Calls per year</t>
  </si>
  <si>
    <t>Program management</t>
  </si>
  <si>
    <t xml:space="preserve">May 2023 BLS Benchmark </t>
  </si>
  <si>
    <t>Avg per month</t>
  </si>
  <si>
    <t>Program Secretary Clerical Staff /Direct Care/service Staff</t>
  </si>
  <si>
    <t xml:space="preserve">BLS Benchmark </t>
  </si>
  <si>
    <t>Salary</t>
  </si>
  <si>
    <t>FTE</t>
  </si>
  <si>
    <t>Expense</t>
  </si>
  <si>
    <t>FTEs:</t>
  </si>
  <si>
    <t>Management</t>
  </si>
  <si>
    <t>Client Services Mgr/Dir.</t>
  </si>
  <si>
    <t>Purchaser Recommendation</t>
  </si>
  <si>
    <t>Program/Sec Clerical Staff</t>
  </si>
  <si>
    <t xml:space="preserve">Total Program Staff </t>
  </si>
  <si>
    <t>Benchmark Expenses</t>
  </si>
  <si>
    <t>Tax &amp; Fringe</t>
  </si>
  <si>
    <t>FY24 C.257 Benchmark</t>
  </si>
  <si>
    <t>Tax &amp; fringe:</t>
  </si>
  <si>
    <t xml:space="preserve">Occupancy </t>
  </si>
  <si>
    <t>Benchmarked to ECOP Case Manager Occupancy (per FTE)</t>
  </si>
  <si>
    <t>Total Compensation:</t>
  </si>
  <si>
    <r>
      <t xml:space="preserve">Total Other Expenses and </t>
    </r>
    <r>
      <rPr>
        <sz val="9"/>
        <color rgb="FFFF0000"/>
        <rFont val="Aptos Narrow"/>
        <family val="2"/>
        <scheme val="minor"/>
      </rPr>
      <t>fixed costs</t>
    </r>
  </si>
  <si>
    <t>Total Other Expenses and fixed costs</t>
  </si>
  <si>
    <t>Rate Review CAF</t>
  </si>
  <si>
    <t>Base Period FY23Q2 - Prospective Period 1/1/23 - 12/31/24</t>
  </si>
  <si>
    <t>Total Reimb Excl M &amp; G</t>
  </si>
  <si>
    <t>Admin. Allocation</t>
  </si>
  <si>
    <t>Sub Total</t>
  </si>
  <si>
    <t>CAF</t>
  </si>
  <si>
    <t>Total</t>
  </si>
  <si>
    <t>Unit Rate - Per Protective Service Report</t>
  </si>
  <si>
    <t>Monthly Accommadation Rate</t>
  </si>
  <si>
    <t>Actual Client /FTE Ratio</t>
  </si>
  <si>
    <t>Current</t>
  </si>
  <si>
    <t>PROPOSED MODEL  8042</t>
  </si>
  <si>
    <t>CURRENT MODEL 8042</t>
  </si>
  <si>
    <t>a/o 1/1/25</t>
  </si>
  <si>
    <t xml:space="preserve"> Intake for Protective Services</t>
  </si>
  <si>
    <t>Estimated annual completed reports</t>
  </si>
  <si>
    <t>Benchmarked to ECOP Case Manager</t>
  </si>
  <si>
    <t>Program Secretary Clerical Staff /Direct Care Staff</t>
  </si>
  <si>
    <t>BLS Benchmark to Direct Care</t>
  </si>
  <si>
    <t>FY23 C.257 Benchmark</t>
  </si>
  <si>
    <t>Total Other Expenses</t>
  </si>
  <si>
    <t>per completed intake</t>
  </si>
  <si>
    <t>Rate Review CAF (temp)</t>
  </si>
  <si>
    <t xml:space="preserve">Current </t>
  </si>
  <si>
    <t>PROPOSED 1/1/25</t>
  </si>
  <si>
    <t>BLUE CELLS ARE INPUTS</t>
  </si>
  <si>
    <t>Number of Customers per year</t>
  </si>
  <si>
    <t>FY24 Enrolled/ Reimbursed units</t>
  </si>
  <si>
    <t>Total Annual Unfilled Units</t>
  </si>
  <si>
    <t xml:space="preserve">Extrapolated FY25 Q1 </t>
  </si>
  <si>
    <t>Number of working hours/year</t>
  </si>
  <si>
    <t xml:space="preserve">Annl. Clients </t>
  </si>
  <si>
    <t>Cost</t>
  </si>
  <si>
    <t>Case Manager / Social Worker / Clinical w/o ind. License</t>
  </si>
  <si>
    <t>Clerical/Support</t>
  </si>
  <si>
    <t>Staff Related Costs</t>
  </si>
  <si>
    <t>Tax and Fringe (Including PFMLA Trust Contribution)</t>
  </si>
  <si>
    <t>TOTAL STAFFING COSTS</t>
  </si>
  <si>
    <t>Program Related Costs excluding Admin</t>
  </si>
  <si>
    <t>Occupancy</t>
  </si>
  <si>
    <t>No shows</t>
  </si>
  <si>
    <t>Unfilled Demand</t>
  </si>
  <si>
    <t>Total costs with staff related costs:</t>
  </si>
  <si>
    <t>Other Program Expenses*</t>
  </si>
  <si>
    <t>TOTAL PROGRAM COSTS</t>
  </si>
  <si>
    <t>TOTAL COST</t>
  </si>
  <si>
    <t>TOTAL COST W CAF</t>
  </si>
  <si>
    <t>Unit Rate:</t>
  </si>
  <si>
    <t>Total costs with staff and program related costs:</t>
  </si>
  <si>
    <t>Program Admin Costs</t>
  </si>
  <si>
    <t>Total costs with staff, program and admin related costs:</t>
  </si>
  <si>
    <t>Inflation Adjustment</t>
  </si>
  <si>
    <t>Current Rate</t>
  </si>
  <si>
    <t>Total costs with staff, program, admin and inflation related costs:</t>
  </si>
  <si>
    <t>New Unit Rate:</t>
  </si>
  <si>
    <t>Old rate</t>
  </si>
  <si>
    <t>Difference (%)</t>
  </si>
  <si>
    <t>101 CMR 453:  Rates good through 6/30/23</t>
  </si>
  <si>
    <t xml:space="preserve">101 CMR 417:  Rates established in EOEA reg </t>
  </si>
  <si>
    <t>Number of enrolled / reimbursed unit per year</t>
  </si>
  <si>
    <t>*Rate being moved from monthly to unit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</si>
</sst>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
    <numFmt numFmtId="165" formatCode="[$-409]mmmm\ d\,\ yyyy;@"/>
    <numFmt numFmtId="166" formatCode="&quot;$&quot;#,##0.00"/>
    <numFmt numFmtId="167" formatCode="&quot;$&quot;#,##0"/>
    <numFmt numFmtId="168" formatCode="_(&quot;$&quot;* #,##0_);_(&quot;$&quot;* \(#,##0\);_(&quot;$&quot;* &quot;-&quot;??_);_(@_)"/>
    <numFmt numFmtId="169" formatCode="_(* #,##0_);_(* \(#,##0\);_(* &quot;-&quot;??_);_(@_)"/>
    <numFmt numFmtId="170" formatCode="#,##0.000"/>
    <numFmt numFmtId="171" formatCode="0.000000%"/>
  </numFmts>
  <fonts count="61"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sz val="20"/>
      <color theme="1"/>
      <name val="Aptos Narrow"/>
      <family val="2"/>
      <scheme val="minor"/>
    </font>
    <font>
      <b/>
      <sz val="20"/>
      <name val="Aptos Narrow"/>
      <family val="2"/>
      <scheme val="minor"/>
    </font>
    <font>
      <b/>
      <sz val="20"/>
      <color rgb="FFFF0000"/>
      <name val="Aptos Narrow"/>
      <family val="2"/>
      <scheme val="minor"/>
    </font>
    <font>
      <b/>
      <sz val="20"/>
      <color theme="1"/>
      <name val="Aptos Narrow"/>
      <family val="2"/>
      <scheme val="minor"/>
    </font>
    <font>
      <b/>
      <i/>
      <sz val="20"/>
      <color theme="1"/>
      <name val="Aptos Narrow"/>
      <family val="2"/>
      <scheme val="minor"/>
    </font>
    <font>
      <i/>
      <sz val="20"/>
      <color theme="1"/>
      <name val="Aptos Narrow"/>
      <family val="2"/>
      <scheme val="minor"/>
    </font>
    <font>
      <b/>
      <sz val="12"/>
      <color indexed="81"/>
      <name val="Tahoma"/>
      <family val="2"/>
    </font>
    <font>
      <sz val="10"/>
      <color indexed="81"/>
      <name val="Tahoma"/>
      <family val="2"/>
    </font>
    <font>
      <i/>
      <sz val="10"/>
      <color rgb="FF000000"/>
      <name val="Calibri"/>
      <family val="2"/>
    </font>
    <font>
      <i/>
      <sz val="11"/>
      <color rgb="FF000000"/>
      <name val="Calibri"/>
      <family val="2"/>
    </font>
    <font>
      <sz val="11"/>
      <color rgb="FF000000"/>
      <name val="Calibri"/>
      <family val="2"/>
    </font>
    <font>
      <sz val="11"/>
      <color theme="1"/>
      <name val="Calibri"/>
      <family val="2"/>
    </font>
    <font>
      <i/>
      <sz val="9"/>
      <color rgb="FF000000"/>
      <name val="Calibri"/>
      <family val="2"/>
    </font>
    <font>
      <sz val="9"/>
      <color rgb="FF000000"/>
      <name val="Calibri"/>
      <family val="2"/>
    </font>
    <font>
      <b/>
      <sz val="9"/>
      <color rgb="FFFFFFFF"/>
      <name val="Calibri"/>
      <family val="2"/>
    </font>
    <font>
      <b/>
      <sz val="10"/>
      <color theme="1"/>
      <name val="Aptos Narrow"/>
      <family val="2"/>
      <scheme val="minor"/>
    </font>
    <font>
      <b/>
      <sz val="9"/>
      <color rgb="FF000000"/>
      <name val="Calibri"/>
      <family val="2"/>
    </font>
    <font>
      <b/>
      <sz val="9"/>
      <name val="Calibri"/>
      <family val="2"/>
    </font>
    <font>
      <sz val="9"/>
      <name val="Calibri"/>
      <family val="2"/>
    </font>
    <font>
      <i/>
      <sz val="8"/>
      <color rgb="FF000000"/>
      <name val="Calibri"/>
      <family val="2"/>
    </font>
    <font>
      <sz val="9"/>
      <name val="Aptos Narrow"/>
      <family val="2"/>
      <scheme val="minor"/>
    </font>
    <font>
      <sz val="10"/>
      <color theme="1"/>
      <name val="Aptos Narrow"/>
      <family val="2"/>
      <scheme val="minor"/>
    </font>
    <font>
      <sz val="9"/>
      <color rgb="FFFF0000"/>
      <name val="Aptos Narrow"/>
      <family val="2"/>
      <scheme val="minor"/>
    </font>
    <font>
      <sz val="9"/>
      <color theme="1"/>
      <name val="Calibri"/>
      <family val="2"/>
    </font>
    <font>
      <sz val="9"/>
      <color theme="1"/>
      <name val="Aptos Narrow"/>
      <family val="2"/>
      <scheme val="minor"/>
    </font>
    <font>
      <b/>
      <i/>
      <sz val="9"/>
      <color theme="1"/>
      <name val="Aptos Narrow"/>
      <family val="2"/>
      <scheme val="minor"/>
    </font>
    <font>
      <b/>
      <sz val="11"/>
      <color theme="1"/>
      <name val="Calibri"/>
      <family val="2"/>
    </font>
    <font>
      <b/>
      <sz val="9"/>
      <color theme="1"/>
      <name val="Calibri"/>
      <family val="2"/>
    </font>
    <font>
      <b/>
      <sz val="11"/>
      <color rgb="FFFFFFFF"/>
      <name val="Calibri"/>
      <family val="2"/>
    </font>
    <font>
      <b/>
      <sz val="11"/>
      <color rgb="FF000000"/>
      <name val="Calibri"/>
      <family val="2"/>
    </font>
    <font>
      <b/>
      <sz val="11"/>
      <name val="Calibri"/>
      <family val="2"/>
    </font>
    <font>
      <sz val="11"/>
      <color rgb="FF00B050"/>
      <name val="Calibri"/>
      <family val="2"/>
    </font>
    <font>
      <sz val="11"/>
      <color theme="4"/>
      <name val="Calibri"/>
      <family val="2"/>
    </font>
    <font>
      <sz val="11"/>
      <name val="Arial"/>
      <family val="2"/>
    </font>
    <font>
      <sz val="11"/>
      <color rgb="FF538DD5"/>
      <name val="Calibri"/>
      <family val="2"/>
    </font>
    <font>
      <i/>
      <sz val="11"/>
      <color theme="1"/>
      <name val="Calibri"/>
      <family val="2"/>
    </font>
    <font>
      <sz val="8"/>
      <color theme="1"/>
      <name val="Calibri"/>
      <family val="2"/>
    </font>
    <font>
      <b/>
      <sz val="9"/>
      <color indexed="81"/>
      <name val="Tahoma"/>
      <charset val="1"/>
    </font>
    <font>
      <sz val="9"/>
      <color indexed="81"/>
      <name val="Tahoma"/>
      <charset val="1"/>
    </font>
    <font>
      <b/>
      <sz val="9"/>
      <color indexed="81"/>
      <name val="Tahoma"/>
      <family val="2"/>
    </font>
    <font>
      <sz val="9"/>
      <color indexed="81"/>
      <name val="Tahoma"/>
      <family val="2"/>
    </font>
    <font>
      <b/>
      <i/>
      <sz val="11"/>
      <color rgb="FF000000"/>
      <name val="Calibri"/>
      <family val="2"/>
    </font>
    <font>
      <b/>
      <i/>
      <sz val="9"/>
      <color rgb="FF000000"/>
      <name val="Calibri"/>
      <family val="2"/>
    </font>
    <font>
      <b/>
      <sz val="16"/>
      <color theme="1"/>
      <name val="Aptos Narrow"/>
      <family val="2"/>
      <scheme val="minor"/>
    </font>
    <font>
      <b/>
      <sz val="18"/>
      <color theme="1"/>
      <name val="Aptos Narrow"/>
      <family val="2"/>
      <scheme val="minor"/>
    </font>
    <font>
      <sz val="11"/>
      <name val="Aptos Narrow"/>
      <family val="2"/>
      <scheme val="minor"/>
    </font>
    <font>
      <sz val="11"/>
      <color rgb="FFFF0000"/>
      <name val="Calibri"/>
      <family val="2"/>
    </font>
  </fonts>
  <fills count="17">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7" tint="-0.499984740745262"/>
        <bgColor rgb="FF000000"/>
      </patternFill>
    </fill>
    <fill>
      <patternFill patternType="solid">
        <fgColor theme="0"/>
        <bgColor rgb="FF000000"/>
      </patternFill>
    </fill>
    <fill>
      <patternFill patternType="solid">
        <fgColor rgb="FFFFFF00"/>
        <bgColor rgb="FF000000"/>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2" tint="-9.9978637043366805E-2"/>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47" fillId="0" borderId="0" applyFont="0" applyFill="0" applyBorder="0" applyAlignment="0" applyProtection="0"/>
  </cellStyleXfs>
  <cellXfs count="453">
    <xf numFmtId="0" fontId="0" fillId="0" borderId="0" xfId="0"/>
    <xf numFmtId="0" fontId="5" fillId="0" borderId="0" xfId="4"/>
    <xf numFmtId="0" fontId="7" fillId="2" borderId="0" xfId="4" applyFont="1" applyFill="1"/>
    <xf numFmtId="0" fontId="8" fillId="2" borderId="3" xfId="4" applyFont="1" applyFill="1" applyBorder="1"/>
    <xf numFmtId="0" fontId="9" fillId="2" borderId="4" xfId="4" applyFont="1" applyFill="1" applyBorder="1"/>
    <xf numFmtId="0" fontId="8" fillId="2" borderId="5" xfId="4" applyFont="1" applyFill="1" applyBorder="1"/>
    <xf numFmtId="0" fontId="8" fillId="0" borderId="0" xfId="4" applyFont="1"/>
    <xf numFmtId="0" fontId="10" fillId="3" borderId="0" xfId="5" applyFont="1" applyFill="1" applyAlignment="1">
      <alignment horizontal="center"/>
    </xf>
    <xf numFmtId="0" fontId="10" fillId="4" borderId="0" xfId="5" applyFont="1" applyFill="1" applyAlignment="1">
      <alignment horizontal="center"/>
    </xf>
    <xf numFmtId="14" fontId="8" fillId="0" borderId="0" xfId="4" applyNumberFormat="1" applyFont="1"/>
    <xf numFmtId="164" fontId="5" fillId="0" borderId="0" xfId="4" applyNumberFormat="1"/>
    <xf numFmtId="2" fontId="5" fillId="0" borderId="0" xfId="4" applyNumberFormat="1"/>
    <xf numFmtId="0" fontId="8" fillId="0" borderId="0" xfId="6" applyFont="1"/>
    <xf numFmtId="0" fontId="5" fillId="0" borderId="0" xfId="6"/>
    <xf numFmtId="0" fontId="11" fillId="0" borderId="0" xfId="6" applyFont="1"/>
    <xf numFmtId="0" fontId="12" fillId="0" borderId="0" xfId="6" applyFont="1"/>
    <xf numFmtId="0" fontId="5" fillId="0" borderId="6" xfId="6" applyBorder="1"/>
    <xf numFmtId="0" fontId="5" fillId="0" borderId="7" xfId="6" applyBorder="1"/>
    <xf numFmtId="0" fontId="5" fillId="0" borderId="8" xfId="6" applyBorder="1"/>
    <xf numFmtId="0" fontId="5" fillId="0" borderId="9" xfId="6" applyBorder="1"/>
    <xf numFmtId="0" fontId="5" fillId="0" borderId="0" xfId="6" applyAlignment="1">
      <alignment horizontal="right"/>
    </xf>
    <xf numFmtId="0" fontId="8" fillId="0" borderId="0" xfId="6" applyFont="1" applyAlignment="1">
      <alignment horizontal="center"/>
    </xf>
    <xf numFmtId="0" fontId="5" fillId="0" borderId="10" xfId="6" applyBorder="1"/>
    <xf numFmtId="14" fontId="8" fillId="0" borderId="0" xfId="5" applyNumberFormat="1" applyFont="1" applyAlignment="1">
      <alignment horizontal="center"/>
    </xf>
    <xf numFmtId="0" fontId="13" fillId="0" borderId="10" xfId="6" applyFont="1" applyBorder="1" applyAlignment="1">
      <alignment horizontal="center"/>
    </xf>
    <xf numFmtId="164" fontId="5" fillId="0" borderId="11" xfId="5" applyNumberFormat="1" applyBorder="1"/>
    <xf numFmtId="0" fontId="5" fillId="0" borderId="12" xfId="6" applyBorder="1"/>
    <xf numFmtId="164" fontId="5" fillId="0" borderId="10" xfId="6" applyNumberFormat="1" applyBorder="1" applyAlignment="1">
      <alignment horizontal="center"/>
    </xf>
    <xf numFmtId="0" fontId="5" fillId="0" borderId="9" xfId="6" applyBorder="1" applyAlignment="1">
      <alignment horizontal="right"/>
    </xf>
    <xf numFmtId="0" fontId="8" fillId="0" borderId="0" xfId="7" applyFont="1"/>
    <xf numFmtId="164" fontId="5" fillId="0" borderId="13" xfId="5" applyNumberFormat="1" applyBorder="1"/>
    <xf numFmtId="0" fontId="5" fillId="0" borderId="10" xfId="6" applyBorder="1" applyAlignment="1">
      <alignment horizontal="center"/>
    </xf>
    <xf numFmtId="0" fontId="8" fillId="6" borderId="0" xfId="6" applyFont="1" applyFill="1" applyAlignment="1">
      <alignment horizontal="right"/>
    </xf>
    <xf numFmtId="10" fontId="8" fillId="6" borderId="10" xfId="8" applyNumberFormat="1" applyFont="1" applyFill="1" applyBorder="1" applyAlignment="1">
      <alignment horizontal="center"/>
    </xf>
    <xf numFmtId="0" fontId="5" fillId="0" borderId="14" xfId="6" applyBorder="1"/>
    <xf numFmtId="0" fontId="5" fillId="0" borderId="15" xfId="6" applyBorder="1"/>
    <xf numFmtId="0" fontId="5" fillId="0" borderId="16" xfId="6" applyBorder="1"/>
    <xf numFmtId="0" fontId="14" fillId="0" borderId="0" xfId="9" applyFont="1"/>
    <xf numFmtId="0" fontId="15" fillId="0" borderId="0" xfId="9" applyFont="1" applyAlignment="1">
      <alignment horizontal="center"/>
    </xf>
    <xf numFmtId="0" fontId="14" fillId="0" borderId="0" xfId="9" applyFont="1" applyAlignment="1">
      <alignment wrapText="1"/>
    </xf>
    <xf numFmtId="8" fontId="14" fillId="0" borderId="0" xfId="9" applyNumberFormat="1" applyFont="1"/>
    <xf numFmtId="17" fontId="16" fillId="0" borderId="0" xfId="9" applyNumberFormat="1" applyFont="1" applyAlignment="1">
      <alignment horizontal="center"/>
    </xf>
    <xf numFmtId="165" fontId="17" fillId="0" borderId="0" xfId="9" applyNumberFormat="1" applyFont="1" applyAlignment="1">
      <alignment horizontal="left" vertical="top"/>
    </xf>
    <xf numFmtId="0" fontId="17" fillId="0" borderId="0" xfId="9" applyFont="1" applyAlignment="1">
      <alignment horizontal="center"/>
    </xf>
    <xf numFmtId="0" fontId="17" fillId="0" borderId="0" xfId="9" applyFont="1"/>
    <xf numFmtId="9" fontId="17" fillId="0" borderId="0" xfId="9" applyNumberFormat="1" applyFont="1" applyAlignment="1">
      <alignment horizontal="center" wrapText="1"/>
    </xf>
    <xf numFmtId="0" fontId="17" fillId="0" borderId="0" xfId="9" applyFont="1" applyAlignment="1">
      <alignment horizontal="left" wrapText="1"/>
    </xf>
    <xf numFmtId="8" fontId="14" fillId="0" borderId="0" xfId="9" applyNumberFormat="1" applyFont="1" applyAlignment="1">
      <alignment horizontal="right"/>
    </xf>
    <xf numFmtId="0" fontId="18" fillId="0" borderId="17" xfId="9" applyFont="1" applyBorder="1"/>
    <xf numFmtId="166" fontId="14" fillId="0" borderId="18" xfId="9" applyNumberFormat="1" applyFont="1" applyBorder="1" applyAlignment="1">
      <alignment horizontal="center"/>
    </xf>
    <xf numFmtId="0" fontId="14" fillId="0" borderId="1" xfId="9" applyFont="1" applyBorder="1"/>
    <xf numFmtId="44" fontId="14" fillId="7" borderId="18" xfId="10" applyFont="1" applyFill="1" applyBorder="1" applyAlignment="1">
      <alignment horizontal="center"/>
    </xf>
    <xf numFmtId="8" fontId="14" fillId="0" borderId="2" xfId="9" applyNumberFormat="1" applyFont="1" applyBorder="1"/>
    <xf numFmtId="10" fontId="14" fillId="0" borderId="0" xfId="11" applyNumberFormat="1" applyFont="1"/>
    <xf numFmtId="0" fontId="18" fillId="0" borderId="19" xfId="9" applyFont="1" applyBorder="1"/>
    <xf numFmtId="167" fontId="14" fillId="0" borderId="4" xfId="9" applyNumberFormat="1" applyFont="1" applyBorder="1" applyAlignment="1">
      <alignment horizontal="center"/>
    </xf>
    <xf numFmtId="0" fontId="14" fillId="0" borderId="4" xfId="9" applyFont="1" applyBorder="1"/>
    <xf numFmtId="168" fontId="14" fillId="7" borderId="4" xfId="10" applyNumberFormat="1" applyFont="1" applyFill="1" applyBorder="1" applyAlignment="1">
      <alignment horizontal="center"/>
    </xf>
    <xf numFmtId="6" fontId="14" fillId="0" borderId="2" xfId="9" applyNumberFormat="1" applyFont="1" applyBorder="1"/>
    <xf numFmtId="0" fontId="14" fillId="0" borderId="17" xfId="9" applyFont="1" applyBorder="1"/>
    <xf numFmtId="0" fontId="14" fillId="0" borderId="20" xfId="9" applyFont="1" applyBorder="1"/>
    <xf numFmtId="167" fontId="14" fillId="0" borderId="0" xfId="9" applyNumberFormat="1" applyFont="1" applyAlignment="1">
      <alignment horizontal="center"/>
    </xf>
    <xf numFmtId="168" fontId="14" fillId="7" borderId="0" xfId="10" applyNumberFormat="1" applyFont="1" applyFill="1" applyAlignment="1">
      <alignment horizontal="center"/>
    </xf>
    <xf numFmtId="0" fontId="14" fillId="0" borderId="19" xfId="9" applyFont="1" applyBorder="1"/>
    <xf numFmtId="0" fontId="14" fillId="0" borderId="17" xfId="9" applyFont="1" applyBorder="1" applyAlignment="1">
      <alignment wrapText="1"/>
    </xf>
    <xf numFmtId="0" fontId="14" fillId="0" borderId="19" xfId="9" applyFont="1" applyBorder="1" applyAlignment="1">
      <alignment wrapText="1"/>
    </xf>
    <xf numFmtId="166" fontId="14" fillId="0" borderId="1" xfId="9" applyNumberFormat="1" applyFont="1" applyBorder="1" applyAlignment="1">
      <alignment horizontal="center"/>
    </xf>
    <xf numFmtId="44" fontId="14" fillId="7" borderId="1" xfId="10" applyFont="1" applyFill="1" applyBorder="1" applyAlignment="1">
      <alignment horizontal="center"/>
    </xf>
    <xf numFmtId="44" fontId="14" fillId="7" borderId="4" xfId="10" applyFont="1" applyFill="1" applyBorder="1" applyAlignment="1">
      <alignment horizontal="center"/>
    </xf>
    <xf numFmtId="166" fontId="14" fillId="0" borderId="0" xfId="9" applyNumberFormat="1" applyFont="1" applyAlignment="1">
      <alignment horizontal="center"/>
    </xf>
    <xf numFmtId="44" fontId="14" fillId="7" borderId="0" xfId="10" applyFont="1" applyFill="1" applyAlignment="1">
      <alignment horizontal="center"/>
    </xf>
    <xf numFmtId="0" fontId="18" fillId="0" borderId="20" xfId="9" applyFont="1" applyBorder="1"/>
    <xf numFmtId="10" fontId="16" fillId="0" borderId="0" xfId="9" applyNumberFormat="1" applyFont="1"/>
    <xf numFmtId="0" fontId="19" fillId="0" borderId="0" xfId="9" applyFont="1" applyAlignment="1">
      <alignment horizontal="right" wrapText="1"/>
    </xf>
    <xf numFmtId="0" fontId="14" fillId="0" borderId="0" xfId="9" applyFont="1" applyAlignment="1">
      <alignment horizontal="center"/>
    </xf>
    <xf numFmtId="0" fontId="14" fillId="0" borderId="0" xfId="9" applyFont="1" applyAlignment="1">
      <alignment horizontal="right"/>
    </xf>
    <xf numFmtId="10" fontId="14" fillId="0" borderId="0" xfId="11" applyNumberFormat="1" applyFont="1" applyAlignment="1">
      <alignment horizontal="center"/>
    </xf>
    <xf numFmtId="9" fontId="14" fillId="0" borderId="0" xfId="11" applyFont="1" applyAlignment="1">
      <alignment horizontal="center"/>
    </xf>
    <xf numFmtId="9" fontId="14" fillId="0" borderId="0" xfId="11" applyFont="1"/>
    <xf numFmtId="0" fontId="18" fillId="0" borderId="0" xfId="9" applyFont="1" applyAlignment="1">
      <alignment horizontal="right"/>
    </xf>
    <xf numFmtId="167" fontId="14" fillId="0" borderId="0" xfId="9" applyNumberFormat="1" applyFont="1"/>
    <xf numFmtId="6" fontId="14" fillId="0" borderId="0" xfId="9" applyNumberFormat="1" applyFont="1" applyAlignment="1">
      <alignment horizontal="center"/>
    </xf>
    <xf numFmtId="0" fontId="17" fillId="0" borderId="0" xfId="9" applyFont="1" applyAlignment="1">
      <alignment horizontal="right"/>
    </xf>
    <xf numFmtId="0" fontId="17" fillId="0" borderId="0" xfId="9" applyFont="1" applyAlignment="1">
      <alignment horizontal="right" vertical="top"/>
    </xf>
    <xf numFmtId="165" fontId="22" fillId="0" borderId="0" xfId="12" applyNumberFormat="1" applyFont="1" applyAlignment="1">
      <alignment horizontal="left"/>
    </xf>
    <xf numFmtId="0" fontId="23" fillId="0" borderId="0" xfId="12" applyFont="1" applyAlignment="1">
      <alignment horizontal="left" vertical="center"/>
    </xf>
    <xf numFmtId="0" fontId="24" fillId="0" borderId="0" xfId="12" applyFont="1"/>
    <xf numFmtId="0" fontId="23" fillId="0" borderId="0" xfId="12" applyFont="1"/>
    <xf numFmtId="0" fontId="24" fillId="0" borderId="0" xfId="12" applyFont="1" applyAlignment="1">
      <alignment horizontal="right"/>
    </xf>
    <xf numFmtId="0" fontId="25" fillId="0" borderId="0" xfId="12" applyFont="1"/>
    <xf numFmtId="0" fontId="23" fillId="8" borderId="0" xfId="12" applyFont="1" applyFill="1"/>
    <xf numFmtId="0" fontId="24" fillId="8" borderId="0" xfId="12" applyFont="1" applyFill="1"/>
    <xf numFmtId="0" fontId="24" fillId="8" borderId="0" xfId="12" applyFont="1" applyFill="1" applyAlignment="1">
      <alignment horizontal="right"/>
    </xf>
    <xf numFmtId="0" fontId="25" fillId="8" borderId="0" xfId="12" applyFont="1" applyFill="1"/>
    <xf numFmtId="165" fontId="26" fillId="0" borderId="4" xfId="12" applyNumberFormat="1" applyFont="1" applyBorder="1" applyAlignment="1">
      <alignment horizontal="left"/>
    </xf>
    <xf numFmtId="0" fontId="26" fillId="0" borderId="4" xfId="12" applyFont="1" applyBorder="1" applyAlignment="1">
      <alignment horizontal="left" vertical="center"/>
    </xf>
    <xf numFmtId="0" fontId="27" fillId="0" borderId="0" xfId="12" applyFont="1"/>
    <xf numFmtId="0" fontId="26" fillId="0" borderId="0" xfId="12" applyFont="1"/>
    <xf numFmtId="0" fontId="27" fillId="0" borderId="0" xfId="12" applyFont="1" applyAlignment="1">
      <alignment horizontal="right"/>
    </xf>
    <xf numFmtId="0" fontId="26" fillId="8" borderId="0" xfId="12" applyFont="1" applyFill="1"/>
    <xf numFmtId="0" fontId="27" fillId="8" borderId="0" xfId="12" applyFont="1" applyFill="1"/>
    <xf numFmtId="0" fontId="27" fillId="8" borderId="0" xfId="12" applyFont="1" applyFill="1" applyAlignment="1">
      <alignment horizontal="right"/>
    </xf>
    <xf numFmtId="0" fontId="24" fillId="0" borderId="0" xfId="12" applyFont="1" applyAlignment="1">
      <alignment vertical="center"/>
    </xf>
    <xf numFmtId="0" fontId="24" fillId="8" borderId="0" xfId="12" applyFont="1" applyFill="1" applyAlignment="1">
      <alignment vertical="center"/>
    </xf>
    <xf numFmtId="0" fontId="31" fillId="10" borderId="24" xfId="12" applyFont="1" applyFill="1" applyBorder="1" applyAlignment="1">
      <alignment horizontal="center" vertical="center"/>
    </xf>
    <xf numFmtId="0" fontId="27" fillId="0" borderId="20" xfId="12" applyFont="1" applyBorder="1" applyAlignment="1">
      <alignment horizontal="left"/>
    </xf>
    <xf numFmtId="169" fontId="30" fillId="11" borderId="2" xfId="13" applyNumberFormat="1" applyFont="1" applyFill="1" applyBorder="1" applyAlignment="1">
      <alignment horizontal="center"/>
    </xf>
    <xf numFmtId="169" fontId="25" fillId="0" borderId="0" xfId="1" applyNumberFormat="1" applyFont="1" applyFill="1"/>
    <xf numFmtId="0" fontId="27" fillId="8" borderId="20" xfId="12" applyFont="1" applyFill="1" applyBorder="1" applyAlignment="1">
      <alignment horizontal="left"/>
    </xf>
    <xf numFmtId="169" fontId="30" fillId="8" borderId="2" xfId="13" applyNumberFormat="1" applyFont="1" applyFill="1" applyBorder="1" applyAlignment="1">
      <alignment horizontal="center"/>
    </xf>
    <xf numFmtId="169" fontId="25" fillId="0" borderId="0" xfId="14" applyNumberFormat="1" applyFont="1" applyFill="1"/>
    <xf numFmtId="0" fontId="32" fillId="0" borderId="6" xfId="12" applyFont="1" applyBorder="1"/>
    <xf numFmtId="6" fontId="32" fillId="0" borderId="7" xfId="12" applyNumberFormat="1" applyFont="1" applyBorder="1" applyAlignment="1">
      <alignment horizontal="right"/>
    </xf>
    <xf numFmtId="49" fontId="27" fillId="0" borderId="26" xfId="12" applyNumberFormat="1" applyFont="1" applyBorder="1"/>
    <xf numFmtId="0" fontId="27" fillId="0" borderId="20" xfId="12" applyFont="1" applyBorder="1" applyAlignment="1">
      <alignment horizontal="center"/>
    </xf>
    <xf numFmtId="0" fontId="33" fillId="0" borderId="0" xfId="12" applyFont="1" applyAlignment="1">
      <alignment horizontal="right"/>
    </xf>
    <xf numFmtId="169" fontId="33" fillId="0" borderId="3" xfId="12" applyNumberFormat="1" applyFont="1" applyBorder="1" applyAlignment="1">
      <alignment horizontal="right"/>
    </xf>
    <xf numFmtId="0" fontId="27" fillId="8" borderId="20" xfId="12" applyFont="1" applyFill="1" applyBorder="1" applyAlignment="1">
      <alignment horizontal="center"/>
    </xf>
    <xf numFmtId="0" fontId="33" fillId="8" borderId="0" xfId="12" applyFont="1" applyFill="1" applyAlignment="1">
      <alignment horizontal="right"/>
    </xf>
    <xf numFmtId="169" fontId="33" fillId="8" borderId="3" xfId="12" applyNumberFormat="1" applyFont="1" applyFill="1" applyBorder="1" applyAlignment="1">
      <alignment horizontal="right"/>
    </xf>
    <xf numFmtId="0" fontId="34" fillId="0" borderId="14" xfId="12" applyFont="1" applyBorder="1"/>
    <xf numFmtId="6" fontId="32" fillId="0" borderId="15" xfId="12" applyNumberFormat="1" applyFont="1" applyBorder="1" applyAlignment="1">
      <alignment horizontal="right"/>
    </xf>
    <xf numFmtId="0" fontId="30" fillId="0" borderId="28" xfId="12" applyFont="1" applyBorder="1"/>
    <xf numFmtId="0" fontId="30" fillId="0" borderId="29" xfId="12" applyFont="1" applyBorder="1" applyAlignment="1">
      <alignment horizontal="center"/>
    </xf>
    <xf numFmtId="0" fontId="30" fillId="0" borderId="30" xfId="12" applyFont="1" applyBorder="1" applyAlignment="1">
      <alignment horizontal="center"/>
    </xf>
    <xf numFmtId="0" fontId="29" fillId="0" borderId="31" xfId="12" applyFont="1" applyBorder="1" applyAlignment="1">
      <alignment horizontal="center" vertical="center" wrapText="1"/>
    </xf>
    <xf numFmtId="3" fontId="29" fillId="0" borderId="31" xfId="12" applyNumberFormat="1" applyFont="1" applyBorder="1" applyAlignment="1">
      <alignment horizontal="center" vertical="center" wrapText="1"/>
    </xf>
    <xf numFmtId="0" fontId="30" fillId="8" borderId="28" xfId="12" applyFont="1" applyFill="1" applyBorder="1"/>
    <xf numFmtId="0" fontId="30" fillId="8" borderId="29" xfId="12" applyFont="1" applyFill="1" applyBorder="1" applyAlignment="1">
      <alignment horizontal="center"/>
    </xf>
    <xf numFmtId="0" fontId="30" fillId="8" borderId="30" xfId="12" applyFont="1" applyFill="1" applyBorder="1" applyAlignment="1">
      <alignment horizontal="center"/>
    </xf>
    <xf numFmtId="0" fontId="29" fillId="8" borderId="31" xfId="12" applyFont="1" applyFill="1" applyBorder="1" applyAlignment="1">
      <alignment horizontal="center" vertical="center" wrapText="1"/>
    </xf>
    <xf numFmtId="3" fontId="29" fillId="8" borderId="31" xfId="12" applyNumberFormat="1" applyFont="1" applyFill="1" applyBorder="1" applyAlignment="1">
      <alignment horizontal="center" vertical="center" wrapText="1"/>
    </xf>
    <xf numFmtId="0" fontId="32" fillId="0" borderId="9" xfId="12" applyFont="1" applyBorder="1"/>
    <xf numFmtId="0" fontId="31" fillId="0" borderId="0" xfId="12" applyFont="1" applyAlignment="1">
      <alignment horizontal="right"/>
    </xf>
    <xf numFmtId="0" fontId="27" fillId="0" borderId="20" xfId="12" applyFont="1" applyBorder="1"/>
    <xf numFmtId="6" fontId="27" fillId="0" borderId="0" xfId="12" applyNumberFormat="1" applyFont="1" applyAlignment="1">
      <alignment horizontal="right"/>
    </xf>
    <xf numFmtId="4" fontId="27" fillId="0" borderId="0" xfId="12" applyNumberFormat="1" applyFont="1" applyAlignment="1">
      <alignment horizontal="center"/>
    </xf>
    <xf numFmtId="6" fontId="27" fillId="0" borderId="3" xfId="12" applyNumberFormat="1" applyFont="1" applyBorder="1"/>
    <xf numFmtId="4" fontId="29" fillId="0" borderId="32" xfId="11" applyNumberFormat="1" applyFont="1" applyBorder="1" applyAlignment="1">
      <alignment horizontal="center"/>
    </xf>
    <xf numFmtId="4" fontId="35" fillId="0" borderId="33" xfId="12" applyNumberFormat="1" applyFont="1" applyBorder="1" applyAlignment="1">
      <alignment horizontal="center"/>
    </xf>
    <xf numFmtId="0" fontId="27" fillId="8" borderId="20" xfId="12" applyFont="1" applyFill="1" applyBorder="1"/>
    <xf numFmtId="6" fontId="27" fillId="8" borderId="0" xfId="12" applyNumberFormat="1" applyFont="1" applyFill="1" applyAlignment="1">
      <alignment horizontal="right"/>
    </xf>
    <xf numFmtId="4" fontId="27" fillId="8" borderId="0" xfId="12" applyNumberFormat="1" applyFont="1" applyFill="1" applyAlignment="1">
      <alignment horizontal="center"/>
    </xf>
    <xf numFmtId="6" fontId="27" fillId="8" borderId="3" xfId="12" applyNumberFormat="1" applyFont="1" applyFill="1" applyBorder="1"/>
    <xf numFmtId="4" fontId="29" fillId="8" borderId="32" xfId="11" applyNumberFormat="1" applyFont="1" applyFill="1" applyBorder="1" applyAlignment="1">
      <alignment horizontal="center"/>
    </xf>
    <xf numFmtId="4" fontId="35" fillId="8" borderId="33" xfId="12" applyNumberFormat="1" applyFont="1" applyFill="1" applyBorder="1" applyAlignment="1">
      <alignment horizontal="center"/>
    </xf>
    <xf numFmtId="4" fontId="32" fillId="0" borderId="0" xfId="12" applyNumberFormat="1" applyFont="1" applyAlignment="1">
      <alignment horizontal="right"/>
    </xf>
    <xf numFmtId="0" fontId="27" fillId="0" borderId="34" xfId="12" applyFont="1" applyBorder="1"/>
    <xf numFmtId="6" fontId="27" fillId="0" borderId="15" xfId="12" applyNumberFormat="1" applyFont="1" applyBorder="1" applyAlignment="1">
      <alignment horizontal="right"/>
    </xf>
    <xf numFmtId="3" fontId="27" fillId="0" borderId="15" xfId="12" applyNumberFormat="1" applyFont="1" applyBorder="1" applyAlignment="1">
      <alignment horizontal="center"/>
    </xf>
    <xf numFmtId="6" fontId="27" fillId="0" borderId="35" xfId="12" applyNumberFormat="1" applyFont="1" applyBorder="1"/>
    <xf numFmtId="4" fontId="29" fillId="0" borderId="36" xfId="11" applyNumberFormat="1" applyFont="1" applyBorder="1" applyAlignment="1">
      <alignment horizontal="center"/>
    </xf>
    <xf numFmtId="4" fontId="35" fillId="0" borderId="37" xfId="12" applyNumberFormat="1" applyFont="1" applyBorder="1" applyAlignment="1">
      <alignment horizontal="center"/>
    </xf>
    <xf numFmtId="0" fontId="27" fillId="8" borderId="34" xfId="12" applyFont="1" applyFill="1" applyBorder="1"/>
    <xf numFmtId="6" fontId="27" fillId="8" borderId="15" xfId="12" applyNumberFormat="1" applyFont="1" applyFill="1" applyBorder="1" applyAlignment="1">
      <alignment horizontal="right"/>
    </xf>
    <xf numFmtId="3" fontId="27" fillId="8" borderId="15" xfId="12" applyNumberFormat="1" applyFont="1" applyFill="1" applyBorder="1" applyAlignment="1">
      <alignment horizontal="center"/>
    </xf>
    <xf numFmtId="6" fontId="27" fillId="8" borderId="35" xfId="12" applyNumberFormat="1" applyFont="1" applyFill="1" applyBorder="1"/>
    <xf numFmtId="4" fontId="29" fillId="8" borderId="36" xfId="11" applyNumberFormat="1" applyFont="1" applyFill="1" applyBorder="1" applyAlignment="1">
      <alignment horizontal="center"/>
    </xf>
    <xf numFmtId="4" fontId="35" fillId="8" borderId="37" xfId="12" applyNumberFormat="1" applyFont="1" applyFill="1" applyBorder="1" applyAlignment="1">
      <alignment horizontal="center"/>
    </xf>
    <xf numFmtId="2" fontId="32" fillId="0" borderId="15" xfId="12" applyNumberFormat="1" applyFont="1" applyBorder="1" applyAlignment="1">
      <alignment horizontal="right"/>
    </xf>
    <xf numFmtId="49" fontId="27" fillId="0" borderId="32" xfId="12" applyNumberFormat="1" applyFont="1" applyBorder="1"/>
    <xf numFmtId="0" fontId="30" fillId="0" borderId="20" xfId="12" applyFont="1" applyBorder="1"/>
    <xf numFmtId="3" fontId="27" fillId="0" borderId="0" xfId="12" applyNumberFormat="1" applyFont="1" applyAlignment="1">
      <alignment horizontal="center"/>
    </xf>
    <xf numFmtId="4" fontId="29" fillId="0" borderId="38" xfId="11" applyNumberFormat="1" applyFont="1" applyBorder="1" applyAlignment="1">
      <alignment horizontal="center"/>
    </xf>
    <xf numFmtId="4" fontId="35" fillId="0" borderId="39" xfId="12" applyNumberFormat="1" applyFont="1" applyBorder="1" applyAlignment="1">
      <alignment horizontal="center"/>
    </xf>
    <xf numFmtId="0" fontId="30" fillId="8" borderId="20" xfId="12" applyFont="1" applyFill="1" applyBorder="1"/>
    <xf numFmtId="3" fontId="27" fillId="8" borderId="0" xfId="12" applyNumberFormat="1" applyFont="1" applyFill="1" applyAlignment="1">
      <alignment horizontal="center"/>
    </xf>
    <xf numFmtId="4" fontId="29" fillId="8" borderId="38" xfId="11" applyNumberFormat="1" applyFont="1" applyFill="1" applyBorder="1" applyAlignment="1">
      <alignment horizontal="center"/>
    </xf>
    <xf numFmtId="4" fontId="35" fillId="8" borderId="39" xfId="12" applyNumberFormat="1" applyFont="1" applyFill="1" applyBorder="1" applyAlignment="1">
      <alignment horizontal="center"/>
    </xf>
    <xf numFmtId="170" fontId="27" fillId="0" borderId="0" xfId="12" applyNumberFormat="1" applyFont="1" applyAlignment="1">
      <alignment horizontal="center"/>
    </xf>
    <xf numFmtId="170" fontId="27" fillId="8" borderId="0" xfId="12" applyNumberFormat="1" applyFont="1" applyFill="1" applyAlignment="1">
      <alignment horizontal="center"/>
    </xf>
    <xf numFmtId="10" fontId="32" fillId="0" borderId="0" xfId="12" applyNumberFormat="1" applyFont="1" applyAlignment="1">
      <alignment horizontal="right"/>
    </xf>
    <xf numFmtId="0" fontId="31" fillId="0" borderId="40" xfId="12" applyFont="1" applyBorder="1"/>
    <xf numFmtId="10" fontId="27" fillId="0" borderId="41" xfId="12" applyNumberFormat="1" applyFont="1" applyBorder="1" applyAlignment="1">
      <alignment horizontal="right"/>
    </xf>
    <xf numFmtId="0" fontId="27" fillId="0" borderId="41" xfId="12" applyFont="1" applyBorder="1" applyAlignment="1">
      <alignment horizontal="right"/>
    </xf>
    <xf numFmtId="6" fontId="27" fillId="0" borderId="42" xfId="12" applyNumberFormat="1" applyFont="1" applyBorder="1"/>
    <xf numFmtId="0" fontId="31" fillId="8" borderId="40" xfId="12" applyFont="1" applyFill="1" applyBorder="1"/>
    <xf numFmtId="10" fontId="27" fillId="8" borderId="41" xfId="12" applyNumberFormat="1" applyFont="1" applyFill="1" applyBorder="1" applyAlignment="1">
      <alignment horizontal="right"/>
    </xf>
    <xf numFmtId="0" fontId="27" fillId="8" borderId="41" xfId="12" applyFont="1" applyFill="1" applyBorder="1" applyAlignment="1">
      <alignment horizontal="right"/>
    </xf>
    <xf numFmtId="6" fontId="27" fillId="8" borderId="42" xfId="12" applyNumberFormat="1" applyFont="1" applyFill="1" applyBorder="1"/>
    <xf numFmtId="168" fontId="32" fillId="0" borderId="0" xfId="12" applyNumberFormat="1" applyFont="1" applyAlignment="1">
      <alignment horizontal="right"/>
    </xf>
    <xf numFmtId="0" fontId="30" fillId="0" borderId="43" xfId="12" applyFont="1" applyBorder="1"/>
    <xf numFmtId="0" fontId="27" fillId="0" borderId="44" xfId="12" applyFont="1" applyBorder="1" applyAlignment="1">
      <alignment horizontal="right"/>
    </xf>
    <xf numFmtId="6" fontId="27" fillId="0" borderId="45" xfId="12" applyNumberFormat="1" applyFont="1" applyBorder="1"/>
    <xf numFmtId="0" fontId="30" fillId="8" borderId="43" xfId="12" applyFont="1" applyFill="1" applyBorder="1"/>
    <xf numFmtId="0" fontId="27" fillId="8" borderId="44" xfId="12" applyFont="1" applyFill="1" applyBorder="1" applyAlignment="1">
      <alignment horizontal="right"/>
    </xf>
    <xf numFmtId="6" fontId="27" fillId="8" borderId="45" xfId="12" applyNumberFormat="1" applyFont="1" applyFill="1" applyBorder="1"/>
    <xf numFmtId="168" fontId="32" fillId="0" borderId="35" xfId="12" applyNumberFormat="1" applyFont="1" applyBorder="1" applyAlignment="1">
      <alignment horizontal="right"/>
    </xf>
    <xf numFmtId="10" fontId="27" fillId="0" borderId="0" xfId="12" applyNumberFormat="1" applyFont="1" applyAlignment="1">
      <alignment horizontal="right"/>
    </xf>
    <xf numFmtId="44" fontId="25" fillId="0" borderId="0" xfId="12" applyNumberFormat="1" applyFont="1"/>
    <xf numFmtId="10" fontId="27" fillId="8" borderId="0" xfId="12" applyNumberFormat="1" applyFont="1" applyFill="1" applyAlignment="1">
      <alignment horizontal="right"/>
    </xf>
    <xf numFmtId="0" fontId="32" fillId="0" borderId="46" xfId="12" applyFont="1" applyBorder="1"/>
    <xf numFmtId="10" fontId="32" fillId="0" borderId="29" xfId="12" applyNumberFormat="1" applyFont="1" applyBorder="1"/>
    <xf numFmtId="0" fontId="37" fillId="0" borderId="47" xfId="12" applyFont="1" applyBorder="1"/>
    <xf numFmtId="166" fontId="27" fillId="0" borderId="0" xfId="12" applyNumberFormat="1" applyFont="1" applyAlignment="1">
      <alignment horizontal="right"/>
    </xf>
    <xf numFmtId="168" fontId="27" fillId="0" borderId="3" xfId="12" applyNumberFormat="1" applyFont="1" applyBorder="1"/>
    <xf numFmtId="166" fontId="27" fillId="8" borderId="0" xfId="12" applyNumberFormat="1" applyFont="1" applyFill="1" applyAlignment="1">
      <alignment horizontal="right"/>
    </xf>
    <xf numFmtId="168" fontId="27" fillId="8" borderId="3" xfId="12" applyNumberFormat="1" applyFont="1" applyFill="1" applyBorder="1"/>
    <xf numFmtId="10" fontId="32" fillId="0" borderId="47" xfId="12" applyNumberFormat="1" applyFont="1" applyBorder="1" applyAlignment="1">
      <alignment horizontal="right"/>
    </xf>
    <xf numFmtId="49" fontId="27" fillId="0" borderId="47" xfId="12" applyNumberFormat="1" applyFont="1" applyBorder="1"/>
    <xf numFmtId="10" fontId="25" fillId="0" borderId="0" xfId="11" applyNumberFormat="1" applyFont="1"/>
    <xf numFmtId="10" fontId="25" fillId="8" borderId="0" xfId="11" applyNumberFormat="1" applyFont="1" applyFill="1"/>
    <xf numFmtId="0" fontId="38" fillId="12" borderId="14" xfId="12" applyFont="1" applyFill="1" applyBorder="1" applyAlignment="1">
      <alignment horizontal="left" vertical="top"/>
    </xf>
    <xf numFmtId="10" fontId="38" fillId="0" borderId="16" xfId="12" applyNumberFormat="1" applyFont="1" applyBorder="1" applyAlignment="1">
      <alignment horizontal="right" vertical="top"/>
    </xf>
    <xf numFmtId="0" fontId="38" fillId="12" borderId="16" xfId="12" applyFont="1" applyFill="1" applyBorder="1" applyAlignment="1">
      <alignment horizontal="left" vertical="top"/>
    </xf>
    <xf numFmtId="0" fontId="39" fillId="12" borderId="0" xfId="12" applyFont="1" applyFill="1" applyAlignment="1">
      <alignment horizontal="left" vertical="top"/>
    </xf>
    <xf numFmtId="0" fontId="27" fillId="0" borderId="29" xfId="12" applyFont="1" applyBorder="1" applyAlignment="1">
      <alignment horizontal="right"/>
    </xf>
    <xf numFmtId="6" fontId="27" fillId="0" borderId="30" xfId="12" applyNumberFormat="1" applyFont="1" applyBorder="1"/>
    <xf numFmtId="0" fontId="27" fillId="8" borderId="29" xfId="12" applyFont="1" applyFill="1" applyBorder="1" applyAlignment="1">
      <alignment horizontal="right"/>
    </xf>
    <xf numFmtId="6" fontId="27" fillId="8" borderId="30" xfId="12" applyNumberFormat="1" applyFont="1" applyFill="1" applyBorder="1"/>
    <xf numFmtId="8" fontId="25" fillId="0" borderId="0" xfId="12" applyNumberFormat="1" applyFont="1"/>
    <xf numFmtId="8" fontId="25" fillId="8" borderId="0" xfId="12" applyNumberFormat="1" applyFont="1" applyFill="1"/>
    <xf numFmtId="0" fontId="27" fillId="0" borderId="48" xfId="12" applyFont="1" applyBorder="1"/>
    <xf numFmtId="0" fontId="27" fillId="0" borderId="49" xfId="12" applyFont="1" applyBorder="1" applyAlignment="1">
      <alignment horizontal="right"/>
    </xf>
    <xf numFmtId="6" fontId="27" fillId="0" borderId="50" xfId="12" applyNumberFormat="1" applyFont="1" applyBorder="1"/>
    <xf numFmtId="0" fontId="27" fillId="8" borderId="48" xfId="12" applyFont="1" applyFill="1" applyBorder="1"/>
    <xf numFmtId="0" fontId="27" fillId="8" borderId="49" xfId="12" applyFont="1" applyFill="1" applyBorder="1" applyAlignment="1">
      <alignment horizontal="right"/>
    </xf>
    <xf numFmtId="6" fontId="27" fillId="8" borderId="50" xfId="12" applyNumberFormat="1" applyFont="1" applyFill="1" applyBorder="1"/>
    <xf numFmtId="0" fontId="27" fillId="0" borderId="19" xfId="12" applyFont="1" applyBorder="1"/>
    <xf numFmtId="0" fontId="27" fillId="0" borderId="4" xfId="12" applyFont="1" applyBorder="1" applyAlignment="1">
      <alignment horizontal="right"/>
    </xf>
    <xf numFmtId="6" fontId="27" fillId="0" borderId="5" xfId="12" applyNumberFormat="1" applyFont="1" applyBorder="1"/>
    <xf numFmtId="0" fontId="27" fillId="8" borderId="19" xfId="12" applyFont="1" applyFill="1" applyBorder="1"/>
    <xf numFmtId="0" fontId="27" fillId="8" borderId="4" xfId="12" applyFont="1" applyFill="1" applyBorder="1" applyAlignment="1">
      <alignment horizontal="right"/>
    </xf>
    <xf numFmtId="6" fontId="27" fillId="8" borderId="5" xfId="12" applyNumberFormat="1" applyFont="1" applyFill="1" applyBorder="1"/>
    <xf numFmtId="0" fontId="27" fillId="10" borderId="0" xfId="12" applyFont="1" applyFill="1"/>
    <xf numFmtId="3" fontId="27" fillId="10" borderId="0" xfId="12" applyNumberFormat="1" applyFont="1" applyFill="1" applyAlignment="1">
      <alignment horizontal="right"/>
    </xf>
    <xf numFmtId="6" fontId="27" fillId="10" borderId="0" xfId="12" applyNumberFormat="1" applyFont="1" applyFill="1"/>
    <xf numFmtId="0" fontId="37" fillId="0" borderId="0" xfId="12" applyFont="1"/>
    <xf numFmtId="0" fontId="30" fillId="0" borderId="19" xfId="12" applyFont="1" applyBorder="1"/>
    <xf numFmtId="8" fontId="30" fillId="0" borderId="4" xfId="12" applyNumberFormat="1" applyFont="1" applyBorder="1" applyAlignment="1">
      <alignment horizontal="right"/>
    </xf>
    <xf numFmtId="0" fontId="30" fillId="0" borderId="4" xfId="12" applyFont="1" applyBorder="1" applyAlignment="1">
      <alignment horizontal="right"/>
    </xf>
    <xf numFmtId="0" fontId="30" fillId="8" borderId="19" xfId="12" applyFont="1" applyFill="1" applyBorder="1"/>
    <xf numFmtId="8" fontId="30" fillId="8" borderId="4" xfId="12" applyNumberFormat="1" applyFont="1" applyFill="1" applyBorder="1" applyAlignment="1">
      <alignment horizontal="right"/>
    </xf>
    <xf numFmtId="0" fontId="30" fillId="8" borderId="4" xfId="12" applyFont="1" applyFill="1" applyBorder="1" applyAlignment="1">
      <alignment horizontal="right"/>
    </xf>
    <xf numFmtId="8" fontId="30" fillId="8" borderId="5" xfId="12" applyNumberFormat="1" applyFont="1" applyFill="1" applyBorder="1"/>
    <xf numFmtId="0" fontId="40" fillId="0" borderId="0" xfId="12" applyFont="1" applyAlignment="1">
      <alignment horizontal="center"/>
    </xf>
    <xf numFmtId="0" fontId="41" fillId="0" borderId="21" xfId="12" applyFont="1" applyBorder="1"/>
    <xf numFmtId="0" fontId="41" fillId="0" borderId="22" xfId="12" applyFont="1" applyBorder="1"/>
    <xf numFmtId="0" fontId="41" fillId="8" borderId="21" xfId="12" applyFont="1" applyFill="1" applyBorder="1"/>
    <xf numFmtId="0" fontId="41" fillId="8" borderId="22" xfId="12" applyFont="1" applyFill="1" applyBorder="1"/>
    <xf numFmtId="6" fontId="41" fillId="7" borderId="23" xfId="12" applyNumberFormat="1" applyFont="1" applyFill="1" applyBorder="1"/>
    <xf numFmtId="4" fontId="29" fillId="0" borderId="0" xfId="11" applyNumberFormat="1" applyFont="1" applyBorder="1" applyAlignment="1">
      <alignment horizontal="center"/>
    </xf>
    <xf numFmtId="0" fontId="24" fillId="0" borderId="0" xfId="12" applyFont="1" applyAlignment="1">
      <alignment horizontal="left"/>
    </xf>
    <xf numFmtId="0" fontId="43" fillId="0" borderId="0" xfId="12" applyFont="1" applyAlignment="1">
      <alignment horizontal="right"/>
    </xf>
    <xf numFmtId="1" fontId="43" fillId="0" borderId="0" xfId="12" applyNumberFormat="1" applyFont="1" applyAlignment="1">
      <alignment horizontal="center"/>
    </xf>
    <xf numFmtId="0" fontId="24" fillId="8" borderId="0" xfId="12" applyFont="1" applyFill="1" applyAlignment="1">
      <alignment horizontal="left"/>
    </xf>
    <xf numFmtId="0" fontId="43" fillId="8" borderId="0" xfId="12" applyFont="1" applyFill="1" applyAlignment="1">
      <alignment horizontal="right"/>
    </xf>
    <xf numFmtId="1" fontId="43" fillId="8" borderId="0" xfId="12" applyNumberFormat="1" applyFont="1" applyFill="1" applyAlignment="1">
      <alignment horizontal="center"/>
    </xf>
    <xf numFmtId="0" fontId="43" fillId="0" borderId="0" xfId="12" applyFont="1" applyAlignment="1">
      <alignment horizontal="center"/>
    </xf>
    <xf numFmtId="0" fontId="44" fillId="0" borderId="0" xfId="12" applyFont="1" applyAlignment="1">
      <alignment horizontal="center" vertical="center"/>
    </xf>
    <xf numFmtId="0" fontId="24" fillId="0" borderId="0" xfId="12" applyFont="1" applyAlignment="1">
      <alignment horizontal="center"/>
    </xf>
    <xf numFmtId="0" fontId="24" fillId="8" borderId="0" xfId="12" applyFont="1" applyFill="1" applyAlignment="1">
      <alignment horizontal="center"/>
    </xf>
    <xf numFmtId="6" fontId="45" fillId="0" borderId="0" xfId="12" applyNumberFormat="1" applyFont="1" applyAlignment="1">
      <alignment horizontal="right"/>
    </xf>
    <xf numFmtId="49" fontId="24" fillId="0" borderId="0" xfId="12" applyNumberFormat="1" applyFont="1"/>
    <xf numFmtId="0" fontId="43" fillId="0" borderId="0" xfId="12" applyFont="1"/>
    <xf numFmtId="0" fontId="43" fillId="8" borderId="0" xfId="12" applyFont="1" applyFill="1"/>
    <xf numFmtId="0" fontId="43" fillId="8" borderId="0" xfId="12" applyFont="1" applyFill="1" applyAlignment="1">
      <alignment horizontal="center"/>
    </xf>
    <xf numFmtId="6" fontId="24" fillId="0" borderId="0" xfId="12" applyNumberFormat="1" applyFont="1" applyAlignment="1">
      <alignment horizontal="right"/>
    </xf>
    <xf numFmtId="4" fontId="24" fillId="0" borderId="0" xfId="12" applyNumberFormat="1" applyFont="1" applyAlignment="1">
      <alignment horizontal="center"/>
    </xf>
    <xf numFmtId="6" fontId="24" fillId="0" borderId="0" xfId="12" applyNumberFormat="1" applyFont="1"/>
    <xf numFmtId="3" fontId="29" fillId="0" borderId="31" xfId="11" applyNumberFormat="1" applyFont="1" applyBorder="1" applyAlignment="1">
      <alignment horizontal="center"/>
    </xf>
    <xf numFmtId="6" fontId="24" fillId="8" borderId="0" xfId="12" applyNumberFormat="1" applyFont="1" applyFill="1" applyAlignment="1">
      <alignment horizontal="right"/>
    </xf>
    <xf numFmtId="4" fontId="24" fillId="8" borderId="0" xfId="12" applyNumberFormat="1" applyFont="1" applyFill="1" applyAlignment="1">
      <alignment horizontal="center"/>
    </xf>
    <xf numFmtId="6" fontId="24" fillId="8" borderId="0" xfId="12" applyNumberFormat="1" applyFont="1" applyFill="1"/>
    <xf numFmtId="3" fontId="29" fillId="8" borderId="31" xfId="11" applyNumberFormat="1" applyFont="1" applyFill="1" applyBorder="1" applyAlignment="1">
      <alignment horizontal="center"/>
    </xf>
    <xf numFmtId="4" fontId="29" fillId="0" borderId="51" xfId="11" applyNumberFormat="1" applyFont="1" applyBorder="1" applyAlignment="1">
      <alignment horizontal="center"/>
    </xf>
    <xf numFmtId="4" fontId="29" fillId="0" borderId="35" xfId="11" applyNumberFormat="1" applyFont="1" applyBorder="1" applyAlignment="1">
      <alignment horizontal="center"/>
    </xf>
    <xf numFmtId="4" fontId="29" fillId="8" borderId="51" xfId="11" applyNumberFormat="1" applyFont="1" applyFill="1" applyBorder="1" applyAlignment="1">
      <alignment horizontal="center"/>
    </xf>
    <xf numFmtId="4" fontId="29" fillId="8" borderId="35" xfId="11" applyNumberFormat="1" applyFont="1" applyFill="1" applyBorder="1" applyAlignment="1">
      <alignment horizontal="center"/>
    </xf>
    <xf numFmtId="4" fontId="46" fillId="0" borderId="0" xfId="12" applyNumberFormat="1" applyFont="1" applyAlignment="1">
      <alignment horizontal="right"/>
    </xf>
    <xf numFmtId="4" fontId="29" fillId="0" borderId="52" xfId="11" applyNumberFormat="1" applyFont="1" applyBorder="1" applyAlignment="1">
      <alignment horizontal="center"/>
    </xf>
    <xf numFmtId="4" fontId="29" fillId="8" borderId="52" xfId="11" applyNumberFormat="1" applyFont="1" applyFill="1" applyBorder="1" applyAlignment="1">
      <alignment horizontal="center"/>
    </xf>
    <xf numFmtId="2" fontId="46" fillId="0" borderId="0" xfId="12" applyNumberFormat="1" applyFont="1" applyAlignment="1">
      <alignment horizontal="right"/>
    </xf>
    <xf numFmtId="170" fontId="24" fillId="0" borderId="0" xfId="12" applyNumberFormat="1" applyFont="1" applyAlignment="1">
      <alignment horizontal="center"/>
    </xf>
    <xf numFmtId="4" fontId="29" fillId="0" borderId="53" xfId="11" applyNumberFormat="1" applyFont="1" applyBorder="1" applyAlignment="1">
      <alignment horizontal="center"/>
    </xf>
    <xf numFmtId="4" fontId="29" fillId="0" borderId="5" xfId="11" applyNumberFormat="1" applyFont="1" applyBorder="1" applyAlignment="1">
      <alignment horizontal="center"/>
    </xf>
    <xf numFmtId="170" fontId="24" fillId="8" borderId="0" xfId="12" applyNumberFormat="1" applyFont="1" applyFill="1" applyAlignment="1">
      <alignment horizontal="center"/>
    </xf>
    <xf numFmtId="4" fontId="29" fillId="8" borderId="53" xfId="11" applyNumberFormat="1" applyFont="1" applyFill="1" applyBorder="1" applyAlignment="1">
      <alignment horizontal="center"/>
    </xf>
    <xf numFmtId="4" fontId="29" fillId="8" borderId="5" xfId="11" applyNumberFormat="1" applyFont="1" applyFill="1" applyBorder="1" applyAlignment="1">
      <alignment horizontal="center"/>
    </xf>
    <xf numFmtId="10" fontId="24" fillId="0" borderId="0" xfId="12" applyNumberFormat="1" applyFont="1" applyAlignment="1">
      <alignment horizontal="right"/>
    </xf>
    <xf numFmtId="10" fontId="24" fillId="8" borderId="0" xfId="12" applyNumberFormat="1" applyFont="1" applyFill="1" applyAlignment="1">
      <alignment horizontal="right"/>
    </xf>
    <xf numFmtId="10" fontId="45" fillId="0" borderId="0" xfId="12" applyNumberFormat="1" applyFont="1" applyAlignment="1">
      <alignment horizontal="right"/>
    </xf>
    <xf numFmtId="168" fontId="45" fillId="0" borderId="0" xfId="12" applyNumberFormat="1" applyFont="1" applyAlignment="1">
      <alignment horizontal="right"/>
    </xf>
    <xf numFmtId="0" fontId="24" fillId="0" borderId="0" xfId="12" applyFont="1" applyAlignment="1">
      <alignment horizontal="right" wrapText="1"/>
    </xf>
    <xf numFmtId="49" fontId="43" fillId="0" borderId="0" xfId="12" applyNumberFormat="1" applyFont="1" applyAlignment="1">
      <alignment horizontal="right"/>
    </xf>
    <xf numFmtId="0" fontId="24" fillId="8" borderId="0" xfId="12" applyFont="1" applyFill="1" applyAlignment="1">
      <alignment horizontal="right" wrapText="1"/>
    </xf>
    <xf numFmtId="49" fontId="43" fillId="8" borderId="0" xfId="12" applyNumberFormat="1" applyFont="1" applyFill="1" applyAlignment="1">
      <alignment horizontal="right"/>
    </xf>
    <xf numFmtId="40" fontId="24" fillId="0" borderId="0" xfId="12" applyNumberFormat="1" applyFont="1" applyAlignment="1">
      <alignment horizontal="right"/>
    </xf>
    <xf numFmtId="168" fontId="24" fillId="0" borderId="0" xfId="12" applyNumberFormat="1" applyFont="1"/>
    <xf numFmtId="40" fontId="24" fillId="8" borderId="0" xfId="12" applyNumberFormat="1" applyFont="1" applyFill="1" applyAlignment="1">
      <alignment horizontal="right"/>
    </xf>
    <xf numFmtId="168" fontId="24" fillId="8" borderId="0" xfId="12" applyNumberFormat="1" applyFont="1" applyFill="1"/>
    <xf numFmtId="166" fontId="24" fillId="0" borderId="0" xfId="12" applyNumberFormat="1" applyFont="1" applyAlignment="1">
      <alignment horizontal="right"/>
    </xf>
    <xf numFmtId="166" fontId="24" fillId="8" borderId="0" xfId="12" applyNumberFormat="1" applyFont="1" applyFill="1" applyAlignment="1">
      <alignment horizontal="right"/>
    </xf>
    <xf numFmtId="10" fontId="48" fillId="0" borderId="0" xfId="15" applyNumberFormat="1" applyFont="1" applyFill="1" applyBorder="1" applyAlignment="1">
      <alignment horizontal="right"/>
    </xf>
    <xf numFmtId="6" fontId="43" fillId="0" borderId="0" xfId="12" applyNumberFormat="1" applyFont="1"/>
    <xf numFmtId="6" fontId="43" fillId="8" borderId="0" xfId="12" applyNumberFormat="1" applyFont="1" applyFill="1"/>
    <xf numFmtId="8" fontId="43" fillId="0" borderId="0" xfId="12" applyNumberFormat="1" applyFont="1" applyAlignment="1">
      <alignment horizontal="right"/>
    </xf>
    <xf numFmtId="8" fontId="43" fillId="0" borderId="0" xfId="12" applyNumberFormat="1" applyFont="1"/>
    <xf numFmtId="8" fontId="43" fillId="8" borderId="0" xfId="12" applyNumberFormat="1" applyFont="1" applyFill="1" applyAlignment="1">
      <alignment horizontal="right"/>
    </xf>
    <xf numFmtId="8" fontId="43" fillId="8" borderId="0" xfId="12" applyNumberFormat="1" applyFont="1" applyFill="1"/>
    <xf numFmtId="0" fontId="49" fillId="0" borderId="0" xfId="12" applyFont="1"/>
    <xf numFmtId="0" fontId="49" fillId="8" borderId="0" xfId="12" applyFont="1" applyFill="1"/>
    <xf numFmtId="0" fontId="50" fillId="0" borderId="0" xfId="12" applyFont="1"/>
    <xf numFmtId="167" fontId="50" fillId="0" borderId="0" xfId="12" applyNumberFormat="1" applyFont="1"/>
    <xf numFmtId="0" fontId="50" fillId="8" borderId="0" xfId="12" applyFont="1" applyFill="1"/>
    <xf numFmtId="167" fontId="50" fillId="8" borderId="0" xfId="12" applyNumberFormat="1" applyFont="1" applyFill="1"/>
    <xf numFmtId="171" fontId="50" fillId="0" borderId="0" xfId="3" applyNumberFormat="1" applyFont="1" applyFill="1" applyBorder="1"/>
    <xf numFmtId="10" fontId="50" fillId="8" borderId="0" xfId="11" applyNumberFormat="1" applyFont="1" applyFill="1" applyBorder="1"/>
    <xf numFmtId="3" fontId="25" fillId="0" borderId="0" xfId="12" applyNumberFormat="1" applyFont="1"/>
    <xf numFmtId="168" fontId="25" fillId="0" borderId="0" xfId="2" applyNumberFormat="1" applyFont="1" applyFill="1"/>
    <xf numFmtId="168" fontId="25" fillId="0" borderId="0" xfId="12" applyNumberFormat="1" applyFont="1"/>
    <xf numFmtId="0" fontId="55" fillId="0" borderId="0" xfId="12" applyFont="1"/>
    <xf numFmtId="0" fontId="55" fillId="8" borderId="0" xfId="12" applyFont="1" applyFill="1"/>
    <xf numFmtId="0" fontId="56" fillId="0" borderId="0" xfId="12" applyFont="1"/>
    <xf numFmtId="0" fontId="32" fillId="0" borderId="7" xfId="12" applyFont="1" applyBorder="1"/>
    <xf numFmtId="49" fontId="27" fillId="0" borderId="54" xfId="12" applyNumberFormat="1" applyFont="1" applyBorder="1"/>
    <xf numFmtId="0" fontId="27" fillId="0" borderId="3" xfId="12" applyFont="1" applyBorder="1" applyAlignment="1">
      <alignment horizontal="right"/>
    </xf>
    <xf numFmtId="0" fontId="27" fillId="8" borderId="3" xfId="12" applyFont="1" applyFill="1" applyBorder="1" applyAlignment="1">
      <alignment horizontal="right"/>
    </xf>
    <xf numFmtId="6" fontId="34" fillId="0" borderId="15" xfId="12" applyNumberFormat="1" applyFont="1" applyBorder="1"/>
    <xf numFmtId="0" fontId="32" fillId="0" borderId="0" xfId="12" applyFont="1"/>
    <xf numFmtId="4" fontId="27" fillId="0" borderId="15" xfId="12" applyNumberFormat="1" applyFont="1" applyBorder="1" applyAlignment="1">
      <alignment horizontal="center"/>
    </xf>
    <xf numFmtId="4" fontId="27" fillId="8" borderId="15" xfId="12" applyNumberFormat="1" applyFont="1" applyFill="1" applyBorder="1" applyAlignment="1">
      <alignment horizontal="center"/>
    </xf>
    <xf numFmtId="0" fontId="34" fillId="0" borderId="15" xfId="12" applyFont="1" applyBorder="1"/>
    <xf numFmtId="44" fontId="32" fillId="0" borderId="35" xfId="12" applyNumberFormat="1" applyFont="1" applyBorder="1" applyAlignment="1">
      <alignment horizontal="right"/>
    </xf>
    <xf numFmtId="0" fontId="32" fillId="0" borderId="29" xfId="12" applyFont="1" applyBorder="1"/>
    <xf numFmtId="0" fontId="38" fillId="12" borderId="15" xfId="12" applyFont="1" applyFill="1" applyBorder="1" applyAlignment="1">
      <alignment horizontal="left" vertical="top"/>
    </xf>
    <xf numFmtId="4" fontId="27" fillId="10" borderId="0" xfId="12" applyNumberFormat="1" applyFont="1" applyFill="1" applyAlignment="1">
      <alignment horizontal="right"/>
    </xf>
    <xf numFmtId="6" fontId="30" fillId="0" borderId="3" xfId="12" applyNumberFormat="1" applyFont="1" applyBorder="1"/>
    <xf numFmtId="6" fontId="30" fillId="8" borderId="3" xfId="12" applyNumberFormat="1" applyFont="1" applyFill="1" applyBorder="1"/>
    <xf numFmtId="8" fontId="30" fillId="6" borderId="5" xfId="12" applyNumberFormat="1" applyFont="1" applyFill="1" applyBorder="1"/>
    <xf numFmtId="8" fontId="30" fillId="7" borderId="5" xfId="12" applyNumberFormat="1" applyFont="1" applyFill="1" applyBorder="1"/>
    <xf numFmtId="166" fontId="25" fillId="0" borderId="0" xfId="12" applyNumberFormat="1" applyFont="1"/>
    <xf numFmtId="166" fontId="25" fillId="8" borderId="0" xfId="12" applyNumberFormat="1" applyFont="1" applyFill="1"/>
    <xf numFmtId="44" fontId="25" fillId="0" borderId="0" xfId="2" applyFont="1" applyFill="1" applyBorder="1"/>
    <xf numFmtId="44" fontId="25" fillId="8" borderId="0" xfId="2" applyFont="1" applyFill="1" applyBorder="1"/>
    <xf numFmtId="10" fontId="25" fillId="0" borderId="0" xfId="3" applyNumberFormat="1" applyFont="1" applyFill="1"/>
    <xf numFmtId="10" fontId="25" fillId="8" borderId="0" xfId="3" applyNumberFormat="1" applyFont="1" applyFill="1"/>
    <xf numFmtId="0" fontId="57" fillId="0" borderId="0" xfId="12" applyFont="1"/>
    <xf numFmtId="0" fontId="58" fillId="0" borderId="0" xfId="12" applyFont="1"/>
    <xf numFmtId="0" fontId="1" fillId="0" borderId="0" xfId="12"/>
    <xf numFmtId="0" fontId="1" fillId="8" borderId="1" xfId="12" applyFill="1" applyBorder="1"/>
    <xf numFmtId="0" fontId="1" fillId="8" borderId="2" xfId="12" applyFill="1" applyBorder="1"/>
    <xf numFmtId="0" fontId="1" fillId="8" borderId="0" xfId="12" applyFill="1"/>
    <xf numFmtId="0" fontId="1" fillId="8" borderId="3" xfId="12" applyFill="1" applyBorder="1"/>
    <xf numFmtId="169" fontId="3" fillId="13" borderId="0" xfId="14" applyNumberFormat="1" applyFont="1" applyFill="1" applyBorder="1"/>
    <xf numFmtId="43" fontId="1" fillId="0" borderId="0" xfId="12" applyNumberFormat="1"/>
    <xf numFmtId="0" fontId="1" fillId="0" borderId="0" xfId="12" applyAlignment="1">
      <alignment horizontal="center"/>
    </xf>
    <xf numFmtId="169" fontId="3" fillId="13" borderId="0" xfId="14" applyNumberFormat="1" applyFont="1" applyFill="1"/>
    <xf numFmtId="169" fontId="0" fillId="13" borderId="0" xfId="14" applyNumberFormat="1" applyFont="1" applyFill="1"/>
    <xf numFmtId="169" fontId="0" fillId="0" borderId="0" xfId="14" applyNumberFormat="1" applyFont="1" applyFill="1"/>
    <xf numFmtId="0" fontId="2" fillId="14" borderId="17" xfId="12" applyFont="1" applyFill="1" applyBorder="1" applyAlignment="1">
      <alignment horizontal="center"/>
    </xf>
    <xf numFmtId="0" fontId="2" fillId="14" borderId="1" xfId="12" applyFont="1" applyFill="1" applyBorder="1" applyAlignment="1">
      <alignment horizontal="center"/>
    </xf>
    <xf numFmtId="0" fontId="2" fillId="14" borderId="2" xfId="12" applyFont="1" applyFill="1" applyBorder="1" applyAlignment="1">
      <alignment horizontal="center"/>
    </xf>
    <xf numFmtId="0" fontId="1" fillId="0" borderId="20" xfId="12" applyBorder="1" applyAlignment="1">
      <alignment horizontal="left"/>
    </xf>
    <xf numFmtId="168" fontId="0" fillId="13" borderId="0" xfId="10" applyNumberFormat="1" applyFont="1" applyFill="1" applyBorder="1" applyAlignment="1">
      <alignment horizontal="center" vertical="center"/>
    </xf>
    <xf numFmtId="1" fontId="1" fillId="13" borderId="0" xfId="12" applyNumberFormat="1" applyFill="1" applyAlignment="1">
      <alignment horizontal="center" vertical="center"/>
    </xf>
    <xf numFmtId="168" fontId="0" fillId="0" borderId="3" xfId="10" applyNumberFormat="1" applyFont="1" applyFill="1" applyBorder="1" applyAlignment="1">
      <alignment horizontal="center" vertical="center"/>
    </xf>
    <xf numFmtId="1" fontId="3" fillId="13" borderId="0" xfId="12" applyNumberFormat="1" applyFont="1" applyFill="1" applyAlignment="1">
      <alignment horizontal="center" vertical="center"/>
    </xf>
    <xf numFmtId="1" fontId="1" fillId="0" borderId="0" xfId="12" applyNumberFormat="1"/>
    <xf numFmtId="0" fontId="1" fillId="0" borderId="20" xfId="12" applyBorder="1"/>
    <xf numFmtId="168" fontId="0" fillId="0" borderId="3" xfId="10" applyNumberFormat="1" applyFont="1" applyBorder="1"/>
    <xf numFmtId="0" fontId="4" fillId="0" borderId="20" xfId="12" applyFont="1" applyBorder="1" applyAlignment="1">
      <alignment horizontal="right"/>
    </xf>
    <xf numFmtId="0" fontId="4" fillId="0" borderId="0" xfId="12" applyFont="1"/>
    <xf numFmtId="1" fontId="4" fillId="0" borderId="0" xfId="12" applyNumberFormat="1" applyFont="1" applyAlignment="1">
      <alignment horizontal="center" vertical="center"/>
    </xf>
    <xf numFmtId="168" fontId="4" fillId="0" borderId="3" xfId="10" applyNumberFormat="1" applyFont="1" applyBorder="1"/>
    <xf numFmtId="0" fontId="59" fillId="0" borderId="0" xfId="12" applyFont="1"/>
    <xf numFmtId="0" fontId="1" fillId="0" borderId="3" xfId="12" applyBorder="1"/>
    <xf numFmtId="44" fontId="1" fillId="0" borderId="0" xfId="12" applyNumberFormat="1"/>
    <xf numFmtId="0" fontId="2" fillId="14" borderId="20" xfId="12" applyFont="1" applyFill="1" applyBorder="1"/>
    <xf numFmtId="0" fontId="2" fillId="14" borderId="0" xfId="12" applyFont="1" applyFill="1"/>
    <xf numFmtId="0" fontId="2" fillId="14" borderId="3" xfId="12" applyFont="1" applyFill="1" applyBorder="1"/>
    <xf numFmtId="10" fontId="0" fillId="13" borderId="0" xfId="11" applyNumberFormat="1" applyFont="1" applyFill="1" applyBorder="1"/>
    <xf numFmtId="168" fontId="1" fillId="0" borderId="3" xfId="12" applyNumberFormat="1" applyBorder="1"/>
    <xf numFmtId="0" fontId="4" fillId="0" borderId="0" xfId="12" applyFont="1" applyAlignment="1">
      <alignment horizontal="right"/>
    </xf>
    <xf numFmtId="168" fontId="4" fillId="0" borderId="3" xfId="12" applyNumberFormat="1" applyFont="1" applyBorder="1"/>
    <xf numFmtId="10" fontId="0" fillId="0" borderId="0" xfId="11" applyNumberFormat="1" applyFont="1" applyFill="1" applyBorder="1"/>
    <xf numFmtId="168" fontId="0" fillId="13" borderId="0" xfId="10" applyNumberFormat="1" applyFont="1" applyFill="1" applyBorder="1"/>
    <xf numFmtId="9" fontId="0" fillId="13" borderId="0" xfId="11" applyFont="1" applyFill="1" applyBorder="1"/>
    <xf numFmtId="44" fontId="3" fillId="13" borderId="0" xfId="10" applyFont="1" applyFill="1" applyBorder="1"/>
    <xf numFmtId="7" fontId="0" fillId="13" borderId="0" xfId="10" applyNumberFormat="1" applyFont="1" applyFill="1" applyBorder="1"/>
    <xf numFmtId="168" fontId="4" fillId="0" borderId="42" xfId="12" applyNumberFormat="1" applyFont="1" applyBorder="1"/>
    <xf numFmtId="168" fontId="1" fillId="0" borderId="45" xfId="12" applyNumberFormat="1" applyBorder="1"/>
    <xf numFmtId="168" fontId="1" fillId="0" borderId="42" xfId="12" applyNumberFormat="1" applyBorder="1"/>
    <xf numFmtId="44" fontId="4" fillId="15" borderId="5" xfId="10" applyFont="1" applyFill="1" applyBorder="1"/>
    <xf numFmtId="44" fontId="0" fillId="0" borderId="0" xfId="10" applyFont="1" applyFill="1" applyBorder="1"/>
    <xf numFmtId="0" fontId="4" fillId="0" borderId="0" xfId="12" applyFont="1" applyAlignment="1">
      <alignment horizontal="center" vertical="center"/>
    </xf>
    <xf numFmtId="0" fontId="1" fillId="0" borderId="0" xfId="12" applyAlignment="1">
      <alignment horizontal="right"/>
    </xf>
    <xf numFmtId="44" fontId="0" fillId="0" borderId="0" xfId="10" applyFont="1" applyFill="1" applyBorder="1" applyAlignment="1">
      <alignment horizontal="center" vertical="center"/>
    </xf>
    <xf numFmtId="9" fontId="0" fillId="0" borderId="0" xfId="11" applyFont="1" applyFill="1" applyBorder="1" applyAlignment="1">
      <alignment horizontal="center" vertical="center"/>
    </xf>
    <xf numFmtId="44" fontId="1" fillId="0" borderId="0" xfId="2" applyFill="1"/>
    <xf numFmtId="10" fontId="1" fillId="0" borderId="0" xfId="3" applyNumberFormat="1" applyFill="1"/>
    <xf numFmtId="169" fontId="1" fillId="0" borderId="0" xfId="12" applyNumberFormat="1"/>
    <xf numFmtId="0" fontId="4" fillId="0" borderId="20" xfId="12" applyFont="1" applyBorder="1"/>
    <xf numFmtId="168" fontId="1" fillId="6" borderId="3" xfId="12" applyNumberFormat="1" applyFill="1" applyBorder="1"/>
    <xf numFmtId="0" fontId="4" fillId="15" borderId="19" xfId="12" applyFont="1" applyFill="1" applyBorder="1"/>
    <xf numFmtId="0" fontId="4" fillId="15" borderId="4" xfId="12" applyFont="1" applyFill="1" applyBorder="1"/>
    <xf numFmtId="44" fontId="4" fillId="0" borderId="0" xfId="10" applyFont="1" applyFill="1"/>
    <xf numFmtId="0" fontId="4" fillId="16" borderId="0" xfId="12" applyFont="1" applyFill="1" applyAlignment="1">
      <alignment horizontal="right"/>
    </xf>
    <xf numFmtId="0" fontId="4" fillId="16" borderId="0" xfId="12" applyFont="1" applyFill="1" applyAlignment="1">
      <alignment horizontal="center" vertical="center"/>
    </xf>
    <xf numFmtId="44" fontId="0" fillId="0" borderId="0" xfId="10" applyFont="1" applyAlignment="1">
      <alignment horizontal="center" vertical="center"/>
    </xf>
    <xf numFmtId="9" fontId="0" fillId="0" borderId="0" xfId="11" applyFont="1" applyAlignment="1">
      <alignment horizontal="center" vertical="center"/>
    </xf>
    <xf numFmtId="6" fontId="41" fillId="0" borderId="23" xfId="12" applyNumberFormat="1" applyFont="1" applyBorder="1"/>
    <xf numFmtId="0" fontId="6" fillId="2" borderId="1" xfId="4" applyFont="1" applyFill="1" applyBorder="1" applyAlignment="1">
      <alignment horizontal="left"/>
    </xf>
    <xf numFmtId="0" fontId="6" fillId="2" borderId="2" xfId="4" applyFont="1" applyFill="1" applyBorder="1" applyAlignment="1">
      <alignment horizontal="left"/>
    </xf>
    <xf numFmtId="0" fontId="5" fillId="5" borderId="0" xfId="4" applyFill="1" applyAlignment="1">
      <alignment horizontal="center"/>
    </xf>
    <xf numFmtId="0" fontId="5" fillId="0" borderId="9" xfId="6" applyBorder="1" applyAlignment="1">
      <alignment horizontal="right"/>
    </xf>
    <xf numFmtId="0" fontId="5" fillId="0" borderId="0" xfId="6" applyAlignment="1">
      <alignment horizontal="right"/>
    </xf>
    <xf numFmtId="0" fontId="5" fillId="4" borderId="0" xfId="4" applyFill="1" applyAlignment="1">
      <alignment horizontal="center"/>
    </xf>
    <xf numFmtId="0" fontId="14" fillId="0" borderId="0" xfId="9" applyFont="1" applyAlignment="1">
      <alignment horizontal="left" vertical="top" wrapText="1"/>
    </xf>
    <xf numFmtId="0" fontId="14" fillId="0" borderId="0" xfId="9" applyFont="1" applyAlignment="1">
      <alignment horizontal="center"/>
    </xf>
    <xf numFmtId="0" fontId="16" fillId="0" borderId="0" xfId="9" applyFont="1" applyAlignment="1">
      <alignment horizontal="center"/>
    </xf>
    <xf numFmtId="0" fontId="14" fillId="0" borderId="2" xfId="9" applyFont="1" applyBorder="1" applyAlignment="1">
      <alignment horizontal="left" vertical="center" wrapText="1"/>
    </xf>
    <xf numFmtId="0" fontId="14" fillId="0" borderId="5" xfId="9" applyFont="1" applyBorder="1" applyAlignment="1">
      <alignment horizontal="left" vertical="center" wrapText="1"/>
    </xf>
    <xf numFmtId="0" fontId="14" fillId="0" borderId="1" xfId="9" applyFont="1" applyBorder="1" applyAlignment="1">
      <alignment vertical="top" wrapText="1"/>
    </xf>
    <xf numFmtId="0" fontId="14" fillId="0" borderId="4" xfId="9" applyFont="1" applyBorder="1" applyAlignment="1">
      <alignment vertical="top" wrapText="1"/>
    </xf>
    <xf numFmtId="49" fontId="14" fillId="0" borderId="2" xfId="9" applyNumberFormat="1" applyFont="1" applyBorder="1" applyAlignment="1">
      <alignment horizontal="left" vertical="center" wrapText="1"/>
    </xf>
    <xf numFmtId="49" fontId="14" fillId="0" borderId="5" xfId="9" applyNumberFormat="1" applyFont="1" applyBorder="1" applyAlignment="1">
      <alignment horizontal="left" vertical="center" wrapText="1"/>
    </xf>
    <xf numFmtId="0" fontId="14" fillId="0" borderId="3" xfId="9" applyFont="1" applyBorder="1" applyAlignment="1">
      <alignment horizontal="left" vertical="center" wrapText="1"/>
    </xf>
    <xf numFmtId="0" fontId="14" fillId="0" borderId="1" xfId="9" applyFont="1" applyBorder="1" applyAlignment="1">
      <alignment horizontal="left" vertical="top" wrapText="1"/>
    </xf>
    <xf numFmtId="0" fontId="14" fillId="0" borderId="4" xfId="9" applyFont="1" applyBorder="1" applyAlignment="1">
      <alignment horizontal="left" vertical="top" wrapText="1"/>
    </xf>
    <xf numFmtId="0" fontId="1" fillId="13" borderId="0" xfId="12" applyFill="1" applyAlignment="1">
      <alignment horizontal="center"/>
    </xf>
    <xf numFmtId="0" fontId="4" fillId="0" borderId="20" xfId="12" applyFont="1" applyBorder="1" applyAlignment="1">
      <alignment horizontal="right"/>
    </xf>
    <xf numFmtId="0" fontId="4" fillId="0" borderId="0" xfId="12" applyFont="1" applyAlignment="1">
      <alignment horizontal="right"/>
    </xf>
    <xf numFmtId="0" fontId="4" fillId="15" borderId="19" xfId="12" applyFont="1" applyFill="1" applyBorder="1" applyAlignment="1">
      <alignment horizontal="right"/>
    </xf>
    <xf numFmtId="0" fontId="4" fillId="15" borderId="4" xfId="12" applyFont="1" applyFill="1" applyBorder="1" applyAlignment="1">
      <alignment horizontal="right"/>
    </xf>
    <xf numFmtId="0" fontId="1" fillId="0" borderId="0" xfId="12" applyAlignment="1">
      <alignment horizontal="right"/>
    </xf>
    <xf numFmtId="0" fontId="0" fillId="13" borderId="0" xfId="0" applyFill="1" applyAlignment="1">
      <alignment horizontal="center"/>
    </xf>
    <xf numFmtId="0" fontId="43" fillId="0" borderId="0" xfId="12" applyFont="1" applyAlignment="1">
      <alignment horizontal="center"/>
    </xf>
    <xf numFmtId="0" fontId="31" fillId="0" borderId="9" xfId="12" applyFont="1" applyBorder="1" applyAlignment="1">
      <alignment horizontal="center"/>
    </xf>
    <xf numFmtId="0" fontId="31" fillId="0" borderId="0" xfId="12" applyFont="1" applyAlignment="1">
      <alignment horizontal="center"/>
    </xf>
    <xf numFmtId="0" fontId="31" fillId="0" borderId="3" xfId="12" applyFont="1" applyBorder="1" applyAlignment="1">
      <alignment horizontal="center"/>
    </xf>
    <xf numFmtId="0" fontId="42" fillId="0" borderId="0" xfId="12" applyFont="1" applyAlignment="1">
      <alignment horizontal="center" vertical="center"/>
    </xf>
    <xf numFmtId="0" fontId="42" fillId="8" borderId="0" xfId="12" applyFont="1" applyFill="1" applyAlignment="1">
      <alignment horizontal="center" vertical="center"/>
    </xf>
    <xf numFmtId="0" fontId="43" fillId="0" borderId="0" xfId="12" applyFont="1" applyAlignment="1">
      <alignment horizontal="right"/>
    </xf>
    <xf numFmtId="0" fontId="29" fillId="0" borderId="24" xfId="12" applyFont="1" applyBorder="1" applyAlignment="1">
      <alignment horizontal="center" vertical="center" wrapText="1"/>
    </xf>
    <xf numFmtId="0" fontId="29" fillId="0" borderId="25" xfId="12" applyFont="1" applyBorder="1" applyAlignment="1">
      <alignment horizontal="center" vertical="center" wrapText="1"/>
    </xf>
    <xf numFmtId="0" fontId="29" fillId="0" borderId="27" xfId="12" applyFont="1" applyBorder="1" applyAlignment="1">
      <alignment horizontal="center" vertical="center" wrapText="1"/>
    </xf>
    <xf numFmtId="0" fontId="43" fillId="8" borderId="0" xfId="12" applyFont="1" applyFill="1" applyAlignment="1">
      <alignment horizontal="right"/>
    </xf>
    <xf numFmtId="0" fontId="23" fillId="0" borderId="0" xfId="12" applyFont="1" applyAlignment="1">
      <alignment horizontal="left" vertical="center"/>
    </xf>
    <xf numFmtId="0" fontId="28" fillId="9" borderId="21" xfId="12" applyFont="1" applyFill="1" applyBorder="1" applyAlignment="1">
      <alignment horizontal="center" vertical="center"/>
    </xf>
    <xf numFmtId="0" fontId="28" fillId="9" borderId="22" xfId="12" applyFont="1" applyFill="1" applyBorder="1" applyAlignment="1">
      <alignment horizontal="center" vertical="center"/>
    </xf>
    <xf numFmtId="0" fontId="28" fillId="9" borderId="23" xfId="12" applyFont="1" applyFill="1" applyBorder="1" applyAlignment="1">
      <alignment horizontal="center" vertical="center"/>
    </xf>
    <xf numFmtId="0" fontId="28" fillId="8" borderId="21" xfId="12" applyFont="1" applyFill="1" applyBorder="1" applyAlignment="1">
      <alignment horizontal="center" vertical="center"/>
    </xf>
    <xf numFmtId="0" fontId="28" fillId="8" borderId="22" xfId="12" applyFont="1" applyFill="1" applyBorder="1" applyAlignment="1">
      <alignment horizontal="center" vertical="center"/>
    </xf>
    <xf numFmtId="0" fontId="28" fillId="8" borderId="23" xfId="12" applyFont="1" applyFill="1" applyBorder="1" applyAlignment="1">
      <alignment horizontal="center" vertical="center"/>
    </xf>
    <xf numFmtId="0" fontId="30" fillId="0" borderId="20" xfId="12" applyFont="1" applyBorder="1" applyAlignment="1">
      <alignment horizontal="center"/>
    </xf>
    <xf numFmtId="0" fontId="30" fillId="0" borderId="0" xfId="12" applyFont="1" applyAlignment="1">
      <alignment horizontal="center"/>
    </xf>
    <xf numFmtId="0" fontId="30" fillId="0" borderId="1" xfId="12" applyFont="1" applyBorder="1" applyAlignment="1">
      <alignment horizontal="right"/>
    </xf>
    <xf numFmtId="0" fontId="30" fillId="8" borderId="1" xfId="12" applyFont="1" applyFill="1" applyBorder="1" applyAlignment="1">
      <alignment horizontal="right"/>
    </xf>
    <xf numFmtId="0" fontId="29" fillId="8" borderId="24" xfId="12" applyFont="1" applyFill="1" applyBorder="1" applyAlignment="1">
      <alignment horizontal="center" vertical="center" wrapText="1"/>
    </xf>
    <xf numFmtId="0" fontId="29" fillId="8" borderId="25" xfId="12" applyFont="1" applyFill="1" applyBorder="1" applyAlignment="1">
      <alignment horizontal="center" vertical="center" wrapText="1"/>
    </xf>
    <xf numFmtId="0" fontId="29" fillId="8" borderId="27" xfId="12" applyFont="1" applyFill="1" applyBorder="1" applyAlignment="1">
      <alignment horizontal="center" vertical="center" wrapText="1"/>
    </xf>
    <xf numFmtId="0" fontId="60" fillId="0" borderId="0" xfId="12" applyFont="1" applyAlignment="1">
      <alignment horizontal="center"/>
    </xf>
  </cellXfs>
  <cellStyles count="16">
    <cellStyle name="Comma" xfId="1" builtinId="3"/>
    <cellStyle name="Comma 10 4" xfId="14" xr:uid="{B23CFA8C-DB50-4D56-9FC2-9DECC563A5F4}"/>
    <cellStyle name="Comma 2" xfId="13" xr:uid="{BE090541-9073-48DA-9CA3-395EA9F4A543}"/>
    <cellStyle name="Currency" xfId="2" builtinId="4"/>
    <cellStyle name="Currency 11 6" xfId="10" xr:uid="{B5112AF0-8A9C-449F-B7FE-4035773B6609}"/>
    <cellStyle name="Normal" xfId="0" builtinId="0"/>
    <cellStyle name="Normal 10" xfId="12" xr:uid="{ACBADA67-C981-4ADE-8024-766FAAC8E668}"/>
    <cellStyle name="Normal 10 9" xfId="7" xr:uid="{1CF020FD-C19A-4713-9A36-E913CA0E385F}"/>
    <cellStyle name="Normal 133" xfId="4" xr:uid="{4337DEE0-CB47-4A43-A6B4-F5768153B950}"/>
    <cellStyle name="Normal 18 2 3" xfId="5" xr:uid="{C058C58F-277E-4DE1-971D-38ADC116CFA4}"/>
    <cellStyle name="Normal 4 2 2" xfId="6" xr:uid="{54A27538-6A30-4981-BDD7-584E89E6E7E0}"/>
    <cellStyle name="Normal 5 10" xfId="9" xr:uid="{7F6478A4-5F4A-4CF5-AE82-844E1AFBF76B}"/>
    <cellStyle name="Percent" xfId="3" builtinId="5"/>
    <cellStyle name="Percent 10" xfId="11" xr:uid="{0DE9BC77-9419-423E-B29D-7787EDF8D1D2}"/>
    <cellStyle name="Percent 2 2 2" xfId="8" xr:uid="{24E4C283-D1E1-4A64-8878-FE8E5782EF32}"/>
    <cellStyle name="Percent 3" xfId="15" xr:uid="{35D0EFB0-C949-4CCB-88EA-60B972A95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34637</xdr:colOff>
      <xdr:row>70</xdr:row>
      <xdr:rowOff>115451</xdr:rowOff>
    </xdr:from>
    <xdr:ext cx="7169150" cy="787977"/>
    <xdr:sp macro="" textlink="">
      <xdr:nvSpPr>
        <xdr:cNvPr id="2" name="TextBox 1">
          <a:extLst>
            <a:ext uri="{FF2B5EF4-FFF2-40B4-BE49-F238E27FC236}">
              <a16:creationId xmlns:a16="http://schemas.microsoft.com/office/drawing/2014/main" id="{BBD11558-14B5-4DFD-A18B-3B921F874F81}"/>
            </a:ext>
          </a:extLst>
        </xdr:cNvPr>
        <xdr:cNvSpPr txBox="1"/>
      </xdr:nvSpPr>
      <xdr:spPr>
        <a:xfrm>
          <a:off x="244187" y="14002901"/>
          <a:ext cx="7169150" cy="787977"/>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*Note: Other Program Expenses Include:</a:t>
          </a:r>
        </a:p>
        <a:p>
          <a:r>
            <a:rPr lang="en-US" sz="1100"/>
            <a:t>Clients/Caregivers Reimb/Stipends, Staff Training, Staff Mileage/Travel, Meals, Contracted Client Transportation, Vehicle Expenses, Vehicle Depreciation, Incidental Health/Medical Care, Client Personal Allowances, Provision of Material Goods, Direct Client Wages, Other Commercial Products and Services, Program Supplies/Materials and other Expenses.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45</xdr:row>
      <xdr:rowOff>0</xdr:rowOff>
    </xdr:from>
    <xdr:ext cx="308164" cy="128867"/>
    <xdr:sp macro="" textlink="">
      <xdr:nvSpPr>
        <xdr:cNvPr id="3" name="TextBox 2">
          <a:extLst>
            <a:ext uri="{FF2B5EF4-FFF2-40B4-BE49-F238E27FC236}">
              <a16:creationId xmlns:a16="http://schemas.microsoft.com/office/drawing/2014/main" id="{F680E1FC-889E-4C42-9444-7B5498DA36A8}"/>
            </a:ext>
          </a:extLst>
        </xdr:cNvPr>
        <xdr:cNvSpPr txBox="1"/>
      </xdr:nvSpPr>
      <xdr:spPr>
        <a:xfrm rot="16200000">
          <a:off x="13467792" y="14253320"/>
          <a:ext cx="128867" cy="308164"/>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Implementation%20&amp;%20Benchmarks\C257%20M2023%20BLS.xlsx" TargetMode="External"/><Relationship Id="rId1" Type="http://schemas.openxmlformats.org/officeDocument/2006/relationships/externalLinkPath" Target="file:///X:\Administrative%20Services-POS%20Policy%20Office\Rate%20Setting\Implementation%20&amp;%20Benchmarks\C257%20M2023%20BLS.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7_ELD%20-%20ASAPs\2024%20Rate%20Review%20(FY25)\1.%20Strategy%20materials\101%20CMR%20417%20ASAP%201.1.25%20Models.xlsx" TargetMode="External"/><Relationship Id="rId1" Type="http://schemas.openxmlformats.org/officeDocument/2006/relationships/externalLinkPath" Target="file:///X:\Administrative%20Services-POS%20Policy%20Office\Rate%20Setting\Rate%20Projects\CMR%20417_ELD%20-%20ASAPs\2024%20Rate%20Review%20(FY25)\1.%20Strategy%20materials\101%20CMR%20417%20ASAP%201.1.25%20Models.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17_ELD%20-%20ASAPs\2024%20Redesign%20Ecop%20and%20HC\1.%20Strategy%20Materials\Basic%20&amp;%20ECOP%20Program%20Lvl%20FTE%20Inputs%201_9_23%20(no%20hidden).xlsx" TargetMode="External"/><Relationship Id="rId1" Type="http://schemas.openxmlformats.org/officeDocument/2006/relationships/externalLinkPath" Target="file:///X:\Administrative%20Services-POS%20Policy%20Office\Rate%20Setting\Rate%20Projects\CMR%20417_ELD%20-%20ASAPs\2024%20Redesign%20Ecop%20and%20HC\1.%20Strategy%20Materials\Basic%20&amp;%20ECOP%20Program%20Lvl%20FTE%20Inputs%201_9_23%20(no%20hidde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mmon\Administrative%20Services-POS%20Policy%20Office\Rate%20Setting\Rate%20Projects\ELD%20-%20Protective%20Services\Intake%20&amp;%20Assessment%20-%20new%20rate%20FY19\1.%20Strategy%20Team%20Materials\Money%20Management\Model%20Budgets%207.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Percentile Scale"/>
      <sheetName val="Field Descriptions"/>
      <sheetName val="UpdateTime"/>
      <sheetName val="Filler"/>
    </sheetNames>
    <sheetDataSet>
      <sheetData sheetId="0">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F Sp 2020"/>
      <sheetName val="HC Basic (ks)"/>
      <sheetName val="ECOP (ks)"/>
      <sheetName val="SPRING 24 CAF"/>
      <sheetName val="M2023 BLS SALARY CHART (53rd)"/>
      <sheetName val="M2021 BLS Chart"/>
      <sheetName val="Current ASAPs models"/>
      <sheetName val="Proposed Central Intake &amp; Asses"/>
      <sheetName val="Prot. Central Intake &amp; Asses"/>
      <sheetName val="Proposed Intake"/>
      <sheetName val="UFR 2021"/>
      <sheetName val="Prot. Services Intake"/>
      <sheetName val="ECOP-8061"/>
      <sheetName val="Home Care Direct Servs-8006"/>
      <sheetName val="8061 BTL FY23"/>
      <sheetName val="8006 BTL FY23"/>
      <sheetName val="Fiscal Impact FY25"/>
      <sheetName val="CAF"/>
      <sheetName val="Fiscal Impact "/>
      <sheetName val="Attachment 5 - FY18"/>
      <sheetName val="purchasing power data"/>
    </sheetNames>
    <sheetDataSet>
      <sheetData sheetId="0"/>
      <sheetData sheetId="1"/>
      <sheetData sheetId="2"/>
      <sheetData sheetId="3">
        <row r="29">
          <cell r="CP29">
            <v>2.02309192926836E-2</v>
          </cell>
        </row>
      </sheetData>
      <sheetData sheetId="4">
        <row r="6">
          <cell r="C6">
            <v>43247.567999999999</v>
          </cell>
        </row>
        <row r="8">
          <cell r="C8">
            <v>56217.241600000001</v>
          </cell>
        </row>
        <row r="12">
          <cell r="C12">
            <v>64438.399999999994</v>
          </cell>
        </row>
        <row r="14">
          <cell r="C14">
            <v>70211.44</v>
          </cell>
        </row>
        <row r="18">
          <cell r="C18">
            <v>83639.712</v>
          </cell>
        </row>
        <row r="22">
          <cell r="C22">
            <v>80829.631999999998</v>
          </cell>
        </row>
        <row r="32">
          <cell r="C32">
            <v>103622.27200000001</v>
          </cell>
        </row>
        <row r="34">
          <cell r="C34">
            <v>140838.46400000001</v>
          </cell>
        </row>
        <row r="38">
          <cell r="C38">
            <v>0.24970000000000001</v>
          </cell>
        </row>
        <row r="41">
          <cell r="C41">
            <v>0.12</v>
          </cell>
        </row>
      </sheetData>
      <sheetData sheetId="5"/>
      <sheetData sheetId="6"/>
      <sheetData sheetId="7"/>
      <sheetData sheetId="8"/>
      <sheetData sheetId="9"/>
      <sheetData sheetId="10"/>
      <sheetData sheetId="11"/>
      <sheetData sheetId="12"/>
      <sheetData sheetId="13"/>
      <sheetData sheetId="14">
        <row r="39">
          <cell r="AR39">
            <v>70.348341585411532</v>
          </cell>
        </row>
      </sheetData>
      <sheetData sheetId="15">
        <row r="43">
          <cell r="AR43">
            <v>58.202156599953135</v>
          </cell>
        </row>
      </sheetData>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8006Basic Program Lvl FTE input"/>
      <sheetName val="8061ECOP Program Lvl FTE input"/>
      <sheetName val="FY21 UFR BTL Data"/>
      <sheetName val="Fall 2022 CAF"/>
      <sheetName val="% increase"/>
    </sheetNames>
    <sheetDataSet>
      <sheetData sheetId="0"/>
      <sheetData sheetId="1"/>
      <sheetData sheetId="2">
        <row r="5">
          <cell r="E5">
            <v>4756.7164179104484</v>
          </cell>
        </row>
      </sheetData>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Budgets"/>
      <sheetName val="FiscalImpact"/>
      <sheetName val="ModelBudgets 7.7.15"/>
      <sheetName val="FI 7.7.15"/>
      <sheetName val="CAF"/>
      <sheetName val="Profit &amp; Loss"/>
      <sheetName val="ExpenseAnalysis"/>
      <sheetName val="Below the line"/>
      <sheetName val="FTEs by category"/>
      <sheetName val="Clean Data"/>
      <sheetName val="ScratchPivot"/>
      <sheetName val="Raw Data Calcs"/>
      <sheetName val="Pivot"/>
      <sheetName val="PivotData"/>
    </sheetNames>
    <sheetDataSet>
      <sheetData sheetId="0" refreshError="1"/>
      <sheetData sheetId="1" refreshError="1"/>
      <sheetData sheetId="2" refreshError="1"/>
      <sheetData sheetId="3" refreshError="1"/>
      <sheetData sheetId="4" refreshError="1"/>
      <sheetData sheetId="5" refreshError="1"/>
      <sheetData sheetId="6" refreshError="1">
        <row r="2">
          <cell r="D2">
            <v>27.600000000000005</v>
          </cell>
        </row>
        <row r="3">
          <cell r="D3">
            <v>29.100000000000005</v>
          </cell>
        </row>
        <row r="4">
          <cell r="D4">
            <v>30.600000000000005</v>
          </cell>
        </row>
        <row r="5">
          <cell r="D5">
            <v>31</v>
          </cell>
        </row>
        <row r="6">
          <cell r="D6">
            <v>31.3</v>
          </cell>
        </row>
        <row r="7">
          <cell r="D7">
            <v>32.4</v>
          </cell>
        </row>
        <row r="8">
          <cell r="D8">
            <v>32.599999999999994</v>
          </cell>
        </row>
        <row r="9">
          <cell r="D9">
            <v>36.4</v>
          </cell>
        </row>
        <row r="10">
          <cell r="D10">
            <v>39.5</v>
          </cell>
        </row>
        <row r="11">
          <cell r="D11">
            <v>40.4</v>
          </cell>
        </row>
        <row r="12">
          <cell r="D12">
            <v>42.9</v>
          </cell>
        </row>
        <row r="13">
          <cell r="D13">
            <v>44.300000000000004</v>
          </cell>
        </row>
        <row r="14">
          <cell r="D14">
            <v>44</v>
          </cell>
        </row>
        <row r="15">
          <cell r="D15">
            <v>49.5</v>
          </cell>
        </row>
        <row r="23">
          <cell r="D23">
            <v>53.699999999999996</v>
          </cell>
        </row>
        <row r="24">
          <cell r="D24">
            <v>54.20000000000001</v>
          </cell>
        </row>
        <row r="25">
          <cell r="D25">
            <v>61.70000000000001</v>
          </cell>
        </row>
        <row r="26">
          <cell r="D26">
            <v>70.7</v>
          </cell>
        </row>
        <row r="27">
          <cell r="D27">
            <v>77.400000000000006</v>
          </cell>
        </row>
        <row r="28">
          <cell r="D28">
            <v>80.699999999999989</v>
          </cell>
        </row>
        <row r="29">
          <cell r="D29">
            <v>85.3</v>
          </cell>
        </row>
        <row r="30">
          <cell r="D30">
            <v>87.59999999999998</v>
          </cell>
        </row>
        <row r="32">
          <cell r="D32">
            <v>71.412500000000009</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60C5-3B37-48C9-8237-136C0DB479DD}">
  <dimension ref="A1:DF45"/>
  <sheetViews>
    <sheetView topLeftCell="A3" workbookViewId="0">
      <selection activeCell="F34" sqref="F34"/>
    </sheetView>
  </sheetViews>
  <sheetFormatPr defaultRowHeight="12.75" x14ac:dyDescent="0.2"/>
  <cols>
    <col min="1" max="1" width="38.42578125" style="1" customWidth="1"/>
    <col min="2" max="2" width="12.85546875" style="6" customWidth="1"/>
    <col min="3" max="78" width="7.7109375" style="1" hidden="1" customWidth="1"/>
    <col min="79" max="82" width="7.7109375" style="1" customWidth="1"/>
    <col min="83" max="16384" width="9.140625" style="1"/>
  </cols>
  <sheetData>
    <row r="1" spans="1:110" ht="18" x14ac:dyDescent="0.25">
      <c r="A1" s="402" t="s">
        <v>0</v>
      </c>
      <c r="B1" s="403"/>
    </row>
    <row r="2" spans="1:110" ht="15.75" x14ac:dyDescent="0.25">
      <c r="A2" s="2" t="s">
        <v>1</v>
      </c>
      <c r="B2" s="3"/>
    </row>
    <row r="3" spans="1:110" ht="15.75" thickBot="1" x14ac:dyDescent="0.3">
      <c r="A3" s="4" t="s">
        <v>2</v>
      </c>
      <c r="B3" s="5"/>
    </row>
    <row r="6" spans="1:110" x14ac:dyDescent="0.2">
      <c r="CI6" s="7" t="s">
        <v>3</v>
      </c>
      <c r="CJ6" s="7" t="s">
        <v>3</v>
      </c>
      <c r="CK6" s="8" t="s">
        <v>4</v>
      </c>
      <c r="CL6" s="8" t="s">
        <v>4</v>
      </c>
      <c r="CM6" s="8" t="s">
        <v>4</v>
      </c>
      <c r="CN6" s="8" t="s">
        <v>4</v>
      </c>
      <c r="CO6" s="7" t="s">
        <v>5</v>
      </c>
      <c r="CP6" s="7" t="s">
        <v>5</v>
      </c>
    </row>
    <row r="7" spans="1:110" s="6" customFormat="1" x14ac:dyDescent="0.2">
      <c r="B7" s="6" t="s">
        <v>6</v>
      </c>
      <c r="C7" s="9" t="s">
        <v>7</v>
      </c>
      <c r="D7" s="9" t="s">
        <v>8</v>
      </c>
      <c r="E7" s="9" t="s">
        <v>9</v>
      </c>
      <c r="F7" s="9" t="s">
        <v>10</v>
      </c>
      <c r="G7" s="9" t="s">
        <v>11</v>
      </c>
      <c r="H7" s="9" t="s">
        <v>12</v>
      </c>
      <c r="I7" s="9" t="s">
        <v>13</v>
      </c>
      <c r="J7" s="9" t="s">
        <v>14</v>
      </c>
      <c r="K7" s="9" t="s">
        <v>15</v>
      </c>
      <c r="L7" s="9" t="s">
        <v>16</v>
      </c>
      <c r="M7" s="9" t="s">
        <v>17</v>
      </c>
      <c r="N7" s="9" t="s">
        <v>18</v>
      </c>
      <c r="O7" s="9" t="s">
        <v>19</v>
      </c>
      <c r="P7" s="9" t="s">
        <v>20</v>
      </c>
      <c r="Q7" s="9" t="s">
        <v>21</v>
      </c>
      <c r="R7" s="9" t="s">
        <v>22</v>
      </c>
      <c r="S7" s="9" t="s">
        <v>23</v>
      </c>
      <c r="T7" s="9" t="s">
        <v>24</v>
      </c>
      <c r="U7" s="9" t="s">
        <v>25</v>
      </c>
      <c r="V7" s="9" t="s">
        <v>26</v>
      </c>
      <c r="W7" s="9" t="s">
        <v>27</v>
      </c>
      <c r="X7" s="9" t="s">
        <v>28</v>
      </c>
      <c r="Y7" s="9" t="s">
        <v>29</v>
      </c>
      <c r="Z7" s="9" t="s">
        <v>30</v>
      </c>
      <c r="AA7" s="9" t="s">
        <v>31</v>
      </c>
      <c r="AB7" s="9" t="s">
        <v>32</v>
      </c>
      <c r="AC7" s="9" t="s">
        <v>33</v>
      </c>
      <c r="AD7" s="9" t="s">
        <v>34</v>
      </c>
      <c r="AE7" s="9" t="s">
        <v>35</v>
      </c>
      <c r="AF7" s="9" t="s">
        <v>36</v>
      </c>
      <c r="AG7" s="9" t="s">
        <v>37</v>
      </c>
      <c r="AH7" s="9" t="s">
        <v>38</v>
      </c>
      <c r="AI7" s="9" t="s">
        <v>39</v>
      </c>
      <c r="AJ7" s="9" t="s">
        <v>40</v>
      </c>
      <c r="AK7" s="9" t="s">
        <v>41</v>
      </c>
      <c r="AL7" s="9" t="s">
        <v>42</v>
      </c>
      <c r="AM7" s="9" t="s">
        <v>43</v>
      </c>
      <c r="AN7" s="9" t="s">
        <v>44</v>
      </c>
      <c r="AO7" s="9" t="s">
        <v>45</v>
      </c>
      <c r="AP7" s="9" t="s">
        <v>46</v>
      </c>
      <c r="AQ7" s="9" t="s">
        <v>47</v>
      </c>
      <c r="AR7" s="9" t="s">
        <v>48</v>
      </c>
      <c r="AS7" s="9" t="s">
        <v>49</v>
      </c>
      <c r="AT7" s="9" t="s">
        <v>50</v>
      </c>
      <c r="AU7" s="6" t="s">
        <v>51</v>
      </c>
      <c r="AV7" s="6" t="s">
        <v>52</v>
      </c>
      <c r="AW7" s="6" t="s">
        <v>53</v>
      </c>
      <c r="AX7" s="6" t="s">
        <v>54</v>
      </c>
      <c r="AY7" s="6" t="s">
        <v>55</v>
      </c>
      <c r="AZ7" s="6" t="s">
        <v>56</v>
      </c>
      <c r="BA7" s="6" t="s">
        <v>57</v>
      </c>
      <c r="BB7" s="6" t="s">
        <v>58</v>
      </c>
      <c r="BC7" s="6" t="s">
        <v>59</v>
      </c>
      <c r="BD7" s="6" t="s">
        <v>60</v>
      </c>
      <c r="BE7" s="6" t="s">
        <v>61</v>
      </c>
      <c r="BF7" s="6" t="s">
        <v>62</v>
      </c>
      <c r="BG7" s="6" t="s">
        <v>63</v>
      </c>
      <c r="BH7" s="6" t="s">
        <v>64</v>
      </c>
      <c r="BI7" s="6" t="s">
        <v>65</v>
      </c>
      <c r="BJ7" s="6" t="s">
        <v>66</v>
      </c>
      <c r="BK7" s="6" t="s">
        <v>67</v>
      </c>
      <c r="BL7" s="6" t="s">
        <v>68</v>
      </c>
      <c r="BM7" s="6" t="s">
        <v>69</v>
      </c>
      <c r="BN7" s="6" t="s">
        <v>70</v>
      </c>
      <c r="BO7" s="6" t="s">
        <v>71</v>
      </c>
      <c r="BP7" s="6" t="s">
        <v>72</v>
      </c>
      <c r="BQ7" s="6" t="s">
        <v>73</v>
      </c>
      <c r="BR7" s="6" t="s">
        <v>74</v>
      </c>
      <c r="BS7" s="6" t="s">
        <v>75</v>
      </c>
      <c r="BT7" s="6" t="s">
        <v>76</v>
      </c>
      <c r="BU7" s="6" t="s">
        <v>77</v>
      </c>
      <c r="BV7" s="6" t="s">
        <v>78</v>
      </c>
      <c r="BW7" s="6" t="s">
        <v>79</v>
      </c>
      <c r="BX7" s="6" t="s">
        <v>80</v>
      </c>
      <c r="BY7" s="6" t="s">
        <v>81</v>
      </c>
      <c r="BZ7" s="6" t="s">
        <v>82</v>
      </c>
      <c r="CA7" s="6" t="s">
        <v>83</v>
      </c>
      <c r="CB7" s="6" t="s">
        <v>84</v>
      </c>
      <c r="CC7" s="6" t="s">
        <v>85</v>
      </c>
      <c r="CD7" s="6" t="s">
        <v>86</v>
      </c>
      <c r="CE7" s="6" t="s">
        <v>87</v>
      </c>
      <c r="CF7" s="6" t="s">
        <v>88</v>
      </c>
      <c r="CG7" s="6" t="s">
        <v>89</v>
      </c>
      <c r="CH7" s="6" t="s">
        <v>90</v>
      </c>
      <c r="CI7" s="6" t="s">
        <v>91</v>
      </c>
      <c r="CJ7" s="6" t="s">
        <v>92</v>
      </c>
      <c r="CK7" s="6" t="s">
        <v>93</v>
      </c>
      <c r="CL7" s="6" t="s">
        <v>94</v>
      </c>
      <c r="CM7" s="6" t="s">
        <v>95</v>
      </c>
      <c r="CN7" s="6" t="s">
        <v>96</v>
      </c>
      <c r="CO7" s="6" t="s">
        <v>97</v>
      </c>
      <c r="CP7" s="6" t="s">
        <v>98</v>
      </c>
      <c r="CQ7" s="6" t="s">
        <v>99</v>
      </c>
      <c r="CR7" s="6" t="s">
        <v>100</v>
      </c>
      <c r="CS7" s="6" t="s">
        <v>101</v>
      </c>
      <c r="CT7" s="6" t="s">
        <v>102</v>
      </c>
      <c r="CU7" s="6" t="s">
        <v>103</v>
      </c>
      <c r="CV7" s="6" t="s">
        <v>104</v>
      </c>
      <c r="CW7" s="6" t="s">
        <v>105</v>
      </c>
      <c r="CX7" s="6" t="s">
        <v>106</v>
      </c>
      <c r="CY7" s="6" t="s">
        <v>107</v>
      </c>
      <c r="CZ7" s="6" t="s">
        <v>108</v>
      </c>
      <c r="DA7" s="6" t="s">
        <v>109</v>
      </c>
      <c r="DB7" s="6" t="s">
        <v>110</v>
      </c>
      <c r="DC7" s="6" t="s">
        <v>111</v>
      </c>
      <c r="DD7" s="6" t="s">
        <v>112</v>
      </c>
      <c r="DE7" s="6" t="s">
        <v>113</v>
      </c>
      <c r="DF7" s="6" t="s">
        <v>114</v>
      </c>
    </row>
    <row r="8" spans="1:110" x14ac:dyDescent="0.2">
      <c r="A8" s="6" t="s">
        <v>115</v>
      </c>
      <c r="B8" s="6" t="s">
        <v>116</v>
      </c>
      <c r="C8" s="10">
        <v>2.00639679451126</v>
      </c>
      <c r="D8" s="10">
        <v>2.0292109297355498</v>
      </c>
      <c r="E8" s="10">
        <v>2.0375058294524102</v>
      </c>
      <c r="F8" s="10">
        <v>2.06056286486842</v>
      </c>
      <c r="G8" s="10">
        <v>2.0745428606455998</v>
      </c>
      <c r="H8" s="10">
        <v>2.0848413942905899</v>
      </c>
      <c r="I8" s="10">
        <v>2.1205826504988901</v>
      </c>
      <c r="J8" s="10">
        <v>2.1424708884727002</v>
      </c>
      <c r="K8" s="10">
        <v>2.1577842148349302</v>
      </c>
      <c r="L8" s="10">
        <v>2.1833771521170799</v>
      </c>
      <c r="M8" s="10">
        <v>2.20415213222888</v>
      </c>
      <c r="N8" s="10">
        <v>2.1895699791396499</v>
      </c>
      <c r="O8" s="10">
        <v>2.2079136115462199</v>
      </c>
      <c r="P8" s="10">
        <v>2.2278812100652798</v>
      </c>
      <c r="Q8" s="10">
        <v>2.2459724758823998</v>
      </c>
      <c r="R8" s="10">
        <v>2.27321625302632</v>
      </c>
      <c r="S8" s="10">
        <v>2.2978763357595899</v>
      </c>
      <c r="T8" s="10">
        <v>2.3349096825049198</v>
      </c>
      <c r="U8" s="10">
        <v>2.37340386050542</v>
      </c>
      <c r="V8" s="10">
        <v>2.3214039994171398</v>
      </c>
      <c r="W8" s="10">
        <v>2.30398505677391</v>
      </c>
      <c r="X8" s="10">
        <v>2.3147083864463101</v>
      </c>
      <c r="Y8" s="10">
        <v>2.3338426453763099</v>
      </c>
      <c r="Z8" s="10">
        <v>2.3520478393720801</v>
      </c>
      <c r="AA8" s="10">
        <v>2.3571079124875198</v>
      </c>
      <c r="AB8" s="10">
        <v>2.3597617722192901</v>
      </c>
      <c r="AC8" s="10">
        <v>2.3675113152405798</v>
      </c>
      <c r="AD8" s="10">
        <v>2.3894316572521599</v>
      </c>
      <c r="AE8" s="10">
        <v>2.4081640743995498</v>
      </c>
      <c r="AF8" s="10">
        <v>2.4443091198429299</v>
      </c>
      <c r="AG8" s="10">
        <v>2.4604230131467402</v>
      </c>
      <c r="AH8" s="10">
        <v>2.4673797299606202</v>
      </c>
      <c r="AI8" s="10">
        <v>2.4804327516067102</v>
      </c>
      <c r="AJ8" s="10">
        <v>2.486800531558</v>
      </c>
      <c r="AK8" s="10">
        <v>2.4979859493426302</v>
      </c>
      <c r="AL8" s="10">
        <v>2.51748463931711</v>
      </c>
      <c r="AM8" s="10">
        <v>2.5233681242674999</v>
      </c>
      <c r="AN8" s="10">
        <v>2.5236274631965898</v>
      </c>
      <c r="AO8" s="10">
        <v>2.5385110008237399</v>
      </c>
      <c r="AP8" s="10">
        <v>2.5493378234842399</v>
      </c>
      <c r="AQ8" s="10">
        <v>2.5641532580887398</v>
      </c>
      <c r="AR8" s="10">
        <v>2.5682475848483501</v>
      </c>
      <c r="AS8" s="10">
        <v>2.5745442177532798</v>
      </c>
      <c r="AT8" s="10">
        <v>2.5703691601533998</v>
      </c>
      <c r="AU8" s="10">
        <v>2.5621458287346699</v>
      </c>
      <c r="AV8" s="10">
        <v>2.5738366275259401</v>
      </c>
      <c r="AW8" s="10">
        <v>2.5763689814164299</v>
      </c>
      <c r="AX8" s="10">
        <v>2.5767283886230801</v>
      </c>
      <c r="AY8" s="10">
        <v>2.57174264404668</v>
      </c>
      <c r="AZ8" s="10">
        <v>2.5921935040783399</v>
      </c>
      <c r="BA8" s="10">
        <v>2.6069552513680199</v>
      </c>
      <c r="BB8" s="10">
        <v>2.62538144782462</v>
      </c>
      <c r="BC8" s="10">
        <v>2.6431179142038301</v>
      </c>
      <c r="BD8" s="10">
        <v>2.6455161818091399</v>
      </c>
      <c r="BE8" s="10">
        <v>2.65158539542049</v>
      </c>
      <c r="BF8" s="10">
        <v>2.6731697651786201</v>
      </c>
      <c r="BG8" s="10">
        <v>2.7004180913353601</v>
      </c>
      <c r="BH8" s="10">
        <v>2.71929105115849</v>
      </c>
      <c r="BI8" s="10">
        <v>2.73135484596928</v>
      </c>
      <c r="BJ8" s="10">
        <v>2.7428191932094901</v>
      </c>
      <c r="BK8" s="10">
        <v>2.7493023943472399</v>
      </c>
      <c r="BL8" s="10">
        <v>2.7699198683661201</v>
      </c>
      <c r="BM8" s="10">
        <v>2.7857569710013399</v>
      </c>
      <c r="BN8" s="10">
        <v>2.7962160388037498</v>
      </c>
      <c r="BO8" s="10">
        <v>2.8061535341217798</v>
      </c>
      <c r="BP8" s="10">
        <v>2.7915859923377702</v>
      </c>
      <c r="BQ8" s="10">
        <v>2.8038608397418998</v>
      </c>
      <c r="BR8" s="10">
        <v>2.8160547506121398</v>
      </c>
      <c r="BS8" s="10">
        <v>2.8442507966276001</v>
      </c>
      <c r="BT8" s="10">
        <v>2.87972613135834</v>
      </c>
      <c r="BU8" s="10">
        <v>2.9209830633074998</v>
      </c>
      <c r="BV8" s="10">
        <v>2.9774391818411701</v>
      </c>
      <c r="BW8" s="10">
        <v>3.0353049224602802</v>
      </c>
      <c r="BX8" s="10">
        <v>3.0959757052085299</v>
      </c>
      <c r="BY8" s="10">
        <v>3.1302079773937099</v>
      </c>
      <c r="BZ8" s="10">
        <v>3.1644236579613598</v>
      </c>
      <c r="CA8" s="10">
        <v>3.1720271546852401</v>
      </c>
      <c r="CB8" s="10">
        <v>3.1746140749510698</v>
      </c>
      <c r="CC8" s="10">
        <v>3.1993314088845399</v>
      </c>
      <c r="CD8" s="10">
        <v>3.2267758849407899</v>
      </c>
      <c r="CE8" s="10">
        <v>3.24888762501012</v>
      </c>
      <c r="CF8" s="10">
        <v>3.26964582941969</v>
      </c>
      <c r="CG8" s="10">
        <v>3.2896340930964798</v>
      </c>
      <c r="CH8" s="10">
        <v>3.3053813005300601</v>
      </c>
      <c r="CI8" s="10">
        <v>3.31540037508013</v>
      </c>
      <c r="CJ8" s="10">
        <v>3.3292835392878999</v>
      </c>
      <c r="CK8" s="10">
        <v>3.34803178972642</v>
      </c>
      <c r="CL8" s="10">
        <v>3.3673825941733302</v>
      </c>
      <c r="CM8" s="10">
        <v>3.38833435878575</v>
      </c>
      <c r="CN8" s="10">
        <v>3.4096488246484</v>
      </c>
      <c r="CO8" s="10">
        <v>3.4302167440242401</v>
      </c>
      <c r="CP8" s="10">
        <v>3.45145754963055</v>
      </c>
      <c r="CQ8" s="10">
        <v>3.4722762520781498</v>
      </c>
      <c r="CR8" s="10">
        <v>3.4924343719725499</v>
      </c>
      <c r="CS8" s="10">
        <v>3.5144142725933101</v>
      </c>
      <c r="CT8" s="10">
        <v>3.5351512646516001</v>
      </c>
      <c r="CU8" s="10">
        <v>3.55554584133397</v>
      </c>
      <c r="CV8" s="10">
        <v>3.5764354228783102</v>
      </c>
      <c r="CW8" s="10">
        <v>3.59483758127999</v>
      </c>
      <c r="CX8" s="10">
        <v>3.61758129574664</v>
      </c>
      <c r="CY8" s="10">
        <v>3.63868632381413</v>
      </c>
      <c r="CZ8" s="10">
        <v>3.6591118208728699</v>
      </c>
      <c r="DA8" s="10">
        <v>3.68043866459842</v>
      </c>
      <c r="DB8" s="10">
        <v>3.7011701172571398</v>
      </c>
      <c r="DC8" s="10">
        <v>3.7224710034620299</v>
      </c>
      <c r="DD8" s="10">
        <v>3.7438151538286601</v>
      </c>
      <c r="DE8" s="10">
        <v>3.7655756592132099</v>
      </c>
      <c r="DF8" s="10">
        <v>3.7872768667310699</v>
      </c>
    </row>
    <row r="9" spans="1:110" x14ac:dyDescent="0.2">
      <c r="A9" s="6" t="s">
        <v>117</v>
      </c>
      <c r="B9" s="6" t="s">
        <v>118</v>
      </c>
      <c r="C9" s="10">
        <v>2.00639679451126</v>
      </c>
      <c r="D9" s="10">
        <v>2.0292109297355498</v>
      </c>
      <c r="E9" s="10">
        <v>2.0375058294524102</v>
      </c>
      <c r="F9" s="10">
        <v>2.06056286486842</v>
      </c>
      <c r="G9" s="10">
        <v>2.0745428606455998</v>
      </c>
      <c r="H9" s="10">
        <v>2.0848413942905899</v>
      </c>
      <c r="I9" s="10">
        <v>2.1205826504988901</v>
      </c>
      <c r="J9" s="10">
        <v>2.1424708884727002</v>
      </c>
      <c r="K9" s="10">
        <v>2.1577842148349302</v>
      </c>
      <c r="L9" s="10">
        <v>2.1833771521170799</v>
      </c>
      <c r="M9" s="10">
        <v>2.20415213222888</v>
      </c>
      <c r="N9" s="10">
        <v>2.1895699791396499</v>
      </c>
      <c r="O9" s="10">
        <v>2.2079136115462199</v>
      </c>
      <c r="P9" s="10">
        <v>2.2278812100652798</v>
      </c>
      <c r="Q9" s="10">
        <v>2.2459724758823998</v>
      </c>
      <c r="R9" s="10">
        <v>2.27321625302632</v>
      </c>
      <c r="S9" s="10">
        <v>2.2978763357595899</v>
      </c>
      <c r="T9" s="10">
        <v>2.3349096825049198</v>
      </c>
      <c r="U9" s="10">
        <v>2.37340386050542</v>
      </c>
      <c r="V9" s="10">
        <v>2.3214039994171398</v>
      </c>
      <c r="W9" s="10">
        <v>2.30398505677391</v>
      </c>
      <c r="X9" s="10">
        <v>2.3147083864463101</v>
      </c>
      <c r="Y9" s="10">
        <v>2.3338426453763099</v>
      </c>
      <c r="Z9" s="10">
        <v>2.3520478393720801</v>
      </c>
      <c r="AA9" s="10">
        <v>2.3571079124875198</v>
      </c>
      <c r="AB9" s="10">
        <v>2.3597617722192901</v>
      </c>
      <c r="AC9" s="10">
        <v>2.3675113152405798</v>
      </c>
      <c r="AD9" s="10">
        <v>2.3894316572521599</v>
      </c>
      <c r="AE9" s="10">
        <v>2.4081640743995498</v>
      </c>
      <c r="AF9" s="10">
        <v>2.4443091198429299</v>
      </c>
      <c r="AG9" s="10">
        <v>2.4604230131467402</v>
      </c>
      <c r="AH9" s="10">
        <v>2.4673797299606202</v>
      </c>
      <c r="AI9" s="10">
        <v>2.4804327516067102</v>
      </c>
      <c r="AJ9" s="10">
        <v>2.486800531558</v>
      </c>
      <c r="AK9" s="10">
        <v>2.4979859493426302</v>
      </c>
      <c r="AL9" s="10">
        <v>2.51748463931711</v>
      </c>
      <c r="AM9" s="10">
        <v>2.5233681242674999</v>
      </c>
      <c r="AN9" s="10">
        <v>2.5236274631965898</v>
      </c>
      <c r="AO9" s="10">
        <v>2.5385110008237399</v>
      </c>
      <c r="AP9" s="10">
        <v>2.5493378234842399</v>
      </c>
      <c r="AQ9" s="10">
        <v>2.5641532580887398</v>
      </c>
      <c r="AR9" s="10">
        <v>2.5682475848483501</v>
      </c>
      <c r="AS9" s="10">
        <v>2.5745442177532798</v>
      </c>
      <c r="AT9" s="10">
        <v>2.5703691601533998</v>
      </c>
      <c r="AU9" s="10">
        <v>2.5621458287346699</v>
      </c>
      <c r="AV9" s="10">
        <v>2.5738366275259401</v>
      </c>
      <c r="AW9" s="10">
        <v>2.5763689814164299</v>
      </c>
      <c r="AX9" s="10">
        <v>2.5767283886230801</v>
      </c>
      <c r="AY9" s="10">
        <v>2.57174264404668</v>
      </c>
      <c r="AZ9" s="10">
        <v>2.5921935040783399</v>
      </c>
      <c r="BA9" s="10">
        <v>2.6069552513680199</v>
      </c>
      <c r="BB9" s="10">
        <v>2.62538144782462</v>
      </c>
      <c r="BC9" s="10">
        <v>2.6431179142038301</v>
      </c>
      <c r="BD9" s="10">
        <v>2.6455161818091399</v>
      </c>
      <c r="BE9" s="10">
        <v>2.65158539542049</v>
      </c>
      <c r="BF9" s="10">
        <v>2.6731697651786201</v>
      </c>
      <c r="BG9" s="10">
        <v>2.7004180913353601</v>
      </c>
      <c r="BH9" s="10">
        <v>2.71929105115849</v>
      </c>
      <c r="BI9" s="10">
        <v>2.73135484596928</v>
      </c>
      <c r="BJ9" s="10">
        <v>2.7428191932094901</v>
      </c>
      <c r="BK9" s="10">
        <v>2.7493023943472399</v>
      </c>
      <c r="BL9" s="10">
        <v>2.7699198683661201</v>
      </c>
      <c r="BM9" s="10">
        <v>2.7857569710013399</v>
      </c>
      <c r="BN9" s="10">
        <v>2.7962160388037498</v>
      </c>
      <c r="BO9" s="10">
        <v>2.8061535341217798</v>
      </c>
      <c r="BP9" s="10">
        <v>2.7915859923377702</v>
      </c>
      <c r="BQ9" s="10">
        <v>2.8038608397418998</v>
      </c>
      <c r="BR9" s="10">
        <v>2.8160547506121398</v>
      </c>
      <c r="BS9" s="10">
        <v>2.8442507966276001</v>
      </c>
      <c r="BT9" s="10">
        <v>2.87972613135834</v>
      </c>
      <c r="BU9" s="10">
        <v>2.9209830633074998</v>
      </c>
      <c r="BV9" s="10">
        <v>2.9774391818411701</v>
      </c>
      <c r="BW9" s="10">
        <v>3.0353049224602802</v>
      </c>
      <c r="BX9" s="10">
        <v>3.0959757052085299</v>
      </c>
      <c r="BY9" s="10">
        <v>3.1302079773937099</v>
      </c>
      <c r="BZ9" s="10">
        <v>3.1644236579613598</v>
      </c>
      <c r="CA9" s="10">
        <v>3.1720271546852401</v>
      </c>
      <c r="CB9" s="10">
        <v>3.1746140749510698</v>
      </c>
      <c r="CC9" s="10">
        <v>3.1993314088845399</v>
      </c>
      <c r="CD9" s="10">
        <v>3.2267758849407899</v>
      </c>
      <c r="CE9" s="10">
        <v>3.23861104385055</v>
      </c>
      <c r="CF9" s="10">
        <v>3.2586911143828101</v>
      </c>
      <c r="CG9" s="10">
        <v>3.2747145479094502</v>
      </c>
      <c r="CH9" s="10">
        <v>3.2888482187183001</v>
      </c>
      <c r="CI9" s="10">
        <v>3.2980662097021098</v>
      </c>
      <c r="CJ9" s="10">
        <v>3.3103080504098301</v>
      </c>
      <c r="CK9" s="10">
        <v>3.3271189360512898</v>
      </c>
      <c r="CL9" s="10">
        <v>3.3442433232875199</v>
      </c>
      <c r="CM9" s="10">
        <v>3.3629304591705398</v>
      </c>
      <c r="CN9" s="10">
        <v>3.3816871263152701</v>
      </c>
      <c r="CO9" s="10">
        <v>3.3998849861946701</v>
      </c>
      <c r="CP9" s="10">
        <v>3.4188380416453801</v>
      </c>
      <c r="CQ9" s="10">
        <v>3.43763686882959</v>
      </c>
      <c r="CR9" s="10">
        <v>3.4557039278676198</v>
      </c>
      <c r="CS9" s="10">
        <v>3.4755336252277802</v>
      </c>
      <c r="CT9" s="10">
        <v>3.49420749370704</v>
      </c>
      <c r="CU9" s="10">
        <v>3.51266527336763</v>
      </c>
      <c r="CV9" s="10">
        <v>3.5316196326200102</v>
      </c>
      <c r="CW9" s="10">
        <v>3.5481028861103598</v>
      </c>
      <c r="CX9" s="10">
        <v>3.5686972473543399</v>
      </c>
      <c r="CY9" s="10">
        <v>3.5878070667964099</v>
      </c>
      <c r="CZ9" s="10">
        <v>3.60601339684285</v>
      </c>
      <c r="DA9" s="10">
        <v>3.6249443264757701</v>
      </c>
      <c r="DB9" s="10">
        <v>3.6431192808362498</v>
      </c>
      <c r="DC9" s="10">
        <v>3.6618952687172399</v>
      </c>
      <c r="DD9" s="10">
        <v>3.6804056076660601</v>
      </c>
      <c r="DE9" s="10">
        <v>3.6991810732536998</v>
      </c>
      <c r="DF9" s="10">
        <v>3.7177417370148498</v>
      </c>
    </row>
    <row r="10" spans="1:110" x14ac:dyDescent="0.2">
      <c r="A10" s="6" t="s">
        <v>119</v>
      </c>
      <c r="B10" s="6" t="s">
        <v>120</v>
      </c>
      <c r="C10" s="10">
        <v>2.00639679451126</v>
      </c>
      <c r="D10" s="10">
        <v>2.0292109297355498</v>
      </c>
      <c r="E10" s="10">
        <v>2.0375058294524102</v>
      </c>
      <c r="F10" s="10">
        <v>2.06056286486842</v>
      </c>
      <c r="G10" s="10">
        <v>2.0745428606455998</v>
      </c>
      <c r="H10" s="10">
        <v>2.0848413942905899</v>
      </c>
      <c r="I10" s="10">
        <v>2.1205826504988901</v>
      </c>
      <c r="J10" s="10">
        <v>2.1424708884727002</v>
      </c>
      <c r="K10" s="10">
        <v>2.1577842148349302</v>
      </c>
      <c r="L10" s="10">
        <v>2.1833771521170799</v>
      </c>
      <c r="M10" s="10">
        <v>2.20415213222888</v>
      </c>
      <c r="N10" s="10">
        <v>2.1895699791396499</v>
      </c>
      <c r="O10" s="10">
        <v>2.2079136115462199</v>
      </c>
      <c r="P10" s="10">
        <v>2.2278812100652798</v>
      </c>
      <c r="Q10" s="10">
        <v>2.2459724758823998</v>
      </c>
      <c r="R10" s="10">
        <v>2.27321625302632</v>
      </c>
      <c r="S10" s="10">
        <v>2.2978763357595899</v>
      </c>
      <c r="T10" s="10">
        <v>2.3349096825049198</v>
      </c>
      <c r="U10" s="10">
        <v>2.37340386050542</v>
      </c>
      <c r="V10" s="10">
        <v>2.3214039994171398</v>
      </c>
      <c r="W10" s="10">
        <v>2.30398505677391</v>
      </c>
      <c r="X10" s="10">
        <v>2.3147083864463101</v>
      </c>
      <c r="Y10" s="10">
        <v>2.3338426453763099</v>
      </c>
      <c r="Z10" s="10">
        <v>2.3520478393720801</v>
      </c>
      <c r="AA10" s="10">
        <v>2.3571079124875198</v>
      </c>
      <c r="AB10" s="10">
        <v>2.3597617722192901</v>
      </c>
      <c r="AC10" s="10">
        <v>2.3675113152405798</v>
      </c>
      <c r="AD10" s="10">
        <v>2.3894316572521599</v>
      </c>
      <c r="AE10" s="10">
        <v>2.4081640743995498</v>
      </c>
      <c r="AF10" s="10">
        <v>2.4443091198429299</v>
      </c>
      <c r="AG10" s="10">
        <v>2.4604230131467402</v>
      </c>
      <c r="AH10" s="10">
        <v>2.4673797299606202</v>
      </c>
      <c r="AI10" s="10">
        <v>2.4804327516067102</v>
      </c>
      <c r="AJ10" s="10">
        <v>2.486800531558</v>
      </c>
      <c r="AK10" s="10">
        <v>2.4979859493426302</v>
      </c>
      <c r="AL10" s="10">
        <v>2.51748463931711</v>
      </c>
      <c r="AM10" s="10">
        <v>2.5233681242674999</v>
      </c>
      <c r="AN10" s="10">
        <v>2.5236274631965898</v>
      </c>
      <c r="AO10" s="10">
        <v>2.5385110008237399</v>
      </c>
      <c r="AP10" s="10">
        <v>2.5493378234842399</v>
      </c>
      <c r="AQ10" s="10">
        <v>2.5641532580887398</v>
      </c>
      <c r="AR10" s="10">
        <v>2.5682475848483501</v>
      </c>
      <c r="AS10" s="10">
        <v>2.5745442177532798</v>
      </c>
      <c r="AT10" s="10">
        <v>2.5703691601533998</v>
      </c>
      <c r="AU10" s="10">
        <v>2.5621458287346699</v>
      </c>
      <c r="AV10" s="10">
        <v>2.5738366275259401</v>
      </c>
      <c r="AW10" s="10">
        <v>2.5763689814164299</v>
      </c>
      <c r="AX10" s="10">
        <v>2.5767283886230801</v>
      </c>
      <c r="AY10" s="10">
        <v>2.57174264404668</v>
      </c>
      <c r="AZ10" s="10">
        <v>2.5921935040783399</v>
      </c>
      <c r="BA10" s="10">
        <v>2.6069552513680199</v>
      </c>
      <c r="BB10" s="10">
        <v>2.62538144782462</v>
      </c>
      <c r="BC10" s="10">
        <v>2.6431179142038301</v>
      </c>
      <c r="BD10" s="10">
        <v>2.6455161818091399</v>
      </c>
      <c r="BE10" s="10">
        <v>2.65158539542049</v>
      </c>
      <c r="BF10" s="10">
        <v>2.6731697651786201</v>
      </c>
      <c r="BG10" s="10">
        <v>2.7004180913353601</v>
      </c>
      <c r="BH10" s="10">
        <v>2.71929105115849</v>
      </c>
      <c r="BI10" s="10">
        <v>2.73135484596928</v>
      </c>
      <c r="BJ10" s="10">
        <v>2.7428191932094901</v>
      </c>
      <c r="BK10" s="10">
        <v>2.7493023943472399</v>
      </c>
      <c r="BL10" s="10">
        <v>2.7699198683661201</v>
      </c>
      <c r="BM10" s="10">
        <v>2.7857569710013399</v>
      </c>
      <c r="BN10" s="10">
        <v>2.7962160388037498</v>
      </c>
      <c r="BO10" s="10">
        <v>2.8061535341217798</v>
      </c>
      <c r="BP10" s="10">
        <v>2.7915859923377702</v>
      </c>
      <c r="BQ10" s="10">
        <v>2.8038608397418998</v>
      </c>
      <c r="BR10" s="10">
        <v>2.8160547506121398</v>
      </c>
      <c r="BS10" s="10">
        <v>2.8442507966276001</v>
      </c>
      <c r="BT10" s="10">
        <v>2.87972613135834</v>
      </c>
      <c r="BU10" s="10">
        <v>2.9209830633074998</v>
      </c>
      <c r="BV10" s="10">
        <v>2.9774391818411701</v>
      </c>
      <c r="BW10" s="10">
        <v>3.0353049224602802</v>
      </c>
      <c r="BX10" s="10">
        <v>3.0959757052085299</v>
      </c>
      <c r="BY10" s="10">
        <v>3.1302079773937099</v>
      </c>
      <c r="BZ10" s="10">
        <v>3.1644236579613598</v>
      </c>
      <c r="CA10" s="10">
        <v>3.1720271546852401</v>
      </c>
      <c r="CB10" s="10">
        <v>3.1746140749510698</v>
      </c>
      <c r="CC10" s="10">
        <v>3.1993314088845399</v>
      </c>
      <c r="CD10" s="10">
        <v>3.2267758849407899</v>
      </c>
      <c r="CE10" s="10">
        <v>3.2693381681165499</v>
      </c>
      <c r="CF10" s="10">
        <v>3.30699111572862</v>
      </c>
      <c r="CG10" s="10">
        <v>3.3439200076883999</v>
      </c>
      <c r="CH10" s="10">
        <v>3.3734855400417998</v>
      </c>
      <c r="CI10" s="10">
        <v>3.3957809994631298</v>
      </c>
      <c r="CJ10" s="10">
        <v>3.4222739011384</v>
      </c>
      <c r="CK10" s="10">
        <v>3.4531309431427499</v>
      </c>
      <c r="CL10" s="10">
        <v>3.4842388432884599</v>
      </c>
      <c r="CM10" s="10">
        <v>3.5172215135383502</v>
      </c>
      <c r="CN10" s="10">
        <v>3.55090220299489</v>
      </c>
      <c r="CO10" s="10">
        <v>3.5841187616108399</v>
      </c>
      <c r="CP10" s="10">
        <v>3.6183216989814002</v>
      </c>
      <c r="CQ10" s="10">
        <v>3.6516391273185</v>
      </c>
      <c r="CR10" s="10">
        <v>3.6837931741219698</v>
      </c>
      <c r="CS10" s="10">
        <v>3.7179564008669801</v>
      </c>
      <c r="CT10" s="10">
        <v>3.7511161035314702</v>
      </c>
      <c r="CU10" s="10">
        <v>3.78437717042361</v>
      </c>
      <c r="CV10" s="10">
        <v>3.81824237174451</v>
      </c>
      <c r="CW10" s="10">
        <v>3.8497757633287599</v>
      </c>
      <c r="CX10" s="10">
        <v>3.88598572024127</v>
      </c>
      <c r="CY10" s="10">
        <v>3.9206759123421699</v>
      </c>
      <c r="CZ10" s="10">
        <v>3.9545752476342302</v>
      </c>
      <c r="DA10" s="10">
        <v>3.9895098230862001</v>
      </c>
      <c r="DB10" s="10">
        <v>4.0239802978325603</v>
      </c>
      <c r="DC10" s="10">
        <v>4.0593348304644801</v>
      </c>
      <c r="DD10" s="10">
        <v>4.0948528428443902</v>
      </c>
      <c r="DE10" s="10">
        <v>4.1310069630033599</v>
      </c>
      <c r="DF10" s="10">
        <v>4.1673692408863596</v>
      </c>
    </row>
    <row r="12" spans="1:110" x14ac:dyDescent="0.2">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row>
    <row r="13" spans="1:110" x14ac:dyDescent="0.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row>
    <row r="14" spans="1:110" x14ac:dyDescent="0.2">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row>
    <row r="18" spans="80:94" x14ac:dyDescent="0.2">
      <c r="CE18" s="12" t="s">
        <v>121</v>
      </c>
      <c r="CF18" s="13"/>
      <c r="CG18" s="13"/>
      <c r="CH18" s="14" t="s">
        <v>122</v>
      </c>
      <c r="CI18" s="15"/>
      <c r="CJ18" s="15"/>
      <c r="CK18" s="15"/>
      <c r="CL18" s="15"/>
      <c r="CM18" s="15"/>
      <c r="CN18" s="13"/>
      <c r="CO18" s="13"/>
      <c r="CP18" s="13"/>
    </row>
    <row r="19" spans="80:94" x14ac:dyDescent="0.2">
      <c r="CE19" s="16"/>
      <c r="CF19" s="17"/>
      <c r="CG19" s="17"/>
      <c r="CH19" s="17"/>
      <c r="CI19" s="17"/>
      <c r="CJ19" s="17"/>
      <c r="CK19" s="17"/>
      <c r="CL19" s="17"/>
      <c r="CM19" s="17"/>
      <c r="CN19" s="17"/>
      <c r="CO19" s="17"/>
      <c r="CP19" s="18"/>
    </row>
    <row r="20" spans="80:94" x14ac:dyDescent="0.2">
      <c r="CE20" s="19"/>
      <c r="CF20" s="20" t="s">
        <v>123</v>
      </c>
      <c r="CG20" s="21" t="s">
        <v>90</v>
      </c>
      <c r="CH20" s="13"/>
      <c r="CI20" s="13"/>
      <c r="CJ20" s="13"/>
      <c r="CK20" s="13"/>
      <c r="CL20" s="13"/>
      <c r="CM20" s="13"/>
      <c r="CN20" s="13"/>
      <c r="CO20" s="13"/>
      <c r="CP20" s="22"/>
    </row>
    <row r="21" spans="80:94" x14ac:dyDescent="0.2">
      <c r="CE21" s="19"/>
      <c r="CF21" s="13"/>
      <c r="CG21" s="23" t="s">
        <v>124</v>
      </c>
      <c r="CH21" s="13"/>
      <c r="CI21" s="13"/>
      <c r="CJ21" s="13"/>
      <c r="CK21" s="13"/>
      <c r="CL21" s="13"/>
      <c r="CM21" s="13"/>
      <c r="CN21" s="13"/>
      <c r="CO21" s="13"/>
      <c r="CP21" s="24" t="s">
        <v>125</v>
      </c>
    </row>
    <row r="22" spans="80:94" x14ac:dyDescent="0.2">
      <c r="CE22" s="19"/>
      <c r="CF22" s="13"/>
      <c r="CG22" s="25">
        <f>CH9</f>
        <v>3.2888482187183001</v>
      </c>
      <c r="CH22" s="26"/>
      <c r="CI22" s="13"/>
      <c r="CJ22" s="13"/>
      <c r="CK22" s="13"/>
      <c r="CL22" s="13"/>
      <c r="CM22" s="13"/>
      <c r="CN22" s="13"/>
      <c r="CO22" s="13"/>
      <c r="CP22" s="27">
        <f>CG22</f>
        <v>3.2888482187183001</v>
      </c>
    </row>
    <row r="23" spans="80:94" x14ac:dyDescent="0.2">
      <c r="CE23" s="19"/>
      <c r="CF23" s="13"/>
      <c r="CG23" s="13"/>
      <c r="CH23" s="13"/>
      <c r="CI23" s="13"/>
      <c r="CJ23" s="13"/>
      <c r="CK23" s="13"/>
      <c r="CL23" s="13"/>
      <c r="CM23" s="13"/>
      <c r="CN23" s="13"/>
      <c r="CO23" s="13"/>
      <c r="CP23" s="27"/>
    </row>
    <row r="24" spans="80:94" x14ac:dyDescent="0.2">
      <c r="CB24" s="404" t="s">
        <v>126</v>
      </c>
      <c r="CC24" s="404"/>
      <c r="CE24" s="405" t="s">
        <v>127</v>
      </c>
      <c r="CF24" s="406"/>
      <c r="CG24" s="406"/>
      <c r="CH24" s="13" t="s">
        <v>128</v>
      </c>
      <c r="CI24" s="13"/>
      <c r="CJ24" s="13"/>
      <c r="CK24" s="13"/>
      <c r="CL24" s="13"/>
      <c r="CM24" s="13"/>
      <c r="CN24" s="13"/>
      <c r="CO24" s="13"/>
      <c r="CP24" s="27"/>
    </row>
    <row r="25" spans="80:94" x14ac:dyDescent="0.2">
      <c r="CE25" s="28"/>
      <c r="CF25" s="20"/>
      <c r="CG25" s="29" t="str">
        <f>CI7</f>
        <v>2025Q1</v>
      </c>
      <c r="CH25" s="29" t="str">
        <f t="shared" ref="CH25:CN25" si="0">CJ7</f>
        <v>2025Q2</v>
      </c>
      <c r="CI25" s="29" t="str">
        <f t="shared" si="0"/>
        <v>2025Q3</v>
      </c>
      <c r="CJ25" s="29" t="str">
        <f t="shared" si="0"/>
        <v>2025Q4</v>
      </c>
      <c r="CK25" s="29" t="str">
        <f t="shared" si="0"/>
        <v>2026Q1</v>
      </c>
      <c r="CL25" s="29" t="str">
        <f t="shared" si="0"/>
        <v>2026Q2</v>
      </c>
      <c r="CM25" s="29" t="str">
        <f t="shared" si="0"/>
        <v>2026Q3</v>
      </c>
      <c r="CN25" s="29" t="str">
        <f t="shared" si="0"/>
        <v>2026Q4</v>
      </c>
      <c r="CO25" s="13"/>
      <c r="CP25" s="27"/>
    </row>
    <row r="26" spans="80:94" x14ac:dyDescent="0.2">
      <c r="CE26" s="19"/>
      <c r="CF26" s="13"/>
      <c r="CG26" s="7" t="s">
        <v>3</v>
      </c>
      <c r="CH26" s="7" t="s">
        <v>3</v>
      </c>
      <c r="CI26" s="8" t="s">
        <v>4</v>
      </c>
      <c r="CJ26" s="8" t="s">
        <v>4</v>
      </c>
      <c r="CK26" s="8" t="s">
        <v>4</v>
      </c>
      <c r="CL26" s="8" t="s">
        <v>4</v>
      </c>
      <c r="CM26" s="7" t="s">
        <v>5</v>
      </c>
      <c r="CN26" s="7" t="s">
        <v>5</v>
      </c>
      <c r="CO26" s="13"/>
      <c r="CP26" s="27"/>
    </row>
    <row r="27" spans="80:94" x14ac:dyDescent="0.2">
      <c r="CE27" s="19"/>
      <c r="CF27" s="13"/>
      <c r="CG27" s="30">
        <f>CI9</f>
        <v>3.2980662097021098</v>
      </c>
      <c r="CH27" s="30">
        <f t="shared" ref="CH27:CN27" si="1">CJ9</f>
        <v>3.3103080504098301</v>
      </c>
      <c r="CI27" s="30">
        <f t="shared" si="1"/>
        <v>3.3271189360512898</v>
      </c>
      <c r="CJ27" s="30">
        <f t="shared" si="1"/>
        <v>3.3442433232875199</v>
      </c>
      <c r="CK27" s="30">
        <f t="shared" si="1"/>
        <v>3.3629304591705398</v>
      </c>
      <c r="CL27" s="30">
        <f t="shared" si="1"/>
        <v>3.3816871263152701</v>
      </c>
      <c r="CM27" s="30">
        <f t="shared" si="1"/>
        <v>3.3998849861946701</v>
      </c>
      <c r="CN27" s="30">
        <f t="shared" si="1"/>
        <v>3.4188380416453801</v>
      </c>
      <c r="CO27" s="13"/>
      <c r="CP27" s="27">
        <f>AVERAGE(CG27:CN27)</f>
        <v>3.3553846415970763</v>
      </c>
    </row>
    <row r="28" spans="80:94" x14ac:dyDescent="0.2">
      <c r="CE28" s="19"/>
      <c r="CF28" s="13"/>
      <c r="CG28" s="13"/>
      <c r="CH28" s="13"/>
      <c r="CI28" s="13"/>
      <c r="CJ28" s="13"/>
      <c r="CK28" s="13"/>
      <c r="CL28" s="13"/>
      <c r="CM28" s="13"/>
      <c r="CN28" s="13"/>
      <c r="CO28" s="13"/>
      <c r="CP28" s="31"/>
    </row>
    <row r="29" spans="80:94" x14ac:dyDescent="0.2">
      <c r="CE29" s="19"/>
      <c r="CF29" s="13"/>
      <c r="CG29" s="13"/>
      <c r="CH29" s="13"/>
      <c r="CI29" s="13"/>
      <c r="CJ29" s="13"/>
      <c r="CK29" s="13"/>
      <c r="CL29" s="13"/>
      <c r="CM29" s="13"/>
      <c r="CN29" s="13"/>
      <c r="CO29" s="32" t="s">
        <v>129</v>
      </c>
      <c r="CP29" s="33">
        <f>(CP27-CP22)/CP22</f>
        <v>2.02309192926836E-2</v>
      </c>
    </row>
    <row r="30" spans="80:94" x14ac:dyDescent="0.2">
      <c r="CE30" s="34"/>
      <c r="CF30" s="35"/>
      <c r="CG30" s="35"/>
      <c r="CH30" s="35"/>
      <c r="CI30" s="35"/>
      <c r="CJ30" s="35"/>
      <c r="CK30" s="35"/>
      <c r="CL30" s="35"/>
      <c r="CM30" s="35"/>
      <c r="CN30" s="35"/>
      <c r="CO30" s="35"/>
      <c r="CP30" s="36"/>
    </row>
    <row r="32" spans="80:94" hidden="1" x14ac:dyDescent="0.2">
      <c r="CE32" s="12" t="s">
        <v>121</v>
      </c>
      <c r="CF32" s="13"/>
      <c r="CG32" s="13"/>
      <c r="CH32" s="14" t="s">
        <v>122</v>
      </c>
      <c r="CI32" s="15"/>
      <c r="CJ32" s="15"/>
      <c r="CK32" s="15"/>
      <c r="CL32" s="15"/>
      <c r="CM32" s="15"/>
      <c r="CN32" s="13"/>
      <c r="CO32" s="13"/>
      <c r="CP32" s="13"/>
    </row>
    <row r="33" spans="80:94" hidden="1" x14ac:dyDescent="0.2">
      <c r="CE33" s="16"/>
      <c r="CF33" s="17"/>
      <c r="CG33" s="17"/>
      <c r="CH33" s="17"/>
      <c r="CI33" s="17"/>
      <c r="CJ33" s="17"/>
      <c r="CK33" s="17"/>
      <c r="CL33" s="17"/>
      <c r="CM33" s="17"/>
      <c r="CN33" s="17"/>
      <c r="CO33" s="17"/>
      <c r="CP33" s="18"/>
    </row>
    <row r="34" spans="80:94" hidden="1" x14ac:dyDescent="0.2">
      <c r="CE34" s="19"/>
      <c r="CF34" s="20" t="s">
        <v>123</v>
      </c>
      <c r="CG34" s="21" t="s">
        <v>90</v>
      </c>
      <c r="CH34" s="13"/>
      <c r="CI34" s="13"/>
      <c r="CJ34" s="13"/>
      <c r="CK34" s="13"/>
      <c r="CL34" s="13"/>
      <c r="CM34" s="13"/>
      <c r="CN34" s="13"/>
      <c r="CO34" s="13"/>
      <c r="CP34" s="22"/>
    </row>
    <row r="35" spans="80:94" hidden="1" x14ac:dyDescent="0.2">
      <c r="CE35" s="19"/>
      <c r="CF35" s="13"/>
      <c r="CG35" s="23" t="s">
        <v>124</v>
      </c>
      <c r="CH35" s="13"/>
      <c r="CI35" s="13"/>
      <c r="CJ35" s="13"/>
      <c r="CK35" s="13"/>
      <c r="CL35" s="13"/>
      <c r="CM35" s="13"/>
      <c r="CN35" s="13"/>
      <c r="CO35" s="13"/>
      <c r="CP35" s="24" t="s">
        <v>125</v>
      </c>
    </row>
    <row r="36" spans="80:94" hidden="1" x14ac:dyDescent="0.2">
      <c r="CE36" s="19"/>
      <c r="CF36" s="13"/>
      <c r="CG36" s="25">
        <f>CH8</f>
        <v>3.3053813005300601</v>
      </c>
      <c r="CH36" s="26"/>
      <c r="CI36" s="13"/>
      <c r="CJ36" s="13"/>
      <c r="CK36" s="13"/>
      <c r="CL36" s="13"/>
      <c r="CM36" s="13"/>
      <c r="CN36" s="13"/>
      <c r="CO36" s="13"/>
      <c r="CP36" s="27">
        <f>CG36</f>
        <v>3.3053813005300601</v>
      </c>
    </row>
    <row r="37" spans="80:94" hidden="1" x14ac:dyDescent="0.2">
      <c r="CE37" s="19"/>
      <c r="CF37" s="13"/>
      <c r="CG37" s="13"/>
      <c r="CH37" s="13"/>
      <c r="CI37" s="13"/>
      <c r="CJ37" s="13"/>
      <c r="CK37" s="13"/>
      <c r="CL37" s="13"/>
      <c r="CM37" s="13"/>
      <c r="CN37" s="13"/>
      <c r="CO37" s="13"/>
      <c r="CP37" s="27"/>
    </row>
    <row r="38" spans="80:94" hidden="1" x14ac:dyDescent="0.2">
      <c r="CB38" s="407" t="s">
        <v>130</v>
      </c>
      <c r="CC38" s="407"/>
      <c r="CE38" s="405" t="s">
        <v>127</v>
      </c>
      <c r="CF38" s="406"/>
      <c r="CG38" s="406"/>
      <c r="CH38" s="13" t="s">
        <v>128</v>
      </c>
      <c r="CI38" s="13"/>
      <c r="CJ38" s="13"/>
      <c r="CK38" s="13"/>
      <c r="CL38" s="13"/>
      <c r="CM38" s="13"/>
      <c r="CN38" s="13"/>
      <c r="CO38" s="13"/>
      <c r="CP38" s="27"/>
    </row>
    <row r="39" spans="80:94" hidden="1" x14ac:dyDescent="0.2">
      <c r="CE39" s="28"/>
      <c r="CF39" s="20"/>
      <c r="CG39" s="29" t="s">
        <v>91</v>
      </c>
      <c r="CH39" s="29" t="s">
        <v>92</v>
      </c>
      <c r="CI39" s="29" t="s">
        <v>93</v>
      </c>
      <c r="CJ39" s="29" t="s">
        <v>94</v>
      </c>
      <c r="CK39" s="29" t="s">
        <v>95</v>
      </c>
      <c r="CL39" s="29" t="s">
        <v>96</v>
      </c>
      <c r="CM39" s="29" t="s">
        <v>97</v>
      </c>
      <c r="CN39" s="29" t="s">
        <v>98</v>
      </c>
      <c r="CO39" s="13"/>
      <c r="CP39" s="27"/>
    </row>
    <row r="40" spans="80:94" hidden="1" x14ac:dyDescent="0.2">
      <c r="CE40" s="19"/>
      <c r="CF40" s="13"/>
      <c r="CG40" s="7" t="s">
        <v>3</v>
      </c>
      <c r="CH40" s="7" t="s">
        <v>3</v>
      </c>
      <c r="CI40" s="8" t="s">
        <v>4</v>
      </c>
      <c r="CJ40" s="8" t="s">
        <v>4</v>
      </c>
      <c r="CK40" s="8" t="s">
        <v>4</v>
      </c>
      <c r="CL40" s="8" t="s">
        <v>4</v>
      </c>
      <c r="CM40" s="7" t="s">
        <v>5</v>
      </c>
      <c r="CN40" s="7" t="s">
        <v>5</v>
      </c>
      <c r="CO40" s="13"/>
      <c r="CP40" s="27"/>
    </row>
    <row r="41" spans="80:94" hidden="1" x14ac:dyDescent="0.2">
      <c r="CE41" s="19"/>
      <c r="CF41" s="13"/>
      <c r="CG41" s="30">
        <f>CI8</f>
        <v>3.31540037508013</v>
      </c>
      <c r="CH41" s="30">
        <f t="shared" ref="CH41:CN41" si="2">CJ8</f>
        <v>3.3292835392878999</v>
      </c>
      <c r="CI41" s="30">
        <f t="shared" si="2"/>
        <v>3.34803178972642</v>
      </c>
      <c r="CJ41" s="30">
        <f t="shared" si="2"/>
        <v>3.3673825941733302</v>
      </c>
      <c r="CK41" s="30">
        <f t="shared" si="2"/>
        <v>3.38833435878575</v>
      </c>
      <c r="CL41" s="30">
        <f t="shared" si="2"/>
        <v>3.4096488246484</v>
      </c>
      <c r="CM41" s="30">
        <f t="shared" si="2"/>
        <v>3.4302167440242401</v>
      </c>
      <c r="CN41" s="30">
        <f t="shared" si="2"/>
        <v>3.45145754963055</v>
      </c>
      <c r="CO41" s="13"/>
      <c r="CP41" s="27">
        <f>AVERAGE(CG41:CN41)</f>
        <v>3.3799694719195901</v>
      </c>
    </row>
    <row r="42" spans="80:94" hidden="1" x14ac:dyDescent="0.2">
      <c r="CE42" s="19"/>
      <c r="CF42" s="13"/>
      <c r="CG42" s="13"/>
      <c r="CH42" s="13"/>
      <c r="CI42" s="13"/>
      <c r="CJ42" s="13"/>
      <c r="CK42" s="13"/>
      <c r="CL42" s="13"/>
      <c r="CM42" s="13"/>
      <c r="CN42" s="13"/>
      <c r="CO42" s="13"/>
      <c r="CP42" s="31"/>
    </row>
    <row r="43" spans="80:94" hidden="1" x14ac:dyDescent="0.2">
      <c r="CE43" s="19"/>
      <c r="CF43" s="13"/>
      <c r="CG43" s="13"/>
      <c r="CH43" s="13"/>
      <c r="CI43" s="13"/>
      <c r="CJ43" s="13"/>
      <c r="CK43" s="13"/>
      <c r="CL43" s="13"/>
      <c r="CM43" s="13"/>
      <c r="CN43" s="13"/>
      <c r="CO43" s="32" t="s">
        <v>129</v>
      </c>
      <c r="CP43" s="33">
        <f>(CP41-CP36)/CP36</f>
        <v>2.2565678391648442E-2</v>
      </c>
    </row>
    <row r="44" spans="80:94" hidden="1" x14ac:dyDescent="0.2">
      <c r="CE44" s="34"/>
      <c r="CF44" s="35"/>
      <c r="CG44" s="35"/>
      <c r="CH44" s="35"/>
      <c r="CI44" s="35"/>
      <c r="CJ44" s="35"/>
      <c r="CK44" s="35"/>
      <c r="CL44" s="35"/>
      <c r="CM44" s="35"/>
      <c r="CN44" s="35"/>
      <c r="CO44" s="35"/>
      <c r="CP44" s="36"/>
    </row>
    <row r="45" spans="80:94" hidden="1" x14ac:dyDescent="0.2"/>
  </sheetData>
  <mergeCells count="5">
    <mergeCell ref="A1:B1"/>
    <mergeCell ref="CB24:CC24"/>
    <mergeCell ref="CE24:CG24"/>
    <mergeCell ref="CB38:CC38"/>
    <mergeCell ref="CE38:CG38"/>
  </mergeCells>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DEA2B-C295-4227-A3DD-8CB58EC97D14}">
  <sheetPr>
    <pageSetUpPr fitToPage="1"/>
  </sheetPr>
  <dimension ref="B1:K57"/>
  <sheetViews>
    <sheetView showGridLines="0" zoomScale="55" zoomScaleNormal="55" workbookViewId="0">
      <selection activeCell="F33" sqref="F33:F34"/>
    </sheetView>
  </sheetViews>
  <sheetFormatPr defaultRowHeight="26.25" x14ac:dyDescent="0.4"/>
  <cols>
    <col min="1" max="1" width="5.5703125" style="37" customWidth="1"/>
    <col min="2" max="2" width="78.7109375" style="37" customWidth="1"/>
    <col min="3" max="3" width="25.85546875" style="37" customWidth="1"/>
    <col min="4" max="4" width="71.5703125" style="37" customWidth="1"/>
    <col min="5" max="5" width="69.140625" style="39" customWidth="1"/>
    <col min="6" max="6" width="46.140625" style="39" customWidth="1"/>
    <col min="7" max="8" width="9.140625" style="37"/>
    <col min="9" max="9" width="26.140625" style="37" customWidth="1"/>
    <col min="10" max="10" width="22.42578125" style="40" customWidth="1"/>
    <col min="11" max="11" width="13.42578125" style="37" customWidth="1"/>
    <col min="12" max="231" width="9.140625" style="37"/>
    <col min="232" max="232" width="5.5703125" style="37" customWidth="1"/>
    <col min="233" max="233" width="58" style="37" customWidth="1"/>
    <col min="234" max="234" width="24.140625" style="37" customWidth="1"/>
    <col min="235" max="236" width="0" style="37" hidden="1" customWidth="1"/>
    <col min="237" max="237" width="61.42578125" style="37" customWidth="1"/>
    <col min="238" max="238" width="62.140625" style="37" customWidth="1"/>
    <col min="239" max="242" width="0" style="37" hidden="1" customWidth="1"/>
    <col min="243" max="487" width="9.140625" style="37"/>
    <col min="488" max="488" width="5.5703125" style="37" customWidth="1"/>
    <col min="489" max="489" width="58" style="37" customWidth="1"/>
    <col min="490" max="490" width="24.140625" style="37" customWidth="1"/>
    <col min="491" max="492" width="0" style="37" hidden="1" customWidth="1"/>
    <col min="493" max="493" width="61.42578125" style="37" customWidth="1"/>
    <col min="494" max="494" width="62.140625" style="37" customWidth="1"/>
    <col min="495" max="498" width="0" style="37" hidden="1" customWidth="1"/>
    <col min="499" max="743" width="9.140625" style="37"/>
    <col min="744" max="744" width="5.5703125" style="37" customWidth="1"/>
    <col min="745" max="745" width="58" style="37" customWidth="1"/>
    <col min="746" max="746" width="24.140625" style="37" customWidth="1"/>
    <col min="747" max="748" width="0" style="37" hidden="1" customWidth="1"/>
    <col min="749" max="749" width="61.42578125" style="37" customWidth="1"/>
    <col min="750" max="750" width="62.140625" style="37" customWidth="1"/>
    <col min="751" max="754" width="0" style="37" hidden="1" customWidth="1"/>
    <col min="755" max="999" width="9.140625" style="37"/>
    <col min="1000" max="1000" width="5.5703125" style="37" customWidth="1"/>
    <col min="1001" max="1001" width="58" style="37" customWidth="1"/>
    <col min="1002" max="1002" width="24.140625" style="37" customWidth="1"/>
    <col min="1003" max="1004" width="0" style="37" hidden="1" customWidth="1"/>
    <col min="1005" max="1005" width="61.42578125" style="37" customWidth="1"/>
    <col min="1006" max="1006" width="62.140625" style="37" customWidth="1"/>
    <col min="1007" max="1010" width="0" style="37" hidden="1" customWidth="1"/>
    <col min="1011" max="1255" width="9.140625" style="37"/>
    <col min="1256" max="1256" width="5.5703125" style="37" customWidth="1"/>
    <col min="1257" max="1257" width="58" style="37" customWidth="1"/>
    <col min="1258" max="1258" width="24.140625" style="37" customWidth="1"/>
    <col min="1259" max="1260" width="0" style="37" hidden="1" customWidth="1"/>
    <col min="1261" max="1261" width="61.42578125" style="37" customWidth="1"/>
    <col min="1262" max="1262" width="62.140625" style="37" customWidth="1"/>
    <col min="1263" max="1266" width="0" style="37" hidden="1" customWidth="1"/>
    <col min="1267" max="1511" width="9.140625" style="37"/>
    <col min="1512" max="1512" width="5.5703125" style="37" customWidth="1"/>
    <col min="1513" max="1513" width="58" style="37" customWidth="1"/>
    <col min="1514" max="1514" width="24.140625" style="37" customWidth="1"/>
    <col min="1515" max="1516" width="0" style="37" hidden="1" customWidth="1"/>
    <col min="1517" max="1517" width="61.42578125" style="37" customWidth="1"/>
    <col min="1518" max="1518" width="62.140625" style="37" customWidth="1"/>
    <col min="1519" max="1522" width="0" style="37" hidden="1" customWidth="1"/>
    <col min="1523" max="1767" width="9.140625" style="37"/>
    <col min="1768" max="1768" width="5.5703125" style="37" customWidth="1"/>
    <col min="1769" max="1769" width="58" style="37" customWidth="1"/>
    <col min="1770" max="1770" width="24.140625" style="37" customWidth="1"/>
    <col min="1771" max="1772" width="0" style="37" hidden="1" customWidth="1"/>
    <col min="1773" max="1773" width="61.42578125" style="37" customWidth="1"/>
    <col min="1774" max="1774" width="62.140625" style="37" customWidth="1"/>
    <col min="1775" max="1778" width="0" style="37" hidden="1" customWidth="1"/>
    <col min="1779" max="2023" width="9.140625" style="37"/>
    <col min="2024" max="2024" width="5.5703125" style="37" customWidth="1"/>
    <col min="2025" max="2025" width="58" style="37" customWidth="1"/>
    <col min="2026" max="2026" width="24.140625" style="37" customWidth="1"/>
    <col min="2027" max="2028" width="0" style="37" hidden="1" customWidth="1"/>
    <col min="2029" max="2029" width="61.42578125" style="37" customWidth="1"/>
    <col min="2030" max="2030" width="62.140625" style="37" customWidth="1"/>
    <col min="2031" max="2034" width="0" style="37" hidden="1" customWidth="1"/>
    <col min="2035" max="2279" width="9.140625" style="37"/>
    <col min="2280" max="2280" width="5.5703125" style="37" customWidth="1"/>
    <col min="2281" max="2281" width="58" style="37" customWidth="1"/>
    <col min="2282" max="2282" width="24.140625" style="37" customWidth="1"/>
    <col min="2283" max="2284" width="0" style="37" hidden="1" customWidth="1"/>
    <col min="2285" max="2285" width="61.42578125" style="37" customWidth="1"/>
    <col min="2286" max="2286" width="62.140625" style="37" customWidth="1"/>
    <col min="2287" max="2290" width="0" style="37" hidden="1" customWidth="1"/>
    <col min="2291" max="2535" width="9.140625" style="37"/>
    <col min="2536" max="2536" width="5.5703125" style="37" customWidth="1"/>
    <col min="2537" max="2537" width="58" style="37" customWidth="1"/>
    <col min="2538" max="2538" width="24.140625" style="37" customWidth="1"/>
    <col min="2539" max="2540" width="0" style="37" hidden="1" customWidth="1"/>
    <col min="2541" max="2541" width="61.42578125" style="37" customWidth="1"/>
    <col min="2542" max="2542" width="62.140625" style="37" customWidth="1"/>
    <col min="2543" max="2546" width="0" style="37" hidden="1" customWidth="1"/>
    <col min="2547" max="2791" width="9.140625" style="37"/>
    <col min="2792" max="2792" width="5.5703125" style="37" customWidth="1"/>
    <col min="2793" max="2793" width="58" style="37" customWidth="1"/>
    <col min="2794" max="2794" width="24.140625" style="37" customWidth="1"/>
    <col min="2795" max="2796" width="0" style="37" hidden="1" customWidth="1"/>
    <col min="2797" max="2797" width="61.42578125" style="37" customWidth="1"/>
    <col min="2798" max="2798" width="62.140625" style="37" customWidth="1"/>
    <col min="2799" max="2802" width="0" style="37" hidden="1" customWidth="1"/>
    <col min="2803" max="3047" width="9.140625" style="37"/>
    <col min="3048" max="3048" width="5.5703125" style="37" customWidth="1"/>
    <col min="3049" max="3049" width="58" style="37" customWidth="1"/>
    <col min="3050" max="3050" width="24.140625" style="37" customWidth="1"/>
    <col min="3051" max="3052" width="0" style="37" hidden="1" customWidth="1"/>
    <col min="3053" max="3053" width="61.42578125" style="37" customWidth="1"/>
    <col min="3054" max="3054" width="62.140625" style="37" customWidth="1"/>
    <col min="3055" max="3058" width="0" style="37" hidden="1" customWidth="1"/>
    <col min="3059" max="3303" width="9.140625" style="37"/>
    <col min="3304" max="3304" width="5.5703125" style="37" customWidth="1"/>
    <col min="3305" max="3305" width="58" style="37" customWidth="1"/>
    <col min="3306" max="3306" width="24.140625" style="37" customWidth="1"/>
    <col min="3307" max="3308" width="0" style="37" hidden="1" customWidth="1"/>
    <col min="3309" max="3309" width="61.42578125" style="37" customWidth="1"/>
    <col min="3310" max="3310" width="62.140625" style="37" customWidth="1"/>
    <col min="3311" max="3314" width="0" style="37" hidden="1" customWidth="1"/>
    <col min="3315" max="3559" width="9.140625" style="37"/>
    <col min="3560" max="3560" width="5.5703125" style="37" customWidth="1"/>
    <col min="3561" max="3561" width="58" style="37" customWidth="1"/>
    <col min="3562" max="3562" width="24.140625" style="37" customWidth="1"/>
    <col min="3563" max="3564" width="0" style="37" hidden="1" customWidth="1"/>
    <col min="3565" max="3565" width="61.42578125" style="37" customWidth="1"/>
    <col min="3566" max="3566" width="62.140625" style="37" customWidth="1"/>
    <col min="3567" max="3570" width="0" style="37" hidden="1" customWidth="1"/>
    <col min="3571" max="3815" width="9.140625" style="37"/>
    <col min="3816" max="3816" width="5.5703125" style="37" customWidth="1"/>
    <col min="3817" max="3817" width="58" style="37" customWidth="1"/>
    <col min="3818" max="3818" width="24.140625" style="37" customWidth="1"/>
    <col min="3819" max="3820" width="0" style="37" hidden="1" customWidth="1"/>
    <col min="3821" max="3821" width="61.42578125" style="37" customWidth="1"/>
    <col min="3822" max="3822" width="62.140625" style="37" customWidth="1"/>
    <col min="3823" max="3826" width="0" style="37" hidden="1" customWidth="1"/>
    <col min="3827" max="4071" width="9.140625" style="37"/>
    <col min="4072" max="4072" width="5.5703125" style="37" customWidth="1"/>
    <col min="4073" max="4073" width="58" style="37" customWidth="1"/>
    <col min="4074" max="4074" width="24.140625" style="37" customWidth="1"/>
    <col min="4075" max="4076" width="0" style="37" hidden="1" customWidth="1"/>
    <col min="4077" max="4077" width="61.42578125" style="37" customWidth="1"/>
    <col min="4078" max="4078" width="62.140625" style="37" customWidth="1"/>
    <col min="4079" max="4082" width="0" style="37" hidden="1" customWidth="1"/>
    <col min="4083" max="4327" width="9.140625" style="37"/>
    <col min="4328" max="4328" width="5.5703125" style="37" customWidth="1"/>
    <col min="4329" max="4329" width="58" style="37" customWidth="1"/>
    <col min="4330" max="4330" width="24.140625" style="37" customWidth="1"/>
    <col min="4331" max="4332" width="0" style="37" hidden="1" customWidth="1"/>
    <col min="4333" max="4333" width="61.42578125" style="37" customWidth="1"/>
    <col min="4334" max="4334" width="62.140625" style="37" customWidth="1"/>
    <col min="4335" max="4338" width="0" style="37" hidden="1" customWidth="1"/>
    <col min="4339" max="4583" width="9.140625" style="37"/>
    <col min="4584" max="4584" width="5.5703125" style="37" customWidth="1"/>
    <col min="4585" max="4585" width="58" style="37" customWidth="1"/>
    <col min="4586" max="4586" width="24.140625" style="37" customWidth="1"/>
    <col min="4587" max="4588" width="0" style="37" hidden="1" customWidth="1"/>
    <col min="4589" max="4589" width="61.42578125" style="37" customWidth="1"/>
    <col min="4590" max="4590" width="62.140625" style="37" customWidth="1"/>
    <col min="4591" max="4594" width="0" style="37" hidden="1" customWidth="1"/>
    <col min="4595" max="4839" width="9.140625" style="37"/>
    <col min="4840" max="4840" width="5.5703125" style="37" customWidth="1"/>
    <col min="4841" max="4841" width="58" style="37" customWidth="1"/>
    <col min="4842" max="4842" width="24.140625" style="37" customWidth="1"/>
    <col min="4843" max="4844" width="0" style="37" hidden="1" customWidth="1"/>
    <col min="4845" max="4845" width="61.42578125" style="37" customWidth="1"/>
    <col min="4846" max="4846" width="62.140625" style="37" customWidth="1"/>
    <col min="4847" max="4850" width="0" style="37" hidden="1" customWidth="1"/>
    <col min="4851" max="5095" width="9.140625" style="37"/>
    <col min="5096" max="5096" width="5.5703125" style="37" customWidth="1"/>
    <col min="5097" max="5097" width="58" style="37" customWidth="1"/>
    <col min="5098" max="5098" width="24.140625" style="37" customWidth="1"/>
    <col min="5099" max="5100" width="0" style="37" hidden="1" customWidth="1"/>
    <col min="5101" max="5101" width="61.42578125" style="37" customWidth="1"/>
    <col min="5102" max="5102" width="62.140625" style="37" customWidth="1"/>
    <col min="5103" max="5106" width="0" style="37" hidden="1" customWidth="1"/>
    <col min="5107" max="5351" width="9.140625" style="37"/>
    <col min="5352" max="5352" width="5.5703125" style="37" customWidth="1"/>
    <col min="5353" max="5353" width="58" style="37" customWidth="1"/>
    <col min="5354" max="5354" width="24.140625" style="37" customWidth="1"/>
    <col min="5355" max="5356" width="0" style="37" hidden="1" customWidth="1"/>
    <col min="5357" max="5357" width="61.42578125" style="37" customWidth="1"/>
    <col min="5358" max="5358" width="62.140625" style="37" customWidth="1"/>
    <col min="5359" max="5362" width="0" style="37" hidden="1" customWidth="1"/>
    <col min="5363" max="5607" width="9.140625" style="37"/>
    <col min="5608" max="5608" width="5.5703125" style="37" customWidth="1"/>
    <col min="5609" max="5609" width="58" style="37" customWidth="1"/>
    <col min="5610" max="5610" width="24.140625" style="37" customWidth="1"/>
    <col min="5611" max="5612" width="0" style="37" hidden="1" customWidth="1"/>
    <col min="5613" max="5613" width="61.42578125" style="37" customWidth="1"/>
    <col min="5614" max="5614" width="62.140625" style="37" customWidth="1"/>
    <col min="5615" max="5618" width="0" style="37" hidden="1" customWidth="1"/>
    <col min="5619" max="5863" width="9.140625" style="37"/>
    <col min="5864" max="5864" width="5.5703125" style="37" customWidth="1"/>
    <col min="5865" max="5865" width="58" style="37" customWidth="1"/>
    <col min="5866" max="5866" width="24.140625" style="37" customWidth="1"/>
    <col min="5867" max="5868" width="0" style="37" hidden="1" customWidth="1"/>
    <col min="5869" max="5869" width="61.42578125" style="37" customWidth="1"/>
    <col min="5870" max="5870" width="62.140625" style="37" customWidth="1"/>
    <col min="5871" max="5874" width="0" style="37" hidden="1" customWidth="1"/>
    <col min="5875" max="6119" width="9.140625" style="37"/>
    <col min="6120" max="6120" width="5.5703125" style="37" customWidth="1"/>
    <col min="6121" max="6121" width="58" style="37" customWidth="1"/>
    <col min="6122" max="6122" width="24.140625" style="37" customWidth="1"/>
    <col min="6123" max="6124" width="0" style="37" hidden="1" customWidth="1"/>
    <col min="6125" max="6125" width="61.42578125" style="37" customWidth="1"/>
    <col min="6126" max="6126" width="62.140625" style="37" customWidth="1"/>
    <col min="6127" max="6130" width="0" style="37" hidden="1" customWidth="1"/>
    <col min="6131" max="6375" width="9.140625" style="37"/>
    <col min="6376" max="6376" width="5.5703125" style="37" customWidth="1"/>
    <col min="6377" max="6377" width="58" style="37" customWidth="1"/>
    <col min="6378" max="6378" width="24.140625" style="37" customWidth="1"/>
    <col min="6379" max="6380" width="0" style="37" hidden="1" customWidth="1"/>
    <col min="6381" max="6381" width="61.42578125" style="37" customWidth="1"/>
    <col min="6382" max="6382" width="62.140625" style="37" customWidth="1"/>
    <col min="6383" max="6386" width="0" style="37" hidden="1" customWidth="1"/>
    <col min="6387" max="6631" width="9.140625" style="37"/>
    <col min="6632" max="6632" width="5.5703125" style="37" customWidth="1"/>
    <col min="6633" max="6633" width="58" style="37" customWidth="1"/>
    <col min="6634" max="6634" width="24.140625" style="37" customWidth="1"/>
    <col min="6635" max="6636" width="0" style="37" hidden="1" customWidth="1"/>
    <col min="6637" max="6637" width="61.42578125" style="37" customWidth="1"/>
    <col min="6638" max="6638" width="62.140625" style="37" customWidth="1"/>
    <col min="6639" max="6642" width="0" style="37" hidden="1" customWidth="1"/>
    <col min="6643" max="6887" width="9.140625" style="37"/>
    <col min="6888" max="6888" width="5.5703125" style="37" customWidth="1"/>
    <col min="6889" max="6889" width="58" style="37" customWidth="1"/>
    <col min="6890" max="6890" width="24.140625" style="37" customWidth="1"/>
    <col min="6891" max="6892" width="0" style="37" hidden="1" customWidth="1"/>
    <col min="6893" max="6893" width="61.42578125" style="37" customWidth="1"/>
    <col min="6894" max="6894" width="62.140625" style="37" customWidth="1"/>
    <col min="6895" max="6898" width="0" style="37" hidden="1" customWidth="1"/>
    <col min="6899" max="7143" width="9.140625" style="37"/>
    <col min="7144" max="7144" width="5.5703125" style="37" customWidth="1"/>
    <col min="7145" max="7145" width="58" style="37" customWidth="1"/>
    <col min="7146" max="7146" width="24.140625" style="37" customWidth="1"/>
    <col min="7147" max="7148" width="0" style="37" hidden="1" customWidth="1"/>
    <col min="7149" max="7149" width="61.42578125" style="37" customWidth="1"/>
    <col min="7150" max="7150" width="62.140625" style="37" customWidth="1"/>
    <col min="7151" max="7154" width="0" style="37" hidden="1" customWidth="1"/>
    <col min="7155" max="7399" width="9.140625" style="37"/>
    <col min="7400" max="7400" width="5.5703125" style="37" customWidth="1"/>
    <col min="7401" max="7401" width="58" style="37" customWidth="1"/>
    <col min="7402" max="7402" width="24.140625" style="37" customWidth="1"/>
    <col min="7403" max="7404" width="0" style="37" hidden="1" customWidth="1"/>
    <col min="7405" max="7405" width="61.42578125" style="37" customWidth="1"/>
    <col min="7406" max="7406" width="62.140625" style="37" customWidth="1"/>
    <col min="7407" max="7410" width="0" style="37" hidden="1" customWidth="1"/>
    <col min="7411" max="7655" width="9.140625" style="37"/>
    <col min="7656" max="7656" width="5.5703125" style="37" customWidth="1"/>
    <col min="7657" max="7657" width="58" style="37" customWidth="1"/>
    <col min="7658" max="7658" width="24.140625" style="37" customWidth="1"/>
    <col min="7659" max="7660" width="0" style="37" hidden="1" customWidth="1"/>
    <col min="7661" max="7661" width="61.42578125" style="37" customWidth="1"/>
    <col min="7662" max="7662" width="62.140625" style="37" customWidth="1"/>
    <col min="7663" max="7666" width="0" style="37" hidden="1" customWidth="1"/>
    <col min="7667" max="7911" width="9.140625" style="37"/>
    <col min="7912" max="7912" width="5.5703125" style="37" customWidth="1"/>
    <col min="7913" max="7913" width="58" style="37" customWidth="1"/>
    <col min="7914" max="7914" width="24.140625" style="37" customWidth="1"/>
    <col min="7915" max="7916" width="0" style="37" hidden="1" customWidth="1"/>
    <col min="7917" max="7917" width="61.42578125" style="37" customWidth="1"/>
    <col min="7918" max="7918" width="62.140625" style="37" customWidth="1"/>
    <col min="7919" max="7922" width="0" style="37" hidden="1" customWidth="1"/>
    <col min="7923" max="8167" width="9.140625" style="37"/>
    <col min="8168" max="8168" width="5.5703125" style="37" customWidth="1"/>
    <col min="8169" max="8169" width="58" style="37" customWidth="1"/>
    <col min="8170" max="8170" width="24.140625" style="37" customWidth="1"/>
    <col min="8171" max="8172" width="0" style="37" hidden="1" customWidth="1"/>
    <col min="8173" max="8173" width="61.42578125" style="37" customWidth="1"/>
    <col min="8174" max="8174" width="62.140625" style="37" customWidth="1"/>
    <col min="8175" max="8178" width="0" style="37" hidden="1" customWidth="1"/>
    <col min="8179" max="8423" width="9.140625" style="37"/>
    <col min="8424" max="8424" width="5.5703125" style="37" customWidth="1"/>
    <col min="8425" max="8425" width="58" style="37" customWidth="1"/>
    <col min="8426" max="8426" width="24.140625" style="37" customWidth="1"/>
    <col min="8427" max="8428" width="0" style="37" hidden="1" customWidth="1"/>
    <col min="8429" max="8429" width="61.42578125" style="37" customWidth="1"/>
    <col min="8430" max="8430" width="62.140625" style="37" customWidth="1"/>
    <col min="8431" max="8434" width="0" style="37" hidden="1" customWidth="1"/>
    <col min="8435" max="8679" width="9.140625" style="37"/>
    <col min="8680" max="8680" width="5.5703125" style="37" customWidth="1"/>
    <col min="8681" max="8681" width="58" style="37" customWidth="1"/>
    <col min="8682" max="8682" width="24.140625" style="37" customWidth="1"/>
    <col min="8683" max="8684" width="0" style="37" hidden="1" customWidth="1"/>
    <col min="8685" max="8685" width="61.42578125" style="37" customWidth="1"/>
    <col min="8686" max="8686" width="62.140625" style="37" customWidth="1"/>
    <col min="8687" max="8690" width="0" style="37" hidden="1" customWidth="1"/>
    <col min="8691" max="8935" width="9.140625" style="37"/>
    <col min="8936" max="8936" width="5.5703125" style="37" customWidth="1"/>
    <col min="8937" max="8937" width="58" style="37" customWidth="1"/>
    <col min="8938" max="8938" width="24.140625" style="37" customWidth="1"/>
    <col min="8939" max="8940" width="0" style="37" hidden="1" customWidth="1"/>
    <col min="8941" max="8941" width="61.42578125" style="37" customWidth="1"/>
    <col min="8942" max="8942" width="62.140625" style="37" customWidth="1"/>
    <col min="8943" max="8946" width="0" style="37" hidden="1" customWidth="1"/>
    <col min="8947" max="9191" width="9.140625" style="37"/>
    <col min="9192" max="9192" width="5.5703125" style="37" customWidth="1"/>
    <col min="9193" max="9193" width="58" style="37" customWidth="1"/>
    <col min="9194" max="9194" width="24.140625" style="37" customWidth="1"/>
    <col min="9195" max="9196" width="0" style="37" hidden="1" customWidth="1"/>
    <col min="9197" max="9197" width="61.42578125" style="37" customWidth="1"/>
    <col min="9198" max="9198" width="62.140625" style="37" customWidth="1"/>
    <col min="9199" max="9202" width="0" style="37" hidden="1" customWidth="1"/>
    <col min="9203" max="9447" width="9.140625" style="37"/>
    <col min="9448" max="9448" width="5.5703125" style="37" customWidth="1"/>
    <col min="9449" max="9449" width="58" style="37" customWidth="1"/>
    <col min="9450" max="9450" width="24.140625" style="37" customWidth="1"/>
    <col min="9451" max="9452" width="0" style="37" hidden="1" customWidth="1"/>
    <col min="9453" max="9453" width="61.42578125" style="37" customWidth="1"/>
    <col min="9454" max="9454" width="62.140625" style="37" customWidth="1"/>
    <col min="9455" max="9458" width="0" style="37" hidden="1" customWidth="1"/>
    <col min="9459" max="9703" width="9.140625" style="37"/>
    <col min="9704" max="9704" width="5.5703125" style="37" customWidth="1"/>
    <col min="9705" max="9705" width="58" style="37" customWidth="1"/>
    <col min="9706" max="9706" width="24.140625" style="37" customWidth="1"/>
    <col min="9707" max="9708" width="0" style="37" hidden="1" customWidth="1"/>
    <col min="9709" max="9709" width="61.42578125" style="37" customWidth="1"/>
    <col min="9710" max="9710" width="62.140625" style="37" customWidth="1"/>
    <col min="9711" max="9714" width="0" style="37" hidden="1" customWidth="1"/>
    <col min="9715" max="9959" width="9.140625" style="37"/>
    <col min="9960" max="9960" width="5.5703125" style="37" customWidth="1"/>
    <col min="9961" max="9961" width="58" style="37" customWidth="1"/>
    <col min="9962" max="9962" width="24.140625" style="37" customWidth="1"/>
    <col min="9963" max="9964" width="0" style="37" hidden="1" customWidth="1"/>
    <col min="9965" max="9965" width="61.42578125" style="37" customWidth="1"/>
    <col min="9966" max="9966" width="62.140625" style="37" customWidth="1"/>
    <col min="9967" max="9970" width="0" style="37" hidden="1" customWidth="1"/>
    <col min="9971" max="10215" width="9.140625" style="37"/>
    <col min="10216" max="10216" width="5.5703125" style="37" customWidth="1"/>
    <col min="10217" max="10217" width="58" style="37" customWidth="1"/>
    <col min="10218" max="10218" width="24.140625" style="37" customWidth="1"/>
    <col min="10219" max="10220" width="0" style="37" hidden="1" customWidth="1"/>
    <col min="10221" max="10221" width="61.42578125" style="37" customWidth="1"/>
    <col min="10222" max="10222" width="62.140625" style="37" customWidth="1"/>
    <col min="10223" max="10226" width="0" style="37" hidden="1" customWidth="1"/>
    <col min="10227" max="10471" width="9.140625" style="37"/>
    <col min="10472" max="10472" width="5.5703125" style="37" customWidth="1"/>
    <col min="10473" max="10473" width="58" style="37" customWidth="1"/>
    <col min="10474" max="10474" width="24.140625" style="37" customWidth="1"/>
    <col min="10475" max="10476" width="0" style="37" hidden="1" customWidth="1"/>
    <col min="10477" max="10477" width="61.42578125" style="37" customWidth="1"/>
    <col min="10478" max="10478" width="62.140625" style="37" customWidth="1"/>
    <col min="10479" max="10482" width="0" style="37" hidden="1" customWidth="1"/>
    <col min="10483" max="10727" width="9.140625" style="37"/>
    <col min="10728" max="10728" width="5.5703125" style="37" customWidth="1"/>
    <col min="10729" max="10729" width="58" style="37" customWidth="1"/>
    <col min="10730" max="10730" width="24.140625" style="37" customWidth="1"/>
    <col min="10731" max="10732" width="0" style="37" hidden="1" customWidth="1"/>
    <col min="10733" max="10733" width="61.42578125" style="37" customWidth="1"/>
    <col min="10734" max="10734" width="62.140625" style="37" customWidth="1"/>
    <col min="10735" max="10738" width="0" style="37" hidden="1" customWidth="1"/>
    <col min="10739" max="10983" width="9.140625" style="37"/>
    <col min="10984" max="10984" width="5.5703125" style="37" customWidth="1"/>
    <col min="10985" max="10985" width="58" style="37" customWidth="1"/>
    <col min="10986" max="10986" width="24.140625" style="37" customWidth="1"/>
    <col min="10987" max="10988" width="0" style="37" hidden="1" customWidth="1"/>
    <col min="10989" max="10989" width="61.42578125" style="37" customWidth="1"/>
    <col min="10990" max="10990" width="62.140625" style="37" customWidth="1"/>
    <col min="10991" max="10994" width="0" style="37" hidden="1" customWidth="1"/>
    <col min="10995" max="11239" width="9.140625" style="37"/>
    <col min="11240" max="11240" width="5.5703125" style="37" customWidth="1"/>
    <col min="11241" max="11241" width="58" style="37" customWidth="1"/>
    <col min="11242" max="11242" width="24.140625" style="37" customWidth="1"/>
    <col min="11243" max="11244" width="0" style="37" hidden="1" customWidth="1"/>
    <col min="11245" max="11245" width="61.42578125" style="37" customWidth="1"/>
    <col min="11246" max="11246" width="62.140625" style="37" customWidth="1"/>
    <col min="11247" max="11250" width="0" style="37" hidden="1" customWidth="1"/>
    <col min="11251" max="11495" width="9.140625" style="37"/>
    <col min="11496" max="11496" width="5.5703125" style="37" customWidth="1"/>
    <col min="11497" max="11497" width="58" style="37" customWidth="1"/>
    <col min="11498" max="11498" width="24.140625" style="37" customWidth="1"/>
    <col min="11499" max="11500" width="0" style="37" hidden="1" customWidth="1"/>
    <col min="11501" max="11501" width="61.42578125" style="37" customWidth="1"/>
    <col min="11502" max="11502" width="62.140625" style="37" customWidth="1"/>
    <col min="11503" max="11506" width="0" style="37" hidden="1" customWidth="1"/>
    <col min="11507" max="11751" width="9.140625" style="37"/>
    <col min="11752" max="11752" width="5.5703125" style="37" customWidth="1"/>
    <col min="11753" max="11753" width="58" style="37" customWidth="1"/>
    <col min="11754" max="11754" width="24.140625" style="37" customWidth="1"/>
    <col min="11755" max="11756" width="0" style="37" hidden="1" customWidth="1"/>
    <col min="11757" max="11757" width="61.42578125" style="37" customWidth="1"/>
    <col min="11758" max="11758" width="62.140625" style="37" customWidth="1"/>
    <col min="11759" max="11762" width="0" style="37" hidden="1" customWidth="1"/>
    <col min="11763" max="12007" width="9.140625" style="37"/>
    <col min="12008" max="12008" width="5.5703125" style="37" customWidth="1"/>
    <col min="12009" max="12009" width="58" style="37" customWidth="1"/>
    <col min="12010" max="12010" width="24.140625" style="37" customWidth="1"/>
    <col min="12011" max="12012" width="0" style="37" hidden="1" customWidth="1"/>
    <col min="12013" max="12013" width="61.42578125" style="37" customWidth="1"/>
    <col min="12014" max="12014" width="62.140625" style="37" customWidth="1"/>
    <col min="12015" max="12018" width="0" style="37" hidden="1" customWidth="1"/>
    <col min="12019" max="12263" width="9.140625" style="37"/>
    <col min="12264" max="12264" width="5.5703125" style="37" customWidth="1"/>
    <col min="12265" max="12265" width="58" style="37" customWidth="1"/>
    <col min="12266" max="12266" width="24.140625" style="37" customWidth="1"/>
    <col min="12267" max="12268" width="0" style="37" hidden="1" customWidth="1"/>
    <col min="12269" max="12269" width="61.42578125" style="37" customWidth="1"/>
    <col min="12270" max="12270" width="62.140625" style="37" customWidth="1"/>
    <col min="12271" max="12274" width="0" style="37" hidden="1" customWidth="1"/>
    <col min="12275" max="12519" width="9.140625" style="37"/>
    <col min="12520" max="12520" width="5.5703125" style="37" customWidth="1"/>
    <col min="12521" max="12521" width="58" style="37" customWidth="1"/>
    <col min="12522" max="12522" width="24.140625" style="37" customWidth="1"/>
    <col min="12523" max="12524" width="0" style="37" hidden="1" customWidth="1"/>
    <col min="12525" max="12525" width="61.42578125" style="37" customWidth="1"/>
    <col min="12526" max="12526" width="62.140625" style="37" customWidth="1"/>
    <col min="12527" max="12530" width="0" style="37" hidden="1" customWidth="1"/>
    <col min="12531" max="12775" width="9.140625" style="37"/>
    <col min="12776" max="12776" width="5.5703125" style="37" customWidth="1"/>
    <col min="12777" max="12777" width="58" style="37" customWidth="1"/>
    <col min="12778" max="12778" width="24.140625" style="37" customWidth="1"/>
    <col min="12779" max="12780" width="0" style="37" hidden="1" customWidth="1"/>
    <col min="12781" max="12781" width="61.42578125" style="37" customWidth="1"/>
    <col min="12782" max="12782" width="62.140625" style="37" customWidth="1"/>
    <col min="12783" max="12786" width="0" style="37" hidden="1" customWidth="1"/>
    <col min="12787" max="13031" width="9.140625" style="37"/>
    <col min="13032" max="13032" width="5.5703125" style="37" customWidth="1"/>
    <col min="13033" max="13033" width="58" style="37" customWidth="1"/>
    <col min="13034" max="13034" width="24.140625" style="37" customWidth="1"/>
    <col min="13035" max="13036" width="0" style="37" hidden="1" customWidth="1"/>
    <col min="13037" max="13037" width="61.42578125" style="37" customWidth="1"/>
    <col min="13038" max="13038" width="62.140625" style="37" customWidth="1"/>
    <col min="13039" max="13042" width="0" style="37" hidden="1" customWidth="1"/>
    <col min="13043" max="13287" width="9.140625" style="37"/>
    <col min="13288" max="13288" width="5.5703125" style="37" customWidth="1"/>
    <col min="13289" max="13289" width="58" style="37" customWidth="1"/>
    <col min="13290" max="13290" width="24.140625" style="37" customWidth="1"/>
    <col min="13291" max="13292" width="0" style="37" hidden="1" customWidth="1"/>
    <col min="13293" max="13293" width="61.42578125" style="37" customWidth="1"/>
    <col min="13294" max="13294" width="62.140625" style="37" customWidth="1"/>
    <col min="13295" max="13298" width="0" style="37" hidden="1" customWidth="1"/>
    <col min="13299" max="13543" width="9.140625" style="37"/>
    <col min="13544" max="13544" width="5.5703125" style="37" customWidth="1"/>
    <col min="13545" max="13545" width="58" style="37" customWidth="1"/>
    <col min="13546" max="13546" width="24.140625" style="37" customWidth="1"/>
    <col min="13547" max="13548" width="0" style="37" hidden="1" customWidth="1"/>
    <col min="13549" max="13549" width="61.42578125" style="37" customWidth="1"/>
    <col min="13550" max="13550" width="62.140625" style="37" customWidth="1"/>
    <col min="13551" max="13554" width="0" style="37" hidden="1" customWidth="1"/>
    <col min="13555" max="13799" width="9.140625" style="37"/>
    <col min="13800" max="13800" width="5.5703125" style="37" customWidth="1"/>
    <col min="13801" max="13801" width="58" style="37" customWidth="1"/>
    <col min="13802" max="13802" width="24.140625" style="37" customWidth="1"/>
    <col min="13803" max="13804" width="0" style="37" hidden="1" customWidth="1"/>
    <col min="13805" max="13805" width="61.42578125" style="37" customWidth="1"/>
    <col min="13806" max="13806" width="62.140625" style="37" customWidth="1"/>
    <col min="13807" max="13810" width="0" style="37" hidden="1" customWidth="1"/>
    <col min="13811" max="14055" width="9.140625" style="37"/>
    <col min="14056" max="14056" width="5.5703125" style="37" customWidth="1"/>
    <col min="14057" max="14057" width="58" style="37" customWidth="1"/>
    <col min="14058" max="14058" width="24.140625" style="37" customWidth="1"/>
    <col min="14059" max="14060" width="0" style="37" hidden="1" customWidth="1"/>
    <col min="14061" max="14061" width="61.42578125" style="37" customWidth="1"/>
    <col min="14062" max="14062" width="62.140625" style="37" customWidth="1"/>
    <col min="14063" max="14066" width="0" style="37" hidden="1" customWidth="1"/>
    <col min="14067" max="14311" width="9.140625" style="37"/>
    <col min="14312" max="14312" width="5.5703125" style="37" customWidth="1"/>
    <col min="14313" max="14313" width="58" style="37" customWidth="1"/>
    <col min="14314" max="14314" width="24.140625" style="37" customWidth="1"/>
    <col min="14315" max="14316" width="0" style="37" hidden="1" customWidth="1"/>
    <col min="14317" max="14317" width="61.42578125" style="37" customWidth="1"/>
    <col min="14318" max="14318" width="62.140625" style="37" customWidth="1"/>
    <col min="14319" max="14322" width="0" style="37" hidden="1" customWidth="1"/>
    <col min="14323" max="14567" width="9.140625" style="37"/>
    <col min="14568" max="14568" width="5.5703125" style="37" customWidth="1"/>
    <col min="14569" max="14569" width="58" style="37" customWidth="1"/>
    <col min="14570" max="14570" width="24.140625" style="37" customWidth="1"/>
    <col min="14571" max="14572" width="0" style="37" hidden="1" customWidth="1"/>
    <col min="14573" max="14573" width="61.42578125" style="37" customWidth="1"/>
    <col min="14574" max="14574" width="62.140625" style="37" customWidth="1"/>
    <col min="14575" max="14578" width="0" style="37" hidden="1" customWidth="1"/>
    <col min="14579" max="14823" width="9.140625" style="37"/>
    <col min="14824" max="14824" width="5.5703125" style="37" customWidth="1"/>
    <col min="14825" max="14825" width="58" style="37" customWidth="1"/>
    <col min="14826" max="14826" width="24.140625" style="37" customWidth="1"/>
    <col min="14827" max="14828" width="0" style="37" hidden="1" customWidth="1"/>
    <col min="14829" max="14829" width="61.42578125" style="37" customWidth="1"/>
    <col min="14830" max="14830" width="62.140625" style="37" customWidth="1"/>
    <col min="14831" max="14834" width="0" style="37" hidden="1" customWidth="1"/>
    <col min="14835" max="15079" width="9.140625" style="37"/>
    <col min="15080" max="15080" width="5.5703125" style="37" customWidth="1"/>
    <col min="15081" max="15081" width="58" style="37" customWidth="1"/>
    <col min="15082" max="15082" width="24.140625" style="37" customWidth="1"/>
    <col min="15083" max="15084" width="0" style="37" hidden="1" customWidth="1"/>
    <col min="15085" max="15085" width="61.42578125" style="37" customWidth="1"/>
    <col min="15086" max="15086" width="62.140625" style="37" customWidth="1"/>
    <col min="15087" max="15090" width="0" style="37" hidden="1" customWidth="1"/>
    <col min="15091" max="15335" width="9.140625" style="37"/>
    <col min="15336" max="15336" width="5.5703125" style="37" customWidth="1"/>
    <col min="15337" max="15337" width="58" style="37" customWidth="1"/>
    <col min="15338" max="15338" width="24.140625" style="37" customWidth="1"/>
    <col min="15339" max="15340" width="0" style="37" hidden="1" customWidth="1"/>
    <col min="15341" max="15341" width="61.42578125" style="37" customWidth="1"/>
    <col min="15342" max="15342" width="62.140625" style="37" customWidth="1"/>
    <col min="15343" max="15346" width="0" style="37" hidden="1" customWidth="1"/>
    <col min="15347" max="15591" width="9.140625" style="37"/>
    <col min="15592" max="15592" width="5.5703125" style="37" customWidth="1"/>
    <col min="15593" max="15593" width="58" style="37" customWidth="1"/>
    <col min="15594" max="15594" width="24.140625" style="37" customWidth="1"/>
    <col min="15595" max="15596" width="0" style="37" hidden="1" customWidth="1"/>
    <col min="15597" max="15597" width="61.42578125" style="37" customWidth="1"/>
    <col min="15598" max="15598" width="62.140625" style="37" customWidth="1"/>
    <col min="15599" max="15602" width="0" style="37" hidden="1" customWidth="1"/>
    <col min="15603" max="15847" width="9.140625" style="37"/>
    <col min="15848" max="15848" width="5.5703125" style="37" customWidth="1"/>
    <col min="15849" max="15849" width="58" style="37" customWidth="1"/>
    <col min="15850" max="15850" width="24.140625" style="37" customWidth="1"/>
    <col min="15851" max="15852" width="0" style="37" hidden="1" customWidth="1"/>
    <col min="15853" max="15853" width="61.42578125" style="37" customWidth="1"/>
    <col min="15854" max="15854" width="62.140625" style="37" customWidth="1"/>
    <col min="15855" max="15858" width="0" style="37" hidden="1" customWidth="1"/>
    <col min="15859" max="16103" width="9.140625" style="37"/>
    <col min="16104" max="16104" width="5.5703125" style="37" customWidth="1"/>
    <col min="16105" max="16105" width="58" style="37" customWidth="1"/>
    <col min="16106" max="16106" width="24.140625" style="37" customWidth="1"/>
    <col min="16107" max="16108" width="0" style="37" hidden="1" customWidth="1"/>
    <col min="16109" max="16109" width="61.42578125" style="37" customWidth="1"/>
    <col min="16110" max="16110" width="62.140625" style="37" customWidth="1"/>
    <col min="16111" max="16114" width="0" style="37" hidden="1" customWidth="1"/>
    <col min="16115" max="16358" width="9.140625" style="37"/>
    <col min="16359" max="16384" width="8.85546875" style="37" customWidth="1"/>
  </cols>
  <sheetData>
    <row r="1" spans="2:11" x14ac:dyDescent="0.4">
      <c r="C1" s="38" t="s">
        <v>131</v>
      </c>
      <c r="I1" s="38" t="s">
        <v>131</v>
      </c>
    </row>
    <row r="2" spans="2:11" x14ac:dyDescent="0.4">
      <c r="C2" s="41">
        <v>45047</v>
      </c>
      <c r="I2" s="41">
        <v>44682</v>
      </c>
    </row>
    <row r="3" spans="2:11" x14ac:dyDescent="0.4">
      <c r="B3" s="42"/>
      <c r="C3" s="43" t="s">
        <v>132</v>
      </c>
      <c r="I3" s="43" t="s">
        <v>132</v>
      </c>
    </row>
    <row r="4" spans="2:11" ht="24.95" customHeight="1" thickBot="1" x14ac:dyDescent="0.45">
      <c r="B4" s="44" t="s">
        <v>133</v>
      </c>
      <c r="C4" s="45" t="s">
        <v>134</v>
      </c>
      <c r="D4" s="44" t="s">
        <v>135</v>
      </c>
      <c r="E4" s="46" t="s">
        <v>136</v>
      </c>
      <c r="F4" s="46" t="s">
        <v>137</v>
      </c>
      <c r="I4" s="45" t="s">
        <v>134</v>
      </c>
      <c r="J4" s="47" t="s">
        <v>138</v>
      </c>
    </row>
    <row r="5" spans="2:11" ht="39.950000000000003" customHeight="1" thickBot="1" x14ac:dyDescent="0.45">
      <c r="B5" s="48" t="s">
        <v>139</v>
      </c>
      <c r="C5" s="49">
        <f>'[10]DC  CNA  DC III'!I8</f>
        <v>20.792100000000001</v>
      </c>
      <c r="D5" s="418" t="s">
        <v>140</v>
      </c>
      <c r="E5" s="411" t="s">
        <v>141</v>
      </c>
      <c r="F5" s="411" t="s">
        <v>142</v>
      </c>
      <c r="G5" s="50"/>
      <c r="H5" s="50"/>
      <c r="I5" s="51">
        <v>20</v>
      </c>
      <c r="J5" s="52">
        <f t="shared" ref="J5:J34" si="0">C5-I5</f>
        <v>0.79210000000000136</v>
      </c>
      <c r="K5" s="53">
        <f>J5/C5</f>
        <v>3.8096199999038162E-2</v>
      </c>
    </row>
    <row r="6" spans="2:11" ht="42.6" customHeight="1" thickBot="1" x14ac:dyDescent="0.45">
      <c r="B6" s="54" t="s">
        <v>143</v>
      </c>
      <c r="C6" s="55">
        <f>C5*2080</f>
        <v>43247.567999999999</v>
      </c>
      <c r="D6" s="419"/>
      <c r="E6" s="412"/>
      <c r="F6" s="412"/>
      <c r="G6" s="56"/>
      <c r="H6" s="56"/>
      <c r="I6" s="57">
        <v>41600</v>
      </c>
      <c r="J6" s="58">
        <f t="shared" si="0"/>
        <v>1647.5679999999993</v>
      </c>
      <c r="K6" s="53">
        <f t="shared" ref="K6:K34" si="1">J6/C6</f>
        <v>3.8096199999038079E-2</v>
      </c>
    </row>
    <row r="7" spans="2:11" ht="27" thickBot="1" x14ac:dyDescent="0.45">
      <c r="B7" s="59" t="s">
        <v>144</v>
      </c>
      <c r="C7" s="49">
        <f>'[10]DC  CNA  DC III'!I21</f>
        <v>27.027519999999999</v>
      </c>
      <c r="D7" s="50" t="s">
        <v>145</v>
      </c>
      <c r="E7" s="411" t="s">
        <v>146</v>
      </c>
      <c r="F7" s="411" t="s">
        <v>147</v>
      </c>
      <c r="G7" s="50"/>
      <c r="H7" s="50"/>
      <c r="I7" s="51">
        <v>25.580080000000002</v>
      </c>
      <c r="J7" s="52">
        <f t="shared" si="0"/>
        <v>1.4474399999999967</v>
      </c>
      <c r="K7" s="53">
        <f t="shared" si="1"/>
        <v>5.355430316951007E-2</v>
      </c>
    </row>
    <row r="8" spans="2:11" ht="46.5" customHeight="1" thickBot="1" x14ac:dyDescent="0.45">
      <c r="B8" s="60" t="s">
        <v>148</v>
      </c>
      <c r="C8" s="61">
        <f>C7*2080</f>
        <v>56217.241600000001</v>
      </c>
      <c r="D8" s="39" t="s">
        <v>149</v>
      </c>
      <c r="E8" s="417"/>
      <c r="F8" s="417"/>
      <c r="G8" s="56"/>
      <c r="H8" s="56"/>
      <c r="I8" s="62">
        <v>53206.566400000003</v>
      </c>
      <c r="J8" s="58">
        <f t="shared" si="0"/>
        <v>3010.6751999999979</v>
      </c>
      <c r="K8" s="53">
        <f t="shared" si="1"/>
        <v>5.3554303169510147E-2</v>
      </c>
    </row>
    <row r="9" spans="2:11" ht="26.1" customHeight="1" thickBot="1" x14ac:dyDescent="0.45">
      <c r="B9" s="59" t="s">
        <v>150</v>
      </c>
      <c r="C9" s="49">
        <f>'[10]DC  CNA  DC III'!I13</f>
        <v>21.417999999999999</v>
      </c>
      <c r="D9" s="50"/>
      <c r="E9" s="411" t="s">
        <v>151</v>
      </c>
      <c r="F9" s="411" t="s">
        <v>152</v>
      </c>
      <c r="G9" s="50"/>
      <c r="H9" s="50"/>
      <c r="I9" s="51">
        <v>20</v>
      </c>
      <c r="J9" s="52">
        <f t="shared" si="0"/>
        <v>1.4179999999999993</v>
      </c>
      <c r="K9" s="53">
        <f t="shared" si="1"/>
        <v>6.6205994957512337E-2</v>
      </c>
    </row>
    <row r="10" spans="2:11" ht="27" thickBot="1" x14ac:dyDescent="0.45">
      <c r="B10" s="63" t="s">
        <v>153</v>
      </c>
      <c r="C10" s="55">
        <f>'[10]DC  CNA  DC III'!J13</f>
        <v>44549.439999999995</v>
      </c>
      <c r="D10" s="56"/>
      <c r="E10" s="412"/>
      <c r="F10" s="412"/>
      <c r="I10" s="57">
        <v>41600</v>
      </c>
      <c r="J10" s="58">
        <f t="shared" si="0"/>
        <v>2949.4399999999951</v>
      </c>
      <c r="K10" s="53">
        <f t="shared" si="1"/>
        <v>6.6205994957512268E-2</v>
      </c>
    </row>
    <row r="11" spans="2:11" ht="27" thickBot="1" x14ac:dyDescent="0.45">
      <c r="B11" s="59" t="s">
        <v>154</v>
      </c>
      <c r="C11" s="49">
        <f>'[10]Case Social Worker.Manager'!J6</f>
        <v>30.979999999999997</v>
      </c>
      <c r="D11" s="50" t="s">
        <v>155</v>
      </c>
      <c r="E11" s="411" t="s">
        <v>156</v>
      </c>
      <c r="F11" s="411" t="s">
        <v>157</v>
      </c>
      <c r="G11" s="59"/>
      <c r="H11" s="50"/>
      <c r="I11" s="51">
        <v>28.180799999999998</v>
      </c>
      <c r="J11" s="52">
        <f t="shared" si="0"/>
        <v>2.799199999999999</v>
      </c>
      <c r="K11" s="53">
        <f t="shared" si="1"/>
        <v>9.0355067785668153E-2</v>
      </c>
    </row>
    <row r="12" spans="2:11" ht="27" thickBot="1" x14ac:dyDescent="0.45">
      <c r="B12" s="60" t="s">
        <v>158</v>
      </c>
      <c r="C12" s="61">
        <f>C11*2080</f>
        <v>64438.399999999994</v>
      </c>
      <c r="D12" s="37" t="s">
        <v>159</v>
      </c>
      <c r="E12" s="417"/>
      <c r="F12" s="417"/>
      <c r="G12" s="63"/>
      <c r="H12" s="56"/>
      <c r="I12" s="62">
        <v>58616.063999999998</v>
      </c>
      <c r="J12" s="52">
        <f t="shared" si="0"/>
        <v>5822.3359999999957</v>
      </c>
      <c r="K12" s="53">
        <f t="shared" si="1"/>
        <v>9.0355067785668111E-2</v>
      </c>
    </row>
    <row r="13" spans="2:11" ht="53.25" thickBot="1" x14ac:dyDescent="0.45">
      <c r="B13" s="64" t="s">
        <v>160</v>
      </c>
      <c r="C13" s="49">
        <f>'[10]Case Social Worker.Manager'!J13</f>
        <v>33.755499999999998</v>
      </c>
      <c r="D13" s="50" t="s">
        <v>161</v>
      </c>
      <c r="E13" s="411" t="s">
        <v>162</v>
      </c>
      <c r="F13" s="411" t="s">
        <v>163</v>
      </c>
      <c r="G13" s="59"/>
      <c r="H13" s="50"/>
      <c r="I13" s="51">
        <v>30.9283</v>
      </c>
      <c r="J13" s="52">
        <f t="shared" si="0"/>
        <v>2.8271999999999977</v>
      </c>
      <c r="K13" s="53">
        <f t="shared" si="1"/>
        <v>8.3755239886833199E-2</v>
      </c>
    </row>
    <row r="14" spans="2:11" ht="53.25" thickBot="1" x14ac:dyDescent="0.45">
      <c r="B14" s="65" t="s">
        <v>164</v>
      </c>
      <c r="C14" s="55">
        <f>C13*2080</f>
        <v>70211.44</v>
      </c>
      <c r="D14" s="56" t="s">
        <v>165</v>
      </c>
      <c r="E14" s="412"/>
      <c r="F14" s="412"/>
      <c r="G14" s="63"/>
      <c r="H14" s="56"/>
      <c r="I14" s="57">
        <v>64330.864000000001</v>
      </c>
      <c r="J14" s="52">
        <f t="shared" si="0"/>
        <v>5880.5760000000009</v>
      </c>
      <c r="K14" s="53">
        <f t="shared" si="1"/>
        <v>8.3755239886833269E-2</v>
      </c>
    </row>
    <row r="15" spans="2:11" ht="27" thickBot="1" x14ac:dyDescent="0.45">
      <c r="B15" s="59" t="s">
        <v>166</v>
      </c>
      <c r="C15" s="49">
        <f>[10]Nursing!J4</f>
        <v>35.506799999999998</v>
      </c>
      <c r="D15" s="50"/>
      <c r="E15" s="411" t="s">
        <v>167</v>
      </c>
      <c r="F15" s="411" t="s">
        <v>168</v>
      </c>
      <c r="I15" s="51">
        <v>31.575200000000002</v>
      </c>
      <c r="J15" s="52">
        <f t="shared" si="0"/>
        <v>3.931599999999996</v>
      </c>
      <c r="K15" s="53">
        <f t="shared" si="1"/>
        <v>0.1107280858877735</v>
      </c>
    </row>
    <row r="16" spans="2:11" ht="27" thickBot="1" x14ac:dyDescent="0.45">
      <c r="B16" s="63" t="s">
        <v>169</v>
      </c>
      <c r="C16" s="55">
        <f>C15*2080</f>
        <v>73854.144</v>
      </c>
      <c r="D16" s="56" t="s">
        <v>170</v>
      </c>
      <c r="E16" s="412"/>
      <c r="F16" s="412"/>
      <c r="I16" s="57">
        <v>65676.416000000012</v>
      </c>
      <c r="J16" s="52">
        <f t="shared" si="0"/>
        <v>8177.7279999999882</v>
      </c>
      <c r="K16" s="53">
        <f t="shared" si="1"/>
        <v>0.11072808588777346</v>
      </c>
    </row>
    <row r="17" spans="2:11" ht="27" thickBot="1" x14ac:dyDescent="0.45">
      <c r="B17" s="59" t="s">
        <v>171</v>
      </c>
      <c r="C17" s="49">
        <f>[10]Clinical!J8</f>
        <v>40.211399999999998</v>
      </c>
      <c r="D17" s="50" t="s">
        <v>172</v>
      </c>
      <c r="E17" s="411" t="s">
        <v>173</v>
      </c>
      <c r="F17" s="411" t="s">
        <v>174</v>
      </c>
      <c r="G17" s="59"/>
      <c r="H17" s="50"/>
      <c r="I17" s="51">
        <v>38.753100000000003</v>
      </c>
      <c r="J17" s="52">
        <f t="shared" si="0"/>
        <v>1.4582999999999942</v>
      </c>
      <c r="K17" s="53">
        <f t="shared" si="1"/>
        <v>3.6265835061698781E-2</v>
      </c>
    </row>
    <row r="18" spans="2:11" ht="27" thickBot="1" x14ac:dyDescent="0.45">
      <c r="B18" s="63" t="s">
        <v>175</v>
      </c>
      <c r="C18" s="55">
        <f>C17*2080</f>
        <v>83639.712</v>
      </c>
      <c r="D18" s="56"/>
      <c r="E18" s="412"/>
      <c r="F18" s="412"/>
      <c r="G18" s="63"/>
      <c r="H18" s="56"/>
      <c r="I18" s="57">
        <v>80606.448000000004</v>
      </c>
      <c r="J18" s="52">
        <f t="shared" si="0"/>
        <v>3033.2639999999956</v>
      </c>
      <c r="K18" s="53">
        <f t="shared" si="1"/>
        <v>3.6265835061698871E-2</v>
      </c>
    </row>
    <row r="19" spans="2:11" ht="27" thickBot="1" x14ac:dyDescent="0.45">
      <c r="B19" s="59" t="s">
        <v>176</v>
      </c>
      <c r="C19" s="66">
        <f>[10]Therapies!I5</f>
        <v>36.818800000000003</v>
      </c>
      <c r="D19" s="50"/>
      <c r="E19" s="411" t="s">
        <v>177</v>
      </c>
      <c r="F19" s="411" t="s">
        <v>178</v>
      </c>
      <c r="I19" s="67">
        <v>32.740400000000001</v>
      </c>
      <c r="J19" s="52">
        <f t="shared" si="0"/>
        <v>4.078400000000002</v>
      </c>
      <c r="K19" s="53">
        <f t="shared" si="1"/>
        <v>0.11076949819114153</v>
      </c>
    </row>
    <row r="20" spans="2:11" ht="27" thickBot="1" x14ac:dyDescent="0.45">
      <c r="B20" s="63" t="s">
        <v>179</v>
      </c>
      <c r="C20" s="55">
        <f>C19*2080</f>
        <v>76583.104000000007</v>
      </c>
      <c r="D20" s="56"/>
      <c r="E20" s="412"/>
      <c r="F20" s="412"/>
      <c r="I20" s="68">
        <v>68100.032000000007</v>
      </c>
      <c r="J20" s="52">
        <f t="shared" si="0"/>
        <v>8483.0720000000001</v>
      </c>
      <c r="K20" s="53">
        <f t="shared" si="1"/>
        <v>0.11076949819114147</v>
      </c>
    </row>
    <row r="21" spans="2:11" ht="27" thickBot="1" x14ac:dyDescent="0.45">
      <c r="B21" s="60" t="s">
        <v>180</v>
      </c>
      <c r="C21" s="69">
        <f>[10]Management!J4</f>
        <v>38.860399999999998</v>
      </c>
      <c r="D21" s="37" t="s">
        <v>181</v>
      </c>
      <c r="E21" s="411" t="s">
        <v>182</v>
      </c>
      <c r="F21" s="415" t="s">
        <v>183</v>
      </c>
      <c r="G21" s="59"/>
      <c r="H21" s="50"/>
      <c r="I21" s="70">
        <v>38.180400000000006</v>
      </c>
      <c r="J21" s="52">
        <f t="shared" si="0"/>
        <v>0.67999999999999261</v>
      </c>
      <c r="K21" s="53">
        <f t="shared" si="1"/>
        <v>1.749853321118652E-2</v>
      </c>
    </row>
    <row r="22" spans="2:11" ht="27" thickBot="1" x14ac:dyDescent="0.45">
      <c r="B22" s="63" t="s">
        <v>184</v>
      </c>
      <c r="C22" s="55">
        <f>C21*2080</f>
        <v>80829.631999999998</v>
      </c>
      <c r="D22" s="56" t="s">
        <v>185</v>
      </c>
      <c r="E22" s="412"/>
      <c r="F22" s="416"/>
      <c r="G22" s="63"/>
      <c r="H22" s="56"/>
      <c r="I22" s="68">
        <v>79415.232000000018</v>
      </c>
      <c r="J22" s="52">
        <f t="shared" si="0"/>
        <v>1414.3999999999796</v>
      </c>
      <c r="K22" s="53">
        <f t="shared" si="1"/>
        <v>1.7498533211186457E-2</v>
      </c>
    </row>
    <row r="23" spans="2:11" ht="39.950000000000003" customHeight="1" thickBot="1" x14ac:dyDescent="0.45">
      <c r="B23" s="71" t="s">
        <v>186</v>
      </c>
      <c r="C23" s="69">
        <f>[10]Therapies!I11</f>
        <v>39.750500000000002</v>
      </c>
      <c r="D23" s="37" t="s">
        <v>187</v>
      </c>
      <c r="E23" s="411" t="s">
        <v>162</v>
      </c>
      <c r="F23" s="411" t="s">
        <v>188</v>
      </c>
      <c r="G23" s="59"/>
      <c r="H23" s="50"/>
      <c r="I23" s="70">
        <v>38.017499999999998</v>
      </c>
      <c r="J23" s="52">
        <f t="shared" si="0"/>
        <v>1.7330000000000041</v>
      </c>
      <c r="K23" s="53">
        <f t="shared" si="1"/>
        <v>4.3596935887598998E-2</v>
      </c>
    </row>
    <row r="24" spans="2:11" ht="39.950000000000003" customHeight="1" thickBot="1" x14ac:dyDescent="0.45">
      <c r="B24" s="54" t="s">
        <v>189</v>
      </c>
      <c r="C24" s="55">
        <f>C23*2080</f>
        <v>82681.040000000008</v>
      </c>
      <c r="D24" s="56"/>
      <c r="E24" s="412"/>
      <c r="F24" s="412"/>
      <c r="G24" s="63"/>
      <c r="H24" s="56"/>
      <c r="I24" s="68">
        <v>79076.399999999994</v>
      </c>
      <c r="J24" s="52">
        <f t="shared" si="0"/>
        <v>3604.640000000014</v>
      </c>
      <c r="K24" s="53">
        <f t="shared" si="1"/>
        <v>4.359693588759906E-2</v>
      </c>
    </row>
    <row r="25" spans="2:11" ht="27" thickBot="1" x14ac:dyDescent="0.45">
      <c r="B25" s="60" t="s">
        <v>190</v>
      </c>
      <c r="C25" s="69">
        <f>[10]Therapies!I17</f>
        <v>42.784640000000003</v>
      </c>
      <c r="D25" s="37" t="s">
        <v>191</v>
      </c>
      <c r="E25" s="411" t="s">
        <v>162</v>
      </c>
      <c r="F25" s="411" t="s">
        <v>192</v>
      </c>
      <c r="G25" s="60"/>
      <c r="I25" s="70">
        <v>41.25168</v>
      </c>
      <c r="J25" s="52">
        <f t="shared" si="0"/>
        <v>1.5329600000000028</v>
      </c>
      <c r="K25" s="53">
        <f t="shared" si="1"/>
        <v>3.5829680932222469E-2</v>
      </c>
    </row>
    <row r="26" spans="2:11" ht="27" thickBot="1" x14ac:dyDescent="0.45">
      <c r="B26" s="63" t="s">
        <v>193</v>
      </c>
      <c r="C26" s="61">
        <f>C25*2080</f>
        <v>88992.051200000002</v>
      </c>
      <c r="E26" s="412"/>
      <c r="F26" s="412"/>
      <c r="G26" s="63"/>
      <c r="H26" s="56"/>
      <c r="I26" s="70">
        <v>85803.494399999996</v>
      </c>
      <c r="J26" s="52">
        <f t="shared" si="0"/>
        <v>3188.5568000000058</v>
      </c>
      <c r="K26" s="53">
        <f t="shared" si="1"/>
        <v>3.5829680932222469E-2</v>
      </c>
    </row>
    <row r="27" spans="2:11" ht="27" thickBot="1" x14ac:dyDescent="0.45">
      <c r="B27" s="59" t="s">
        <v>194</v>
      </c>
      <c r="C27" s="49">
        <f>[10]Clinical!J14</f>
        <v>48.945399999999999</v>
      </c>
      <c r="D27" s="413" t="s">
        <v>195</v>
      </c>
      <c r="E27" s="411" t="s">
        <v>196</v>
      </c>
      <c r="F27" s="411" t="s">
        <v>197</v>
      </c>
      <c r="G27" s="59"/>
      <c r="H27" s="50"/>
      <c r="I27" s="51">
        <v>48.742200000000004</v>
      </c>
      <c r="J27" s="52">
        <f t="shared" si="0"/>
        <v>0.20319999999999538</v>
      </c>
      <c r="K27" s="53">
        <f t="shared" si="1"/>
        <v>4.1515648048641015E-3</v>
      </c>
    </row>
    <row r="28" spans="2:11" ht="34.5" customHeight="1" thickBot="1" x14ac:dyDescent="0.45">
      <c r="B28" s="63" t="s">
        <v>198</v>
      </c>
      <c r="C28" s="55">
        <f>C27*2080</f>
        <v>101806.432</v>
      </c>
      <c r="D28" s="414"/>
      <c r="E28" s="412"/>
      <c r="F28" s="412"/>
      <c r="G28" s="63"/>
      <c r="H28" s="56"/>
      <c r="I28" s="57">
        <v>101383.77600000001</v>
      </c>
      <c r="J28" s="52">
        <f t="shared" si="0"/>
        <v>422.65599999998813</v>
      </c>
      <c r="K28" s="53">
        <f t="shared" si="1"/>
        <v>4.151564804864079E-3</v>
      </c>
    </row>
    <row r="29" spans="2:11" ht="27" thickBot="1" x14ac:dyDescent="0.45">
      <c r="B29" s="48" t="s">
        <v>199</v>
      </c>
      <c r="C29" s="49">
        <f>[10]Therapies!I21</f>
        <v>44.301760000000002</v>
      </c>
      <c r="D29" s="50"/>
      <c r="E29" s="411" t="s">
        <v>162</v>
      </c>
      <c r="F29" s="411" t="s">
        <v>200</v>
      </c>
      <c r="G29" s="59"/>
      <c r="H29" s="50"/>
      <c r="I29" s="51">
        <v>42.756720000000001</v>
      </c>
      <c r="J29" s="52">
        <f t="shared" si="0"/>
        <v>1.5450400000000002</v>
      </c>
      <c r="K29" s="53">
        <f t="shared" si="1"/>
        <v>3.4875363868162354E-2</v>
      </c>
    </row>
    <row r="30" spans="2:11" ht="27" thickBot="1" x14ac:dyDescent="0.45">
      <c r="B30" s="54" t="s">
        <v>201</v>
      </c>
      <c r="C30" s="55">
        <f>C29*2080</f>
        <v>92147.660799999998</v>
      </c>
      <c r="D30" s="56"/>
      <c r="E30" s="412"/>
      <c r="F30" s="412"/>
      <c r="G30" s="63"/>
      <c r="H30" s="56"/>
      <c r="I30" s="68">
        <v>88933.977599999998</v>
      </c>
      <c r="J30" s="52">
        <f t="shared" si="0"/>
        <v>3213.6831999999995</v>
      </c>
      <c r="K30" s="53">
        <f t="shared" si="1"/>
        <v>3.4875363868162347E-2</v>
      </c>
    </row>
    <row r="31" spans="2:11" ht="27" thickBot="1" x14ac:dyDescent="0.45">
      <c r="B31" s="59" t="s">
        <v>202</v>
      </c>
      <c r="C31" s="49">
        <f>[10]Nursing!J8</f>
        <v>49.818400000000004</v>
      </c>
      <c r="D31" s="50"/>
      <c r="E31" s="411" t="s">
        <v>203</v>
      </c>
      <c r="F31" s="411" t="s">
        <v>204</v>
      </c>
      <c r="G31" s="59"/>
      <c r="H31" s="50"/>
      <c r="I31" s="51">
        <v>49.162799999999997</v>
      </c>
      <c r="J31" s="52">
        <f t="shared" si="0"/>
        <v>0.65560000000000684</v>
      </c>
      <c r="K31" s="53">
        <f t="shared" si="1"/>
        <v>1.3159796380453944E-2</v>
      </c>
    </row>
    <row r="32" spans="2:11" ht="38.450000000000003" customHeight="1" thickBot="1" x14ac:dyDescent="0.45">
      <c r="B32" s="63" t="s">
        <v>205</v>
      </c>
      <c r="C32" s="55">
        <f>C31*2080</f>
        <v>103622.27200000001</v>
      </c>
      <c r="D32" s="56"/>
      <c r="E32" s="412"/>
      <c r="F32" s="412"/>
      <c r="G32" s="63"/>
      <c r="H32" s="56"/>
      <c r="I32" s="68">
        <v>102258.624</v>
      </c>
      <c r="J32" s="52">
        <f t="shared" si="0"/>
        <v>1363.6480000000156</v>
      </c>
      <c r="K32" s="53">
        <f t="shared" si="1"/>
        <v>1.3159796380453958E-2</v>
      </c>
    </row>
    <row r="33" spans="2:11" ht="27" thickBot="1" x14ac:dyDescent="0.45">
      <c r="B33" s="59" t="s">
        <v>206</v>
      </c>
      <c r="C33" s="49">
        <f>[10]Nursing!J13</f>
        <v>67.710800000000006</v>
      </c>
      <c r="D33" s="50"/>
      <c r="E33" s="411" t="s">
        <v>207</v>
      </c>
      <c r="F33" s="411" t="s">
        <v>208</v>
      </c>
      <c r="G33" s="59"/>
      <c r="H33" s="50"/>
      <c r="I33" s="51">
        <v>65.162400000000005</v>
      </c>
      <c r="J33" s="52">
        <f t="shared" si="0"/>
        <v>2.5484000000000009</v>
      </c>
      <c r="K33" s="53">
        <f t="shared" si="1"/>
        <v>3.7636536564329484E-2</v>
      </c>
    </row>
    <row r="34" spans="2:11" ht="27" thickBot="1" x14ac:dyDescent="0.45">
      <c r="B34" s="63" t="s">
        <v>209</v>
      </c>
      <c r="C34" s="55">
        <f>C33*2080</f>
        <v>140838.46400000001</v>
      </c>
      <c r="D34" s="56"/>
      <c r="E34" s="412"/>
      <c r="F34" s="412"/>
      <c r="G34" s="63"/>
      <c r="H34" s="56"/>
      <c r="I34" s="68">
        <v>135537.79200000002</v>
      </c>
      <c r="J34" s="52">
        <f t="shared" si="0"/>
        <v>5300.6719999999914</v>
      </c>
      <c r="K34" s="53">
        <f t="shared" si="1"/>
        <v>3.7636536564329408E-2</v>
      </c>
    </row>
    <row r="35" spans="2:11" x14ac:dyDescent="0.4">
      <c r="K35" s="72">
        <f>AVERAGE(K5:K34)</f>
        <v>5.1765242439199569E-2</v>
      </c>
    </row>
    <row r="36" spans="2:11" ht="52.5" x14ac:dyDescent="0.4">
      <c r="B36" s="73" t="s">
        <v>210</v>
      </c>
      <c r="C36" s="61">
        <f>C6</f>
        <v>43247.567999999999</v>
      </c>
    </row>
    <row r="37" spans="2:11" x14ac:dyDescent="0.4">
      <c r="C37" s="74"/>
    </row>
    <row r="38" spans="2:11" x14ac:dyDescent="0.4">
      <c r="B38" s="75" t="s">
        <v>211</v>
      </c>
      <c r="C38" s="76">
        <v>0.24970000000000001</v>
      </c>
      <c r="D38" s="37" t="s">
        <v>212</v>
      </c>
    </row>
    <row r="39" spans="2:11" ht="34.35" customHeight="1" x14ac:dyDescent="0.4">
      <c r="B39" s="75"/>
      <c r="C39" s="74"/>
      <c r="D39" s="408" t="s">
        <v>213</v>
      </c>
      <c r="E39" s="408"/>
      <c r="F39" s="37"/>
    </row>
    <row r="40" spans="2:11" x14ac:dyDescent="0.4">
      <c r="C40" s="74"/>
    </row>
    <row r="41" spans="2:11" x14ac:dyDescent="0.4">
      <c r="B41" s="75" t="s">
        <v>214</v>
      </c>
      <c r="C41" s="77">
        <v>0.12</v>
      </c>
      <c r="D41" s="37" t="s">
        <v>215</v>
      </c>
    </row>
    <row r="42" spans="2:11" x14ac:dyDescent="0.4">
      <c r="B42" s="75"/>
      <c r="C42" s="78"/>
    </row>
    <row r="43" spans="2:11" x14ac:dyDescent="0.4">
      <c r="B43" s="409" t="s">
        <v>216</v>
      </c>
      <c r="C43" s="409"/>
      <c r="D43" s="409"/>
    </row>
    <row r="44" spans="2:11" x14ac:dyDescent="0.4">
      <c r="B44" s="79" t="s">
        <v>217</v>
      </c>
      <c r="C44" s="61">
        <v>247470</v>
      </c>
      <c r="D44" s="37" t="s">
        <v>218</v>
      </c>
      <c r="I44" s="80">
        <v>247470</v>
      </c>
      <c r="J44" s="40">
        <f t="shared" ref="J44:J52" si="2">C44-I44</f>
        <v>0</v>
      </c>
    </row>
    <row r="45" spans="2:11" x14ac:dyDescent="0.4">
      <c r="B45" s="75" t="s">
        <v>219</v>
      </c>
      <c r="C45" s="61">
        <v>252850</v>
      </c>
      <c r="D45" s="37" t="s">
        <v>220</v>
      </c>
      <c r="I45" s="80">
        <v>206010</v>
      </c>
      <c r="J45" s="40">
        <f t="shared" si="2"/>
        <v>46840</v>
      </c>
    </row>
    <row r="46" spans="2:11" x14ac:dyDescent="0.4">
      <c r="B46" s="75" t="s">
        <v>221</v>
      </c>
      <c r="C46" s="61">
        <f>C34</f>
        <v>140838.46400000001</v>
      </c>
      <c r="D46" s="37" t="s">
        <v>222</v>
      </c>
      <c r="I46" s="80">
        <v>133902.08000000002</v>
      </c>
      <c r="J46" s="40">
        <f t="shared" si="2"/>
        <v>6936.3839999999909</v>
      </c>
    </row>
    <row r="47" spans="2:11" x14ac:dyDescent="0.4">
      <c r="B47" s="75" t="s">
        <v>223</v>
      </c>
      <c r="C47" s="81">
        <f>C6</f>
        <v>43247.567999999999</v>
      </c>
      <c r="D47" s="37" t="s">
        <v>224</v>
      </c>
      <c r="I47" s="80">
        <v>39522</v>
      </c>
      <c r="J47" s="40">
        <f t="shared" si="2"/>
        <v>3725.5679999999993</v>
      </c>
    </row>
    <row r="48" spans="2:11" x14ac:dyDescent="0.4">
      <c r="B48" s="75" t="s">
        <v>225</v>
      </c>
      <c r="C48" s="81">
        <f>AVERAGE(C6,C8)</f>
        <v>49732.404800000004</v>
      </c>
      <c r="D48" s="37" t="s">
        <v>226</v>
      </c>
      <c r="I48" s="80">
        <v>44972</v>
      </c>
      <c r="J48" s="40">
        <f t="shared" si="2"/>
        <v>4760.4048000000039</v>
      </c>
    </row>
    <row r="49" spans="2:10" x14ac:dyDescent="0.4">
      <c r="B49" s="75" t="s">
        <v>227</v>
      </c>
      <c r="C49" s="61">
        <f>C8</f>
        <v>56217.241600000001</v>
      </c>
      <c r="D49" s="37" t="s">
        <v>228</v>
      </c>
      <c r="I49" s="80">
        <v>50422</v>
      </c>
      <c r="J49" s="40">
        <f t="shared" si="2"/>
        <v>5795.2416000000012</v>
      </c>
    </row>
    <row r="50" spans="2:10" x14ac:dyDescent="0.4">
      <c r="B50" s="75" t="s">
        <v>229</v>
      </c>
      <c r="C50" s="61">
        <f>[10]state_M2023_dl!O409*2080</f>
        <v>44847.296000000002</v>
      </c>
      <c r="D50" s="37" t="s">
        <v>230</v>
      </c>
      <c r="I50" s="80">
        <v>39438.464</v>
      </c>
      <c r="J50" s="40">
        <f t="shared" si="2"/>
        <v>5408.8320000000022</v>
      </c>
    </row>
    <row r="51" spans="2:10" x14ac:dyDescent="0.4">
      <c r="B51" s="75" t="s">
        <v>231</v>
      </c>
      <c r="C51" s="81">
        <f>[10]state_M2023_dl!O609*2080</f>
        <v>51381.824000000001</v>
      </c>
      <c r="D51" s="37" t="s">
        <v>232</v>
      </c>
      <c r="I51" s="80">
        <v>49405.824000000001</v>
      </c>
      <c r="J51" s="40">
        <f t="shared" si="2"/>
        <v>1976</v>
      </c>
    </row>
    <row r="52" spans="2:10" x14ac:dyDescent="0.4">
      <c r="B52" s="75" t="s">
        <v>233</v>
      </c>
      <c r="C52" s="81">
        <f>28.49*2080</f>
        <v>59259.199999999997</v>
      </c>
      <c r="D52" s="37" t="s">
        <v>234</v>
      </c>
      <c r="I52" s="80">
        <v>55776.032000000007</v>
      </c>
      <c r="J52" s="40">
        <f t="shared" si="2"/>
        <v>3483.1679999999906</v>
      </c>
    </row>
    <row r="53" spans="2:10" x14ac:dyDescent="0.4">
      <c r="B53" s="75"/>
      <c r="C53" s="81"/>
      <c r="I53" s="80"/>
    </row>
    <row r="54" spans="2:10" x14ac:dyDescent="0.4">
      <c r="B54" s="75"/>
      <c r="C54" s="81"/>
      <c r="I54" s="80"/>
    </row>
    <row r="55" spans="2:10" x14ac:dyDescent="0.4">
      <c r="B55" s="410" t="s">
        <v>235</v>
      </c>
      <c r="C55" s="410"/>
      <c r="D55" s="410"/>
      <c r="E55" s="410"/>
      <c r="F55" s="410"/>
    </row>
    <row r="56" spans="2:10" x14ac:dyDescent="0.4">
      <c r="B56" s="82" t="s">
        <v>236</v>
      </c>
      <c r="C56" s="37" t="s">
        <v>237</v>
      </c>
    </row>
    <row r="57" spans="2:10" ht="66.599999999999994" customHeight="1" x14ac:dyDescent="0.4">
      <c r="B57" s="83" t="s">
        <v>238</v>
      </c>
      <c r="C57" s="408" t="s">
        <v>239</v>
      </c>
      <c r="D57" s="408"/>
      <c r="E57" s="408"/>
      <c r="F57" s="408"/>
      <c r="G57" s="408"/>
      <c r="H57" s="408"/>
      <c r="I57" s="408"/>
      <c r="J57" s="408"/>
    </row>
  </sheetData>
  <mergeCells count="36">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39:E39"/>
    <mergeCell ref="B43:D43"/>
    <mergeCell ref="B55:F55"/>
    <mergeCell ref="C57:J57"/>
    <mergeCell ref="E29:E30"/>
    <mergeCell ref="F29:F30"/>
    <mergeCell ref="E31:E32"/>
    <mergeCell ref="F31:F32"/>
    <mergeCell ref="E33:E34"/>
    <mergeCell ref="F33:F34"/>
  </mergeCells>
  <pageMargins left="0.7" right="0.7"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FAD36-FBEF-42AA-B904-4C051D430E1C}">
  <dimension ref="B1:I70"/>
  <sheetViews>
    <sheetView topLeftCell="A13" zoomScale="85" zoomScaleNormal="85" workbookViewId="0">
      <selection activeCell="F8" sqref="F8"/>
    </sheetView>
  </sheetViews>
  <sheetFormatPr defaultRowHeight="15" x14ac:dyDescent="0.25"/>
  <cols>
    <col min="1" max="1" width="3.140625" style="339" customWidth="1"/>
    <col min="2" max="2" width="48.5703125" style="339" customWidth="1"/>
    <col min="3" max="3" width="14.42578125" style="339" customWidth="1"/>
    <col min="4" max="4" width="11.42578125" style="339" customWidth="1"/>
    <col min="5" max="5" width="14.42578125" style="339" customWidth="1"/>
    <col min="6" max="6" width="81.5703125" style="339" customWidth="1"/>
    <col min="7" max="7" width="9.140625" style="339"/>
    <col min="8" max="8" width="10.5703125" style="339" bestFit="1" customWidth="1"/>
    <col min="9" max="13" width="9.140625" style="339"/>
    <col min="14" max="14" width="45" style="339" bestFit="1" customWidth="1"/>
    <col min="15" max="16384" width="9.140625" style="339"/>
  </cols>
  <sheetData>
    <row r="1" spans="2:9" ht="21" x14ac:dyDescent="0.35">
      <c r="B1" s="337">
        <v>8006</v>
      </c>
    </row>
    <row r="2" spans="2:9" x14ac:dyDescent="0.25">
      <c r="B2" s="420" t="s">
        <v>298</v>
      </c>
      <c r="C2" s="420"/>
      <c r="D2" s="420"/>
      <c r="E2" s="420"/>
    </row>
    <row r="4" spans="2:9" x14ac:dyDescent="0.25">
      <c r="B4" s="339" t="s">
        <v>332</v>
      </c>
      <c r="C4" s="347">
        <v>379783</v>
      </c>
      <c r="D4" s="345" t="s">
        <v>300</v>
      </c>
      <c r="E4" s="367"/>
    </row>
    <row r="5" spans="2:9" x14ac:dyDescent="0.25">
      <c r="B5" s="339" t="s">
        <v>301</v>
      </c>
      <c r="C5" s="347">
        <v>30260</v>
      </c>
      <c r="D5" s="339" t="s">
        <v>302</v>
      </c>
    </row>
    <row r="6" spans="2:9" ht="25.5" customHeight="1" x14ac:dyDescent="0.25">
      <c r="B6" s="339" t="s">
        <v>303</v>
      </c>
      <c r="C6" s="348">
        <v>2080</v>
      </c>
      <c r="E6" s="391"/>
    </row>
    <row r="7" spans="2:9" ht="25.5" customHeight="1" thickBot="1" x14ac:dyDescent="0.3">
      <c r="C7" s="349"/>
      <c r="E7" s="391"/>
    </row>
    <row r="8" spans="2:9" ht="25.5" customHeight="1" x14ac:dyDescent="0.25">
      <c r="B8" s="350" t="s">
        <v>133</v>
      </c>
      <c r="C8" s="351" t="s">
        <v>255</v>
      </c>
      <c r="D8" s="351" t="s">
        <v>256</v>
      </c>
      <c r="E8" s="352" t="s">
        <v>305</v>
      </c>
    </row>
    <row r="9" spans="2:9" x14ac:dyDescent="0.25">
      <c r="B9" s="353" t="s">
        <v>184</v>
      </c>
      <c r="C9" s="354">
        <f>'[11]M2023 BLS SALARY CHART (53rd)'!C22</f>
        <v>80829.631999999998</v>
      </c>
      <c r="D9" s="355">
        <v>55</v>
      </c>
      <c r="E9" s="356">
        <f>D9*C9</f>
        <v>4445629.76</v>
      </c>
    </row>
    <row r="10" spans="2:9" ht="20.25" customHeight="1" x14ac:dyDescent="0.25">
      <c r="B10" s="353" t="s">
        <v>205</v>
      </c>
      <c r="C10" s="354">
        <f>'[11]M2023 BLS SALARY CHART (53rd)'!C32</f>
        <v>103622.27200000001</v>
      </c>
      <c r="D10" s="355">
        <v>45</v>
      </c>
      <c r="E10" s="356">
        <f t="shared" ref="E10:E16" si="0">D10*C10</f>
        <v>4663002.24</v>
      </c>
    </row>
    <row r="11" spans="2:9" x14ac:dyDescent="0.25">
      <c r="B11" s="353" t="s">
        <v>175</v>
      </c>
      <c r="C11" s="354">
        <f>'[11]M2023 BLS SALARY CHART (53rd)'!C18</f>
        <v>83639.712</v>
      </c>
      <c r="D11" s="355">
        <v>80</v>
      </c>
      <c r="E11" s="356">
        <f t="shared" si="0"/>
        <v>6691176.96</v>
      </c>
    </row>
    <row r="12" spans="2:9" x14ac:dyDescent="0.25">
      <c r="B12" s="353" t="s">
        <v>306</v>
      </c>
      <c r="C12" s="354">
        <f>'[11]M2023 BLS SALARY CHART (53rd)'!C14</f>
        <v>70211.44</v>
      </c>
      <c r="D12" s="355">
        <v>125</v>
      </c>
      <c r="E12" s="356">
        <f t="shared" si="0"/>
        <v>8776430</v>
      </c>
    </row>
    <row r="13" spans="2:9" x14ac:dyDescent="0.25">
      <c r="B13" s="353" t="s">
        <v>158</v>
      </c>
      <c r="C13" s="354">
        <f>'[11]M2023 BLS SALARY CHART (53rd)'!C12</f>
        <v>64438.399999999994</v>
      </c>
      <c r="D13" s="357">
        <v>363</v>
      </c>
      <c r="E13" s="356">
        <f t="shared" si="0"/>
        <v>23391139.199999999</v>
      </c>
    </row>
    <row r="14" spans="2:9" x14ac:dyDescent="0.25">
      <c r="B14" s="353" t="s">
        <v>148</v>
      </c>
      <c r="C14" s="354">
        <f>'[11]M2023 BLS SALARY CHART (53rd)'!C8</f>
        <v>56217.241600000001</v>
      </c>
      <c r="D14" s="357">
        <v>486</v>
      </c>
      <c r="E14" s="356">
        <f t="shared" si="0"/>
        <v>27321579.417600002</v>
      </c>
    </row>
    <row r="15" spans="2:9" x14ac:dyDescent="0.25">
      <c r="B15" s="353" t="s">
        <v>143</v>
      </c>
      <c r="C15" s="354">
        <f>'[11]M2023 BLS SALARY CHART (53rd)'!C6</f>
        <v>43247.567999999999</v>
      </c>
      <c r="D15" s="357">
        <v>475</v>
      </c>
      <c r="E15" s="356">
        <f t="shared" si="0"/>
        <v>20542594.800000001</v>
      </c>
    </row>
    <row r="16" spans="2:9" x14ac:dyDescent="0.25">
      <c r="B16" s="353" t="s">
        <v>307</v>
      </c>
      <c r="C16" s="354">
        <f>C15</f>
        <v>43247.567999999999</v>
      </c>
      <c r="D16" s="355">
        <v>70</v>
      </c>
      <c r="E16" s="356">
        <f t="shared" si="0"/>
        <v>3027329.76</v>
      </c>
      <c r="I16" s="358"/>
    </row>
    <row r="17" spans="2:8" x14ac:dyDescent="0.25">
      <c r="B17" s="359"/>
      <c r="E17" s="360"/>
    </row>
    <row r="18" spans="2:8" ht="15.6" customHeight="1" x14ac:dyDescent="0.25">
      <c r="B18" s="361" t="s">
        <v>279</v>
      </c>
      <c r="C18" s="362"/>
      <c r="D18" s="363">
        <f>SUM(D9:D16)</f>
        <v>1699</v>
      </c>
      <c r="E18" s="364">
        <f>SUM(E9:E16)</f>
        <v>98858882.137600005</v>
      </c>
      <c r="F18" s="365"/>
      <c r="G18" s="358"/>
    </row>
    <row r="19" spans="2:8" x14ac:dyDescent="0.25">
      <c r="B19" s="359"/>
      <c r="E19" s="366"/>
    </row>
    <row r="20" spans="2:8" x14ac:dyDescent="0.25">
      <c r="B20" s="368" t="s">
        <v>308</v>
      </c>
      <c r="C20" s="369"/>
      <c r="D20" s="369"/>
      <c r="E20" s="370"/>
    </row>
    <row r="21" spans="2:8" x14ac:dyDescent="0.25">
      <c r="B21" s="359" t="s">
        <v>309</v>
      </c>
      <c r="C21" s="371">
        <f>'[11]M2023 BLS SALARY CHART (53rd)'!C38</f>
        <v>0.24970000000000001</v>
      </c>
      <c r="E21" s="372">
        <f>E18*C21</f>
        <v>24685062.869758721</v>
      </c>
      <c r="F21" s="365"/>
    </row>
    <row r="22" spans="2:8" x14ac:dyDescent="0.25">
      <c r="B22" s="392" t="s">
        <v>315</v>
      </c>
      <c r="C22" s="362"/>
      <c r="D22" s="362"/>
      <c r="E22" s="374">
        <f>SUM(E21:E21,E18)</f>
        <v>123543945.00735873</v>
      </c>
    </row>
    <row r="23" spans="2:8" x14ac:dyDescent="0.25">
      <c r="B23" s="359"/>
      <c r="C23" s="375"/>
      <c r="E23" s="372"/>
    </row>
    <row r="24" spans="2:8" x14ac:dyDescent="0.25">
      <c r="B24" s="368" t="s">
        <v>311</v>
      </c>
      <c r="C24" s="369"/>
      <c r="D24" s="369"/>
      <c r="E24" s="370"/>
    </row>
    <row r="25" spans="2:8" x14ac:dyDescent="0.25">
      <c r="B25" s="359" t="s">
        <v>312</v>
      </c>
      <c r="C25" s="376">
        <f>'[12]FY21 UFR BTL Data'!E5*65%</f>
        <v>3091.8656716417918</v>
      </c>
      <c r="E25" s="372">
        <f>D18*C25</f>
        <v>5253079.7761194045</v>
      </c>
      <c r="F25" s="365"/>
    </row>
    <row r="26" spans="2:8" x14ac:dyDescent="0.25">
      <c r="B26" s="359" t="s">
        <v>313</v>
      </c>
      <c r="C26" s="377">
        <v>0.1</v>
      </c>
      <c r="E26" s="393">
        <f>C4*C26*(AVERAGE(C11:C15)/C6)</f>
        <v>1160362.5453031999</v>
      </c>
      <c r="H26" s="345"/>
    </row>
    <row r="27" spans="2:8" x14ac:dyDescent="0.25">
      <c r="B27" s="359" t="s">
        <v>314</v>
      </c>
      <c r="C27" s="378">
        <v>9.58</v>
      </c>
      <c r="E27" s="372">
        <f>C27*C5</f>
        <v>289890.8</v>
      </c>
    </row>
    <row r="28" spans="2:8" x14ac:dyDescent="0.25">
      <c r="B28" s="359" t="s">
        <v>316</v>
      </c>
      <c r="C28" s="379">
        <f>'[11]8006 BTL FY23'!AR43</f>
        <v>58.202156599953135</v>
      </c>
      <c r="E28" s="372">
        <f>C4*C28</f>
        <v>22104189.640000001</v>
      </c>
      <c r="F28" s="365"/>
    </row>
    <row r="29" spans="2:8" x14ac:dyDescent="0.25">
      <c r="B29" s="392" t="s">
        <v>321</v>
      </c>
      <c r="C29" s="362"/>
      <c r="D29" s="362"/>
      <c r="E29" s="374">
        <f>SUM(E25:E28,E22)</f>
        <v>152351467.76878133</v>
      </c>
    </row>
    <row r="30" spans="2:8" x14ac:dyDescent="0.25">
      <c r="B30" s="359"/>
      <c r="C30" s="384"/>
      <c r="E30" s="372"/>
    </row>
    <row r="31" spans="2:8" x14ac:dyDescent="0.25">
      <c r="B31" s="368" t="s">
        <v>322</v>
      </c>
      <c r="C31" s="369"/>
      <c r="D31" s="369"/>
      <c r="E31" s="370"/>
    </row>
    <row r="32" spans="2:8" x14ac:dyDescent="0.25">
      <c r="B32" s="359" t="s">
        <v>214</v>
      </c>
      <c r="C32" s="371">
        <v>0.12</v>
      </c>
      <c r="E32" s="372">
        <f>E29*C32</f>
        <v>18282176.132253759</v>
      </c>
    </row>
    <row r="33" spans="2:6" x14ac:dyDescent="0.25">
      <c r="B33" s="392" t="s">
        <v>323</v>
      </c>
      <c r="C33" s="362"/>
      <c r="D33" s="362"/>
      <c r="E33" s="374">
        <f>SUM(E32,E29)</f>
        <v>170633643.9010351</v>
      </c>
    </row>
    <row r="34" spans="2:6" x14ac:dyDescent="0.25">
      <c r="B34" s="359"/>
      <c r="E34" s="366"/>
    </row>
    <row r="35" spans="2:6" x14ac:dyDescent="0.25">
      <c r="B35" s="368" t="s">
        <v>324</v>
      </c>
      <c r="C35" s="369"/>
      <c r="D35" s="369"/>
      <c r="E35" s="370"/>
    </row>
    <row r="36" spans="2:6" x14ac:dyDescent="0.25">
      <c r="B36" s="359" t="s">
        <v>273</v>
      </c>
      <c r="C36" s="371">
        <f>'[11]SPRING 24 CAF'!CP29</f>
        <v>2.02309192926836E-2</v>
      </c>
      <c r="E36" s="372">
        <f>E29*C36</f>
        <v>3082210.2485521017</v>
      </c>
      <c r="F36" s="365"/>
    </row>
    <row r="37" spans="2:6" x14ac:dyDescent="0.25">
      <c r="B37" s="359"/>
      <c r="E37" s="366"/>
    </row>
    <row r="38" spans="2:6" x14ac:dyDescent="0.25">
      <c r="B38" s="392" t="s">
        <v>326</v>
      </c>
      <c r="C38" s="362"/>
      <c r="D38" s="362"/>
      <c r="E38" s="372">
        <f>SUM(E36,E33)</f>
        <v>173715854.14958721</v>
      </c>
    </row>
    <row r="39" spans="2:6" ht="15.75" thickBot="1" x14ac:dyDescent="0.3">
      <c r="B39" s="394" t="s">
        <v>327</v>
      </c>
      <c r="C39" s="395"/>
      <c r="D39" s="395"/>
      <c r="E39" s="383">
        <f>E38/C4</f>
        <v>457.40818875407064</v>
      </c>
    </row>
    <row r="40" spans="2:6" x14ac:dyDescent="0.25">
      <c r="B40" s="373"/>
      <c r="C40" s="373"/>
      <c r="D40" s="373"/>
      <c r="E40" s="396"/>
    </row>
    <row r="41" spans="2:6" x14ac:dyDescent="0.25">
      <c r="D41" s="339" t="s">
        <v>325</v>
      </c>
      <c r="E41" s="339">
        <v>424.34</v>
      </c>
    </row>
    <row r="42" spans="2:6" x14ac:dyDescent="0.25">
      <c r="E42" s="390">
        <f>(E39-E41)/E41</f>
        <v>7.7928521360396533E-2</v>
      </c>
    </row>
    <row r="68" spans="2:5" x14ac:dyDescent="0.25">
      <c r="B68" s="397"/>
      <c r="C68" s="398" t="s">
        <v>328</v>
      </c>
      <c r="D68" s="397"/>
      <c r="E68" s="398" t="s">
        <v>329</v>
      </c>
    </row>
    <row r="69" spans="2:5" x14ac:dyDescent="0.25">
      <c r="B69" s="386" t="s">
        <v>330</v>
      </c>
      <c r="C69" s="399">
        <v>358.99</v>
      </c>
      <c r="E69" s="400" t="e">
        <f>#REF!/C69</f>
        <v>#REF!</v>
      </c>
    </row>
    <row r="70" spans="2:5" x14ac:dyDescent="0.25">
      <c r="B70" s="386" t="s">
        <v>331</v>
      </c>
      <c r="C70" s="399">
        <v>326.35000000000002</v>
      </c>
      <c r="E70" s="400" t="e">
        <f>#REF!/C70</f>
        <v>#REF!</v>
      </c>
    </row>
  </sheetData>
  <mergeCells count="1">
    <mergeCell ref="B2:E2"/>
  </mergeCells>
  <pageMargins left="0.7" right="0.7" top="0.75" bottom="0.75" header="0.3" footer="0.3"/>
  <pageSetup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AE69-3495-466B-BF38-916C135003B5}">
  <dimension ref="B1:O45"/>
  <sheetViews>
    <sheetView zoomScale="85" zoomScaleNormal="85" workbookViewId="0">
      <selection activeCell="S23" sqref="S23"/>
    </sheetView>
  </sheetViews>
  <sheetFormatPr defaultRowHeight="15" x14ac:dyDescent="0.25"/>
  <cols>
    <col min="1" max="1" width="3.140625" style="339" customWidth="1"/>
    <col min="2" max="2" width="48.5703125" style="339" customWidth="1"/>
    <col min="3" max="3" width="14.42578125" style="339" customWidth="1"/>
    <col min="4" max="4" width="16.42578125" style="339" customWidth="1"/>
    <col min="5" max="5" width="14.42578125" style="339" customWidth="1"/>
    <col min="6" max="16384" width="9.140625" style="339"/>
  </cols>
  <sheetData>
    <row r="1" spans="2:15" ht="24" x14ac:dyDescent="0.4">
      <c r="B1" s="337" t="s">
        <v>297</v>
      </c>
      <c r="C1" s="338">
        <v>8061</v>
      </c>
      <c r="F1" s="340"/>
      <c r="G1" s="340"/>
      <c r="H1" s="340"/>
      <c r="I1" s="340"/>
      <c r="J1" s="340"/>
      <c r="K1" s="340"/>
      <c r="L1" s="340"/>
      <c r="M1" s="340"/>
      <c r="N1" s="340"/>
      <c r="O1" s="341"/>
    </row>
    <row r="2" spans="2:15" ht="24" x14ac:dyDescent="0.4">
      <c r="B2" s="337"/>
      <c r="C2" s="338"/>
      <c r="F2" s="342"/>
      <c r="G2" s="342"/>
      <c r="H2" s="342"/>
      <c r="I2" s="342"/>
      <c r="J2" s="342"/>
      <c r="K2" s="342"/>
      <c r="L2" s="342"/>
      <c r="M2" s="342"/>
      <c r="N2" s="342"/>
      <c r="O2" s="343"/>
    </row>
    <row r="3" spans="2:15" x14ac:dyDescent="0.25">
      <c r="B3" s="426" t="s">
        <v>298</v>
      </c>
      <c r="C3" s="426"/>
      <c r="D3" s="426"/>
      <c r="E3" s="426"/>
      <c r="F3" s="342"/>
      <c r="G3" s="342"/>
      <c r="H3" s="342"/>
      <c r="I3" s="342"/>
      <c r="J3" s="342"/>
      <c r="K3" s="342"/>
      <c r="L3" s="342"/>
      <c r="M3" s="342"/>
      <c r="N3" s="342"/>
      <c r="O3" s="343"/>
    </row>
    <row r="4" spans="2:15" ht="18" customHeight="1" x14ac:dyDescent="0.25">
      <c r="B4" t="s">
        <v>299</v>
      </c>
      <c r="C4" s="344">
        <v>98763</v>
      </c>
      <c r="D4" s="345" t="s">
        <v>300</v>
      </c>
      <c r="E4" s="346"/>
      <c r="F4" s="342"/>
      <c r="G4" s="342"/>
      <c r="H4" s="342"/>
      <c r="I4" s="342"/>
      <c r="J4" s="342"/>
      <c r="K4" s="342"/>
      <c r="L4" s="342"/>
      <c r="M4" s="342"/>
      <c r="N4" s="342"/>
      <c r="O4" s="343"/>
    </row>
    <row r="5" spans="2:15" ht="18" customHeight="1" x14ac:dyDescent="0.25">
      <c r="B5" s="339" t="s">
        <v>301</v>
      </c>
      <c r="C5" s="347">
        <v>11300</v>
      </c>
      <c r="D5" s="339" t="s">
        <v>302</v>
      </c>
      <c r="F5" s="342"/>
      <c r="G5" s="342"/>
      <c r="H5" s="342"/>
      <c r="I5" s="342"/>
      <c r="J5" s="342"/>
      <c r="K5" s="342"/>
      <c r="L5" s="342"/>
      <c r="M5" s="342"/>
      <c r="N5" s="342"/>
      <c r="O5" s="343"/>
    </row>
    <row r="6" spans="2:15" ht="18" customHeight="1" x14ac:dyDescent="0.25">
      <c r="B6" s="339" t="s">
        <v>303</v>
      </c>
      <c r="C6" s="348">
        <v>2080</v>
      </c>
      <c r="F6" s="342"/>
      <c r="G6" s="342"/>
      <c r="H6" s="342"/>
      <c r="I6" s="342"/>
      <c r="J6" s="342"/>
      <c r="K6" s="342"/>
      <c r="L6" s="342"/>
      <c r="M6" s="342"/>
      <c r="N6" s="342"/>
      <c r="O6" s="343"/>
    </row>
    <row r="7" spans="2:15" x14ac:dyDescent="0.25">
      <c r="F7" s="342"/>
      <c r="G7" s="342"/>
      <c r="H7" s="342"/>
      <c r="I7" s="342"/>
      <c r="J7" s="342"/>
      <c r="K7" s="342"/>
      <c r="L7" s="342"/>
      <c r="M7" s="342"/>
      <c r="N7" s="342"/>
      <c r="O7" s="343"/>
    </row>
    <row r="8" spans="2:15" ht="15.75" thickBot="1" x14ac:dyDescent="0.3">
      <c r="C8" s="349"/>
      <c r="D8" s="339" t="s">
        <v>304</v>
      </c>
      <c r="E8" s="347">
        <f>C4</f>
        <v>98763</v>
      </c>
      <c r="F8" s="342"/>
      <c r="G8" s="342"/>
      <c r="H8" s="342"/>
      <c r="I8" s="342"/>
      <c r="J8" s="342"/>
      <c r="K8" s="342"/>
      <c r="L8" s="342"/>
      <c r="M8" s="342"/>
      <c r="N8" s="342"/>
      <c r="O8" s="343"/>
    </row>
    <row r="9" spans="2:15" x14ac:dyDescent="0.25">
      <c r="B9" s="350" t="s">
        <v>133</v>
      </c>
      <c r="C9" s="351" t="s">
        <v>255</v>
      </c>
      <c r="D9" s="351" t="s">
        <v>256</v>
      </c>
      <c r="E9" s="352" t="s">
        <v>305</v>
      </c>
      <c r="F9" s="342"/>
      <c r="G9" s="342"/>
      <c r="H9" s="342"/>
      <c r="I9" s="342"/>
      <c r="J9" s="342"/>
      <c r="K9" s="342"/>
      <c r="L9" s="342"/>
      <c r="M9" s="342"/>
      <c r="N9" s="342"/>
      <c r="O9" s="343"/>
    </row>
    <row r="10" spans="2:15" x14ac:dyDescent="0.25">
      <c r="B10" s="353" t="s">
        <v>184</v>
      </c>
      <c r="C10" s="354">
        <f>'[11]M2023 BLS SALARY CHART (53rd)'!C22</f>
        <v>80829.631999999998</v>
      </c>
      <c r="D10" s="355">
        <v>25</v>
      </c>
      <c r="E10" s="356">
        <f>D10*C10</f>
        <v>2020740.8</v>
      </c>
      <c r="F10" s="342"/>
      <c r="G10" s="342"/>
      <c r="H10" s="342"/>
      <c r="I10" s="342"/>
      <c r="J10" s="342"/>
      <c r="K10" s="342"/>
      <c r="L10" s="342"/>
      <c r="M10" s="342"/>
      <c r="N10" s="342"/>
      <c r="O10" s="343"/>
    </row>
    <row r="11" spans="2:15" x14ac:dyDescent="0.25">
      <c r="B11" s="353" t="s">
        <v>209</v>
      </c>
      <c r="C11" s="354">
        <f>'[11]M2023 BLS SALARY CHART (53rd)'!C34</f>
        <v>140838.46400000001</v>
      </c>
      <c r="D11" s="355">
        <v>20</v>
      </c>
      <c r="E11" s="356">
        <f t="shared" ref="E11:E18" si="0">D11*C11</f>
        <v>2816769.2800000003</v>
      </c>
      <c r="F11" s="342"/>
      <c r="G11" s="342"/>
      <c r="H11" s="342"/>
      <c r="I11" s="342"/>
      <c r="J11" s="342"/>
      <c r="K11" s="342"/>
      <c r="L11" s="342"/>
      <c r="M11" s="342"/>
      <c r="N11" s="342"/>
      <c r="O11" s="343"/>
    </row>
    <row r="12" spans="2:15" x14ac:dyDescent="0.25">
      <c r="B12" s="353" t="s">
        <v>205</v>
      </c>
      <c r="C12" s="354">
        <f>'[11]M2023 BLS SALARY CHART (53rd)'!C32</f>
        <v>103622.27200000001</v>
      </c>
      <c r="D12" s="355">
        <v>35</v>
      </c>
      <c r="E12" s="356">
        <f t="shared" si="0"/>
        <v>3626779.5200000005</v>
      </c>
      <c r="F12" s="342"/>
      <c r="G12" s="342"/>
      <c r="H12" s="342"/>
      <c r="I12" s="342"/>
      <c r="J12" s="342"/>
      <c r="K12" s="342"/>
      <c r="L12" s="342"/>
      <c r="M12" s="342"/>
      <c r="N12" s="342"/>
      <c r="O12" s="343"/>
    </row>
    <row r="13" spans="2:15" x14ac:dyDescent="0.25">
      <c r="B13" s="353" t="s">
        <v>175</v>
      </c>
      <c r="C13" s="354">
        <f>'[11]M2023 BLS SALARY CHART (53rd)'!C18</f>
        <v>83639.712</v>
      </c>
      <c r="D13" s="355">
        <v>65</v>
      </c>
      <c r="E13" s="356">
        <f t="shared" si="0"/>
        <v>5436581.2800000003</v>
      </c>
      <c r="F13" s="342"/>
      <c r="G13" s="342"/>
      <c r="H13" s="342"/>
      <c r="I13" s="342"/>
      <c r="J13" s="342"/>
      <c r="K13" s="342"/>
      <c r="L13" s="342"/>
      <c r="M13" s="342"/>
      <c r="N13" s="342"/>
      <c r="O13" s="343"/>
    </row>
    <row r="14" spans="2:15" x14ac:dyDescent="0.25">
      <c r="B14" s="353" t="s">
        <v>306</v>
      </c>
      <c r="C14" s="354">
        <f>'[11]M2023 BLS SALARY CHART (53rd)'!C14</f>
        <v>70211.44</v>
      </c>
      <c r="D14" s="355">
        <v>25</v>
      </c>
      <c r="E14" s="356">
        <f t="shared" si="0"/>
        <v>1755286</v>
      </c>
      <c r="F14" s="342"/>
      <c r="G14" s="342"/>
      <c r="H14" s="342"/>
      <c r="I14" s="342"/>
      <c r="J14" s="342"/>
      <c r="K14" s="342"/>
      <c r="L14" s="342"/>
      <c r="M14" s="342"/>
      <c r="N14" s="342"/>
      <c r="O14" s="343"/>
    </row>
    <row r="15" spans="2:15" x14ac:dyDescent="0.25">
      <c r="B15" s="353" t="s">
        <v>158</v>
      </c>
      <c r="C15" s="354">
        <f>'[11]M2023 BLS SALARY CHART (53rd)'!C12</f>
        <v>64438.399999999994</v>
      </c>
      <c r="D15" s="357">
        <v>179</v>
      </c>
      <c r="E15" s="356">
        <f t="shared" si="0"/>
        <v>11534473.6</v>
      </c>
      <c r="F15" s="342"/>
      <c r="G15" s="342"/>
      <c r="H15" s="342"/>
      <c r="I15" s="342"/>
      <c r="J15" s="342"/>
      <c r="K15" s="342"/>
      <c r="L15" s="342"/>
      <c r="M15" s="342"/>
      <c r="N15" s="342"/>
      <c r="O15" s="343"/>
    </row>
    <row r="16" spans="2:15" x14ac:dyDescent="0.25">
      <c r="B16" s="353" t="s">
        <v>148</v>
      </c>
      <c r="C16" s="354">
        <f>'[11]M2023 BLS SALARY CHART (53rd)'!C8</f>
        <v>56217.241600000001</v>
      </c>
      <c r="D16" s="357">
        <v>283</v>
      </c>
      <c r="E16" s="356">
        <f t="shared" si="0"/>
        <v>15909479.3728</v>
      </c>
      <c r="F16" s="342"/>
      <c r="G16" s="342"/>
      <c r="H16" s="342"/>
      <c r="I16" s="342"/>
      <c r="J16" s="342"/>
      <c r="K16" s="342"/>
      <c r="L16" s="342"/>
      <c r="M16" s="342"/>
      <c r="N16" s="342"/>
      <c r="O16" s="343"/>
    </row>
    <row r="17" spans="2:15" x14ac:dyDescent="0.25">
      <c r="B17" s="353" t="s">
        <v>143</v>
      </c>
      <c r="C17" s="354">
        <f>'[11]M2023 BLS SALARY CHART (53rd)'!C6</f>
        <v>43247.567999999999</v>
      </c>
      <c r="D17" s="357">
        <v>439</v>
      </c>
      <c r="E17" s="356">
        <f t="shared" si="0"/>
        <v>18985682.351999998</v>
      </c>
      <c r="F17" s="342"/>
      <c r="G17" s="342"/>
      <c r="H17" s="342"/>
      <c r="I17" s="342"/>
      <c r="J17" s="342"/>
      <c r="K17" s="342"/>
      <c r="L17" s="342"/>
      <c r="M17" s="342"/>
      <c r="N17" s="342"/>
      <c r="O17" s="343"/>
    </row>
    <row r="18" spans="2:15" x14ac:dyDescent="0.25">
      <c r="B18" s="353" t="s">
        <v>307</v>
      </c>
      <c r="C18" s="354">
        <f>C17</f>
        <v>43247.567999999999</v>
      </c>
      <c r="D18" s="355">
        <v>35</v>
      </c>
      <c r="E18" s="356">
        <f t="shared" si="0"/>
        <v>1513664.88</v>
      </c>
      <c r="F18" s="342"/>
      <c r="G18" s="342"/>
      <c r="H18" s="342"/>
      <c r="I18" s="342"/>
      <c r="J18" s="342"/>
      <c r="K18" s="342"/>
      <c r="L18" s="342"/>
      <c r="M18" s="342"/>
      <c r="N18" s="342"/>
      <c r="O18" s="343"/>
    </row>
    <row r="19" spans="2:15" x14ac:dyDescent="0.25">
      <c r="B19" s="359"/>
      <c r="E19" s="360"/>
      <c r="F19" s="342"/>
      <c r="G19" s="342"/>
      <c r="H19" s="342"/>
      <c r="I19" s="342"/>
      <c r="J19" s="342"/>
      <c r="K19" s="342"/>
      <c r="L19" s="342"/>
      <c r="M19" s="342"/>
      <c r="N19" s="342"/>
      <c r="O19" s="343"/>
    </row>
    <row r="20" spans="2:15" ht="15.6" customHeight="1" x14ac:dyDescent="0.25">
      <c r="B20" s="361" t="s">
        <v>279</v>
      </c>
      <c r="C20" s="362"/>
      <c r="D20" s="363">
        <f>SUM(D10:D18)</f>
        <v>1106</v>
      </c>
      <c r="E20" s="364">
        <f>SUM(E10:E18)</f>
        <v>63599457.084800005</v>
      </c>
      <c r="F20" s="342"/>
      <c r="G20" s="342"/>
      <c r="H20" s="342"/>
      <c r="I20" s="342"/>
      <c r="J20" s="342"/>
      <c r="K20" s="342"/>
      <c r="L20" s="342"/>
      <c r="M20" s="342"/>
      <c r="N20" s="342"/>
      <c r="O20" s="343"/>
    </row>
    <row r="21" spans="2:15" x14ac:dyDescent="0.25">
      <c r="B21" s="359"/>
      <c r="E21" s="366"/>
      <c r="F21" s="342"/>
      <c r="G21" s="342"/>
      <c r="H21" s="342"/>
      <c r="I21" s="342"/>
      <c r="J21" s="342"/>
      <c r="K21" s="342"/>
      <c r="L21" s="342"/>
      <c r="M21" s="342"/>
      <c r="N21" s="342"/>
      <c r="O21" s="343"/>
    </row>
    <row r="22" spans="2:15" x14ac:dyDescent="0.25">
      <c r="B22" s="368" t="s">
        <v>308</v>
      </c>
      <c r="C22" s="369"/>
      <c r="D22" s="369"/>
      <c r="E22" s="370"/>
      <c r="F22" s="342"/>
      <c r="G22" s="342"/>
      <c r="H22" s="342"/>
      <c r="I22" s="342"/>
      <c r="J22" s="342"/>
      <c r="K22" s="342"/>
      <c r="L22" s="342"/>
      <c r="M22" s="342"/>
      <c r="N22" s="342"/>
      <c r="O22" s="343"/>
    </row>
    <row r="23" spans="2:15" x14ac:dyDescent="0.25">
      <c r="B23" s="359" t="s">
        <v>309</v>
      </c>
      <c r="C23" s="371">
        <f>'[11]M2023 BLS SALARY CHART (53rd)'!C38</f>
        <v>0.24970000000000001</v>
      </c>
      <c r="E23" s="372">
        <f>E20*C23</f>
        <v>15880784.434074562</v>
      </c>
      <c r="F23" s="342"/>
      <c r="G23" s="342"/>
      <c r="H23" s="342"/>
      <c r="I23" s="342"/>
      <c r="J23" s="342"/>
      <c r="K23" s="342"/>
      <c r="L23" s="342"/>
      <c r="M23" s="342"/>
      <c r="N23" s="342"/>
      <c r="O23" s="343"/>
    </row>
    <row r="24" spans="2:15" x14ac:dyDescent="0.25">
      <c r="B24" s="421" t="s">
        <v>310</v>
      </c>
      <c r="C24" s="422"/>
      <c r="D24" s="422"/>
      <c r="E24" s="374">
        <f>SUM(E23:E23,E20)</f>
        <v>79480241.518874571</v>
      </c>
      <c r="F24" s="342"/>
      <c r="G24" s="342"/>
      <c r="H24" s="342"/>
      <c r="I24" s="342"/>
      <c r="J24" s="342"/>
      <c r="K24" s="342"/>
      <c r="L24" s="342"/>
      <c r="M24" s="342"/>
      <c r="N24" s="342"/>
      <c r="O24" s="343"/>
    </row>
    <row r="25" spans="2:15" x14ac:dyDescent="0.25">
      <c r="B25" s="359"/>
      <c r="C25" s="375"/>
      <c r="E25" s="372"/>
      <c r="F25" s="342"/>
      <c r="G25" s="342"/>
      <c r="H25" s="342"/>
      <c r="I25" s="342"/>
      <c r="J25" s="342"/>
      <c r="K25" s="342"/>
      <c r="L25" s="342"/>
      <c r="M25" s="342"/>
      <c r="N25" s="342"/>
      <c r="O25" s="343"/>
    </row>
    <row r="26" spans="2:15" x14ac:dyDescent="0.25">
      <c r="B26" s="368" t="s">
        <v>311</v>
      </c>
      <c r="C26" s="369"/>
      <c r="D26" s="369"/>
      <c r="E26" s="370"/>
      <c r="F26" s="342"/>
      <c r="G26" s="342"/>
      <c r="H26" s="342"/>
      <c r="I26" s="342"/>
      <c r="J26" s="342"/>
      <c r="K26" s="342"/>
      <c r="L26" s="342"/>
      <c r="M26" s="342"/>
      <c r="N26" s="342"/>
      <c r="O26" s="343"/>
    </row>
    <row r="27" spans="2:15" x14ac:dyDescent="0.25">
      <c r="B27" s="359" t="s">
        <v>312</v>
      </c>
      <c r="C27" s="376">
        <f>1735*(1.85%+1)</f>
        <v>1767.0974999999999</v>
      </c>
      <c r="E27" s="372">
        <f>D20*C27</f>
        <v>1954409.8349999997</v>
      </c>
      <c r="F27" s="342"/>
      <c r="G27" s="342"/>
      <c r="H27" s="342"/>
      <c r="I27" s="342"/>
      <c r="J27" s="342"/>
      <c r="K27" s="342"/>
      <c r="L27" s="342"/>
      <c r="M27" s="342"/>
      <c r="N27" s="342"/>
      <c r="O27" s="343"/>
    </row>
    <row r="28" spans="2:15" x14ac:dyDescent="0.25">
      <c r="B28" s="359" t="s">
        <v>313</v>
      </c>
      <c r="C28" s="377">
        <v>0.1</v>
      </c>
      <c r="E28" s="372">
        <f>E8*C28*(AVERAGE(C13:C17)/C6)</f>
        <v>301753.5962952</v>
      </c>
      <c r="F28" s="342"/>
      <c r="G28" s="342"/>
      <c r="H28" s="342"/>
      <c r="I28" s="342"/>
      <c r="J28" s="342"/>
      <c r="K28" s="342"/>
      <c r="L28" s="342"/>
      <c r="M28" s="342"/>
      <c r="N28" s="342"/>
      <c r="O28" s="343"/>
    </row>
    <row r="29" spans="2:15" x14ac:dyDescent="0.25">
      <c r="B29" s="359" t="s">
        <v>314</v>
      </c>
      <c r="C29" s="378">
        <v>9.58</v>
      </c>
      <c r="E29" s="372">
        <f>C29*C5</f>
        <v>108254</v>
      </c>
      <c r="F29" s="342"/>
      <c r="G29" s="342"/>
      <c r="H29" s="342"/>
      <c r="I29" s="342"/>
      <c r="J29" s="342"/>
      <c r="K29" s="342"/>
      <c r="L29" s="342"/>
      <c r="M29" s="342"/>
      <c r="N29" s="342"/>
      <c r="O29" s="343"/>
    </row>
    <row r="30" spans="2:15" x14ac:dyDescent="0.25">
      <c r="B30" s="359" t="s">
        <v>316</v>
      </c>
      <c r="C30" s="379">
        <f>'[11]8061 BTL FY23'!AR39</f>
        <v>70.348341585411532</v>
      </c>
      <c r="E30" s="372">
        <f>E8*C30</f>
        <v>6947813.2599999988</v>
      </c>
      <c r="F30" s="342"/>
      <c r="G30" s="342"/>
      <c r="H30" s="342"/>
      <c r="I30" s="342"/>
      <c r="J30" s="342"/>
      <c r="K30" s="342"/>
      <c r="L30" s="342"/>
      <c r="M30" s="342"/>
      <c r="N30" s="342"/>
      <c r="O30" s="343"/>
    </row>
    <row r="31" spans="2:15" ht="15.75" thickBot="1" x14ac:dyDescent="0.3">
      <c r="B31" s="421" t="s">
        <v>317</v>
      </c>
      <c r="C31" s="422"/>
      <c r="D31" s="422"/>
      <c r="E31" s="380">
        <f>SUM(E27:E30,E24)</f>
        <v>88792472.210169762</v>
      </c>
      <c r="F31" s="342"/>
      <c r="G31" s="342"/>
      <c r="H31" s="342"/>
      <c r="I31" s="342"/>
      <c r="J31" s="342"/>
      <c r="K31" s="342"/>
      <c r="L31" s="342"/>
      <c r="M31" s="342"/>
      <c r="N31" s="342"/>
      <c r="O31" s="343"/>
    </row>
    <row r="32" spans="2:15" ht="16.5" thickTop="1" thickBot="1" x14ac:dyDescent="0.3">
      <c r="B32" s="359" t="s">
        <v>214</v>
      </c>
      <c r="C32" s="375">
        <v>0.12</v>
      </c>
      <c r="E32" s="381">
        <f>E31*C32</f>
        <v>10655096.665220371</v>
      </c>
      <c r="F32" s="342"/>
      <c r="G32" s="342"/>
      <c r="H32" s="342"/>
      <c r="I32" s="342"/>
      <c r="J32" s="342"/>
      <c r="K32" s="342"/>
      <c r="L32" s="342"/>
      <c r="M32" s="342"/>
      <c r="N32" s="342"/>
      <c r="O32" s="343"/>
    </row>
    <row r="33" spans="2:15" ht="15.75" thickTop="1" x14ac:dyDescent="0.25">
      <c r="B33" s="421" t="s">
        <v>318</v>
      </c>
      <c r="C33" s="422"/>
      <c r="D33" s="422"/>
      <c r="E33" s="374">
        <f>SUM(E32,E31)</f>
        <v>99447568.875390127</v>
      </c>
      <c r="F33" s="342"/>
      <c r="G33" s="342"/>
      <c r="H33" s="342"/>
      <c r="I33" s="342"/>
      <c r="J33" s="342"/>
      <c r="K33" s="342"/>
      <c r="L33" s="342"/>
      <c r="M33" s="342"/>
      <c r="N33" s="342"/>
      <c r="O33" s="343"/>
    </row>
    <row r="34" spans="2:15" ht="15.75" thickBot="1" x14ac:dyDescent="0.3">
      <c r="B34" s="359" t="s">
        <v>273</v>
      </c>
      <c r="C34" s="375">
        <f>'[11]SPRING 24 CAF'!CP29</f>
        <v>2.02309192926836E-2</v>
      </c>
      <c r="E34" s="382">
        <f>E31*C34</f>
        <v>1796353.3390817959</v>
      </c>
      <c r="F34" s="342"/>
      <c r="G34" s="342"/>
      <c r="H34" s="342"/>
      <c r="I34" s="342"/>
      <c r="J34" s="342"/>
      <c r="K34" s="342"/>
      <c r="L34" s="342"/>
      <c r="M34" s="342"/>
      <c r="N34" s="342"/>
      <c r="O34" s="343"/>
    </row>
    <row r="35" spans="2:15" ht="15.75" thickTop="1" x14ac:dyDescent="0.25">
      <c r="B35" s="421" t="s">
        <v>319</v>
      </c>
      <c r="C35" s="422"/>
      <c r="D35" s="422"/>
      <c r="E35" s="372">
        <f>SUM(E34,E33)</f>
        <v>101243922.21447192</v>
      </c>
      <c r="F35" s="342"/>
      <c r="G35" s="342"/>
      <c r="H35" s="342"/>
      <c r="I35" s="342"/>
      <c r="J35" s="342"/>
      <c r="K35" s="342"/>
      <c r="L35" s="342"/>
      <c r="M35" s="342"/>
      <c r="N35" s="342"/>
      <c r="O35" s="343"/>
    </row>
    <row r="36" spans="2:15" ht="15.75" thickBot="1" x14ac:dyDescent="0.3">
      <c r="B36" s="423" t="s">
        <v>320</v>
      </c>
      <c r="C36" s="424"/>
      <c r="D36" s="424"/>
      <c r="E36" s="383">
        <f>E35/E8</f>
        <v>1025.1199560004447</v>
      </c>
      <c r="F36" s="342"/>
      <c r="G36" s="342"/>
      <c r="H36" s="342"/>
      <c r="I36" s="342"/>
      <c r="J36" s="342"/>
      <c r="K36" s="342"/>
      <c r="L36" s="342"/>
      <c r="M36" s="342"/>
      <c r="N36" s="342"/>
      <c r="O36" s="343"/>
    </row>
    <row r="37" spans="2:15" x14ac:dyDescent="0.25">
      <c r="F37" s="342"/>
      <c r="G37" s="342"/>
      <c r="H37" s="342"/>
      <c r="I37" s="342"/>
      <c r="J37" s="342"/>
      <c r="K37" s="342"/>
      <c r="L37" s="342"/>
      <c r="M37" s="342"/>
      <c r="N37" s="342"/>
      <c r="O37" s="343"/>
    </row>
    <row r="38" spans="2:15" ht="15" customHeight="1" x14ac:dyDescent="0.25">
      <c r="B38" s="373"/>
      <c r="C38" s="385"/>
      <c r="D38" s="373"/>
      <c r="E38" s="385"/>
      <c r="F38" s="342"/>
      <c r="G38" s="342"/>
      <c r="H38" s="342"/>
      <c r="I38" s="342"/>
      <c r="J38" s="342"/>
      <c r="K38" s="342"/>
      <c r="L38" s="342"/>
      <c r="M38" s="342"/>
      <c r="N38" s="342"/>
      <c r="O38" s="343"/>
    </row>
    <row r="39" spans="2:15" ht="15" customHeight="1" x14ac:dyDescent="0.25">
      <c r="B39" s="386"/>
      <c r="C39" s="387"/>
      <c r="E39" s="388"/>
      <c r="F39" s="342"/>
      <c r="G39" s="342"/>
      <c r="H39" s="342"/>
      <c r="I39" s="342"/>
      <c r="J39" s="342"/>
      <c r="K39" s="342"/>
      <c r="L39" s="342"/>
      <c r="M39" s="342"/>
      <c r="N39" s="342"/>
      <c r="O39" s="343"/>
    </row>
    <row r="40" spans="2:15" ht="15" customHeight="1" x14ac:dyDescent="0.25">
      <c r="B40" s="386"/>
      <c r="C40" s="387"/>
      <c r="E40" s="388"/>
      <c r="F40" s="342"/>
      <c r="G40" s="342"/>
      <c r="H40" s="342"/>
      <c r="I40" s="342"/>
      <c r="J40" s="342"/>
      <c r="K40" s="342"/>
      <c r="L40" s="342"/>
      <c r="M40" s="342"/>
      <c r="N40" s="342"/>
      <c r="O40" s="343"/>
    </row>
    <row r="41" spans="2:15" ht="15" customHeight="1" x14ac:dyDescent="0.25">
      <c r="F41" s="342"/>
      <c r="G41" s="342"/>
      <c r="H41" s="342"/>
      <c r="I41" s="342"/>
      <c r="J41" s="342"/>
      <c r="K41" s="342"/>
      <c r="L41" s="342"/>
      <c r="M41" s="342"/>
      <c r="N41" s="342"/>
      <c r="O41" s="343"/>
    </row>
    <row r="42" spans="2:15" ht="15" customHeight="1" x14ac:dyDescent="0.25">
      <c r="F42" s="342"/>
      <c r="G42" s="342"/>
      <c r="H42" s="342"/>
      <c r="I42" s="342"/>
      <c r="J42" s="342"/>
      <c r="K42" s="342"/>
      <c r="L42" s="342"/>
      <c r="M42" s="342"/>
      <c r="N42" s="342"/>
      <c r="O42" s="343"/>
    </row>
    <row r="43" spans="2:15" ht="15" customHeight="1" x14ac:dyDescent="0.25">
      <c r="C43" s="425" t="s">
        <v>325</v>
      </c>
      <c r="D43" s="425"/>
      <c r="E43" s="389">
        <v>976.08</v>
      </c>
      <c r="F43" s="342"/>
      <c r="G43" s="342"/>
      <c r="H43" s="342"/>
      <c r="I43" s="342"/>
      <c r="J43" s="342"/>
      <c r="K43" s="342"/>
      <c r="L43" s="342"/>
      <c r="M43" s="342"/>
      <c r="N43" s="342"/>
      <c r="O43" s="343"/>
    </row>
    <row r="44" spans="2:15" ht="15" customHeight="1" x14ac:dyDescent="0.25">
      <c r="E44" s="390">
        <f>(E36-E43)/E43</f>
        <v>5.0241738382555426E-2</v>
      </c>
      <c r="F44" s="342"/>
      <c r="G44" s="342"/>
      <c r="H44" s="342"/>
      <c r="I44" s="342"/>
      <c r="J44" s="342"/>
      <c r="K44" s="342"/>
      <c r="L44" s="342"/>
      <c r="M44" s="342"/>
      <c r="N44" s="342"/>
      <c r="O44" s="343"/>
    </row>
    <row r="45" spans="2:15" ht="15" customHeight="1" x14ac:dyDescent="0.25">
      <c r="F45" s="342"/>
      <c r="G45" s="342"/>
      <c r="H45" s="342"/>
      <c r="I45" s="342"/>
      <c r="J45" s="342"/>
      <c r="K45" s="342"/>
      <c r="L45" s="342"/>
      <c r="M45" s="342"/>
      <c r="N45" s="342"/>
      <c r="O45" s="343"/>
    </row>
  </sheetData>
  <mergeCells count="7">
    <mergeCell ref="B35:D35"/>
    <mergeCell ref="B36:D36"/>
    <mergeCell ref="C43:D43"/>
    <mergeCell ref="B3:E3"/>
    <mergeCell ref="B24:D24"/>
    <mergeCell ref="B31:D31"/>
    <mergeCell ref="B33:D3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540C-861D-4B96-A33E-5C3F91241462}">
  <sheetPr>
    <pageSetUpPr fitToPage="1"/>
  </sheetPr>
  <dimension ref="B1:R49"/>
  <sheetViews>
    <sheetView showGridLines="0" zoomScale="90" zoomScaleNormal="90" workbookViewId="0">
      <selection activeCell="H53" sqref="H53"/>
    </sheetView>
  </sheetViews>
  <sheetFormatPr defaultColWidth="9.140625" defaultRowHeight="15" x14ac:dyDescent="0.25"/>
  <cols>
    <col min="1" max="1" width="1.85546875" style="89" customWidth="1"/>
    <col min="2" max="2" width="33.85546875" style="89" customWidth="1"/>
    <col min="3" max="3" width="8.7109375" style="89" customWidth="1"/>
    <col min="4" max="4" width="11.140625" style="89" customWidth="1"/>
    <col min="5" max="5" width="46.42578125" style="89" bestFit="1" customWidth="1"/>
    <col min="6" max="6" width="5" style="89" customWidth="1"/>
    <col min="7" max="7" width="37.42578125" style="89" customWidth="1"/>
    <col min="8" max="8" width="17.7109375" style="89" customWidth="1"/>
    <col min="9" max="9" width="9.42578125" style="89" customWidth="1"/>
    <col min="10" max="10" width="8.85546875" style="89" bestFit="1" customWidth="1"/>
    <col min="11" max="11" width="7" style="89" customWidth="1"/>
    <col min="12" max="12" width="12" style="89" hidden="1" customWidth="1"/>
    <col min="13" max="13" width="10.28515625" style="89" hidden="1" customWidth="1"/>
    <col min="14" max="14" width="7.42578125" style="89" customWidth="1"/>
    <col min="15" max="15" width="37.42578125" style="89" customWidth="1"/>
    <col min="16" max="16" width="24.28515625" style="89" customWidth="1"/>
    <col min="17" max="17" width="9.42578125" style="89" customWidth="1"/>
    <col min="18" max="18" width="8.85546875" style="89" bestFit="1" customWidth="1"/>
    <col min="19" max="16384" width="9.140625" style="89"/>
  </cols>
  <sheetData>
    <row r="1" spans="2:18" x14ac:dyDescent="0.25">
      <c r="B1" s="84"/>
      <c r="C1" s="84"/>
      <c r="D1" s="438"/>
      <c r="E1" s="438"/>
      <c r="F1" s="86"/>
      <c r="G1" s="87"/>
      <c r="H1" s="86"/>
      <c r="I1" s="88"/>
      <c r="J1" s="88"/>
      <c r="K1" s="86"/>
      <c r="O1" s="90"/>
      <c r="P1" s="91"/>
      <c r="Q1" s="92"/>
      <c r="R1" s="92"/>
    </row>
    <row r="2" spans="2:18" x14ac:dyDescent="0.25">
      <c r="B2" s="84" t="s">
        <v>240</v>
      </c>
      <c r="C2" s="84"/>
      <c r="D2" s="85"/>
      <c r="E2" s="85"/>
      <c r="F2" s="86"/>
      <c r="G2" s="311" t="s">
        <v>284</v>
      </c>
      <c r="H2" s="86"/>
      <c r="I2" s="88"/>
      <c r="J2" s="88"/>
      <c r="K2" s="86"/>
      <c r="O2" s="312" t="s">
        <v>285</v>
      </c>
      <c r="P2" s="91"/>
      <c r="Q2" s="92"/>
      <c r="R2" s="92"/>
    </row>
    <row r="3" spans="2:18" ht="15.75" thickBot="1" x14ac:dyDescent="0.3">
      <c r="B3" s="94"/>
      <c r="C3" s="94"/>
      <c r="D3" s="95"/>
      <c r="E3" s="95"/>
      <c r="F3" s="96"/>
      <c r="G3" s="313" t="s">
        <v>286</v>
      </c>
      <c r="H3" s="96"/>
      <c r="I3" s="98"/>
      <c r="J3" s="98"/>
      <c r="K3" s="86"/>
      <c r="O3" s="99"/>
      <c r="P3" s="100"/>
      <c r="Q3" s="101"/>
      <c r="R3" s="101"/>
    </row>
    <row r="4" spans="2:18" ht="15.75" thickBot="1" x14ac:dyDescent="0.3">
      <c r="B4" s="439" t="s">
        <v>242</v>
      </c>
      <c r="C4" s="440"/>
      <c r="D4" s="440"/>
      <c r="E4" s="441"/>
      <c r="F4" s="96"/>
      <c r="G4" s="439" t="s">
        <v>287</v>
      </c>
      <c r="H4" s="440"/>
      <c r="I4" s="440"/>
      <c r="J4" s="441"/>
      <c r="K4" s="102"/>
      <c r="L4" s="434" t="s">
        <v>244</v>
      </c>
      <c r="M4" s="434" t="s">
        <v>245</v>
      </c>
      <c r="O4" s="442"/>
      <c r="P4" s="443"/>
      <c r="Q4" s="443"/>
      <c r="R4" s="444"/>
    </row>
    <row r="5" spans="2:18" ht="15" customHeight="1" x14ac:dyDescent="0.25">
      <c r="B5" s="445" t="s">
        <v>247</v>
      </c>
      <c r="C5" s="446"/>
      <c r="D5" s="446"/>
      <c r="E5" s="104" t="s">
        <v>248</v>
      </c>
      <c r="F5" s="96"/>
      <c r="G5" s="105"/>
      <c r="H5" s="447" t="s">
        <v>288</v>
      </c>
      <c r="I5" s="447"/>
      <c r="J5" s="106">
        <v>150</v>
      </c>
      <c r="K5" s="86"/>
      <c r="L5" s="435"/>
      <c r="M5" s="435"/>
      <c r="O5" s="117"/>
      <c r="P5" s="448" t="s">
        <v>288</v>
      </c>
      <c r="Q5" s="448"/>
      <c r="R5" s="109">
        <v>150</v>
      </c>
    </row>
    <row r="6" spans="2:18" ht="15.75" thickBot="1" x14ac:dyDescent="0.3">
      <c r="B6" s="111" t="s">
        <v>259</v>
      </c>
      <c r="C6" s="314"/>
      <c r="D6" s="112">
        <f>'[11]M2023 BLS SALARY CHART (53rd)'!C22</f>
        <v>80829.631999999998</v>
      </c>
      <c r="E6" s="315" t="s">
        <v>289</v>
      </c>
      <c r="F6" s="96"/>
      <c r="G6" s="114"/>
      <c r="H6" s="98"/>
      <c r="I6" s="98"/>
      <c r="J6" s="316"/>
      <c r="K6" s="86"/>
      <c r="L6" s="436"/>
      <c r="M6" s="436"/>
      <c r="O6" s="117"/>
      <c r="P6" s="101"/>
      <c r="Q6" s="101"/>
      <c r="R6" s="317"/>
    </row>
    <row r="7" spans="2:18" ht="15" customHeight="1" thickBot="1" x14ac:dyDescent="0.3">
      <c r="B7" s="120" t="s">
        <v>290</v>
      </c>
      <c r="C7" s="318"/>
      <c r="D7" s="121">
        <f>'[11]M2023 BLS SALARY CHART (53rd)'!C6</f>
        <v>43247.567999999999</v>
      </c>
      <c r="E7" s="113" t="s">
        <v>291</v>
      </c>
      <c r="F7" s="96"/>
      <c r="G7" s="122" t="s">
        <v>133</v>
      </c>
      <c r="H7" s="123" t="s">
        <v>255</v>
      </c>
      <c r="I7" s="123" t="s">
        <v>256</v>
      </c>
      <c r="J7" s="124" t="s">
        <v>257</v>
      </c>
      <c r="K7" s="86"/>
      <c r="L7" s="125">
        <v>50</v>
      </c>
      <c r="M7" s="126">
        <f>AVERAGE([13]ExpenseAnalysis!D2:D15,[13]ExpenseAnalysis!D23:D30)</f>
        <v>49.222727272727269</v>
      </c>
      <c r="O7" s="127" t="s">
        <v>133</v>
      </c>
      <c r="P7" s="128" t="s">
        <v>255</v>
      </c>
      <c r="Q7" s="128" t="s">
        <v>256</v>
      </c>
      <c r="R7" s="129" t="s">
        <v>257</v>
      </c>
    </row>
    <row r="8" spans="2:18" x14ac:dyDescent="0.25">
      <c r="B8" s="428" t="s">
        <v>264</v>
      </c>
      <c r="C8" s="429"/>
      <c r="D8" s="430"/>
      <c r="E8" s="113"/>
      <c r="F8" s="96"/>
      <c r="G8" s="134" t="str">
        <f>B6</f>
        <v>Management</v>
      </c>
      <c r="H8" s="135">
        <f>D6</f>
        <v>80829.631999999998</v>
      </c>
      <c r="I8" s="136">
        <v>0.02</v>
      </c>
      <c r="J8" s="137">
        <f>H8*I8</f>
        <v>1616.5926400000001</v>
      </c>
      <c r="K8" s="86"/>
      <c r="L8" s="138">
        <v>0.5</v>
      </c>
      <c r="M8" s="139">
        <f>M7/L7*L8</f>
        <v>0.49222727272727268</v>
      </c>
      <c r="O8" s="140" t="s">
        <v>259</v>
      </c>
      <c r="P8" s="141">
        <v>72000.239999999991</v>
      </c>
      <c r="Q8" s="142">
        <v>0.02</v>
      </c>
      <c r="R8" s="143">
        <f>P8*Q8</f>
        <v>1440.0047999999999</v>
      </c>
    </row>
    <row r="9" spans="2:18" x14ac:dyDescent="0.25">
      <c r="B9" s="132" t="s">
        <v>265</v>
      </c>
      <c r="C9" s="319"/>
      <c r="D9" s="171">
        <f>'[11]M2023 BLS SALARY CHART (53rd)'!C38</f>
        <v>0.24970000000000001</v>
      </c>
      <c r="E9" s="113" t="s">
        <v>292</v>
      </c>
      <c r="F9" s="96"/>
      <c r="G9" s="147" t="str">
        <f>B7</f>
        <v>Program Secretary Clerical Staff /Direct Care Staff</v>
      </c>
      <c r="H9" s="148">
        <f>D7</f>
        <v>43247.567999999999</v>
      </c>
      <c r="I9" s="320">
        <v>0.124</v>
      </c>
      <c r="J9" s="150">
        <f>H9*I9</f>
        <v>5362.6984320000001</v>
      </c>
      <c r="K9" s="86"/>
      <c r="L9" s="151">
        <v>0.2</v>
      </c>
      <c r="M9" s="152">
        <f>M7/L7*L9</f>
        <v>0.19689090909090909</v>
      </c>
      <c r="O9" s="153" t="s">
        <v>290</v>
      </c>
      <c r="P9" s="154">
        <v>38937.599999999999</v>
      </c>
      <c r="Q9" s="321">
        <v>0.124</v>
      </c>
      <c r="R9" s="156">
        <f>P9*Q9</f>
        <v>4828.2623999999996</v>
      </c>
    </row>
    <row r="10" spans="2:18" ht="15" customHeight="1" thickBot="1" x14ac:dyDescent="0.3">
      <c r="B10" s="132" t="s">
        <v>268</v>
      </c>
      <c r="C10" s="319"/>
      <c r="D10" s="180">
        <f>2297*(2.56%+1)*(2.4%+1)*(1.85%+1)</f>
        <v>2456.9708126208002</v>
      </c>
      <c r="E10" s="113" t="s">
        <v>269</v>
      </c>
      <c r="F10" s="96"/>
      <c r="G10" s="161" t="s">
        <v>263</v>
      </c>
      <c r="H10" s="98"/>
      <c r="I10" s="136">
        <f>SUM(I8:I9)</f>
        <v>0.14399999999999999</v>
      </c>
      <c r="J10" s="137">
        <f>SUM(J8:J9)</f>
        <v>6979.291072</v>
      </c>
      <c r="K10" s="86"/>
      <c r="L10" s="163">
        <f>L8+L9</f>
        <v>0.7</v>
      </c>
      <c r="M10" s="164">
        <f>SUM(M8:M9)</f>
        <v>0.68911818181818174</v>
      </c>
      <c r="O10" s="165" t="s">
        <v>263</v>
      </c>
      <c r="P10" s="101"/>
      <c r="Q10" s="142">
        <f>SUM(Q8:Q9)</f>
        <v>0.14399999999999999</v>
      </c>
      <c r="R10" s="143">
        <f>SUM(R8:R9)</f>
        <v>6268.2671999999993</v>
      </c>
    </row>
    <row r="11" spans="2:18" ht="14.45" customHeight="1" x14ac:dyDescent="0.25">
      <c r="B11" s="120" t="s">
        <v>293</v>
      </c>
      <c r="C11" s="322"/>
      <c r="D11" s="323">
        <f>13.5*(2.4%+1)*(1.85%+1)</f>
        <v>14.079744</v>
      </c>
      <c r="E11" s="160" t="s">
        <v>294</v>
      </c>
      <c r="F11" s="96"/>
      <c r="G11" s="161"/>
      <c r="H11" s="98"/>
      <c r="I11" s="169"/>
      <c r="J11" s="137"/>
      <c r="K11" s="86"/>
      <c r="O11" s="165"/>
      <c r="P11" s="101"/>
      <c r="Q11" s="170"/>
      <c r="R11" s="143"/>
    </row>
    <row r="12" spans="2:18" ht="15.75" customHeight="1" thickBot="1" x14ac:dyDescent="0.3">
      <c r="B12" s="191"/>
      <c r="C12" s="324"/>
      <c r="D12" s="192"/>
      <c r="E12" s="193"/>
      <c r="F12" s="96"/>
      <c r="G12" s="172" t="s">
        <v>267</v>
      </c>
      <c r="H12" s="173">
        <f>D9</f>
        <v>0.24970000000000001</v>
      </c>
      <c r="I12" s="174"/>
      <c r="J12" s="175">
        <f>J10*H12</f>
        <v>1742.7289806783999</v>
      </c>
      <c r="K12" s="86"/>
      <c r="O12" s="176" t="s">
        <v>267</v>
      </c>
      <c r="P12" s="177">
        <v>0.2422</v>
      </c>
      <c r="Q12" s="178"/>
      <c r="R12" s="179">
        <f>R10*P12</f>
        <v>1518.1743158399997</v>
      </c>
    </row>
    <row r="13" spans="2:18" ht="15.6" customHeight="1" thickTop="1" thickBot="1" x14ac:dyDescent="0.3">
      <c r="B13" s="191" t="s">
        <v>214</v>
      </c>
      <c r="C13" s="324"/>
      <c r="D13" s="198">
        <v>0.12</v>
      </c>
      <c r="E13" s="199" t="s">
        <v>215</v>
      </c>
      <c r="F13" s="96"/>
      <c r="G13" s="181" t="s">
        <v>270</v>
      </c>
      <c r="H13" s="182"/>
      <c r="I13" s="182"/>
      <c r="J13" s="183">
        <f>SUM(J10+J12)</f>
        <v>8722.0200526783992</v>
      </c>
      <c r="K13" s="86"/>
      <c r="O13" s="184" t="s">
        <v>270</v>
      </c>
      <c r="P13" s="185"/>
      <c r="Q13" s="185"/>
      <c r="R13" s="186">
        <f>SUM(R10+R12)</f>
        <v>7786.4415158399988</v>
      </c>
    </row>
    <row r="14" spans="2:18" ht="15.75" thickTop="1" x14ac:dyDescent="0.25">
      <c r="B14" s="202" t="s">
        <v>295</v>
      </c>
      <c r="C14" s="325"/>
      <c r="D14" s="203">
        <f>'[11]SPRING 24 CAF'!CP29</f>
        <v>2.02309192926836E-2</v>
      </c>
      <c r="E14" s="204" t="s">
        <v>274</v>
      </c>
      <c r="F14" s="96"/>
      <c r="G14" s="134"/>
      <c r="H14" s="188"/>
      <c r="I14" s="98"/>
      <c r="J14" s="137"/>
      <c r="K14" s="86"/>
      <c r="N14" s="189"/>
      <c r="O14" s="140"/>
      <c r="P14" s="190"/>
      <c r="Q14" s="101"/>
      <c r="R14" s="143"/>
    </row>
    <row r="15" spans="2:18" ht="15.75" customHeight="1" x14ac:dyDescent="0.25">
      <c r="B15" s="205"/>
      <c r="C15" s="205"/>
      <c r="D15" s="205"/>
      <c r="E15" s="205"/>
      <c r="F15" s="96"/>
      <c r="G15" s="134" t="str">
        <f>B10</f>
        <v xml:space="preserve">Occupancy </v>
      </c>
      <c r="H15" s="98"/>
      <c r="I15" s="194"/>
      <c r="J15" s="195">
        <f>D10*I10</f>
        <v>353.8037970173952</v>
      </c>
      <c r="K15" s="86"/>
      <c r="O15" s="140" t="s">
        <v>268</v>
      </c>
      <c r="P15" s="101"/>
      <c r="Q15" s="196"/>
      <c r="R15" s="197">
        <v>347.37731665920006</v>
      </c>
    </row>
    <row r="16" spans="2:18" x14ac:dyDescent="0.25">
      <c r="B16" s="205"/>
      <c r="C16" s="205"/>
      <c r="D16" s="205"/>
      <c r="E16" s="205"/>
      <c r="F16" s="96"/>
      <c r="G16" s="134" t="str">
        <f>B11</f>
        <v>Total Other Expenses</v>
      </c>
      <c r="H16" s="98"/>
      <c r="I16" s="194"/>
      <c r="J16" s="195">
        <f>J5*D11</f>
        <v>2111.9616000000001</v>
      </c>
      <c r="K16" s="86"/>
      <c r="L16" s="200"/>
      <c r="O16" s="140" t="s">
        <v>293</v>
      </c>
      <c r="P16" s="101"/>
      <c r="Q16" s="196"/>
      <c r="R16" s="197">
        <v>2073.6</v>
      </c>
    </row>
    <row r="17" spans="2:18" x14ac:dyDescent="0.25">
      <c r="B17" s="205"/>
      <c r="C17" s="205"/>
      <c r="D17" s="205"/>
      <c r="E17" s="205"/>
      <c r="F17" s="205"/>
      <c r="G17" s="122" t="s">
        <v>275</v>
      </c>
      <c r="H17" s="206"/>
      <c r="I17" s="206"/>
      <c r="J17" s="207">
        <f>SUM(J13:J16)</f>
        <v>11187.785449695795</v>
      </c>
      <c r="K17" s="86"/>
      <c r="O17" s="127" t="s">
        <v>275</v>
      </c>
      <c r="P17" s="208"/>
      <c r="Q17" s="208"/>
      <c r="R17" s="209">
        <f>SUM(R13:R16)</f>
        <v>10207.418832499199</v>
      </c>
    </row>
    <row r="18" spans="2:18" x14ac:dyDescent="0.25">
      <c r="B18" s="205"/>
      <c r="C18" s="205"/>
      <c r="D18" s="205"/>
      <c r="E18" s="205"/>
      <c r="F18" s="205"/>
      <c r="G18" s="134" t="s">
        <v>276</v>
      </c>
      <c r="H18" s="188">
        <f>D13</f>
        <v>0.12</v>
      </c>
      <c r="I18" s="98"/>
      <c r="J18" s="137">
        <f>J17*H18</f>
        <v>1342.5342539634953</v>
      </c>
      <c r="K18" s="86"/>
      <c r="L18" s="210"/>
      <c r="M18" s="210"/>
      <c r="O18" s="140" t="s">
        <v>276</v>
      </c>
      <c r="P18" s="190">
        <v>0.12</v>
      </c>
      <c r="Q18" s="101"/>
      <c r="R18" s="143">
        <f>R17*P18</f>
        <v>1224.8902598999039</v>
      </c>
    </row>
    <row r="19" spans="2:18" ht="16.5" customHeight="1" thickBot="1" x14ac:dyDescent="0.3">
      <c r="B19" s="224"/>
      <c r="C19" s="224"/>
      <c r="D19" s="326"/>
      <c r="E19" s="226"/>
      <c r="F19" s="205"/>
      <c r="G19" s="212" t="s">
        <v>277</v>
      </c>
      <c r="H19" s="213"/>
      <c r="I19" s="213"/>
      <c r="J19" s="214">
        <f>SUM(J17+J18)</f>
        <v>12530.31970365929</v>
      </c>
      <c r="K19" s="86"/>
      <c r="O19" s="215" t="s">
        <v>277</v>
      </c>
      <c r="P19" s="216"/>
      <c r="Q19" s="216"/>
      <c r="R19" s="217">
        <f>SUM(R17+R18)</f>
        <v>11432.309092399104</v>
      </c>
    </row>
    <row r="20" spans="2:18" ht="15.75" thickTop="1" x14ac:dyDescent="0.25">
      <c r="F20" s="205"/>
      <c r="G20" s="161" t="s">
        <v>278</v>
      </c>
      <c r="H20" s="188">
        <f>D14</f>
        <v>2.02309192926836E-2</v>
      </c>
      <c r="I20" s="98"/>
      <c r="J20" s="327">
        <f>J19*H20</f>
        <v>253.49988663625419</v>
      </c>
      <c r="K20" s="86"/>
      <c r="O20" s="165" t="s">
        <v>278</v>
      </c>
      <c r="P20" s="190">
        <v>1.8521849532574713E-2</v>
      </c>
      <c r="Q20" s="101"/>
      <c r="R20" s="328">
        <f>R19*P20</f>
        <v>211.747508819302</v>
      </c>
    </row>
    <row r="21" spans="2:18" ht="14.25" customHeight="1" thickBot="1" x14ac:dyDescent="0.3">
      <c r="F21" s="205"/>
      <c r="G21" s="218" t="s">
        <v>279</v>
      </c>
      <c r="H21" s="219"/>
      <c r="I21" s="219"/>
      <c r="J21" s="220">
        <f>J19+J20</f>
        <v>12783.819590295545</v>
      </c>
      <c r="K21" s="86"/>
      <c r="O21" s="221" t="s">
        <v>279</v>
      </c>
      <c r="P21" s="222"/>
      <c r="Q21" s="222"/>
      <c r="R21" s="223">
        <f>R19+R20</f>
        <v>11644.056601218406</v>
      </c>
    </row>
    <row r="22" spans="2:18" ht="16.5" customHeight="1" thickBot="1" x14ac:dyDescent="0.3">
      <c r="B22" s="431"/>
      <c r="C22" s="431"/>
      <c r="D22" s="431"/>
      <c r="E22" s="431"/>
      <c r="F22" s="227"/>
      <c r="G22" s="228" t="s">
        <v>280</v>
      </c>
      <c r="H22" s="229"/>
      <c r="I22" s="230"/>
      <c r="J22" s="329">
        <f>J21/J5+0.01</f>
        <v>85.235463935303642</v>
      </c>
      <c r="O22" s="231" t="s">
        <v>280</v>
      </c>
      <c r="P22" s="232"/>
      <c r="Q22" s="233"/>
      <c r="R22" s="330">
        <f>R21/R5+0.01</f>
        <v>77.637044008122714</v>
      </c>
    </row>
    <row r="23" spans="2:18" ht="15" customHeight="1" x14ac:dyDescent="0.25">
      <c r="B23" s="427"/>
      <c r="C23" s="427"/>
      <c r="D23" s="427"/>
      <c r="E23" s="249"/>
      <c r="F23" s="235"/>
      <c r="O23" s="93"/>
      <c r="P23" s="93"/>
      <c r="Q23" s="93"/>
      <c r="R23" s="93"/>
    </row>
    <row r="24" spans="2:18" ht="14.45" hidden="1" customHeight="1" x14ac:dyDescent="0.25">
      <c r="B24" s="86"/>
      <c r="C24" s="86"/>
      <c r="D24" s="252"/>
      <c r="E24" s="253"/>
      <c r="F24" s="235"/>
      <c r="G24" s="431"/>
      <c r="H24" s="431"/>
      <c r="I24" s="431"/>
      <c r="J24" s="431"/>
      <c r="N24" s="241"/>
      <c r="O24" s="432"/>
      <c r="P24" s="432"/>
      <c r="Q24" s="432"/>
      <c r="R24" s="432"/>
    </row>
    <row r="25" spans="2:18" ht="14.45" hidden="1" customHeight="1" x14ac:dyDescent="0.25">
      <c r="B25" s="86"/>
      <c r="C25" s="86"/>
      <c r="D25" s="252"/>
      <c r="E25" s="253"/>
      <c r="F25" s="235"/>
      <c r="G25" s="242"/>
      <c r="H25" s="433"/>
      <c r="I25" s="433"/>
      <c r="J25" s="244"/>
      <c r="L25" s="434" t="s">
        <v>282</v>
      </c>
      <c r="M25" s="434" t="s">
        <v>245</v>
      </c>
      <c r="O25" s="245"/>
      <c r="P25" s="437"/>
      <c r="Q25" s="437"/>
      <c r="R25" s="247"/>
    </row>
    <row r="26" spans="2:18" ht="14.45" hidden="1" customHeight="1" x14ac:dyDescent="0.25">
      <c r="B26" s="86"/>
      <c r="C26" s="86"/>
      <c r="D26" s="243"/>
      <c r="E26" s="253"/>
      <c r="F26" s="235"/>
      <c r="G26" s="250"/>
      <c r="H26" s="88"/>
      <c r="I26" s="88"/>
      <c r="J26" s="88"/>
      <c r="L26" s="435"/>
      <c r="M26" s="435"/>
      <c r="O26" s="251"/>
      <c r="P26" s="92"/>
      <c r="Q26" s="92"/>
      <c r="R26" s="92"/>
    </row>
    <row r="27" spans="2:18" ht="14.45" hidden="1" customHeight="1" x14ac:dyDescent="0.25">
      <c r="B27" s="86"/>
      <c r="C27" s="86"/>
      <c r="D27" s="269"/>
      <c r="E27" s="253"/>
      <c r="F27" s="235"/>
      <c r="G27" s="254"/>
      <c r="H27" s="248"/>
      <c r="I27" s="248"/>
      <c r="J27" s="248"/>
      <c r="L27" s="436"/>
      <c r="M27" s="436"/>
      <c r="O27" s="255"/>
      <c r="P27" s="256"/>
      <c r="Q27" s="256"/>
      <c r="R27" s="256"/>
    </row>
    <row r="28" spans="2:18" ht="14.45" hidden="1" customHeight="1" x14ac:dyDescent="0.25">
      <c r="B28" s="86"/>
      <c r="C28" s="86"/>
      <c r="D28" s="272"/>
      <c r="E28" s="253"/>
      <c r="F28" s="235"/>
      <c r="G28" s="86"/>
      <c r="H28" s="257"/>
      <c r="I28" s="258"/>
      <c r="J28" s="259"/>
      <c r="L28" s="260">
        <v>63</v>
      </c>
      <c r="M28" s="260">
        <f>[13]ExpenseAnalysis!D32</f>
        <v>71.412500000000009</v>
      </c>
      <c r="O28" s="91"/>
      <c r="P28" s="261"/>
      <c r="Q28" s="262"/>
      <c r="R28" s="263"/>
    </row>
    <row r="29" spans="2:18" ht="14.45" hidden="1" customHeight="1" x14ac:dyDescent="0.25">
      <c r="B29" s="427"/>
      <c r="C29" s="427"/>
      <c r="D29" s="427"/>
      <c r="E29" s="253"/>
      <c r="F29" s="235"/>
      <c r="G29" s="86"/>
      <c r="H29" s="257"/>
      <c r="I29" s="258"/>
      <c r="J29" s="259"/>
      <c r="L29" s="265">
        <v>0.52</v>
      </c>
      <c r="M29" s="266">
        <f>M28/L28*L29</f>
        <v>0.58943650793650804</v>
      </c>
      <c r="O29" s="91"/>
      <c r="P29" s="261"/>
      <c r="Q29" s="262"/>
      <c r="R29" s="263"/>
    </row>
    <row r="30" spans="2:18" ht="14.45" hidden="1" customHeight="1" x14ac:dyDescent="0.25">
      <c r="B30" s="86"/>
      <c r="C30" s="86"/>
      <c r="D30" s="281"/>
      <c r="E30" s="253"/>
      <c r="F30" s="235"/>
      <c r="G30" s="254"/>
      <c r="H30" s="88"/>
      <c r="I30" s="258"/>
      <c r="J30" s="259"/>
      <c r="L30" s="270">
        <v>0.21</v>
      </c>
      <c r="M30" s="266">
        <f t="shared" ref="M30:M31" si="0">M29/L29*L30</f>
        <v>0.23804166666666671</v>
      </c>
      <c r="O30" s="255"/>
      <c r="P30" s="92"/>
      <c r="Q30" s="262"/>
      <c r="R30" s="263"/>
    </row>
    <row r="31" spans="2:18" ht="14.45" hidden="1" customHeight="1" x14ac:dyDescent="0.25">
      <c r="B31" s="86"/>
      <c r="C31" s="86"/>
      <c r="D31" s="282"/>
      <c r="E31" s="253"/>
      <c r="F31" s="235"/>
      <c r="G31" s="254"/>
      <c r="H31" s="88"/>
      <c r="I31" s="273"/>
      <c r="J31" s="259"/>
      <c r="L31" s="274">
        <f>SUM(L29:L30)</f>
        <v>0.73</v>
      </c>
      <c r="M31" s="275">
        <f t="shared" si="0"/>
        <v>0.82747817460317474</v>
      </c>
      <c r="O31" s="255"/>
      <c r="P31" s="92"/>
      <c r="Q31" s="276"/>
      <c r="R31" s="263"/>
    </row>
    <row r="32" spans="2:18" ht="14.45" hidden="1" customHeight="1" x14ac:dyDescent="0.25">
      <c r="B32" s="86"/>
      <c r="C32" s="86"/>
      <c r="D32" s="282"/>
      <c r="E32" s="253"/>
      <c r="F32" s="235"/>
      <c r="G32" s="86"/>
      <c r="H32" s="279"/>
      <c r="I32" s="88"/>
      <c r="J32" s="259"/>
      <c r="O32" s="91"/>
      <c r="P32" s="280"/>
      <c r="Q32" s="92"/>
      <c r="R32" s="263"/>
    </row>
    <row r="33" spans="2:18" ht="14.45" hidden="1" customHeight="1" x14ac:dyDescent="0.25">
      <c r="B33" s="86"/>
      <c r="C33" s="86"/>
      <c r="D33" s="282"/>
      <c r="E33" s="253"/>
      <c r="F33" s="235"/>
      <c r="G33" s="254"/>
      <c r="H33" s="88"/>
      <c r="I33" s="88"/>
      <c r="J33" s="259"/>
      <c r="O33" s="255"/>
      <c r="P33" s="92"/>
      <c r="Q33" s="92"/>
      <c r="R33" s="263"/>
    </row>
    <row r="34" spans="2:18" ht="14.45" hidden="1" customHeight="1" x14ac:dyDescent="0.25">
      <c r="B34" s="86"/>
      <c r="C34" s="86"/>
      <c r="D34" s="281"/>
      <c r="E34" s="253"/>
      <c r="F34" s="235"/>
      <c r="G34" s="102"/>
      <c r="H34" s="283"/>
      <c r="I34" s="284"/>
      <c r="J34" s="259"/>
      <c r="O34" s="103"/>
      <c r="P34" s="285"/>
      <c r="Q34" s="286"/>
      <c r="R34" s="263"/>
    </row>
    <row r="35" spans="2:18" ht="14.45" hidden="1" customHeight="1" x14ac:dyDescent="0.25">
      <c r="B35" s="86"/>
      <c r="C35" s="86"/>
      <c r="D35" s="293"/>
      <c r="E35" s="86"/>
      <c r="F35" s="235"/>
      <c r="G35" s="86"/>
      <c r="H35" s="88"/>
      <c r="I35" s="287"/>
      <c r="J35" s="288"/>
      <c r="O35" s="91"/>
      <c r="P35" s="92"/>
      <c r="Q35" s="289"/>
      <c r="R35" s="290"/>
    </row>
    <row r="36" spans="2:18" ht="14.45" hidden="1" customHeight="1" x14ac:dyDescent="0.25">
      <c r="F36" s="235"/>
      <c r="G36" s="86"/>
      <c r="H36" s="88"/>
      <c r="I36" s="291"/>
      <c r="J36" s="288"/>
      <c r="O36" s="91"/>
      <c r="P36" s="92"/>
      <c r="Q36" s="292"/>
      <c r="R36" s="290"/>
    </row>
    <row r="37" spans="2:18" ht="14.45" hidden="1" customHeight="1" x14ac:dyDescent="0.25">
      <c r="F37" s="235"/>
      <c r="G37" s="86"/>
      <c r="H37" s="88"/>
      <c r="I37" s="291"/>
      <c r="J37" s="288"/>
      <c r="O37" s="91"/>
      <c r="P37" s="92"/>
      <c r="Q37" s="292"/>
      <c r="R37" s="290"/>
    </row>
    <row r="38" spans="2:18" ht="14.45" hidden="1" customHeight="1" x14ac:dyDescent="0.25">
      <c r="F38" s="235"/>
      <c r="G38" s="254"/>
      <c r="H38" s="88"/>
      <c r="I38" s="88"/>
      <c r="J38" s="259"/>
      <c r="O38" s="255"/>
      <c r="P38" s="92"/>
      <c r="Q38" s="92"/>
      <c r="R38" s="263"/>
    </row>
    <row r="39" spans="2:18" ht="14.45" hidden="1" customHeight="1" x14ac:dyDescent="0.25">
      <c r="F39" s="235"/>
      <c r="G39" s="254"/>
      <c r="H39" s="88"/>
      <c r="I39" s="88"/>
      <c r="J39" s="259"/>
      <c r="O39" s="255"/>
      <c r="P39" s="92"/>
      <c r="Q39" s="92"/>
      <c r="R39" s="263"/>
    </row>
    <row r="40" spans="2:18" ht="14.45" hidden="1" customHeight="1" x14ac:dyDescent="0.25">
      <c r="F40" s="235"/>
      <c r="G40" s="86"/>
      <c r="H40" s="279"/>
      <c r="I40" s="88"/>
      <c r="J40" s="259"/>
      <c r="O40" s="91"/>
      <c r="P40" s="280"/>
      <c r="Q40" s="92"/>
      <c r="R40" s="263"/>
    </row>
    <row r="41" spans="2:18" ht="14.45" hidden="1" customHeight="1" x14ac:dyDescent="0.25">
      <c r="F41" s="235"/>
      <c r="G41" s="254"/>
      <c r="H41" s="243"/>
      <c r="I41" s="243"/>
      <c r="J41" s="294"/>
      <c r="O41" s="255"/>
      <c r="P41" s="246"/>
      <c r="Q41" s="246"/>
      <c r="R41" s="295"/>
    </row>
    <row r="42" spans="2:18" ht="14.45" hidden="1" customHeight="1" x14ac:dyDescent="0.25">
      <c r="F42" s="235"/>
      <c r="G42" s="86"/>
      <c r="H42" s="279"/>
      <c r="I42" s="88"/>
      <c r="J42" s="294"/>
      <c r="O42" s="91"/>
      <c r="P42" s="280"/>
      <c r="Q42" s="92"/>
      <c r="R42" s="295"/>
    </row>
    <row r="43" spans="2:18" ht="14.45" hidden="1" customHeight="1" x14ac:dyDescent="0.25">
      <c r="F43" s="235"/>
      <c r="G43" s="86"/>
      <c r="H43" s="88"/>
      <c r="I43" s="88"/>
      <c r="J43" s="259"/>
      <c r="O43" s="91"/>
      <c r="P43" s="92"/>
      <c r="Q43" s="92"/>
      <c r="R43" s="263"/>
    </row>
    <row r="44" spans="2:18" ht="14.45" hidden="1" customHeight="1" x14ac:dyDescent="0.25">
      <c r="F44" s="235"/>
      <c r="G44" s="254"/>
      <c r="H44" s="296"/>
      <c r="I44" s="243"/>
      <c r="J44" s="297"/>
      <c r="O44" s="255"/>
      <c r="P44" s="298"/>
      <c r="Q44" s="246"/>
      <c r="R44" s="299"/>
    </row>
    <row r="45" spans="2:18" ht="14.45" hidden="1" customHeight="1" x14ac:dyDescent="0.25">
      <c r="F45" s="235"/>
      <c r="G45" s="254"/>
      <c r="H45" s="296"/>
      <c r="I45" s="243"/>
      <c r="J45" s="297"/>
      <c r="O45" s="255"/>
      <c r="P45" s="298"/>
      <c r="Q45" s="246"/>
      <c r="R45" s="299"/>
    </row>
    <row r="46" spans="2:18" ht="14.45" hidden="1" customHeight="1" x14ac:dyDescent="0.25">
      <c r="F46" s="235"/>
      <c r="G46" s="300"/>
      <c r="O46" s="301"/>
      <c r="P46" s="93"/>
      <c r="Q46" s="93"/>
      <c r="R46" s="93"/>
    </row>
    <row r="47" spans="2:18" x14ac:dyDescent="0.25">
      <c r="F47" s="235"/>
      <c r="J47" s="331"/>
      <c r="O47" s="93"/>
      <c r="P47" s="93"/>
      <c r="Q47" s="93"/>
      <c r="R47" s="332"/>
    </row>
    <row r="48" spans="2:18" x14ac:dyDescent="0.25">
      <c r="I48" s="89" t="s">
        <v>296</v>
      </c>
      <c r="J48" s="333">
        <v>77.64</v>
      </c>
      <c r="O48" s="93"/>
      <c r="P48" s="93"/>
      <c r="Q48" s="93"/>
      <c r="R48" s="334"/>
    </row>
    <row r="49" spans="10:18" x14ac:dyDescent="0.25">
      <c r="J49" s="335">
        <f>(J22-J48)/J48</f>
        <v>9.7829262433071107E-2</v>
      </c>
      <c r="O49" s="93"/>
      <c r="P49" s="93"/>
      <c r="Q49" s="93"/>
      <c r="R49" s="336"/>
    </row>
  </sheetData>
  <mergeCells count="19">
    <mergeCell ref="O4:R4"/>
    <mergeCell ref="B5:D5"/>
    <mergeCell ref="H5:I5"/>
    <mergeCell ref="P5:Q5"/>
    <mergeCell ref="D1:E1"/>
    <mergeCell ref="B4:E4"/>
    <mergeCell ref="G4:J4"/>
    <mergeCell ref="L4:L6"/>
    <mergeCell ref="M4:M6"/>
    <mergeCell ref="O24:R24"/>
    <mergeCell ref="H25:I25"/>
    <mergeCell ref="L25:L27"/>
    <mergeCell ref="M25:M27"/>
    <mergeCell ref="P25:Q25"/>
    <mergeCell ref="B29:D29"/>
    <mergeCell ref="B8:D8"/>
    <mergeCell ref="B22:E22"/>
    <mergeCell ref="B23:D23"/>
    <mergeCell ref="G24:J24"/>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5186-F9FD-4FAE-A205-26A16C69FC96}">
  <sheetPr>
    <pageSetUpPr fitToPage="1"/>
  </sheetPr>
  <dimension ref="B1:U55"/>
  <sheetViews>
    <sheetView showGridLines="0" tabSelected="1" zoomScaleNormal="100" workbookViewId="0">
      <selection activeCell="F29" sqref="F29"/>
    </sheetView>
  </sheetViews>
  <sheetFormatPr defaultColWidth="9.140625" defaultRowHeight="15" x14ac:dyDescent="0.25"/>
  <cols>
    <col min="1" max="1" width="9.140625" style="89"/>
    <col min="2" max="2" width="34.42578125" style="89" customWidth="1"/>
    <col min="3" max="3" width="8.5703125" style="89" bestFit="1" customWidth="1"/>
    <col min="4" max="4" width="46.42578125" style="89" bestFit="1" customWidth="1"/>
    <col min="5" max="5" width="5" style="89" customWidth="1"/>
    <col min="6" max="6" width="37.5703125" style="89" customWidth="1"/>
    <col min="7" max="7" width="10.28515625" style="89" customWidth="1"/>
    <col min="8" max="8" width="7.7109375" style="89" bestFit="1" customWidth="1"/>
    <col min="9" max="9" width="10.140625" style="89" customWidth="1"/>
    <col min="10" max="10" width="7" style="89" customWidth="1"/>
    <col min="11" max="11" width="12" style="89" hidden="1" customWidth="1"/>
    <col min="12" max="12" width="10.28515625" style="89" hidden="1" customWidth="1"/>
    <col min="13" max="13" width="22.5703125" style="89" hidden="1" customWidth="1"/>
    <col min="14" max="14" width="45.85546875" style="89" hidden="1" customWidth="1"/>
    <col min="15" max="15" width="7.140625" style="89" hidden="1" customWidth="1"/>
    <col min="16" max="16" width="11.140625" style="89" hidden="1" customWidth="1"/>
    <col min="17" max="17" width="9.28515625" style="89" hidden="1" customWidth="1"/>
    <col min="18" max="18" width="7" style="89" hidden="1" customWidth="1"/>
    <col min="19" max="19" width="22.28515625" style="89" hidden="1" customWidth="1"/>
    <col min="20" max="20" width="22.42578125" style="89" hidden="1" customWidth="1"/>
    <col min="21" max="21" width="8" style="89" hidden="1" customWidth="1"/>
    <col min="22" max="22" width="0" style="89" hidden="1" customWidth="1"/>
    <col min="23" max="16384" width="9.140625" style="89"/>
  </cols>
  <sheetData>
    <row r="1" spans="2:21" x14ac:dyDescent="0.25">
      <c r="B1" s="84"/>
      <c r="C1" s="438"/>
      <c r="D1" s="438"/>
      <c r="E1" s="86"/>
      <c r="F1" s="87"/>
      <c r="G1" s="86"/>
      <c r="H1" s="88"/>
      <c r="I1" s="88"/>
      <c r="J1" s="86"/>
      <c r="N1" s="90"/>
      <c r="O1" s="91"/>
      <c r="P1" s="92"/>
      <c r="Q1" s="92"/>
      <c r="R1" s="91"/>
      <c r="S1" s="93"/>
      <c r="T1" s="93"/>
    </row>
    <row r="2" spans="2:21" x14ac:dyDescent="0.25">
      <c r="B2" s="84" t="s">
        <v>240</v>
      </c>
      <c r="C2" s="85"/>
      <c r="D2" s="85"/>
      <c r="E2" s="86"/>
      <c r="F2" s="87"/>
      <c r="G2" s="86"/>
      <c r="H2" s="88"/>
      <c r="I2" s="88"/>
      <c r="J2" s="86"/>
      <c r="N2" s="90" t="s">
        <v>241</v>
      </c>
      <c r="O2" s="91"/>
      <c r="P2" s="92"/>
      <c r="Q2" s="92"/>
      <c r="R2" s="91"/>
      <c r="S2" s="93"/>
      <c r="T2" s="93"/>
    </row>
    <row r="3" spans="2:21" ht="15.75" thickBot="1" x14ac:dyDescent="0.3">
      <c r="B3" s="94"/>
      <c r="C3" s="95"/>
      <c r="D3" s="95"/>
      <c r="E3" s="96"/>
      <c r="F3" s="97"/>
      <c r="G3" s="96"/>
      <c r="H3" s="98"/>
      <c r="I3" s="98"/>
      <c r="J3" s="86"/>
      <c r="N3" s="99"/>
      <c r="O3" s="100"/>
      <c r="P3" s="101"/>
      <c r="Q3" s="101"/>
      <c r="R3" s="91"/>
      <c r="S3" s="93"/>
      <c r="T3" s="93"/>
    </row>
    <row r="4" spans="2:21" ht="15.75" thickBot="1" x14ac:dyDescent="0.3">
      <c r="B4" s="439" t="s">
        <v>242</v>
      </c>
      <c r="C4" s="440"/>
      <c r="D4" s="441"/>
      <c r="E4" s="96"/>
      <c r="F4" s="439" t="s">
        <v>243</v>
      </c>
      <c r="G4" s="440"/>
      <c r="H4" s="440"/>
      <c r="I4" s="441"/>
      <c r="J4" s="102"/>
      <c r="K4" s="434" t="s">
        <v>244</v>
      </c>
      <c r="L4" s="434" t="s">
        <v>245</v>
      </c>
      <c r="N4" s="442" t="s">
        <v>246</v>
      </c>
      <c r="O4" s="443"/>
      <c r="P4" s="443"/>
      <c r="Q4" s="444"/>
      <c r="R4" s="103"/>
      <c r="S4" s="449" t="s">
        <v>244</v>
      </c>
      <c r="T4" s="449" t="s">
        <v>245</v>
      </c>
    </row>
    <row r="5" spans="2:21" ht="15" customHeight="1" x14ac:dyDescent="0.25">
      <c r="B5" s="445" t="s">
        <v>247</v>
      </c>
      <c r="C5" s="446"/>
      <c r="D5" s="104" t="s">
        <v>248</v>
      </c>
      <c r="E5" s="96"/>
      <c r="F5" s="105"/>
      <c r="G5" s="447" t="s">
        <v>249</v>
      </c>
      <c r="H5" s="447"/>
      <c r="I5" s="106">
        <v>34955</v>
      </c>
      <c r="J5" s="86"/>
      <c r="K5" s="435"/>
      <c r="L5" s="435"/>
      <c r="M5" s="107"/>
      <c r="N5" s="108"/>
      <c r="O5" s="448" t="s">
        <v>249</v>
      </c>
      <c r="P5" s="448"/>
      <c r="Q5" s="109">
        <v>31345</v>
      </c>
      <c r="R5" s="91"/>
      <c r="S5" s="450"/>
      <c r="T5" s="450"/>
      <c r="U5" s="110">
        <v>31345</v>
      </c>
    </row>
    <row r="6" spans="2:21" ht="15.75" customHeight="1" thickBot="1" x14ac:dyDescent="0.3">
      <c r="B6" s="111" t="s">
        <v>250</v>
      </c>
      <c r="C6" s="112">
        <f>'[11]M2023 BLS SALARY CHART (53rd)'!C22</f>
        <v>80829.631999999998</v>
      </c>
      <c r="D6" s="113" t="s">
        <v>251</v>
      </c>
      <c r="E6" s="96"/>
      <c r="F6" s="114"/>
      <c r="G6" s="115"/>
      <c r="H6" s="115" t="s">
        <v>252</v>
      </c>
      <c r="I6" s="116">
        <f>I5/12</f>
        <v>2912.9166666666665</v>
      </c>
      <c r="J6" s="86"/>
      <c r="K6" s="436"/>
      <c r="L6" s="436"/>
      <c r="N6" s="117"/>
      <c r="O6" s="118"/>
      <c r="P6" s="118" t="s">
        <v>252</v>
      </c>
      <c r="Q6" s="119">
        <f>Q5/12</f>
        <v>2612.0833333333335</v>
      </c>
      <c r="R6" s="91"/>
      <c r="S6" s="451"/>
      <c r="T6" s="451"/>
    </row>
    <row r="7" spans="2:21" ht="15" customHeight="1" thickBot="1" x14ac:dyDescent="0.3">
      <c r="B7" s="120" t="s">
        <v>253</v>
      </c>
      <c r="C7" s="121">
        <f>'[11]M2023 BLS SALARY CHART (53rd)'!C6</f>
        <v>43247.567999999999</v>
      </c>
      <c r="D7" s="113" t="s">
        <v>254</v>
      </c>
      <c r="E7" s="96"/>
      <c r="F7" s="122" t="s">
        <v>133</v>
      </c>
      <c r="G7" s="123" t="s">
        <v>255</v>
      </c>
      <c r="H7" s="123" t="s">
        <v>256</v>
      </c>
      <c r="I7" s="124" t="s">
        <v>257</v>
      </c>
      <c r="J7" s="86"/>
      <c r="K7" s="125">
        <v>50</v>
      </c>
      <c r="L7" s="126">
        <f>AVERAGE([13]ExpenseAnalysis!D2:D15,[13]ExpenseAnalysis!D23:D30)</f>
        <v>49.222727272727269</v>
      </c>
      <c r="N7" s="127" t="s">
        <v>133</v>
      </c>
      <c r="O7" s="128" t="s">
        <v>255</v>
      </c>
      <c r="P7" s="128" t="s">
        <v>256</v>
      </c>
      <c r="Q7" s="129" t="s">
        <v>257</v>
      </c>
      <c r="R7" s="91"/>
      <c r="S7" s="130">
        <v>50</v>
      </c>
      <c r="T7" s="131">
        <v>49.222727272727269</v>
      </c>
    </row>
    <row r="8" spans="2:21" x14ac:dyDescent="0.25">
      <c r="B8" s="132"/>
      <c r="C8" s="133" t="s">
        <v>258</v>
      </c>
      <c r="D8" s="113"/>
      <c r="E8" s="96"/>
      <c r="F8" s="134" t="str">
        <f>B6</f>
        <v>Program management</v>
      </c>
      <c r="G8" s="135">
        <f>C6</f>
        <v>80829.631999999998</v>
      </c>
      <c r="H8" s="136">
        <f>C9</f>
        <v>3</v>
      </c>
      <c r="I8" s="137">
        <f>G8*H8</f>
        <v>242488.89600000001</v>
      </c>
      <c r="J8" s="86"/>
      <c r="K8" s="138">
        <v>0.5</v>
      </c>
      <c r="L8" s="139">
        <f>L7/K7*K8</f>
        <v>0.49222727272727268</v>
      </c>
      <c r="N8" s="140" t="s">
        <v>259</v>
      </c>
      <c r="O8" s="141">
        <v>72000.239999999991</v>
      </c>
      <c r="P8" s="142">
        <v>3</v>
      </c>
      <c r="Q8" s="143">
        <v>216000.71999999997</v>
      </c>
      <c r="R8" s="91"/>
      <c r="S8" s="144">
        <v>0.5</v>
      </c>
      <c r="T8" s="145">
        <v>0.49222727272727268</v>
      </c>
    </row>
    <row r="9" spans="2:21" x14ac:dyDescent="0.25">
      <c r="B9" s="132" t="s">
        <v>260</v>
      </c>
      <c r="C9" s="146">
        <v>3</v>
      </c>
      <c r="D9" s="113" t="s">
        <v>261</v>
      </c>
      <c r="E9" s="96"/>
      <c r="F9" s="147" t="str">
        <f>B7</f>
        <v>Program Secretary Clerical Staff /Direct Care/service Staff</v>
      </c>
      <c r="G9" s="148">
        <f>C7</f>
        <v>43247.567999999999</v>
      </c>
      <c r="H9" s="149">
        <v>29.5</v>
      </c>
      <c r="I9" s="150">
        <f>G9*H9</f>
        <v>1275803.2560000001</v>
      </c>
      <c r="J9" s="86"/>
      <c r="K9" s="151">
        <v>0.2</v>
      </c>
      <c r="L9" s="152">
        <f>L7/K7*K9</f>
        <v>0.19689090909090909</v>
      </c>
      <c r="N9" s="153" t="s">
        <v>253</v>
      </c>
      <c r="O9" s="154">
        <v>38937.599999999999</v>
      </c>
      <c r="P9" s="155">
        <v>29.5</v>
      </c>
      <c r="Q9" s="156">
        <v>1148659.2</v>
      </c>
      <c r="R9" s="91"/>
      <c r="S9" s="157">
        <v>0.2</v>
      </c>
      <c r="T9" s="158">
        <v>0.19689090909090909</v>
      </c>
    </row>
    <row r="10" spans="2:21" ht="15" customHeight="1" thickBot="1" x14ac:dyDescent="0.3">
      <c r="B10" s="120" t="s">
        <v>262</v>
      </c>
      <c r="C10" s="159">
        <v>25</v>
      </c>
      <c r="D10" s="160" t="s">
        <v>261</v>
      </c>
      <c r="E10" s="96"/>
      <c r="F10" s="161" t="s">
        <v>263</v>
      </c>
      <c r="G10" s="98"/>
      <c r="H10" s="162">
        <f>SUM(H8:H9)</f>
        <v>32.5</v>
      </c>
      <c r="I10" s="137">
        <f>SUM(I8:I9)</f>
        <v>1518292.152</v>
      </c>
      <c r="J10" s="86"/>
      <c r="K10" s="163">
        <f>K8+K9</f>
        <v>0.7</v>
      </c>
      <c r="L10" s="164">
        <f>SUM(L8:L9)</f>
        <v>0.68911818181818174</v>
      </c>
      <c r="N10" s="165" t="s">
        <v>263</v>
      </c>
      <c r="O10" s="101"/>
      <c r="P10" s="166">
        <f>SUM(P8:P9)</f>
        <v>32.5</v>
      </c>
      <c r="Q10" s="143">
        <f>SUM(Q8:Q9)</f>
        <v>1364659.92</v>
      </c>
      <c r="R10" s="91"/>
      <c r="S10" s="167">
        <f>S8+S9</f>
        <v>0.7</v>
      </c>
      <c r="T10" s="168">
        <v>0.68911818181818174</v>
      </c>
    </row>
    <row r="11" spans="2:21" ht="14.45" customHeight="1" x14ac:dyDescent="0.25">
      <c r="B11" s="428" t="s">
        <v>264</v>
      </c>
      <c r="C11" s="430"/>
      <c r="D11" s="113"/>
      <c r="E11" s="96"/>
      <c r="F11" s="161"/>
      <c r="G11" s="98"/>
      <c r="H11" s="169"/>
      <c r="I11" s="137"/>
      <c r="J11" s="86"/>
      <c r="N11" s="165"/>
      <c r="O11" s="101"/>
      <c r="P11" s="170"/>
      <c r="Q11" s="143"/>
      <c r="R11" s="91"/>
      <c r="S11" s="93"/>
      <c r="T11" s="93"/>
    </row>
    <row r="12" spans="2:21" ht="15.75" customHeight="1" thickBot="1" x14ac:dyDescent="0.3">
      <c r="B12" s="132" t="s">
        <v>265</v>
      </c>
      <c r="C12" s="171">
        <f>'[11]M2023 BLS SALARY CHART (53rd)'!C38</f>
        <v>0.24970000000000001</v>
      </c>
      <c r="D12" s="113" t="s">
        <v>266</v>
      </c>
      <c r="E12" s="96"/>
      <c r="F12" s="172" t="s">
        <v>267</v>
      </c>
      <c r="G12" s="173">
        <f>C12</f>
        <v>0.24970000000000001</v>
      </c>
      <c r="H12" s="174"/>
      <c r="I12" s="175">
        <f>I10*G12</f>
        <v>379117.55035440001</v>
      </c>
      <c r="J12" s="86"/>
      <c r="N12" s="176" t="s">
        <v>267</v>
      </c>
      <c r="O12" s="177">
        <v>0.2422</v>
      </c>
      <c r="P12" s="178"/>
      <c r="Q12" s="179">
        <v>330520.63262399996</v>
      </c>
      <c r="R12" s="91"/>
      <c r="S12" s="93"/>
      <c r="T12" s="93"/>
    </row>
    <row r="13" spans="2:21" ht="15.6" customHeight="1" thickTop="1" thickBot="1" x14ac:dyDescent="0.3">
      <c r="B13" s="132" t="s">
        <v>268</v>
      </c>
      <c r="C13" s="180">
        <f>2297*(2.56%+1)*(2.4%+1)*(1.85%+1)</f>
        <v>2456.9708126208002</v>
      </c>
      <c r="D13" s="113" t="s">
        <v>269</v>
      </c>
      <c r="E13" s="96"/>
      <c r="F13" s="181" t="s">
        <v>270</v>
      </c>
      <c r="G13" s="182"/>
      <c r="H13" s="182"/>
      <c r="I13" s="183">
        <f>SUM(I10+I12)</f>
        <v>1897409.7023544</v>
      </c>
      <c r="J13" s="86"/>
      <c r="N13" s="184" t="s">
        <v>270</v>
      </c>
      <c r="O13" s="185"/>
      <c r="P13" s="185"/>
      <c r="Q13" s="186">
        <f>SUM(Q10+Q12)</f>
        <v>1695180.5526239998</v>
      </c>
      <c r="R13" s="91"/>
      <c r="S13" s="93"/>
      <c r="T13" s="93"/>
    </row>
    <row r="14" spans="2:21" ht="15.75" thickTop="1" x14ac:dyDescent="0.25">
      <c r="B14" s="120" t="s">
        <v>271</v>
      </c>
      <c r="C14" s="187">
        <f>(330100+105000)*(2.4%+1)*(1.85%+1)</f>
        <v>453784.93440000003</v>
      </c>
      <c r="D14" s="160" t="s">
        <v>261</v>
      </c>
      <c r="E14" s="96"/>
      <c r="F14" s="134"/>
      <c r="G14" s="188"/>
      <c r="H14" s="98"/>
      <c r="I14" s="137"/>
      <c r="J14" s="86"/>
      <c r="M14" s="189"/>
      <c r="N14" s="140"/>
      <c r="O14" s="190"/>
      <c r="P14" s="101"/>
      <c r="Q14" s="143"/>
      <c r="R14" s="91"/>
      <c r="S14" s="93"/>
      <c r="T14" s="93"/>
      <c r="U14" s="189"/>
    </row>
    <row r="15" spans="2:21" ht="15.75" customHeight="1" x14ac:dyDescent="0.25">
      <c r="B15" s="191"/>
      <c r="C15" s="192"/>
      <c r="D15" s="193"/>
      <c r="E15" s="96"/>
      <c r="F15" s="134" t="str">
        <f>B13</f>
        <v xml:space="preserve">Occupancy </v>
      </c>
      <c r="G15" s="98"/>
      <c r="H15" s="194"/>
      <c r="I15" s="195">
        <f>C13*H10</f>
        <v>79851.551410176005</v>
      </c>
      <c r="J15" s="86"/>
      <c r="N15" s="140" t="s">
        <v>268</v>
      </c>
      <c r="O15" s="101"/>
      <c r="P15" s="196"/>
      <c r="Q15" s="197">
        <v>78401.130496000012</v>
      </c>
      <c r="R15" s="91"/>
      <c r="S15" s="93"/>
      <c r="T15" s="93"/>
    </row>
    <row r="16" spans="2:21" x14ac:dyDescent="0.25">
      <c r="B16" s="191" t="s">
        <v>214</v>
      </c>
      <c r="C16" s="198">
        <f>'[11]M2023 BLS SALARY CHART (53rd)'!C41</f>
        <v>0.12</v>
      </c>
      <c r="D16" s="199" t="s">
        <v>215</v>
      </c>
      <c r="E16" s="96"/>
      <c r="F16" s="134" t="str">
        <f>B14</f>
        <v>Total Other Expenses and fixed costs</v>
      </c>
      <c r="G16" s="98"/>
      <c r="H16" s="194"/>
      <c r="I16" s="195">
        <f>C14</f>
        <v>453784.93440000003</v>
      </c>
      <c r="J16" s="86"/>
      <c r="K16" s="200"/>
      <c r="N16" s="140" t="s">
        <v>272</v>
      </c>
      <c r="O16" s="101"/>
      <c r="P16" s="196"/>
      <c r="Q16" s="197">
        <v>445542.40000000002</v>
      </c>
      <c r="R16" s="91"/>
      <c r="S16" s="201"/>
      <c r="T16" s="93"/>
    </row>
    <row r="17" spans="2:21" x14ac:dyDescent="0.25">
      <c r="B17" s="202" t="s">
        <v>273</v>
      </c>
      <c r="C17" s="203">
        <f>'[11]SPRING 24 CAF'!CP29</f>
        <v>2.02309192926836E-2</v>
      </c>
      <c r="D17" s="204" t="s">
        <v>274</v>
      </c>
      <c r="E17" s="205"/>
      <c r="F17" s="122" t="s">
        <v>275</v>
      </c>
      <c r="G17" s="206"/>
      <c r="H17" s="206"/>
      <c r="I17" s="207">
        <f>SUM(I13:I16)</f>
        <v>2431046.188164576</v>
      </c>
      <c r="J17" s="86"/>
      <c r="N17" s="127" t="s">
        <v>275</v>
      </c>
      <c r="O17" s="208"/>
      <c r="P17" s="208"/>
      <c r="Q17" s="209">
        <f>SUM(Q13:Q16)</f>
        <v>2219124.0831199996</v>
      </c>
      <c r="R17" s="91"/>
      <c r="S17" s="93"/>
      <c r="T17" s="93"/>
    </row>
    <row r="18" spans="2:21" x14ac:dyDescent="0.25">
      <c r="B18" s="205"/>
      <c r="C18" s="205"/>
      <c r="D18" s="205"/>
      <c r="E18" s="205"/>
      <c r="F18" s="134" t="s">
        <v>276</v>
      </c>
      <c r="G18" s="188">
        <f>C16</f>
        <v>0.12</v>
      </c>
      <c r="H18" s="98"/>
      <c r="I18" s="137">
        <f>I17*G18</f>
        <v>291725.54257974908</v>
      </c>
      <c r="J18" s="86"/>
      <c r="K18" s="210"/>
      <c r="L18" s="210"/>
      <c r="N18" s="140" t="s">
        <v>276</v>
      </c>
      <c r="O18" s="190">
        <v>0.12</v>
      </c>
      <c r="P18" s="101"/>
      <c r="Q18" s="143">
        <f>Q17*O18</f>
        <v>266294.88997439994</v>
      </c>
      <c r="R18" s="91"/>
      <c r="S18" s="211"/>
      <c r="T18" s="211"/>
    </row>
    <row r="19" spans="2:21" ht="16.5" customHeight="1" thickBot="1" x14ac:dyDescent="0.3">
      <c r="B19" s="205"/>
      <c r="C19" s="205"/>
      <c r="D19" s="205"/>
      <c r="E19" s="205"/>
      <c r="F19" s="212" t="s">
        <v>277</v>
      </c>
      <c r="G19" s="213"/>
      <c r="H19" s="213"/>
      <c r="I19" s="214">
        <f>SUM(I17+I18)</f>
        <v>2722771.7307443251</v>
      </c>
      <c r="J19" s="86"/>
      <c r="N19" s="215" t="s">
        <v>277</v>
      </c>
      <c r="O19" s="216"/>
      <c r="P19" s="216"/>
      <c r="Q19" s="217">
        <f>SUM(Q17+Q18)</f>
        <v>2485418.9730943996</v>
      </c>
      <c r="R19" s="91"/>
      <c r="S19" s="93"/>
      <c r="T19" s="93"/>
    </row>
    <row r="20" spans="2:21" ht="15.75" thickTop="1" x14ac:dyDescent="0.25">
      <c r="B20" s="205"/>
      <c r="C20" s="205"/>
      <c r="D20" s="205"/>
      <c r="E20" s="205"/>
      <c r="F20" s="161" t="s">
        <v>278</v>
      </c>
      <c r="G20" s="188">
        <f>C17</f>
        <v>2.02309192926836E-2</v>
      </c>
      <c r="H20" s="98"/>
      <c r="I20" s="137">
        <f>(I19*G20)-(I13*G20)</f>
        <v>16697.832583602205</v>
      </c>
      <c r="J20" s="86"/>
      <c r="N20" s="165" t="s">
        <v>278</v>
      </c>
      <c r="O20" s="190">
        <v>1.8521849532574713E-2</v>
      </c>
      <c r="P20" s="101"/>
      <c r="Q20" s="143">
        <f>(Q19*O20)-(Q13*O20)</f>
        <v>14636.677118812251</v>
      </c>
      <c r="R20" s="91"/>
      <c r="S20" s="93"/>
      <c r="T20" s="93"/>
    </row>
    <row r="21" spans="2:21" ht="14.25" customHeight="1" thickBot="1" x14ac:dyDescent="0.3">
      <c r="B21" s="205"/>
      <c r="C21" s="205"/>
      <c r="D21" s="205"/>
      <c r="E21" s="205"/>
      <c r="F21" s="218" t="s">
        <v>279</v>
      </c>
      <c r="G21" s="219"/>
      <c r="H21" s="219"/>
      <c r="I21" s="220">
        <f>I19+I20</f>
        <v>2739469.5633279271</v>
      </c>
      <c r="J21" s="86"/>
      <c r="N21" s="221" t="s">
        <v>279</v>
      </c>
      <c r="O21" s="222"/>
      <c r="P21" s="222"/>
      <c r="Q21" s="223">
        <f>Q19+Q20</f>
        <v>2500055.6502132118</v>
      </c>
      <c r="R21" s="91"/>
      <c r="S21" s="93"/>
      <c r="T21" s="93"/>
    </row>
    <row r="22" spans="2:21" ht="16.5" customHeight="1" thickBot="1" x14ac:dyDescent="0.3">
      <c r="B22" s="224"/>
      <c r="C22" s="225"/>
      <c r="D22" s="226"/>
      <c r="E22" s="227"/>
      <c r="F22" s="228" t="s">
        <v>280</v>
      </c>
      <c r="G22" s="229"/>
      <c r="H22" s="230"/>
      <c r="I22" s="329">
        <f>I21/I5</f>
        <v>78.371322080615855</v>
      </c>
      <c r="N22" s="231" t="s">
        <v>280</v>
      </c>
      <c r="O22" s="232"/>
      <c r="P22" s="233"/>
      <c r="Q22" s="234">
        <f>Q21/Q5</f>
        <v>79.759312496832408</v>
      </c>
      <c r="R22" s="93"/>
      <c r="S22" s="93"/>
      <c r="T22" s="93"/>
    </row>
    <row r="23" spans="2:21" ht="15" customHeight="1" thickBot="1" x14ac:dyDescent="0.3">
      <c r="E23" s="235"/>
      <c r="F23" s="236" t="s">
        <v>281</v>
      </c>
      <c r="G23" s="237"/>
      <c r="H23" s="237"/>
      <c r="I23" s="401">
        <f>I22*I6</f>
        <v>228289.13027732726</v>
      </c>
      <c r="N23" s="238" t="s">
        <v>281</v>
      </c>
      <c r="O23" s="239"/>
      <c r="P23" s="239"/>
      <c r="Q23" s="240">
        <f>Q22*Q6</f>
        <v>208337.97085110101</v>
      </c>
      <c r="R23" s="93"/>
      <c r="S23" s="93"/>
      <c r="T23" s="93"/>
    </row>
    <row r="24" spans="2:21" ht="14.45" customHeight="1" thickBot="1" x14ac:dyDescent="0.3">
      <c r="E24" s="235"/>
      <c r="F24" s="431"/>
      <c r="G24" s="431"/>
      <c r="H24" s="431"/>
      <c r="I24" s="431"/>
      <c r="M24" s="241"/>
      <c r="N24" s="432"/>
      <c r="O24" s="432"/>
      <c r="P24" s="432"/>
      <c r="Q24" s="432"/>
      <c r="R24" s="93"/>
      <c r="S24" s="93"/>
      <c r="T24" s="93"/>
      <c r="U24" s="241"/>
    </row>
    <row r="25" spans="2:21" ht="14.45" customHeight="1" x14ac:dyDescent="0.25">
      <c r="B25" s="431"/>
      <c r="C25" s="431"/>
      <c r="D25" s="431"/>
      <c r="E25" s="235"/>
      <c r="F25" s="452" t="s">
        <v>333</v>
      </c>
      <c r="G25" s="452"/>
      <c r="H25" s="452"/>
      <c r="I25" s="452"/>
      <c r="K25" s="434" t="s">
        <v>282</v>
      </c>
      <c r="L25" s="434" t="s">
        <v>245</v>
      </c>
      <c r="N25" s="245"/>
      <c r="O25" s="437"/>
      <c r="P25" s="437"/>
      <c r="Q25" s="247"/>
      <c r="R25" s="93"/>
      <c r="S25" s="449" t="s">
        <v>282</v>
      </c>
      <c r="T25" s="449" t="s">
        <v>245</v>
      </c>
    </row>
    <row r="26" spans="2:21" ht="14.45" customHeight="1" x14ac:dyDescent="0.25">
      <c r="B26" s="427"/>
      <c r="C26" s="427"/>
      <c r="D26" s="249"/>
      <c r="E26" s="235"/>
      <c r="F26" s="250"/>
      <c r="G26" s="88"/>
      <c r="H26" s="88"/>
      <c r="I26" s="88"/>
      <c r="K26" s="435"/>
      <c r="L26" s="435"/>
      <c r="N26" s="251"/>
      <c r="O26" s="92"/>
      <c r="P26" s="92"/>
      <c r="Q26" s="92"/>
      <c r="R26" s="93"/>
      <c r="S26" s="450"/>
      <c r="T26" s="450"/>
    </row>
    <row r="27" spans="2:21" ht="14.45" customHeight="1" thickBot="1" x14ac:dyDescent="0.3">
      <c r="B27" s="86"/>
      <c r="C27" s="252"/>
      <c r="D27" s="253"/>
      <c r="E27" s="235"/>
      <c r="F27" s="254"/>
      <c r="G27" s="248"/>
      <c r="H27" s="248"/>
      <c r="I27" s="248"/>
      <c r="K27" s="436"/>
      <c r="L27" s="436"/>
      <c r="N27" s="255"/>
      <c r="O27" s="256"/>
      <c r="P27" s="256"/>
      <c r="Q27" s="256"/>
      <c r="R27" s="93"/>
      <c r="S27" s="451"/>
      <c r="T27" s="451"/>
    </row>
    <row r="28" spans="2:21" ht="14.45" customHeight="1" thickBot="1" x14ac:dyDescent="0.3">
      <c r="B28" s="86"/>
      <c r="C28" s="252"/>
      <c r="D28" s="253"/>
      <c r="E28" s="235"/>
      <c r="F28" s="86"/>
      <c r="G28" s="257"/>
      <c r="H28" s="258"/>
      <c r="I28" s="259"/>
      <c r="K28" s="260">
        <v>63</v>
      </c>
      <c r="L28" s="260">
        <f>[13]ExpenseAnalysis!D32</f>
        <v>71.412500000000009</v>
      </c>
      <c r="N28" s="91"/>
      <c r="O28" s="261"/>
      <c r="P28" s="262"/>
      <c r="Q28" s="263"/>
      <c r="R28" s="93"/>
      <c r="S28" s="264">
        <v>63</v>
      </c>
      <c r="T28" s="264" t="e">
        <f>[13]ExpenseAnalysis!L32</f>
        <v>#REF!</v>
      </c>
    </row>
    <row r="29" spans="2:21" ht="14.45" customHeight="1" x14ac:dyDescent="0.25">
      <c r="B29" s="86"/>
      <c r="C29" s="243"/>
      <c r="D29" s="253"/>
      <c r="E29" s="235"/>
      <c r="F29" s="86"/>
      <c r="G29" s="257"/>
      <c r="H29" s="258"/>
      <c r="I29" s="259"/>
      <c r="K29" s="265">
        <v>0.52</v>
      </c>
      <c r="L29" s="266">
        <f>L28/K28*K29</f>
        <v>0.58943650793650804</v>
      </c>
      <c r="N29" s="91"/>
      <c r="O29" s="261"/>
      <c r="P29" s="262"/>
      <c r="Q29" s="263"/>
      <c r="R29" s="93"/>
      <c r="S29" s="267">
        <v>0.52</v>
      </c>
      <c r="T29" s="268" t="e">
        <f>T28/S28*S29</f>
        <v>#REF!</v>
      </c>
    </row>
    <row r="30" spans="2:21" ht="14.45" customHeight="1" x14ac:dyDescent="0.25">
      <c r="B30" s="86"/>
      <c r="C30" s="269"/>
      <c r="D30" s="253"/>
      <c r="E30" s="235"/>
      <c r="F30" s="254"/>
      <c r="G30" s="88"/>
      <c r="H30" s="258"/>
      <c r="I30" s="259"/>
      <c r="K30" s="270">
        <v>0.21</v>
      </c>
      <c r="L30" s="266">
        <f t="shared" ref="L30:L31" si="0">L29/K29*K30</f>
        <v>0.23804166666666671</v>
      </c>
      <c r="N30" s="255"/>
      <c r="O30" s="92"/>
      <c r="P30" s="262"/>
      <c r="Q30" s="263"/>
      <c r="R30" s="93"/>
      <c r="S30" s="271">
        <v>0.21</v>
      </c>
      <c r="T30" s="268" t="e">
        <f t="shared" ref="T30:T31" si="1">T29/S29*S30</f>
        <v>#REF!</v>
      </c>
    </row>
    <row r="31" spans="2:21" ht="14.45" customHeight="1" thickBot="1" x14ac:dyDescent="0.3">
      <c r="B31" s="86"/>
      <c r="C31" s="272"/>
      <c r="D31" s="253"/>
      <c r="E31" s="235"/>
      <c r="F31" s="254"/>
      <c r="G31" s="88"/>
      <c r="H31" s="273"/>
      <c r="I31" s="259"/>
      <c r="K31" s="274">
        <f>SUM(K29:K30)</f>
        <v>0.73</v>
      </c>
      <c r="L31" s="275">
        <f t="shared" si="0"/>
        <v>0.82747817460317474</v>
      </c>
      <c r="N31" s="255"/>
      <c r="O31" s="92"/>
      <c r="P31" s="276"/>
      <c r="Q31" s="263"/>
      <c r="R31" s="93"/>
      <c r="S31" s="277">
        <f>SUM(S29:S30)</f>
        <v>0.73</v>
      </c>
      <c r="T31" s="278" t="e">
        <f t="shared" si="1"/>
        <v>#REF!</v>
      </c>
    </row>
    <row r="32" spans="2:21" ht="14.45" customHeight="1" x14ac:dyDescent="0.25">
      <c r="B32" s="427"/>
      <c r="C32" s="427"/>
      <c r="D32" s="253"/>
      <c r="E32" s="235"/>
      <c r="F32" s="86"/>
      <c r="G32" s="279"/>
      <c r="H32" s="88"/>
      <c r="I32" s="259"/>
      <c r="N32" s="91"/>
      <c r="O32" s="280"/>
      <c r="P32" s="92"/>
      <c r="Q32" s="263"/>
      <c r="R32" s="93"/>
      <c r="S32" s="93"/>
      <c r="T32" s="93"/>
    </row>
    <row r="33" spans="2:20" ht="14.45" customHeight="1" x14ac:dyDescent="0.25">
      <c r="B33" s="86"/>
      <c r="C33" s="281"/>
      <c r="D33" s="253"/>
      <c r="E33" s="235"/>
      <c r="F33" s="254"/>
      <c r="G33" s="88"/>
      <c r="H33" s="88"/>
      <c r="I33" s="259"/>
      <c r="N33" s="255"/>
      <c r="O33" s="92"/>
      <c r="P33" s="92"/>
      <c r="Q33" s="263"/>
      <c r="R33" s="93"/>
      <c r="S33" s="93"/>
      <c r="T33" s="93"/>
    </row>
    <row r="34" spans="2:20" ht="14.45" customHeight="1" x14ac:dyDescent="0.25">
      <c r="B34" s="86"/>
      <c r="C34" s="282"/>
      <c r="D34" s="253"/>
      <c r="E34" s="235"/>
      <c r="F34" s="102"/>
      <c r="G34" s="283"/>
      <c r="H34" s="284"/>
      <c r="I34" s="259"/>
      <c r="N34" s="103"/>
      <c r="O34" s="285"/>
      <c r="P34" s="286"/>
      <c r="Q34" s="263"/>
      <c r="R34" s="93"/>
      <c r="S34" s="93"/>
      <c r="T34" s="93"/>
    </row>
    <row r="35" spans="2:20" ht="14.45" customHeight="1" x14ac:dyDescent="0.25">
      <c r="B35" s="86"/>
      <c r="C35" s="282"/>
      <c r="D35" s="253"/>
      <c r="E35" s="235"/>
      <c r="F35" s="86"/>
      <c r="G35" s="88"/>
      <c r="H35" s="287"/>
      <c r="I35" s="288"/>
      <c r="N35" s="91"/>
      <c r="O35" s="92"/>
      <c r="P35" s="289"/>
      <c r="Q35" s="290"/>
      <c r="R35" s="93"/>
      <c r="S35" s="93"/>
      <c r="T35" s="93"/>
    </row>
    <row r="36" spans="2:20" ht="14.45" customHeight="1" x14ac:dyDescent="0.25">
      <c r="B36" s="86"/>
      <c r="C36" s="282"/>
      <c r="D36" s="253"/>
      <c r="E36" s="235"/>
      <c r="F36" s="86"/>
      <c r="G36" s="88"/>
      <c r="H36" s="291"/>
      <c r="I36" s="288"/>
      <c r="N36" s="91"/>
      <c r="O36" s="92"/>
      <c r="P36" s="292"/>
      <c r="Q36" s="290"/>
      <c r="R36" s="93"/>
      <c r="S36" s="93"/>
      <c r="T36" s="93"/>
    </row>
    <row r="37" spans="2:20" ht="14.45" customHeight="1" x14ac:dyDescent="0.25">
      <c r="B37" s="86"/>
      <c r="C37" s="281"/>
      <c r="D37" s="253"/>
      <c r="E37" s="235"/>
      <c r="F37" s="86"/>
      <c r="G37" s="88"/>
      <c r="H37" s="291"/>
      <c r="I37" s="288"/>
      <c r="N37" s="91"/>
      <c r="O37" s="92"/>
      <c r="P37" s="292"/>
      <c r="Q37" s="290"/>
      <c r="R37" s="93"/>
      <c r="S37" s="93"/>
      <c r="T37" s="93"/>
    </row>
    <row r="38" spans="2:20" ht="14.45" customHeight="1" x14ac:dyDescent="0.25">
      <c r="B38" s="86"/>
      <c r="C38" s="293"/>
      <c r="D38" s="86"/>
      <c r="E38" s="235"/>
      <c r="F38" s="254"/>
      <c r="G38" s="88"/>
      <c r="H38" s="88"/>
      <c r="I38" s="259"/>
      <c r="N38" s="255"/>
      <c r="O38" s="92"/>
      <c r="P38" s="92"/>
      <c r="Q38" s="263"/>
      <c r="R38" s="93"/>
      <c r="S38" s="93"/>
      <c r="T38" s="93"/>
    </row>
    <row r="39" spans="2:20" ht="14.45" customHeight="1" x14ac:dyDescent="0.25">
      <c r="E39" s="235"/>
      <c r="F39" s="254"/>
      <c r="G39" s="88"/>
      <c r="H39" s="88"/>
      <c r="I39" s="259"/>
      <c r="N39" s="255"/>
      <c r="O39" s="92"/>
      <c r="P39" s="92"/>
      <c r="Q39" s="263"/>
      <c r="R39" s="93"/>
      <c r="S39" s="93"/>
      <c r="T39" s="93"/>
    </row>
    <row r="40" spans="2:20" ht="14.45" customHeight="1" x14ac:dyDescent="0.25">
      <c r="E40" s="235"/>
      <c r="F40" s="86"/>
      <c r="G40" s="279"/>
      <c r="H40" s="88"/>
      <c r="I40" s="259"/>
      <c r="N40" s="91"/>
      <c r="O40" s="280"/>
      <c r="P40" s="92"/>
      <c r="Q40" s="263"/>
      <c r="R40" s="93"/>
      <c r="S40" s="93"/>
      <c r="T40" s="93"/>
    </row>
    <row r="41" spans="2:20" ht="14.45" customHeight="1" x14ac:dyDescent="0.25">
      <c r="E41" s="235"/>
      <c r="F41" s="254"/>
      <c r="G41" s="243"/>
      <c r="H41" s="243"/>
      <c r="I41" s="294"/>
      <c r="N41" s="255"/>
      <c r="O41" s="246"/>
      <c r="P41" s="246"/>
      <c r="Q41" s="295"/>
      <c r="R41" s="93"/>
      <c r="S41" s="93"/>
      <c r="T41" s="93"/>
    </row>
    <row r="42" spans="2:20" ht="14.45" customHeight="1" x14ac:dyDescent="0.25">
      <c r="E42" s="235"/>
      <c r="F42" s="86"/>
      <c r="G42" s="279"/>
      <c r="H42" s="88"/>
      <c r="I42" s="294"/>
      <c r="N42" s="91"/>
      <c r="O42" s="280"/>
      <c r="P42" s="92"/>
      <c r="Q42" s="295"/>
      <c r="R42" s="93"/>
      <c r="S42" s="93"/>
      <c r="T42" s="93"/>
    </row>
    <row r="43" spans="2:20" ht="14.45" customHeight="1" x14ac:dyDescent="0.25">
      <c r="E43" s="235"/>
      <c r="F43" s="86"/>
      <c r="G43" s="88"/>
      <c r="H43" s="88"/>
      <c r="I43" s="259"/>
      <c r="N43" s="91"/>
      <c r="O43" s="92"/>
      <c r="P43" s="92"/>
      <c r="Q43" s="263"/>
      <c r="R43" s="93"/>
      <c r="S43" s="93"/>
      <c r="T43" s="93"/>
    </row>
    <row r="44" spans="2:20" ht="14.45" customHeight="1" x14ac:dyDescent="0.25">
      <c r="E44" s="235"/>
      <c r="F44" s="254"/>
      <c r="G44" s="296"/>
      <c r="H44" s="243"/>
      <c r="I44" s="297"/>
      <c r="N44" s="255"/>
      <c r="O44" s="298"/>
      <c r="P44" s="246"/>
      <c r="Q44" s="299"/>
      <c r="R44" s="93"/>
      <c r="S44" s="93"/>
      <c r="T44" s="93"/>
    </row>
    <row r="45" spans="2:20" ht="14.45" customHeight="1" x14ac:dyDescent="0.25">
      <c r="E45" s="235"/>
      <c r="F45" s="254"/>
      <c r="G45" s="296"/>
      <c r="H45" s="243"/>
      <c r="I45" s="297"/>
      <c r="N45" s="255"/>
      <c r="O45" s="298"/>
      <c r="P45" s="246"/>
      <c r="Q45" s="299"/>
      <c r="R45" s="93"/>
      <c r="S45" s="93"/>
      <c r="T45" s="93"/>
    </row>
    <row r="46" spans="2:20" ht="14.45" customHeight="1" x14ac:dyDescent="0.25">
      <c r="E46" s="235"/>
      <c r="F46" s="300"/>
      <c r="N46" s="301"/>
      <c r="O46" s="93"/>
      <c r="P46" s="93"/>
      <c r="Q46" s="93"/>
      <c r="R46" s="93"/>
      <c r="S46" s="93"/>
      <c r="T46" s="93"/>
    </row>
    <row r="47" spans="2:20" ht="14.45" customHeight="1" x14ac:dyDescent="0.25">
      <c r="E47" s="235"/>
      <c r="F47" s="300"/>
      <c r="N47" s="301"/>
      <c r="O47" s="93"/>
      <c r="P47" s="93"/>
      <c r="Q47" s="93"/>
      <c r="R47" s="93"/>
      <c r="S47" s="93"/>
      <c r="T47" s="93"/>
    </row>
    <row r="48" spans="2:20" x14ac:dyDescent="0.25">
      <c r="E48" s="235"/>
      <c r="H48" s="302" t="s">
        <v>283</v>
      </c>
      <c r="I48" s="303">
        <v>208338</v>
      </c>
      <c r="N48" s="93"/>
      <c r="O48" s="93"/>
      <c r="P48" s="304" t="s">
        <v>283</v>
      </c>
      <c r="Q48" s="305">
        <v>172026</v>
      </c>
      <c r="R48" s="93"/>
      <c r="S48" s="93"/>
      <c r="T48" s="93"/>
    </row>
    <row r="49" spans="2:20" x14ac:dyDescent="0.25">
      <c r="H49" s="302"/>
      <c r="I49" s="306">
        <f>(I23-I48)/I48</f>
        <v>9.5763280233693626E-2</v>
      </c>
      <c r="N49" s="93"/>
      <c r="O49" s="93"/>
      <c r="P49" s="304"/>
      <c r="Q49" s="307">
        <f>(Q23-Q48)/Q48</f>
        <v>0.21108420152245017</v>
      </c>
      <c r="R49" s="93"/>
      <c r="S49" s="93"/>
      <c r="T49" s="93"/>
    </row>
    <row r="50" spans="2:20" x14ac:dyDescent="0.25">
      <c r="N50" s="93"/>
      <c r="O50" s="93"/>
      <c r="P50" s="93"/>
      <c r="Q50" s="93"/>
      <c r="R50" s="93"/>
      <c r="S50" s="93"/>
      <c r="T50" s="93"/>
    </row>
    <row r="51" spans="2:20" x14ac:dyDescent="0.25">
      <c r="I51" s="308"/>
      <c r="Q51" s="308"/>
    </row>
    <row r="52" spans="2:20" x14ac:dyDescent="0.25">
      <c r="B52" s="309"/>
    </row>
    <row r="53" spans="2:20" x14ac:dyDescent="0.25">
      <c r="B53" s="310"/>
    </row>
    <row r="54" spans="2:20" x14ac:dyDescent="0.25">
      <c r="B54" s="310"/>
    </row>
    <row r="55" spans="2:20" x14ac:dyDescent="0.25">
      <c r="B55" s="310"/>
    </row>
  </sheetData>
  <mergeCells count="23">
    <mergeCell ref="B11:C11"/>
    <mergeCell ref="C1:D1"/>
    <mergeCell ref="B4:D4"/>
    <mergeCell ref="F4:I4"/>
    <mergeCell ref="K4:K6"/>
    <mergeCell ref="S4:S6"/>
    <mergeCell ref="T4:T6"/>
    <mergeCell ref="B5:C5"/>
    <mergeCell ref="G5:H5"/>
    <mergeCell ref="O5:P5"/>
    <mergeCell ref="L4:L6"/>
    <mergeCell ref="N4:Q4"/>
    <mergeCell ref="F24:I24"/>
    <mergeCell ref="N24:Q24"/>
    <mergeCell ref="B25:D25"/>
    <mergeCell ref="K25:K27"/>
    <mergeCell ref="L25:L27"/>
    <mergeCell ref="O25:P25"/>
    <mergeCell ref="S25:S27"/>
    <mergeCell ref="T25:T27"/>
    <mergeCell ref="B26:C26"/>
    <mergeCell ref="B32:C32"/>
    <mergeCell ref="F25:I25"/>
  </mergeCells>
  <pageMargins left="0.2" right="0.2" top="0.75" bottom="0.75" header="0.3" footer="0.3"/>
  <pageSetup scale="8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SPRING 24 CAF</vt:lpstr>
      <vt:lpstr>M2023 BLS SALARY CHART (53rd)</vt:lpstr>
      <vt:lpstr>Home Care Direct Servs-8006</vt:lpstr>
      <vt:lpstr>ECOP-8061</vt:lpstr>
      <vt:lpstr>Prot. Services Intake</vt:lpstr>
      <vt:lpstr>Prot. Central Intake &amp; Asses</vt:lpstr>
      <vt:lpstr>'M2023 BLS SALARY CHART (53rd)'!Print_Area</vt:lpstr>
      <vt:lpstr>'Prot. Central Intake &amp; Asses'!Print_Area</vt:lpstr>
      <vt:lpstr>'Prot. Services Intake'!Print_Area</vt:lpstr>
      <vt:lpstr>'SPRING 24 CAF'!Print_Titles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Farrell, Conor (EHS)</dc:creator>
  <cp:lastModifiedBy>Harrison, Deborah (EHS)</cp:lastModifiedBy>
  <dcterms:created xsi:type="dcterms:W3CDTF">2025-03-07T18:52:08Z</dcterms:created>
  <dcterms:modified xsi:type="dcterms:W3CDTF">2025-03-07T19:31:52Z</dcterms:modified>
</cp:coreProperties>
</file>