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massgov-my.sharepoint.com/personal/deborah_harrison_mass_gov/Documents/Documents/Agencies/EHS/"/>
    </mc:Choice>
  </mc:AlternateContent>
  <xr:revisionPtr revIDLastSave="0" documentId="8_{C38E6E04-D70E-441B-B0F5-8750E1823D16}" xr6:coauthVersionLast="47" xr6:coauthVersionMax="47" xr10:uidLastSave="{00000000-0000-0000-0000-000000000000}"/>
  <bookViews>
    <workbookView xWindow="3120" yWindow="3120" windowWidth="21600" windowHeight="11295" firstSheet="1" activeTab="14" xr2:uid="{89972065-C446-4410-BFE2-E668659AF1C6}"/>
  </bookViews>
  <sheets>
    <sheet name="SPRING 24 CAF" sheetId="14" r:id="rId1"/>
    <sheet name="M2023 BLS SALARY CHART (53rd)" sheetId="13" r:id="rId2"/>
    <sheet name="M2022 BLS SALARY CHART (53_PCT)" sheetId="10" state="hidden" r:id="rId3"/>
    <sheet name="FALL 2023" sheetId="11" state="hidden" r:id="rId4"/>
    <sheet name="Spring 2022 CAF" sheetId="4" state="hidden" r:id="rId5"/>
    <sheet name="1. Youth Stabilization 12 B Ol " sheetId="1" state="hidden" r:id="rId6"/>
    <sheet name="1. Youth Stabilization 12 BED" sheetId="8" r:id="rId7"/>
    <sheet name="2.  Staffing Supports RR202 " sheetId="3" state="hidden" r:id="rId8"/>
    <sheet name="2.  Staffing Supports RR202 (2)" sheetId="6" r:id="rId9"/>
    <sheet name="DYS FY24" sheetId="18" state="hidden" r:id="rId10"/>
    <sheet name="DPH FY24" sheetId="17" state="hidden" r:id="rId11"/>
    <sheet name="Fiscal Impact" sheetId="2" state="hidden" r:id="rId12"/>
    <sheet name="M2021 BLS  SALARY CHART" sheetId="5" state="hidden" r:id="rId13"/>
    <sheet name="Food September 2023" sheetId="12" state="hidden" r:id="rId14"/>
    <sheet name="Rate Chart" sheetId="16" r:id="rId15"/>
    <sheet name="FY21 DYS units" sheetId="9" state="hidden" r:id="rId16"/>
    <sheet name="Food February 2022" sheetId="7"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Key1" hidden="1">#REF!</definedName>
    <definedName name="_Sort" hidden="1">#REF!</definedName>
    <definedName name="alldata" localSheetId="2">#REF!</definedName>
    <definedName name="alldata" localSheetId="1">#REF!</definedName>
    <definedName name="alldata">#REF!</definedName>
    <definedName name="alled" localSheetId="2">#REF!</definedName>
    <definedName name="alled" localSheetId="1">#REF!</definedName>
    <definedName name="alled">#REF!</definedName>
    <definedName name="allstem" localSheetId="2">#REF!</definedName>
    <definedName name="allstem" localSheetId="1">#REF!</definedName>
    <definedName name="allstem">#REF!</definedName>
    <definedName name="Area">[1]Sheet2!$A$2:$A$28</definedName>
    <definedName name="ARENEW">[2]amendA!$B$1:$U$51</definedName>
    <definedName name="asdfasd" localSheetId="2">'[3]Complete UFR List'!#REF!</definedName>
    <definedName name="asdfasd">'[3]Complete UFR List'!#REF!</definedName>
    <definedName name="asdfasdf" localSheetId="7">#REF!</definedName>
    <definedName name="asdfasdf" localSheetId="8">#REF!</definedName>
    <definedName name="asdfasdf" localSheetId="11">#REF!</definedName>
    <definedName name="asdfasdf" localSheetId="2">#REF!</definedName>
    <definedName name="asdfasdf">#REF!</definedName>
    <definedName name="ATTABOY">[2]amendA!$B$2:$S$2</definedName>
    <definedName name="AutoInsurance">[4]Universal!$C$19</definedName>
    <definedName name="autsupp2" localSheetId="2">#REF!</definedName>
    <definedName name="autsupp2">#REF!</definedName>
    <definedName name="Average" localSheetId="7">#REF!</definedName>
    <definedName name="Average" localSheetId="8">#REF!</definedName>
    <definedName name="Average" localSheetId="2">#REF!</definedName>
    <definedName name="Average">#REF!</definedName>
    <definedName name="BB6_4">#REF!</definedName>
    <definedName name="CAF_NEW">[5]RawDataCalcs!$L$70:$DB$70</definedName>
    <definedName name="Cap" localSheetId="12">[6]RawDataCalcs!$L$35:$DB$35</definedName>
    <definedName name="Cap" localSheetId="2">[6]RawDataCalcs!$L$35:$DB$35</definedName>
    <definedName name="Cap" localSheetId="1">[6]RawDataCalcs!$L$35:$DB$35</definedName>
    <definedName name="Cap">[7]RawDataCalcs!$L$70:$DB$70</definedName>
    <definedName name="capa">[8]RawDataCalcs!$L$17:$DB$17</definedName>
    <definedName name="chart" localSheetId="7">#REF!</definedName>
    <definedName name="chart" localSheetId="8">#REF!</definedName>
    <definedName name="chart">#REF!</definedName>
    <definedName name="COLA">[4]Universal!$C$12</definedName>
    <definedName name="Data" localSheetId="7">#REF!</definedName>
    <definedName name="Data" localSheetId="8">#REF!</definedName>
    <definedName name="Data" localSheetId="11">#REF!</definedName>
    <definedName name="Data" localSheetId="2">#REF!</definedName>
    <definedName name="Data">#REF!</definedName>
    <definedName name="Electricity">[4]Universal!$C$21</definedName>
    <definedName name="Fisc" localSheetId="2">'[3]Complete UFR List'!#REF!</definedName>
    <definedName name="Fisc">'[3]Complete UFR List'!#REF!</definedName>
    <definedName name="FiveDay">[4]Universal!$C$17</definedName>
    <definedName name="Floor" localSheetId="12">[6]RawDataCalcs!$L$34:$DB$34</definedName>
    <definedName name="Floor" localSheetId="2">[6]RawDataCalcs!$L$34:$DB$34</definedName>
    <definedName name="Floor" localSheetId="1">[6]RawDataCalcs!$L$34:$DB$34</definedName>
    <definedName name="Floor">[7]RawDataCalcs!$L$69:$DB$69</definedName>
    <definedName name="Fringe">[4]Universal!$C$8</definedName>
    <definedName name="FROM">[2]amendA!$G$7</definedName>
    <definedName name="Funds">'[9]RawDataCalcs3386&amp;3401'!$L$68:$DB$68</definedName>
    <definedName name="GA">[4]Universal!$C$13</definedName>
    <definedName name="Gas">[4]Universal!$C$22</definedName>
    <definedName name="gk" localSheetId="7">#REF!</definedName>
    <definedName name="gk" localSheetId="8">#REF!</definedName>
    <definedName name="gk" localSheetId="11">#REF!</definedName>
    <definedName name="gk" localSheetId="16">#REF!</definedName>
    <definedName name="gk" localSheetId="2">#REF!</definedName>
    <definedName name="gk">#REF!</definedName>
    <definedName name="hhh" localSheetId="7">#REF!</definedName>
    <definedName name="hhh" localSheetId="8">#REF!</definedName>
    <definedName name="hhh" localSheetId="2">#REF!</definedName>
    <definedName name="hhh">#REF!</definedName>
    <definedName name="Holidays">[4]Universal!$C$49:$C$59</definedName>
    <definedName name="JailDAverage" localSheetId="7">#REF!</definedName>
    <definedName name="JailDAverage" localSheetId="8">#REF!</definedName>
    <definedName name="JailDAverage" localSheetId="2">#REF!</definedName>
    <definedName name="JailDAverage">#REF!</definedName>
    <definedName name="JailDCap">[10]ALLRawDataCalcs!$L$80:$DB$80</definedName>
    <definedName name="JailDFloor">[10]ALLRawDataCalcs!$L$79:$DB$79</definedName>
    <definedName name="JailDgk" localSheetId="7">#REF!</definedName>
    <definedName name="JailDgk" localSheetId="8">#REF!</definedName>
    <definedName name="JailDgk" localSheetId="11">#REF!</definedName>
    <definedName name="JailDgk" localSheetId="2">#REF!</definedName>
    <definedName name="JailDgk">#REF!</definedName>
    <definedName name="JailDMax" localSheetId="7">#REF!</definedName>
    <definedName name="JailDMax" localSheetId="8">#REF!</definedName>
    <definedName name="JailDMax" localSheetId="2">#REF!</definedName>
    <definedName name="JailDMax">#REF!</definedName>
    <definedName name="JailDMedian" localSheetId="7">#REF!</definedName>
    <definedName name="JailDMedian" localSheetId="8">#REF!</definedName>
    <definedName name="JailDMedian" localSheetId="2">#REF!</definedName>
    <definedName name="JailDMedian">#REF!</definedName>
    <definedName name="jm" localSheetId="2">'[3]Complete UFR List'!#REF!</definedName>
    <definedName name="jm">'[3]Complete UFR List'!#REF!</definedName>
    <definedName name="KARA">#REF!</definedName>
    <definedName name="kls" localSheetId="7">#REF!</definedName>
    <definedName name="kls" localSheetId="8">#REF!</definedName>
    <definedName name="kls" localSheetId="2">#REF!</definedName>
    <definedName name="kls">#REF!</definedName>
    <definedName name="ListProviders" localSheetId="2">'[11]List of Programs'!$A$24:$A$29</definedName>
    <definedName name="ListProviders">'[12]List of Programs'!$A$24:$A$29</definedName>
    <definedName name="Max" localSheetId="7">#REF!</definedName>
    <definedName name="Max" localSheetId="8">#REF!</definedName>
    <definedName name="Max" localSheetId="11">#REF!</definedName>
    <definedName name="Max" localSheetId="2">#REF!</definedName>
    <definedName name="Max">#REF!</definedName>
    <definedName name="Median" localSheetId="7">#REF!</definedName>
    <definedName name="Median" localSheetId="8">#REF!</definedName>
    <definedName name="Median" localSheetId="2">#REF!</definedName>
    <definedName name="Median">#REF!</definedName>
    <definedName name="Min" localSheetId="7">#REF!</definedName>
    <definedName name="Min" localSheetId="8">#REF!</definedName>
    <definedName name="Min" localSheetId="2">#REF!</definedName>
    <definedName name="Min">#REF!</definedName>
    <definedName name="mr">#REF!</definedName>
    <definedName name="MT" localSheetId="7">#REF!</definedName>
    <definedName name="MT" localSheetId="8">#REF!</definedName>
    <definedName name="MT" localSheetId="16">#REF!</definedName>
    <definedName name="MT" localSheetId="2">#REF!</definedName>
    <definedName name="MT">#REF!</definedName>
    <definedName name="new" localSheetId="7">#REF!</definedName>
    <definedName name="new" localSheetId="8">#REF!</definedName>
    <definedName name="new" localSheetId="2">#REF!</definedName>
    <definedName name="new">#REF!</definedName>
    <definedName name="Oil">[4]Universal!$C$23</definedName>
    <definedName name="ok" localSheetId="7">#REF!</definedName>
    <definedName name="ok" localSheetId="8">#REF!</definedName>
    <definedName name="ok" localSheetId="2">#REF!</definedName>
    <definedName name="ok">#REF!</definedName>
    <definedName name="Paydays">[4]Universal!$C$33:$N$33</definedName>
    <definedName name="Phone">[4]Universal!$C$25</definedName>
    <definedName name="_xlnm.Print_Area" localSheetId="5">'1. Youth Stabilization 12 B Ol '!$A$58:$K$82</definedName>
    <definedName name="_xlnm.Print_Area" localSheetId="6">'1. Youth Stabilization 12 BED'!$A$58:$I$82</definedName>
    <definedName name="_xlnm.Print_Area" localSheetId="7">'2.  Staffing Supports RR202 '!$A$1:$L$38</definedName>
    <definedName name="_xlnm.Print_Area" localSheetId="8">'2.  Staffing Supports RR202 (2)'!$A$1:$D$46</definedName>
    <definedName name="_xlnm.Print_Area" localSheetId="11">'Fiscal Impact'!$B$1:$M$7</definedName>
    <definedName name="_xlnm.Print_Area" localSheetId="15">'FY21 DYS units'!$A$1:$G$40</definedName>
    <definedName name="_xlnm.Print_Area" localSheetId="12">'M2021 BLS  SALARY CHART'!$B$1:$E$41</definedName>
    <definedName name="_xlnm.Print_Area" localSheetId="2">'M2022 BLS SALARY CHART (53_PCT)'!$B$1:$E$48</definedName>
    <definedName name="_xlnm.Print_Area" localSheetId="1">'M2023 BLS SALARY CHART (53rd)'!$B$1:$E$46</definedName>
    <definedName name="_xlnm.Print_Titles" localSheetId="3">'FALL 2023'!$A:$A</definedName>
    <definedName name="_xlnm.Print_Titles" localSheetId="4">'Spring 2022 CAF'!$A:$A</definedName>
    <definedName name="_xlnm.Print_Titles" localSheetId="0">'SPRING 24 CAF'!$A:$A</definedName>
    <definedName name="Program_File" localSheetId="7">#REF!</definedName>
    <definedName name="Program_File" localSheetId="8">#REF!</definedName>
    <definedName name="Program_File" localSheetId="11">#REF!</definedName>
    <definedName name="Program_File" localSheetId="2">#REF!</definedName>
    <definedName name="Program_File">#REF!</definedName>
    <definedName name="Programs" localSheetId="2">'[11]List of Programs'!$B$3:$B$19</definedName>
    <definedName name="Programs">'[12]List of Programs'!$B$3:$B$19</definedName>
    <definedName name="PropInsurance">[4]Universal!$C$20</definedName>
    <definedName name="ProvFTE" localSheetId="7">'[13]FTE Data'!$A$3:$AW$56</definedName>
    <definedName name="ProvFTE" localSheetId="8">'[13]FTE Data'!$A$3:$AW$56</definedName>
    <definedName name="ProvFTE" localSheetId="11">'[13]FTE Data'!$A$3:$AW$56</definedName>
    <definedName name="ProvFTE" localSheetId="2">'[13]FTE Data'!$A$3:$AW$56</definedName>
    <definedName name="ProvFTE">'[14]FTE Data'!$A$3:$AW$56</definedName>
    <definedName name="PTO_Hours">[4]Universal!$F$72:$F$78</definedName>
    <definedName name="PTO_Years">[4]Universal!$B$72:$B$78</definedName>
    <definedName name="PurchasedBy" localSheetId="7">'[13]FTE Data'!$C$263:$AZ$657</definedName>
    <definedName name="PurchasedBy" localSheetId="8">'[13]FTE Data'!$C$263:$AZ$657</definedName>
    <definedName name="PurchasedBy" localSheetId="11">'[13]FTE Data'!$C$263:$AZ$657</definedName>
    <definedName name="PurchasedBy" localSheetId="2">'[13]FTE Data'!$C$263:$AZ$657</definedName>
    <definedName name="PurchasedBy">'[14]FTE Data'!$C$263:$AZ$657</definedName>
    <definedName name="REGION">[1]Sheet2!$B$1:$B$5</definedName>
    <definedName name="Relief">[4]Universal!$C$14</definedName>
    <definedName name="resmay2007" localSheetId="7">#REF!</definedName>
    <definedName name="resmay2007" localSheetId="8">#REF!</definedName>
    <definedName name="resmay2007" localSheetId="11">#REF!</definedName>
    <definedName name="resmay2007" localSheetId="2">#REF!</definedName>
    <definedName name="resmay2007">#REF!</definedName>
    <definedName name="SevenDay">[4]Universal!$C$18</definedName>
    <definedName name="sheet1" localSheetId="2">#REF!</definedName>
    <definedName name="sheet1" localSheetId="1">#REF!</definedName>
    <definedName name="sheet1">#REF!</definedName>
    <definedName name="Site_list" localSheetId="7">[13]Lists!$A$2:$A$53</definedName>
    <definedName name="Site_list" localSheetId="8">[13]Lists!$A$2:$A$53</definedName>
    <definedName name="Site_list" localSheetId="11">[13]Lists!$A$2:$A$53</definedName>
    <definedName name="Site_list" localSheetId="2">[13]Lists!$A$2:$A$53</definedName>
    <definedName name="Site_list">[14]Lists!$A$2:$A$53</definedName>
    <definedName name="Source" localSheetId="7">#REF!</definedName>
    <definedName name="Source" localSheetId="8">#REF!</definedName>
    <definedName name="Source" localSheetId="11">#REF!</definedName>
    <definedName name="Source" localSheetId="2">#REF!</definedName>
    <definedName name="Source">#REF!</definedName>
    <definedName name="Source_2" localSheetId="7">#REF!</definedName>
    <definedName name="Source_2" localSheetId="8">#REF!</definedName>
    <definedName name="Source_2" localSheetId="2">#REF!</definedName>
    <definedName name="Source_2">#REF!</definedName>
    <definedName name="SourcePathAndFileName" localSheetId="7">#REF!</definedName>
    <definedName name="SourcePathAndFileName" localSheetId="8">#REF!</definedName>
    <definedName name="SourcePathAndFileName" localSheetId="2">#REF!</definedName>
    <definedName name="SourcePathAndFileName">#REF!</definedName>
    <definedName name="StaffApp">[4]Universal!$C$11</definedName>
    <definedName name="Tax">[4]Universal!$C$7</definedName>
    <definedName name="TO">[2]amendA!$K$7:$O$7</definedName>
    <definedName name="Total_UFR" localSheetId="7">#REF!</definedName>
    <definedName name="Total_UFR" localSheetId="8">#REF!</definedName>
    <definedName name="Total_UFR" localSheetId="16">#REF!</definedName>
    <definedName name="Total_UFR" localSheetId="2">#REF!</definedName>
    <definedName name="Total_UFR">#REF!</definedName>
    <definedName name="Total_UFRs" localSheetId="7">#REF!</definedName>
    <definedName name="Total_UFRs" localSheetId="8">#REF!</definedName>
    <definedName name="Total_UFRs" localSheetId="2">#REF!</definedName>
    <definedName name="Total_UFRs">#REF!</definedName>
    <definedName name="Total_UFRs_" localSheetId="7">#REF!</definedName>
    <definedName name="Total_UFRs_" localSheetId="8">#REF!</definedName>
    <definedName name="Total_UFRs_" localSheetId="2">#REF!</definedName>
    <definedName name="Total_UFRs_">#REF!</definedName>
    <definedName name="TotalDays">[4]Universal!$C$30:$N$30</definedName>
    <definedName name="UFR" localSheetId="7">'[3]Complete UFR List'!#REF!</definedName>
    <definedName name="UFR" localSheetId="8">'[3]Complete UFR List'!#REF!</definedName>
    <definedName name="UFR" localSheetId="2">'[3]Complete UFR List'!#REF!</definedName>
    <definedName name="UFR">'[3]Complete UFR List'!#REF!</definedName>
    <definedName name="UFRS" localSheetId="7">'[3]Complete UFR List'!#REF!</definedName>
    <definedName name="UFRS" localSheetId="8">'[3]Complete UFR List'!#REF!</definedName>
    <definedName name="UFRS" localSheetId="2">'[3]Complete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2">'[3]Complete UFR List'!#REF!</definedName>
    <definedName name="wefqwerqwe">'[3]Complete UFR List'!#REF!</definedName>
    <definedName name="yes">'[3]Complete UFR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L30" i="8" l="1"/>
  <c r="J13" i="2"/>
  <c r="G11" i="2"/>
  <c r="F179" i="18"/>
  <c r="CH25" i="14"/>
  <c r="CI25" i="14"/>
  <c r="CJ25" i="14"/>
  <c r="CK25" i="14"/>
  <c r="CL25" i="14"/>
  <c r="CM25" i="14"/>
  <c r="CN25" i="14"/>
  <c r="CG25" i="14"/>
  <c r="CG27" i="14"/>
  <c r="CG22" i="14"/>
  <c r="D18" i="6"/>
  <c r="I35" i="8"/>
  <c r="CN27" i="14"/>
  <c r="CH27" i="14"/>
  <c r="CI27" i="14"/>
  <c r="CJ27" i="14"/>
  <c r="CK27" i="14"/>
  <c r="CL27" i="14"/>
  <c r="CM27" i="14"/>
  <c r="CG36" i="14"/>
  <c r="J27" i="17"/>
  <c r="J29" i="17" s="1"/>
  <c r="I27" i="17"/>
  <c r="J30" i="17" s="1"/>
  <c r="CH41" i="14"/>
  <c r="CI41" i="14"/>
  <c r="CJ41" i="14"/>
  <c r="CK41" i="14"/>
  <c r="CL41" i="14"/>
  <c r="CM41" i="14"/>
  <c r="CN41" i="14"/>
  <c r="CG41" i="14"/>
  <c r="CH39" i="14"/>
  <c r="CI39" i="14"/>
  <c r="CJ39" i="14"/>
  <c r="CK39" i="14"/>
  <c r="CL39" i="14"/>
  <c r="CM39" i="14"/>
  <c r="CN39" i="14"/>
  <c r="CG39" i="14"/>
  <c r="I31" i="8" l="1"/>
  <c r="CP41" i="14"/>
  <c r="CP36" i="14"/>
  <c r="CP27" i="14"/>
  <c r="CP22" i="14"/>
  <c r="CP29" i="14" l="1"/>
  <c r="CP43" i="14"/>
  <c r="C52" i="13"/>
  <c r="M2" i="6" s="1"/>
  <c r="C51" i="13"/>
  <c r="L2" i="6" s="1"/>
  <c r="C50" i="13"/>
  <c r="J45" i="13"/>
  <c r="J44" i="13"/>
  <c r="C33" i="13"/>
  <c r="C34" i="13" s="1"/>
  <c r="C31" i="13"/>
  <c r="J31" i="13" s="1"/>
  <c r="K31" i="13" s="1"/>
  <c r="C29" i="13"/>
  <c r="C30" i="13" s="1"/>
  <c r="J30" i="13" s="1"/>
  <c r="K30" i="13" s="1"/>
  <c r="C27" i="13"/>
  <c r="C28" i="13" s="1"/>
  <c r="C25" i="13"/>
  <c r="C26" i="13" s="1"/>
  <c r="J26" i="13" s="1"/>
  <c r="K26" i="13" s="1"/>
  <c r="C23" i="13"/>
  <c r="J23" i="13" s="1"/>
  <c r="K23" i="13" s="1"/>
  <c r="C21" i="13"/>
  <c r="J21" i="13" s="1"/>
  <c r="K21" i="13" s="1"/>
  <c r="C19" i="13"/>
  <c r="C20" i="13" s="1"/>
  <c r="J20" i="13" s="1"/>
  <c r="K20" i="13" s="1"/>
  <c r="C17" i="13"/>
  <c r="C18" i="13" s="1"/>
  <c r="J18" i="13" s="1"/>
  <c r="K18" i="13" s="1"/>
  <c r="C15" i="13"/>
  <c r="J15" i="13" s="1"/>
  <c r="K15" i="13" s="1"/>
  <c r="C13" i="13"/>
  <c r="J13" i="13" s="1"/>
  <c r="K13" i="13" s="1"/>
  <c r="C11" i="13"/>
  <c r="C12" i="13" s="1"/>
  <c r="C10" i="13"/>
  <c r="J10" i="13" s="1"/>
  <c r="K10" i="13" s="1"/>
  <c r="C9" i="13"/>
  <c r="J9" i="13" s="1"/>
  <c r="K9" i="13" s="1"/>
  <c r="C5" i="13"/>
  <c r="C6" i="13" s="1"/>
  <c r="J27" i="13" l="1"/>
  <c r="K27" i="13" s="1"/>
  <c r="J19" i="13"/>
  <c r="K19" i="13" s="1"/>
  <c r="C14" i="13"/>
  <c r="J14" i="13" s="1"/>
  <c r="K14" i="13" s="1"/>
  <c r="C36" i="13"/>
  <c r="J2" i="6"/>
  <c r="M27" i="8"/>
  <c r="J6" i="13"/>
  <c r="K6" i="13" s="1"/>
  <c r="J34" i="13"/>
  <c r="K34" i="13" s="1"/>
  <c r="C46" i="13"/>
  <c r="J46" i="13" s="1"/>
  <c r="M17" i="8"/>
  <c r="J52" i="13"/>
  <c r="J12" i="13"/>
  <c r="K12" i="13" s="1"/>
  <c r="M26" i="8"/>
  <c r="J29" i="13"/>
  <c r="K29" i="13" s="1"/>
  <c r="J11" i="13"/>
  <c r="K11" i="13" s="1"/>
  <c r="C24" i="13"/>
  <c r="J24" i="13" s="1"/>
  <c r="K24" i="13" s="1"/>
  <c r="J50" i="13"/>
  <c r="K2" i="6"/>
  <c r="M4" i="6"/>
  <c r="M6" i="6" s="1"/>
  <c r="M3" i="6"/>
  <c r="C22" i="13"/>
  <c r="L4" i="6"/>
  <c r="L5" i="6" s="1"/>
  <c r="L3" i="6"/>
  <c r="J5" i="13"/>
  <c r="K5" i="13" s="1"/>
  <c r="C16" i="13"/>
  <c r="J28" i="13"/>
  <c r="K28" i="13" s="1"/>
  <c r="F2" i="6"/>
  <c r="M16" i="8"/>
  <c r="C32" i="13"/>
  <c r="J51" i="13"/>
  <c r="J17" i="13"/>
  <c r="K17" i="13" s="1"/>
  <c r="J25" i="13"/>
  <c r="K25" i="13" s="1"/>
  <c r="J33" i="13"/>
  <c r="K33" i="13" s="1"/>
  <c r="C47" i="13"/>
  <c r="J15" i="6" l="1"/>
  <c r="L6" i="6"/>
  <c r="M22" i="8"/>
  <c r="M18" i="8"/>
  <c r="M5" i="6"/>
  <c r="M14" i="8"/>
  <c r="J22" i="13"/>
  <c r="K22" i="13" s="1"/>
  <c r="F4" i="6"/>
  <c r="F6" i="6" s="1"/>
  <c r="J47" i="13"/>
  <c r="N2" i="6"/>
  <c r="J16" i="13"/>
  <c r="K16" i="13" s="1"/>
  <c r="M20" i="8"/>
  <c r="M30" i="8"/>
  <c r="M29" i="8"/>
  <c r="J4" i="6"/>
  <c r="J5" i="6" s="1"/>
  <c r="J3" i="6"/>
  <c r="J32" i="13"/>
  <c r="K32" i="13" s="1"/>
  <c r="M19" i="8"/>
  <c r="K4" i="6"/>
  <c r="K5" i="6" s="1"/>
  <c r="K3" i="6"/>
  <c r="CI23" i="11"/>
  <c r="CJ28" i="11"/>
  <c r="CK28" i="11"/>
  <c r="CL28" i="11"/>
  <c r="CM28" i="11"/>
  <c r="CN28" i="11"/>
  <c r="CO28" i="11"/>
  <c r="CP28" i="11"/>
  <c r="CI28" i="11"/>
  <c r="CJ27" i="11"/>
  <c r="CK27" i="11"/>
  <c r="CL27" i="11"/>
  <c r="CM27" i="11"/>
  <c r="CN27" i="11"/>
  <c r="CO27" i="11"/>
  <c r="CP27" i="11"/>
  <c r="CI27" i="11"/>
  <c r="CJ26" i="11"/>
  <c r="CK26" i="11"/>
  <c r="CL26" i="11"/>
  <c r="CM26" i="11"/>
  <c r="CN26" i="11"/>
  <c r="CO26" i="11"/>
  <c r="CP26" i="11"/>
  <c r="CI26" i="11"/>
  <c r="N41" i="8"/>
  <c r="K6" i="6" l="1"/>
  <c r="J6" i="6"/>
  <c r="F5" i="6"/>
  <c r="N3" i="6"/>
  <c r="Q2" i="6"/>
  <c r="N4" i="6"/>
  <c r="N6" i="6" s="1"/>
  <c r="N43" i="8"/>
  <c r="N42" i="8"/>
  <c r="N38" i="8"/>
  <c r="D30" i="1"/>
  <c r="L13" i="12"/>
  <c r="K21" i="12" s="1"/>
  <c r="L21" i="12" s="1"/>
  <c r="M12" i="12"/>
  <c r="L12" i="12"/>
  <c r="K12" i="12"/>
  <c r="M11" i="12"/>
  <c r="L11" i="12"/>
  <c r="K11" i="12"/>
  <c r="M10" i="12"/>
  <c r="M13" i="12" s="1"/>
  <c r="L10" i="12"/>
  <c r="K10" i="12"/>
  <c r="M9" i="12"/>
  <c r="L9" i="12"/>
  <c r="K9" i="12"/>
  <c r="M8" i="12"/>
  <c r="L8" i="12"/>
  <c r="K8" i="12"/>
  <c r="M7" i="12"/>
  <c r="L7" i="12"/>
  <c r="K7" i="12"/>
  <c r="K13" i="12" s="1"/>
  <c r="T2" i="6" l="1"/>
  <c r="R2" i="6"/>
  <c r="Q3" i="6"/>
  <c r="Q4" i="6"/>
  <c r="Q6" i="6" s="1"/>
  <c r="N5" i="6"/>
  <c r="N44" i="8"/>
  <c r="K19" i="12"/>
  <c r="L19" i="12" s="1"/>
  <c r="K18" i="12"/>
  <c r="L18" i="12" s="1"/>
  <c r="K20" i="12"/>
  <c r="L20" i="12" s="1"/>
  <c r="T4" i="6" l="1"/>
  <c r="T5" i="6" s="1"/>
  <c r="T3" i="6"/>
  <c r="R4" i="6"/>
  <c r="R5" i="6" s="1"/>
  <c r="R3" i="6"/>
  <c r="Q5" i="6"/>
  <c r="N30" i="8"/>
  <c r="N29" i="8"/>
  <c r="N27" i="8"/>
  <c r="N26" i="8"/>
  <c r="L31" i="8"/>
  <c r="L23" i="8"/>
  <c r="Q22" i="8"/>
  <c r="R22" i="8" s="1"/>
  <c r="Q20" i="8"/>
  <c r="R20" i="8" s="1"/>
  <c r="N19" i="8"/>
  <c r="N18" i="8"/>
  <c r="N17" i="8"/>
  <c r="N16" i="8"/>
  <c r="E9" i="8"/>
  <c r="R6" i="6" l="1"/>
  <c r="T6" i="6"/>
  <c r="Q29" i="8"/>
  <c r="R29" i="8" s="1"/>
  <c r="Q18" i="8"/>
  <c r="R18" i="8" s="1"/>
  <c r="Q14" i="8"/>
  <c r="R14" i="8" s="1"/>
  <c r="Q19" i="8"/>
  <c r="R19" i="8" s="1"/>
  <c r="Q16" i="8"/>
  <c r="R16" i="8" s="1"/>
  <c r="Q17" i="8"/>
  <c r="R17" i="8" s="1"/>
  <c r="Q30" i="8"/>
  <c r="R30" i="8" s="1"/>
  <c r="N14" i="8"/>
  <c r="N22" i="8"/>
  <c r="Q26" i="8"/>
  <c r="R26" i="8" s="1"/>
  <c r="Q27" i="8"/>
  <c r="R27" i="8" s="1"/>
  <c r="M21" i="8"/>
  <c r="N20" i="8"/>
  <c r="CR28" i="11"/>
  <c r="CR30" i="11" s="1"/>
  <c r="CR23" i="11"/>
  <c r="N21" i="8" l="1"/>
  <c r="N23" i="8" s="1"/>
  <c r="Q21" i="8"/>
  <c r="R21" i="8" s="1"/>
  <c r="E10" i="8" l="1"/>
  <c r="I34" i="8" l="1"/>
  <c r="D20" i="8" s="1"/>
  <c r="D13" i="8"/>
  <c r="C54" i="10" l="1"/>
  <c r="C53" i="10"/>
  <c r="C52" i="10"/>
  <c r="C35" i="10"/>
  <c r="C36" i="10" s="1"/>
  <c r="C33" i="10"/>
  <c r="C34" i="10" s="1"/>
  <c r="C48" i="10" s="1"/>
  <c r="C31" i="10"/>
  <c r="C32" i="10" s="1"/>
  <c r="C29" i="10"/>
  <c r="C30" i="10" s="1"/>
  <c r="C27" i="10"/>
  <c r="C28" i="10" s="1"/>
  <c r="C25" i="10"/>
  <c r="C26" i="10" s="1"/>
  <c r="C23" i="10"/>
  <c r="C24" i="10" s="1"/>
  <c r="C21" i="10"/>
  <c r="C22" i="10" s="1"/>
  <c r="C19" i="10"/>
  <c r="C20" i="10" s="1"/>
  <c r="C17" i="10"/>
  <c r="C18" i="10" s="1"/>
  <c r="G2" i="6" s="1"/>
  <c r="C15" i="10"/>
  <c r="C16" i="10" s="1"/>
  <c r="C13" i="10"/>
  <c r="C14" i="10" s="1"/>
  <c r="H2" i="6" s="1"/>
  <c r="C11" i="10"/>
  <c r="C12" i="10" s="1"/>
  <c r="C9" i="10"/>
  <c r="C7" i="10"/>
  <c r="C8" i="10" s="1"/>
  <c r="C6" i="10"/>
  <c r="C38" i="10" s="1"/>
  <c r="J27" i="9"/>
  <c r="H4" i="6" l="1"/>
  <c r="H5" i="6" s="1"/>
  <c r="G4" i="6"/>
  <c r="G6" i="6" s="1"/>
  <c r="C51" i="10"/>
  <c r="C49" i="10"/>
  <c r="C50" i="10"/>
  <c r="C10" i="10"/>
  <c r="I14" i="6"/>
  <c r="H6" i="6" l="1"/>
  <c r="G5" i="6"/>
  <c r="G41" i="9"/>
  <c r="G39" i="9"/>
  <c r="K39" i="9" s="1"/>
  <c r="G38" i="9"/>
  <c r="K38" i="9" s="1"/>
  <c r="F37" i="9"/>
  <c r="E37" i="9"/>
  <c r="D37" i="9"/>
  <c r="C37" i="9"/>
  <c r="B37" i="9"/>
  <c r="F36" i="9"/>
  <c r="E36" i="9"/>
  <c r="D36" i="9"/>
  <c r="C36" i="9"/>
  <c r="B36" i="9"/>
  <c r="F35" i="9"/>
  <c r="E35" i="9"/>
  <c r="D35" i="9"/>
  <c r="C35" i="9"/>
  <c r="B35" i="9"/>
  <c r="F34" i="9"/>
  <c r="E34" i="9"/>
  <c r="D34" i="9"/>
  <c r="C34" i="9"/>
  <c r="B34" i="9"/>
  <c r="F33" i="9"/>
  <c r="E33" i="9"/>
  <c r="D33" i="9"/>
  <c r="C33" i="9"/>
  <c r="B33" i="9"/>
  <c r="F32" i="9"/>
  <c r="E32" i="9"/>
  <c r="D32" i="9"/>
  <c r="C32" i="9"/>
  <c r="B32" i="9"/>
  <c r="F31" i="9"/>
  <c r="E31" i="9"/>
  <c r="D31" i="9"/>
  <c r="C31" i="9"/>
  <c r="B31" i="9"/>
  <c r="F30" i="9"/>
  <c r="E30" i="9"/>
  <c r="D30" i="9"/>
  <c r="C30" i="9"/>
  <c r="B30" i="9"/>
  <c r="F29" i="9"/>
  <c r="E29" i="9"/>
  <c r="D29" i="9"/>
  <c r="C29" i="9"/>
  <c r="B29" i="9"/>
  <c r="F28" i="9"/>
  <c r="E28" i="9"/>
  <c r="D28" i="9"/>
  <c r="C28" i="9"/>
  <c r="B28" i="9"/>
  <c r="F27" i="9"/>
  <c r="E27" i="9"/>
  <c r="D27" i="9"/>
  <c r="C27" i="9"/>
  <c r="B27" i="9"/>
  <c r="F26" i="9"/>
  <c r="E26" i="9"/>
  <c r="D26" i="9"/>
  <c r="C26" i="9"/>
  <c r="B26" i="9"/>
  <c r="F25" i="9"/>
  <c r="E25" i="9"/>
  <c r="D25" i="9"/>
  <c r="C25" i="9"/>
  <c r="B25" i="9"/>
  <c r="F24" i="9"/>
  <c r="E24" i="9"/>
  <c r="D24" i="9"/>
  <c r="C24" i="9"/>
  <c r="B24" i="9"/>
  <c r="F19" i="9"/>
  <c r="E19" i="9"/>
  <c r="D19" i="9"/>
  <c r="C19" i="9"/>
  <c r="B19" i="9"/>
  <c r="G19" i="9" s="1"/>
  <c r="G18" i="9"/>
  <c r="G17" i="9"/>
  <c r="G16" i="9"/>
  <c r="G15" i="9"/>
  <c r="G14" i="9"/>
  <c r="G13" i="9"/>
  <c r="G12" i="9"/>
  <c r="G11" i="9"/>
  <c r="G10" i="9"/>
  <c r="G9" i="9"/>
  <c r="G8" i="9"/>
  <c r="G7" i="9"/>
  <c r="G6" i="9"/>
  <c r="G5" i="9"/>
  <c r="G4" i="9"/>
  <c r="G3" i="9"/>
  <c r="G2" i="9"/>
  <c r="D40" i="9" l="1"/>
  <c r="D42" i="9" s="1"/>
  <c r="G27" i="9"/>
  <c r="K27" i="9" s="1"/>
  <c r="B40" i="9"/>
  <c r="B42" i="9" s="1"/>
  <c r="E40" i="9"/>
  <c r="E42" i="9" s="1"/>
  <c r="G35" i="9"/>
  <c r="H35" i="9" s="1"/>
  <c r="F40" i="9"/>
  <c r="F42" i="9" s="1"/>
  <c r="G31" i="9"/>
  <c r="H31" i="9" s="1"/>
  <c r="G26" i="9"/>
  <c r="H26" i="9" s="1"/>
  <c r="G28" i="9"/>
  <c r="H28" i="9" s="1"/>
  <c r="G37" i="9"/>
  <c r="G25" i="9"/>
  <c r="H25" i="9" s="1"/>
  <c r="G34" i="9"/>
  <c r="H34" i="9" s="1"/>
  <c r="G36" i="9"/>
  <c r="H36" i="9" s="1"/>
  <c r="G33" i="9"/>
  <c r="G30" i="9"/>
  <c r="G32" i="9"/>
  <c r="H32" i="9" s="1"/>
  <c r="G29" i="9"/>
  <c r="H29" i="9" s="1"/>
  <c r="C40" i="9"/>
  <c r="C42" i="9" s="1"/>
  <c r="G24" i="9"/>
  <c r="G40" i="9" l="1"/>
  <c r="H24" i="9"/>
  <c r="E5" i="8"/>
  <c r="C22" i="8"/>
  <c r="C17" i="8"/>
  <c r="I8" i="8"/>
  <c r="I7" i="8"/>
  <c r="I6" i="8"/>
  <c r="I5" i="8"/>
  <c r="G42" i="9" l="1"/>
  <c r="I9" i="8"/>
  <c r="I10" i="8" s="1"/>
  <c r="M12" i="7"/>
  <c r="L12" i="7"/>
  <c r="K12" i="7"/>
  <c r="M11" i="7"/>
  <c r="L11" i="7"/>
  <c r="K11" i="7"/>
  <c r="M10" i="7"/>
  <c r="L10" i="7"/>
  <c r="K10" i="7"/>
  <c r="M9" i="7"/>
  <c r="L9" i="7"/>
  <c r="K9" i="7"/>
  <c r="M8" i="7"/>
  <c r="L8" i="7"/>
  <c r="K8" i="7"/>
  <c r="M7" i="7"/>
  <c r="M13" i="7" s="1"/>
  <c r="L7" i="7"/>
  <c r="L13" i="7" s="1"/>
  <c r="K7" i="7"/>
  <c r="K13" i="7" s="1"/>
  <c r="K18" i="7" l="1"/>
  <c r="K20" i="7"/>
  <c r="K19" i="7"/>
  <c r="K52" i="1" s="1"/>
  <c r="K21" i="7"/>
  <c r="M15" i="6" l="1"/>
  <c r="E18" i="6"/>
  <c r="E17" i="6"/>
  <c r="E15" i="6"/>
  <c r="Q10" i="6"/>
  <c r="L15" i="6"/>
  <c r="K15" i="6"/>
  <c r="M16" i="6" l="1"/>
  <c r="L16" i="6"/>
  <c r="L17" i="6" s="1"/>
  <c r="K16" i="6"/>
  <c r="K17" i="6" s="1"/>
  <c r="CA21" i="4"/>
  <c r="CB21" i="4"/>
  <c r="CC21" i="4"/>
  <c r="CD21" i="4"/>
  <c r="CE21" i="4"/>
  <c r="CF21" i="4"/>
  <c r="CG21" i="4"/>
  <c r="BZ21" i="4"/>
  <c r="CA20" i="4"/>
  <c r="CB20" i="4"/>
  <c r="CC20" i="4"/>
  <c r="CD20" i="4"/>
  <c r="CE20" i="4"/>
  <c r="CF20" i="4"/>
  <c r="CG20" i="4"/>
  <c r="BZ20" i="4"/>
  <c r="BZ17" i="4"/>
  <c r="BZ16" i="4"/>
  <c r="K54" i="1"/>
  <c r="K49" i="1"/>
  <c r="M17" i="6" l="1"/>
  <c r="C46" i="5"/>
  <c r="F33" i="5"/>
  <c r="C33" i="5"/>
  <c r="C34" i="5" s="1"/>
  <c r="K17" i="1" s="1"/>
  <c r="F31" i="5"/>
  <c r="C31" i="5"/>
  <c r="F29" i="5"/>
  <c r="C29" i="5"/>
  <c r="C30" i="5" s="1"/>
  <c r="F27" i="5"/>
  <c r="C27" i="5"/>
  <c r="C28" i="5" s="1"/>
  <c r="C25" i="5"/>
  <c r="C26" i="5" s="1"/>
  <c r="C23" i="5"/>
  <c r="C24" i="5" s="1"/>
  <c r="C22" i="5"/>
  <c r="C21" i="5"/>
  <c r="C19" i="5"/>
  <c r="C20" i="5" s="1"/>
  <c r="F17" i="5"/>
  <c r="C17" i="5"/>
  <c r="C18" i="5" s="1"/>
  <c r="C15" i="5"/>
  <c r="C16" i="5" s="1"/>
  <c r="K20" i="1" s="1"/>
  <c r="F13" i="5"/>
  <c r="C13" i="5"/>
  <c r="C14" i="5" s="1"/>
  <c r="C11" i="5"/>
  <c r="C12" i="5" s="1"/>
  <c r="K25" i="1" s="1"/>
  <c r="F9" i="5"/>
  <c r="C9" i="5"/>
  <c r="C10" i="5" s="1"/>
  <c r="F7" i="5"/>
  <c r="C7" i="5"/>
  <c r="F5" i="5"/>
  <c r="C5" i="5"/>
  <c r="C6" i="5" s="1"/>
  <c r="K14" i="1" l="1"/>
  <c r="K22" i="1"/>
  <c r="K18" i="1"/>
  <c r="C48" i="5"/>
  <c r="C47" i="5"/>
  <c r="K26" i="1"/>
  <c r="K28" i="1"/>
  <c r="K15" i="1"/>
  <c r="C36" i="5"/>
  <c r="C32" i="5"/>
  <c r="K19" i="1" s="1"/>
  <c r="K21" i="1" s="1"/>
  <c r="C8" i="5"/>
  <c r="N15" i="6" l="1"/>
  <c r="C49" i="5"/>
  <c r="K24" i="1"/>
  <c r="K27" i="1"/>
  <c r="CI21" i="4"/>
  <c r="CI17" i="4"/>
  <c r="S111" i="3"/>
  <c r="O103" i="3"/>
  <c r="R103" i="3" s="1"/>
  <c r="K102" i="3"/>
  <c r="H102" i="3"/>
  <c r="R101" i="3"/>
  <c r="Q101" i="3"/>
  <c r="O101" i="3"/>
  <c r="N101" i="3"/>
  <c r="K101" i="3"/>
  <c r="J101" i="3"/>
  <c r="H101" i="3"/>
  <c r="G101" i="3"/>
  <c r="R99" i="3"/>
  <c r="O99" i="3"/>
  <c r="K99" i="3"/>
  <c r="H99" i="3"/>
  <c r="S97" i="3"/>
  <c r="P97" i="3"/>
  <c r="L97" i="3"/>
  <c r="I97" i="3"/>
  <c r="N96" i="3"/>
  <c r="R95" i="3"/>
  <c r="S95" i="3" s="1"/>
  <c r="S98" i="3" s="1"/>
  <c r="Q95" i="3"/>
  <c r="O95" i="3"/>
  <c r="P95" i="3" s="1"/>
  <c r="J95" i="3"/>
  <c r="G95" i="3"/>
  <c r="S93" i="3"/>
  <c r="G91" i="3"/>
  <c r="S89" i="3"/>
  <c r="L88" i="3"/>
  <c r="M87" i="3"/>
  <c r="R84" i="3"/>
  <c r="Q84" i="3"/>
  <c r="O84" i="3"/>
  <c r="N84" i="3"/>
  <c r="K84" i="3"/>
  <c r="H84" i="3"/>
  <c r="K82" i="3"/>
  <c r="J82" i="3"/>
  <c r="H82" i="3"/>
  <c r="G82" i="3"/>
  <c r="P80" i="3"/>
  <c r="S80" i="3" s="1"/>
  <c r="K80" i="3"/>
  <c r="H80" i="3"/>
  <c r="R78" i="3"/>
  <c r="S78" i="3" s="1"/>
  <c r="S81" i="3" s="1"/>
  <c r="O78" i="3"/>
  <c r="P78" i="3" s="1"/>
  <c r="I78" i="3"/>
  <c r="L78" i="3" s="1"/>
  <c r="G77" i="3"/>
  <c r="N79" i="3" s="1"/>
  <c r="S76" i="3"/>
  <c r="G76" i="3"/>
  <c r="J76" i="3" s="1"/>
  <c r="L74" i="3"/>
  <c r="U71" i="3"/>
  <c r="L70" i="3"/>
  <c r="M69" i="3"/>
  <c r="O68" i="3"/>
  <c r="O85" i="3" s="1"/>
  <c r="R85" i="3" s="1"/>
  <c r="R67" i="3"/>
  <c r="Q67" i="3"/>
  <c r="O67" i="3"/>
  <c r="N67" i="3"/>
  <c r="K66" i="3"/>
  <c r="H66" i="3"/>
  <c r="R65" i="3"/>
  <c r="O65" i="3"/>
  <c r="O82" i="3" s="1"/>
  <c r="K64" i="3"/>
  <c r="J64" i="3"/>
  <c r="H64" i="3"/>
  <c r="G64" i="3"/>
  <c r="K62" i="3"/>
  <c r="H62" i="3"/>
  <c r="N61" i="3"/>
  <c r="Q61" i="3" s="1"/>
  <c r="S59" i="3"/>
  <c r="K58" i="3"/>
  <c r="L58" i="3" s="1"/>
  <c r="H58" i="3"/>
  <c r="I58" i="3" s="1"/>
  <c r="G58" i="3"/>
  <c r="J58" i="3" s="1"/>
  <c r="L56" i="3"/>
  <c r="L52" i="3"/>
  <c r="O51" i="3"/>
  <c r="R51" i="3" s="1"/>
  <c r="M51" i="3"/>
  <c r="R50" i="3"/>
  <c r="Q50" i="3"/>
  <c r="O50" i="3"/>
  <c r="N50" i="3"/>
  <c r="O48" i="3"/>
  <c r="R48" i="3" s="1"/>
  <c r="K48" i="3"/>
  <c r="H48" i="3"/>
  <c r="K46" i="3"/>
  <c r="J46" i="3"/>
  <c r="H46" i="3"/>
  <c r="G46" i="3"/>
  <c r="R44" i="3"/>
  <c r="S44" i="3" s="1"/>
  <c r="O44" i="3"/>
  <c r="P44" i="3" s="1"/>
  <c r="N44" i="3"/>
  <c r="Q44" i="3" s="1"/>
  <c r="K44" i="3"/>
  <c r="H44" i="3"/>
  <c r="S42" i="3"/>
  <c r="K40" i="3"/>
  <c r="L40" i="3" s="1"/>
  <c r="H40" i="3"/>
  <c r="I40" i="3" s="1"/>
  <c r="G40" i="3"/>
  <c r="J40" i="3" s="1"/>
  <c r="L38" i="3"/>
  <c r="T37" i="3"/>
  <c r="AA35" i="3"/>
  <c r="E35" i="3"/>
  <c r="R34" i="3"/>
  <c r="O34" i="3"/>
  <c r="E34" i="3"/>
  <c r="E33" i="3"/>
  <c r="V32" i="3"/>
  <c r="Y32" i="3" s="1"/>
  <c r="R32" i="3"/>
  <c r="Q32" i="3"/>
  <c r="O32" i="3"/>
  <c r="N32" i="3"/>
  <c r="E32" i="3"/>
  <c r="E36" i="3" s="1"/>
  <c r="E37" i="3" s="1"/>
  <c r="D21" i="3" s="1"/>
  <c r="Y30" i="3"/>
  <c r="X30" i="3"/>
  <c r="V30" i="3"/>
  <c r="U30" i="3"/>
  <c r="R30" i="3"/>
  <c r="O30" i="3"/>
  <c r="Y28" i="3" s="1"/>
  <c r="H30" i="3"/>
  <c r="H29" i="3"/>
  <c r="V28" i="3"/>
  <c r="H27" i="3"/>
  <c r="R26" i="3"/>
  <c r="S26" i="3" s="1"/>
  <c r="O26" i="3"/>
  <c r="P26" i="3" s="1"/>
  <c r="N26" i="3"/>
  <c r="Q26" i="3" s="1"/>
  <c r="D26" i="3"/>
  <c r="H50" i="3" s="1"/>
  <c r="K50" i="3" s="1"/>
  <c r="Y24" i="3"/>
  <c r="Z24" i="3" s="1"/>
  <c r="X24" i="3"/>
  <c r="V24" i="3"/>
  <c r="W24" i="3" s="1"/>
  <c r="U24" i="3"/>
  <c r="S24" i="3"/>
  <c r="H24" i="3"/>
  <c r="I24" i="3" s="1"/>
  <c r="I26" i="3" s="1"/>
  <c r="G24" i="3"/>
  <c r="Z22" i="3"/>
  <c r="T19" i="3"/>
  <c r="I18" i="3"/>
  <c r="D17" i="3"/>
  <c r="R61" i="3" s="1"/>
  <c r="S61" i="3" s="1"/>
  <c r="R16" i="3"/>
  <c r="O16" i="3"/>
  <c r="R14" i="3"/>
  <c r="Q14" i="3"/>
  <c r="O14" i="3"/>
  <c r="N14" i="3"/>
  <c r="H14" i="3"/>
  <c r="H13" i="3"/>
  <c r="R12" i="3"/>
  <c r="O12" i="3"/>
  <c r="D12" i="3"/>
  <c r="K76" i="3" s="1"/>
  <c r="L76" i="3" s="1"/>
  <c r="L79" i="3" s="1"/>
  <c r="H11" i="3"/>
  <c r="P10" i="3"/>
  <c r="S10" i="3" s="1"/>
  <c r="I9" i="3"/>
  <c r="I25" i="3" s="1"/>
  <c r="I42" i="3" s="1"/>
  <c r="D9" i="3"/>
  <c r="K95" i="3" s="1"/>
  <c r="L95" i="3" s="1"/>
  <c r="L98" i="3" s="1"/>
  <c r="R8" i="3"/>
  <c r="S8" i="3" s="1"/>
  <c r="S11" i="3" s="1"/>
  <c r="O8" i="3"/>
  <c r="P8" i="3" s="1"/>
  <c r="N8" i="3"/>
  <c r="Q8" i="3" s="1"/>
  <c r="H8" i="3"/>
  <c r="I8" i="3" s="1"/>
  <c r="G8" i="3"/>
  <c r="S6" i="3"/>
  <c r="I10" i="3" l="1"/>
  <c r="Q15" i="6"/>
  <c r="H76" i="3"/>
  <c r="I76" i="3" s="1"/>
  <c r="L80" i="3"/>
  <c r="J16" i="6"/>
  <c r="J17" i="6" s="1"/>
  <c r="N16" i="6"/>
  <c r="N17" i="6" s="1"/>
  <c r="H32" i="3"/>
  <c r="CI23" i="4"/>
  <c r="S14" i="3"/>
  <c r="L99" i="3"/>
  <c r="L100" i="3" s="1"/>
  <c r="L101" i="3"/>
  <c r="O45" i="3"/>
  <c r="P45" i="3" s="1"/>
  <c r="O27" i="3"/>
  <c r="P27" i="3" s="1"/>
  <c r="P29" i="3" s="1"/>
  <c r="O96" i="3"/>
  <c r="H96" i="3"/>
  <c r="O62" i="3"/>
  <c r="O9" i="3"/>
  <c r="H41" i="3"/>
  <c r="H59" i="3" s="1"/>
  <c r="H77" i="3" s="1"/>
  <c r="O79" i="3"/>
  <c r="V25" i="3"/>
  <c r="W25" i="3" s="1"/>
  <c r="S99" i="3"/>
  <c r="S100" i="3" s="1"/>
  <c r="S101" i="3"/>
  <c r="S84" i="3"/>
  <c r="I13" i="3"/>
  <c r="I11" i="3"/>
  <c r="I12" i="3" s="1"/>
  <c r="I14" i="3" s="1"/>
  <c r="I15" i="3" s="1"/>
  <c r="I60" i="3"/>
  <c r="L60" i="3" s="1"/>
  <c r="L61" i="3" s="1"/>
  <c r="L42" i="3"/>
  <c r="L43" i="3" s="1"/>
  <c r="L82" i="3"/>
  <c r="L81" i="3"/>
  <c r="R82" i="3"/>
  <c r="S82" i="3" s="1"/>
  <c r="S83" i="3" s="1"/>
  <c r="I27" i="3"/>
  <c r="I28" i="3" s="1"/>
  <c r="I29" i="3"/>
  <c r="P96" i="3"/>
  <c r="P98" i="3" s="1"/>
  <c r="S12" i="3"/>
  <c r="S13" i="3" s="1"/>
  <c r="O36" i="3"/>
  <c r="R36" i="3" s="1"/>
  <c r="O18" i="3"/>
  <c r="R18" i="3" s="1"/>
  <c r="H86" i="3"/>
  <c r="K86" i="3" s="1"/>
  <c r="R68" i="3"/>
  <c r="O70" i="3"/>
  <c r="R70" i="3" s="1"/>
  <c r="P79" i="3"/>
  <c r="P81" i="3" s="1"/>
  <c r="O87" i="3"/>
  <c r="R87" i="3" s="1"/>
  <c r="H95" i="3"/>
  <c r="I95" i="3" s="1"/>
  <c r="P28" i="3"/>
  <c r="O61" i="3"/>
  <c r="H104" i="3"/>
  <c r="O105" i="3"/>
  <c r="R105" i="3" s="1"/>
  <c r="P9" i="3"/>
  <c r="P11" i="3" s="1"/>
  <c r="P12" i="3" s="1"/>
  <c r="V34" i="3"/>
  <c r="Y34" i="3" s="1"/>
  <c r="O53" i="3"/>
  <c r="R53" i="3" s="1"/>
  <c r="H68" i="3"/>
  <c r="K68" i="3" s="1"/>
  <c r="K104" i="3"/>
  <c r="H16" i="3"/>
  <c r="I30" i="3" l="1"/>
  <c r="I31" i="3" s="1"/>
  <c r="D22" i="8"/>
  <c r="K55" i="1"/>
  <c r="M7" i="6"/>
  <c r="M8" i="6" s="1"/>
  <c r="L7" i="6"/>
  <c r="L8" i="6" s="1"/>
  <c r="J14" i="16" s="1"/>
  <c r="G7" i="6"/>
  <c r="G8" i="6" s="1"/>
  <c r="J9" i="16" s="1"/>
  <c r="M9" i="16" s="1"/>
  <c r="F7" i="6"/>
  <c r="F8" i="6" s="1"/>
  <c r="J8" i="16" s="1"/>
  <c r="M8" i="16" s="1"/>
  <c r="K7" i="6"/>
  <c r="K8" i="6" s="1"/>
  <c r="J13" i="16" s="1"/>
  <c r="H7" i="6"/>
  <c r="H8" i="6" s="1"/>
  <c r="N7" i="6"/>
  <c r="N8" i="6" s="1"/>
  <c r="J18" i="6"/>
  <c r="J19" i="6" s="1"/>
  <c r="J20" i="6" s="1"/>
  <c r="K12" i="16" s="1"/>
  <c r="I16" i="3"/>
  <c r="I17" i="3" s="1"/>
  <c r="I19" i="3" s="1"/>
  <c r="I77" i="3"/>
  <c r="I79" i="3" s="1"/>
  <c r="J7" i="6"/>
  <c r="T15" i="6"/>
  <c r="R15" i="6"/>
  <c r="I32" i="3"/>
  <c r="I33" i="3" s="1"/>
  <c r="I35" i="3" s="1"/>
  <c r="N18" i="6"/>
  <c r="N19" i="6" s="1"/>
  <c r="N20" i="6" s="1"/>
  <c r="K16" i="16" s="1"/>
  <c r="Q16" i="6"/>
  <c r="Q17" i="6" s="1"/>
  <c r="S16" i="3"/>
  <c r="S17" i="3" s="1"/>
  <c r="S18" i="3" s="1"/>
  <c r="S19" i="3" s="1"/>
  <c r="S21" i="3" s="1"/>
  <c r="P84" i="3"/>
  <c r="P82" i="3"/>
  <c r="P83" i="3" s="1"/>
  <c r="S86" i="3"/>
  <c r="S87" i="3" s="1"/>
  <c r="S88" i="3" s="1"/>
  <c r="S85" i="3"/>
  <c r="L46" i="3"/>
  <c r="L44" i="3"/>
  <c r="L45" i="3" s="1"/>
  <c r="L64" i="3"/>
  <c r="L62" i="3"/>
  <c r="L63" i="3" s="1"/>
  <c r="W27" i="3"/>
  <c r="P31" i="3"/>
  <c r="P32" i="3"/>
  <c r="P30" i="3"/>
  <c r="P13" i="3"/>
  <c r="P14" i="3"/>
  <c r="P99" i="3"/>
  <c r="P101" i="3"/>
  <c r="P100" i="3"/>
  <c r="P103" i="3" s="1"/>
  <c r="P104" i="3" s="1"/>
  <c r="P105" i="3" s="1"/>
  <c r="P106" i="3" s="1"/>
  <c r="L102" i="3"/>
  <c r="L103" i="3" s="1"/>
  <c r="L104" i="3" s="1"/>
  <c r="L105" i="3" s="1"/>
  <c r="P62" i="3"/>
  <c r="P61" i="3"/>
  <c r="I41" i="3"/>
  <c r="I43" i="3" s="1"/>
  <c r="L84" i="3"/>
  <c r="L85" i="3" s="1"/>
  <c r="L86" i="3" s="1"/>
  <c r="L87" i="3" s="1"/>
  <c r="L89" i="3" s="1"/>
  <c r="I96" i="3"/>
  <c r="I98" i="3" s="1"/>
  <c r="S103" i="3"/>
  <c r="S104" i="3"/>
  <c r="S105" i="3" s="1"/>
  <c r="S106" i="3" s="1"/>
  <c r="P46" i="3"/>
  <c r="S28" i="3"/>
  <c r="S29" i="3" s="1"/>
  <c r="W26" i="3"/>
  <c r="Z26" i="3" s="1"/>
  <c r="Z27" i="3" s="1"/>
  <c r="I59" i="3"/>
  <c r="I61" i="3" s="1"/>
  <c r="M11" i="6" l="1"/>
  <c r="J15" i="16"/>
  <c r="M13" i="16"/>
  <c r="M14" i="16"/>
  <c r="N11" i="6"/>
  <c r="J16" i="16"/>
  <c r="H11" i="6"/>
  <c r="J10" i="16"/>
  <c r="M10" i="16" s="1"/>
  <c r="I34" i="9"/>
  <c r="J34" i="9" s="1"/>
  <c r="K34" i="9" s="1"/>
  <c r="F11" i="6"/>
  <c r="I24" i="9"/>
  <c r="J24" i="9" s="1"/>
  <c r="K24" i="9" s="1"/>
  <c r="K18" i="6"/>
  <c r="K19" i="6" s="1"/>
  <c r="K20" i="6" s="1"/>
  <c r="K13" i="16" s="1"/>
  <c r="L13" i="16" s="1"/>
  <c r="L18" i="6"/>
  <c r="L19" i="6" s="1"/>
  <c r="L20" i="6" s="1"/>
  <c r="K14" i="16" s="1"/>
  <c r="L14" i="16" s="1"/>
  <c r="M18" i="6"/>
  <c r="M19" i="6" s="1"/>
  <c r="M20" i="6" s="1"/>
  <c r="K15" i="16" s="1"/>
  <c r="K11" i="6"/>
  <c r="I31" i="9"/>
  <c r="J31" i="9" s="1"/>
  <c r="K31" i="9" s="1"/>
  <c r="P85" i="3"/>
  <c r="P86" i="3" s="1"/>
  <c r="P87" i="3" s="1"/>
  <c r="P88" i="3" s="1"/>
  <c r="O90" i="3" s="1"/>
  <c r="G11" i="6"/>
  <c r="I29" i="9"/>
  <c r="J29" i="9" s="1"/>
  <c r="K29" i="9" s="1"/>
  <c r="I25" i="9"/>
  <c r="J25" i="9" s="1"/>
  <c r="K25" i="9" s="1"/>
  <c r="I28" i="9"/>
  <c r="J28" i="9" s="1"/>
  <c r="K28" i="9" s="1"/>
  <c r="I26" i="9"/>
  <c r="J26" i="9" s="1"/>
  <c r="K26" i="9" s="1"/>
  <c r="L11" i="6"/>
  <c r="I32" i="9"/>
  <c r="J32" i="9" s="1"/>
  <c r="K32" i="9" s="1"/>
  <c r="J26" i="6"/>
  <c r="Q26" i="6" s="1"/>
  <c r="J21" i="6"/>
  <c r="Q21" i="6" s="1"/>
  <c r="R21" i="6" s="1"/>
  <c r="T21" i="6" s="1"/>
  <c r="Q7" i="6"/>
  <c r="R7" i="6" s="1"/>
  <c r="T7" i="6" s="1"/>
  <c r="J8" i="6"/>
  <c r="J12" i="16" s="1"/>
  <c r="N21" i="6"/>
  <c r="N26" i="6"/>
  <c r="T16" i="6"/>
  <c r="T17" i="6" s="1"/>
  <c r="R16" i="6"/>
  <c r="R17" i="6" s="1"/>
  <c r="Q18" i="6"/>
  <c r="Q19" i="6" s="1"/>
  <c r="Q20" i="6" s="1"/>
  <c r="K19" i="16" s="1"/>
  <c r="L48" i="3"/>
  <c r="L49" i="3"/>
  <c r="L50" i="3" s="1"/>
  <c r="L51" i="3" s="1"/>
  <c r="L53" i="3" s="1"/>
  <c r="I101" i="3"/>
  <c r="I99" i="3"/>
  <c r="I100" i="3" s="1"/>
  <c r="L67" i="3"/>
  <c r="L68" i="3" s="1"/>
  <c r="L69" i="3" s="1"/>
  <c r="L71" i="3" s="1"/>
  <c r="L66" i="3"/>
  <c r="O112" i="3"/>
  <c r="O109" i="3"/>
  <c r="P34" i="3"/>
  <c r="P35" i="3" s="1"/>
  <c r="P36" i="3" s="1"/>
  <c r="P37" i="3" s="1"/>
  <c r="O39" i="3" s="1"/>
  <c r="S90" i="3"/>
  <c r="T88" i="3"/>
  <c r="I44" i="3"/>
  <c r="I45" i="3" s="1"/>
  <c r="I46" i="3"/>
  <c r="W30" i="3"/>
  <c r="W28" i="3"/>
  <c r="W29" i="3" s="1"/>
  <c r="W32" i="3" s="1"/>
  <c r="W33" i="3" s="1"/>
  <c r="W34" i="3" s="1"/>
  <c r="W35" i="3" s="1"/>
  <c r="V37" i="3" s="1"/>
  <c r="S46" i="3"/>
  <c r="S47" i="3" s="1"/>
  <c r="P63" i="3"/>
  <c r="S63" i="3" s="1"/>
  <c r="S64" i="3" s="1"/>
  <c r="P47" i="3"/>
  <c r="P64" i="3"/>
  <c r="P16" i="3"/>
  <c r="P17" i="3" s="1"/>
  <c r="P18" i="3" s="1"/>
  <c r="P19" i="3" s="1"/>
  <c r="P21" i="3" s="1"/>
  <c r="S112" i="3"/>
  <c r="S109" i="3"/>
  <c r="S107" i="3"/>
  <c r="I80" i="3"/>
  <c r="I81" i="3" s="1"/>
  <c r="I84" i="3" s="1"/>
  <c r="I85" i="3" s="1"/>
  <c r="I86" i="3" s="1"/>
  <c r="I87" i="3" s="1"/>
  <c r="I89" i="3" s="1"/>
  <c r="I82" i="3"/>
  <c r="I64" i="3"/>
  <c r="I62" i="3"/>
  <c r="I63" i="3" s="1"/>
  <c r="I66" i="3" s="1"/>
  <c r="I67" i="3" s="1"/>
  <c r="I68" i="3" s="1"/>
  <c r="I69" i="3" s="1"/>
  <c r="I71" i="3" s="1"/>
  <c r="Z30" i="3"/>
  <c r="Z28" i="3"/>
  <c r="Z29" i="3" s="1"/>
  <c r="S32" i="3"/>
  <c r="S30" i="3"/>
  <c r="S31" i="3" s="1"/>
  <c r="L15" i="16" l="1"/>
  <c r="M15" i="16"/>
  <c r="M12" i="16"/>
  <c r="L12" i="16"/>
  <c r="M16" i="16"/>
  <c r="L16" i="16"/>
  <c r="I48" i="3"/>
  <c r="I49" i="3" s="1"/>
  <c r="I50" i="3" s="1"/>
  <c r="I51" i="3" s="1"/>
  <c r="I53" i="3" s="1"/>
  <c r="M21" i="6"/>
  <c r="M26" i="6"/>
  <c r="L26" i="6"/>
  <c r="L21" i="6"/>
  <c r="K26" i="6"/>
  <c r="K21" i="6"/>
  <c r="R18" i="6"/>
  <c r="R19" i="6" s="1"/>
  <c r="R20" i="6" s="1"/>
  <c r="T18" i="6"/>
  <c r="T19" i="6" s="1"/>
  <c r="T20" i="6" s="1"/>
  <c r="J11" i="6"/>
  <c r="Q11" i="6" s="1"/>
  <c r="Q8" i="6"/>
  <c r="Z32" i="3"/>
  <c r="Z33" i="3" s="1"/>
  <c r="Z34" i="3" s="1"/>
  <c r="S34" i="3"/>
  <c r="S35" i="3" s="1"/>
  <c r="S36" i="3" s="1"/>
  <c r="S37" i="3" s="1"/>
  <c r="S39" i="3" s="1"/>
  <c r="P50" i="3"/>
  <c r="P48" i="3"/>
  <c r="P49" i="3" s="1"/>
  <c r="P51" i="3" s="1"/>
  <c r="P52" i="3" s="1"/>
  <c r="P53" i="3" s="1"/>
  <c r="P54" i="3" s="1"/>
  <c r="P56" i="3" s="1"/>
  <c r="I102" i="3"/>
  <c r="I103" i="3" s="1"/>
  <c r="I104" i="3" s="1"/>
  <c r="I105" i="3" s="1"/>
  <c r="S65" i="3"/>
  <c r="S66" i="3" s="1"/>
  <c r="S67" i="3"/>
  <c r="S50" i="3"/>
  <c r="S48" i="3"/>
  <c r="S49" i="3" s="1"/>
  <c r="P65" i="3"/>
  <c r="P66" i="3" s="1"/>
  <c r="P67" i="3"/>
  <c r="T26" i="6" l="1"/>
  <c r="K22" i="16"/>
  <c r="R26" i="6"/>
  <c r="K20" i="16"/>
  <c r="R8" i="6"/>
  <c r="J20" i="16" s="1"/>
  <c r="J19" i="16"/>
  <c r="P68" i="3"/>
  <c r="P69" i="3" s="1"/>
  <c r="P70" i="3" s="1"/>
  <c r="P71" i="3" s="1"/>
  <c r="O73" i="3" s="1"/>
  <c r="Z35" i="3"/>
  <c r="Z37" i="3" s="1"/>
  <c r="S51" i="3"/>
  <c r="S52" i="3" s="1"/>
  <c r="S53" i="3" s="1"/>
  <c r="S54" i="3" s="1"/>
  <c r="S56" i="3" s="1"/>
  <c r="S68" i="3"/>
  <c r="S69" i="3" s="1"/>
  <c r="S70" i="3" s="1"/>
  <c r="S71" i="3" s="1"/>
  <c r="S73" i="3" s="1"/>
  <c r="T8" i="6" l="1"/>
  <c r="T11" i="6" s="1"/>
  <c r="R11" i="6"/>
  <c r="M19" i="16"/>
  <c r="L19" i="16"/>
  <c r="M20" i="16"/>
  <c r="L20" i="16"/>
  <c r="G12" i="2"/>
  <c r="H79" i="1"/>
  <c r="G79" i="1"/>
  <c r="F79" i="1"/>
  <c r="E79" i="1"/>
  <c r="D79" i="1"/>
  <c r="C79" i="1"/>
  <c r="B79" i="1"/>
  <c r="H71" i="1"/>
  <c r="G71" i="1"/>
  <c r="F71" i="1"/>
  <c r="E71" i="1"/>
  <c r="D71" i="1"/>
  <c r="C71" i="1"/>
  <c r="B71" i="1"/>
  <c r="H64" i="1"/>
  <c r="G64" i="1"/>
  <c r="F64" i="1"/>
  <c r="E64" i="1"/>
  <c r="D64" i="1"/>
  <c r="C64" i="1"/>
  <c r="B64" i="1"/>
  <c r="I62" i="1" s="1"/>
  <c r="I63" i="1" s="1"/>
  <c r="I64" i="1" s="1"/>
  <c r="K53" i="1"/>
  <c r="D33" i="1"/>
  <c r="I47" i="1"/>
  <c r="I46" i="1"/>
  <c r="I45" i="1"/>
  <c r="I44" i="1"/>
  <c r="I43" i="1"/>
  <c r="I42" i="1"/>
  <c r="I41" i="1"/>
  <c r="I40" i="1"/>
  <c r="I39" i="1"/>
  <c r="I38" i="1"/>
  <c r="E38" i="1"/>
  <c r="C38" i="1"/>
  <c r="I37" i="1"/>
  <c r="I36" i="1"/>
  <c r="E36" i="1"/>
  <c r="I35" i="1"/>
  <c r="I34" i="1"/>
  <c r="I33" i="1"/>
  <c r="C33" i="1"/>
  <c r="I32" i="1"/>
  <c r="C32" i="1"/>
  <c r="I31" i="1"/>
  <c r="G30" i="1"/>
  <c r="C30" i="1"/>
  <c r="E23" i="1"/>
  <c r="K29" i="1"/>
  <c r="E24" i="1" s="1"/>
  <c r="E26" i="1"/>
  <c r="C24" i="1"/>
  <c r="F23" i="1"/>
  <c r="C23" i="1"/>
  <c r="F22" i="1"/>
  <c r="E22" i="1"/>
  <c r="C22" i="1"/>
  <c r="E16" i="1"/>
  <c r="C21" i="1"/>
  <c r="E15" i="1"/>
  <c r="F20" i="1"/>
  <c r="E20" i="1"/>
  <c r="C20" i="1"/>
  <c r="F19" i="1"/>
  <c r="E19" i="1"/>
  <c r="C19" i="1"/>
  <c r="C18" i="1"/>
  <c r="F17" i="1"/>
  <c r="E17" i="1"/>
  <c r="C17" i="1"/>
  <c r="C16" i="1"/>
  <c r="F15" i="1"/>
  <c r="C15" i="1"/>
  <c r="F14" i="1"/>
  <c r="E14" i="1"/>
  <c r="C14" i="1"/>
  <c r="F13" i="1"/>
  <c r="E13" i="1"/>
  <c r="C13" i="1"/>
  <c r="F12" i="1"/>
  <c r="E12" i="1"/>
  <c r="C12" i="1"/>
  <c r="C11" i="1"/>
  <c r="F10" i="1"/>
  <c r="E10" i="1"/>
  <c r="G10" i="1" s="1"/>
  <c r="C10" i="1"/>
  <c r="F9" i="1"/>
  <c r="E9" i="1"/>
  <c r="C9" i="1"/>
  <c r="K8" i="1"/>
  <c r="C8" i="1"/>
  <c r="K7" i="1"/>
  <c r="K6" i="1"/>
  <c r="K5" i="1"/>
  <c r="K9" i="1" s="1"/>
  <c r="K10" i="1" s="1"/>
  <c r="G5" i="1"/>
  <c r="J22" i="16" l="1"/>
  <c r="M22" i="16" s="1"/>
  <c r="L22" i="16"/>
  <c r="G9" i="1"/>
  <c r="I69" i="1"/>
  <c r="I70" i="1" s="1"/>
  <c r="I71" i="1" s="1"/>
  <c r="K44" i="1" s="1"/>
  <c r="F21" i="1" s="1"/>
  <c r="G33" i="1"/>
  <c r="I78" i="1"/>
  <c r="I79" i="1" s="1"/>
  <c r="I80" i="1" s="1"/>
  <c r="D32" i="1"/>
  <c r="G32" i="1" s="1"/>
  <c r="I33" i="8"/>
  <c r="D17" i="8" s="1"/>
  <c r="E17" i="8" s="1"/>
  <c r="G22" i="1"/>
  <c r="G20" i="1"/>
  <c r="G19" i="1"/>
  <c r="G17" i="1"/>
  <c r="G15" i="1"/>
  <c r="G14" i="1"/>
  <c r="G13" i="1"/>
  <c r="G12" i="1"/>
  <c r="K39" i="1"/>
  <c r="G23" i="1"/>
  <c r="E21" i="1"/>
  <c r="G21" i="1" s="1"/>
  <c r="K47" i="1" l="1"/>
  <c r="F24" i="1" s="1"/>
  <c r="G16" i="1"/>
  <c r="F16" i="1"/>
  <c r="D10" i="8" s="1"/>
  <c r="F25" i="1"/>
  <c r="G24" i="1" l="1"/>
  <c r="D11" i="8"/>
  <c r="D12" i="8" s="1"/>
  <c r="G25" i="1" l="1"/>
  <c r="G26" i="1" s="1"/>
  <c r="G27" i="1" s="1"/>
  <c r="G35" i="1" l="1"/>
  <c r="F27" i="1"/>
  <c r="G38" i="1" l="1"/>
  <c r="G36" i="1"/>
  <c r="G37" i="1" s="1"/>
  <c r="G39" i="1" l="1"/>
  <c r="G40" i="1" s="1"/>
  <c r="G41" i="1" s="1"/>
  <c r="G42" i="1" l="1"/>
  <c r="G47" i="1" s="1"/>
  <c r="G48" i="1" s="1"/>
  <c r="G49" i="1" s="1"/>
  <c r="C7" i="13" l="1"/>
  <c r="J7" i="13" l="1"/>
  <c r="K7" i="13" s="1"/>
  <c r="C8" i="13"/>
  <c r="C49" i="13" l="1"/>
  <c r="J8" i="13"/>
  <c r="K8" i="13" s="1"/>
  <c r="S2" i="6"/>
  <c r="M25" i="8"/>
  <c r="I2" i="6"/>
  <c r="I15" i="6"/>
  <c r="C48" i="13"/>
  <c r="K35" i="13"/>
  <c r="I4" i="6" l="1"/>
  <c r="I6" i="6" s="1"/>
  <c r="I3" i="6"/>
  <c r="M28" i="8"/>
  <c r="N25" i="8"/>
  <c r="Q25" i="8"/>
  <c r="R25" i="8" s="1"/>
  <c r="J48" i="13"/>
  <c r="O2" i="6"/>
  <c r="S3" i="6"/>
  <c r="S4" i="6"/>
  <c r="S16" i="6" s="1"/>
  <c r="S15" i="6"/>
  <c r="J49" i="13"/>
  <c r="P2" i="6"/>
  <c r="S6" i="6" l="1"/>
  <c r="S18" i="6"/>
  <c r="S17" i="6"/>
  <c r="N28" i="8"/>
  <c r="N31" i="8" s="1"/>
  <c r="Q28" i="8"/>
  <c r="R28" i="8" s="1"/>
  <c r="S5" i="6"/>
  <c r="P4" i="6"/>
  <c r="P6" i="6" s="1"/>
  <c r="P3" i="6"/>
  <c r="P15" i="6"/>
  <c r="O4" i="6"/>
  <c r="O6" i="6" s="1"/>
  <c r="O3" i="6"/>
  <c r="O15" i="6"/>
  <c r="I5" i="6"/>
  <c r="I7" i="6" s="1"/>
  <c r="I8" i="6" s="1"/>
  <c r="I16" i="6"/>
  <c r="S7" i="6" l="1"/>
  <c r="S8" i="6" s="1"/>
  <c r="S11" i="6" s="1"/>
  <c r="S19" i="6"/>
  <c r="S20" i="6" s="1"/>
  <c r="I11" i="6"/>
  <c r="J11" i="16"/>
  <c r="E11" i="8"/>
  <c r="E12" i="8" s="1"/>
  <c r="E13" i="8" s="1"/>
  <c r="E14" i="8" s="1"/>
  <c r="E19" i="8" s="1"/>
  <c r="O16" i="6"/>
  <c r="O17" i="6" s="1"/>
  <c r="I17" i="6"/>
  <c r="I18" i="6"/>
  <c r="P5" i="6"/>
  <c r="P7" i="6" s="1"/>
  <c r="P8" i="6" s="1"/>
  <c r="P16" i="6"/>
  <c r="P17" i="6" s="1"/>
  <c r="O5" i="6"/>
  <c r="J21" i="16" l="1"/>
  <c r="M21" i="16" s="1"/>
  <c r="S26" i="6"/>
  <c r="K21" i="16"/>
  <c r="S21" i="6"/>
  <c r="I19" i="6"/>
  <c r="I20" i="6" s="1"/>
  <c r="K11" i="16" s="1"/>
  <c r="L11" i="16" s="1"/>
  <c r="O7" i="6"/>
  <c r="O8" i="6" s="1"/>
  <c r="J17" i="16" s="1"/>
  <c r="L21" i="16"/>
  <c r="P18" i="6"/>
  <c r="P19" i="6" s="1"/>
  <c r="P20" i="6" s="1"/>
  <c r="K18" i="16" s="1"/>
  <c r="M11" i="16"/>
  <c r="J18" i="16"/>
  <c r="I36" i="9"/>
  <c r="J36" i="9" s="1"/>
  <c r="K36" i="9" s="1"/>
  <c r="P11" i="6"/>
  <c r="O18" i="6"/>
  <c r="O19" i="6" s="1"/>
  <c r="O20" i="6" s="1"/>
  <c r="K17" i="16" s="1"/>
  <c r="E22" i="8"/>
  <c r="E20" i="8"/>
  <c r="E21" i="8" s="1"/>
  <c r="I26" i="6" l="1"/>
  <c r="I21" i="6"/>
  <c r="I35" i="9"/>
  <c r="J35" i="9" s="1"/>
  <c r="J40" i="9" s="1"/>
  <c r="O11" i="6"/>
  <c r="E23" i="8"/>
  <c r="E24" i="8" s="1"/>
  <c r="O21" i="6"/>
  <c r="O26" i="6"/>
  <c r="K35" i="9"/>
  <c r="P26" i="6"/>
  <c r="P21" i="6"/>
  <c r="M18" i="16"/>
  <c r="L18" i="16"/>
  <c r="M17" i="16"/>
  <c r="L17" i="16"/>
  <c r="I29" i="6" l="1"/>
  <c r="F180" i="18" s="1"/>
  <c r="F181" i="18" s="1"/>
  <c r="F182" i="18" s="1"/>
  <c r="H11" i="2" s="1"/>
  <c r="M23" i="16"/>
  <c r="K40" i="9"/>
  <c r="L40" i="9"/>
  <c r="E25" i="8"/>
  <c r="E26" i="8"/>
  <c r="J31" i="17" s="1"/>
  <c r="J32" i="17" s="1"/>
  <c r="J33" i="17" l="1"/>
  <c r="H10" i="2"/>
  <c r="E31" i="8"/>
  <c r="E32" i="8" s="1"/>
  <c r="E33" i="8" s="1"/>
  <c r="J30" i="16"/>
  <c r="M30" i="16" s="1"/>
  <c r="I11" i="2"/>
  <c r="J11" i="2" s="1"/>
  <c r="K11" i="2"/>
  <c r="K10" i="2" l="1"/>
  <c r="I10" i="2"/>
  <c r="J10" i="2" s="1"/>
  <c r="H12" i="2"/>
  <c r="K12" i="2" l="1"/>
  <c r="I12" i="2"/>
  <c r="J12" i="2" l="1"/>
  <c r="J14" i="2" s="1"/>
  <c r="I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CB84D175-3C91-4421-9772-5598293355C5}">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6" authorId="0" shapeId="0" xr:uid="{09EBA0F3-6D75-4CD0-B62D-0B830FF6E87F}">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Farrell, Conor (EHS)</author>
    <author>tc={0C7FDF32-82E2-4647-9D9A-DA2FAA029856}</author>
    <author>tc={FDFDC871-B900-4ED2-8A7E-491BBA670DA7}</author>
  </authors>
  <commentList>
    <comment ref="L30" authorId="0" shapeId="0" xr:uid="{78027A51-4895-448A-B940-C6A75741BE8D}">
      <text>
        <r>
          <rPr>
            <b/>
            <sz val="9"/>
            <color indexed="81"/>
            <rFont val="Tahoma"/>
            <charset val="1"/>
          </rPr>
          <t>Farrell, Conor (EHS):</t>
        </r>
        <r>
          <rPr>
            <sz val="9"/>
            <color indexed="81"/>
            <rFont val="Tahoma"/>
            <charset val="1"/>
          </rPr>
          <t xml:space="preserve">
Post PH Adjustment. Add .54</t>
        </r>
      </text>
    </comment>
    <comment ref="N41" authorId="1" shapeId="0" xr:uid="{0C7FDF32-82E2-4647-9D9A-DA2FAA029856}">
      <text>
        <t>[Threaded comment]
Your version of Excel allows you to read this threaded comment; however, any edits to it will get removed if the file is opened in a newer version of Excel. Learn more: https://go.microsoft.com/fwlink/?linkid=870924
Comment:
    CAF'd using past rate review CAF bc was not increased in last review.</t>
      </text>
    </comment>
    <comment ref="N43" authorId="2" shapeId="0" xr:uid="{FDFDC871-B900-4ED2-8A7E-491BBA670DA7}">
      <text>
        <t>[Threaded comment]
Your version of Excel allows you to read this threaded comment; however, any edits to it will get removed if the file is opened in a newer version of Excel. Learn more: https://go.microsoft.com/fwlink/?linkid=870924
Comment:
    Added previous CAF to this number prior to it being CAF'd with current RR as it was not changed in the last review.</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Marie Lenane</author>
    <author>kara</author>
  </authors>
  <commentList>
    <comment ref="E6" authorId="0" shapeId="0" xr:uid="{556F8E03-302D-47E8-82CB-9A67EF710E42}">
      <text>
        <r>
          <rPr>
            <b/>
            <sz val="9"/>
            <color indexed="81"/>
            <rFont val="Tahoma"/>
            <family val="2"/>
          </rPr>
          <t>Marie Lenane:</t>
        </r>
        <r>
          <rPr>
            <sz val="9"/>
            <color indexed="81"/>
            <rFont val="Tahoma"/>
            <family val="2"/>
          </rPr>
          <t xml:space="preserve">
formerly Clinical Dir. Sal $62,681, based on BLS rates increased by $20,664 annually)</t>
        </r>
      </text>
    </comment>
    <comment ref="P21" authorId="0" shapeId="0" xr:uid="{810D98CE-D392-4D3D-BC15-B71E232700F9}">
      <text>
        <r>
          <rPr>
            <b/>
            <sz val="9"/>
            <color indexed="81"/>
            <rFont val="Tahoma"/>
            <family val="2"/>
          </rPr>
          <t>Marie Lenane:</t>
        </r>
        <r>
          <rPr>
            <sz val="9"/>
            <color indexed="81"/>
            <rFont val="Tahoma"/>
            <family val="2"/>
          </rPr>
          <t xml:space="preserve">
Why is this so far in the negative and hourly is opposite.  I can't find the error.</t>
        </r>
      </text>
    </comment>
    <comment ref="S21" authorId="1" shapeId="0" xr:uid="{7061706D-0DA7-4F25-8C94-D37951ECC55B}">
      <text>
        <r>
          <rPr>
            <b/>
            <sz val="9"/>
            <color indexed="81"/>
            <rFont val="Tahoma"/>
            <family val="2"/>
          </rPr>
          <t>kara:</t>
        </r>
        <r>
          <rPr>
            <sz val="9"/>
            <color indexed="81"/>
            <rFont val="Tahoma"/>
            <family val="2"/>
          </rPr>
          <t xml:space="preserve">
this is such an increase b/c the formula was wrong in the current version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H1" authorId="0" shapeId="0" xr:uid="{6257A922-13AA-4EBA-8C87-FB2D9C7F816D}">
      <text>
        <r>
          <rPr>
            <b/>
            <sz val="9"/>
            <color indexed="81"/>
            <rFont val="Tahoma"/>
            <family val="2"/>
          </rPr>
          <t>Solimini, Kara (EHS):</t>
        </r>
        <r>
          <rPr>
            <sz val="9"/>
            <color indexed="81"/>
            <rFont val="Tahoma"/>
            <family val="2"/>
          </rPr>
          <t xml:space="preserve">
New rate to be put into Reg</t>
        </r>
      </text>
    </comment>
  </commentList>
</comments>
</file>

<file path=xl/sharedStrings.xml><?xml version="1.0" encoding="utf-8"?>
<sst xmlns="http://schemas.openxmlformats.org/spreadsheetml/2006/main" count="3435" uniqueCount="702">
  <si>
    <t xml:space="preserve">Youth Stabilization Residential (12 Bed) Model Budget 
</t>
  </si>
  <si>
    <t>Relief Assumptions</t>
  </si>
  <si>
    <t>Days</t>
  </si>
  <si>
    <t>Hours</t>
  </si>
  <si>
    <t>Beds:</t>
  </si>
  <si>
    <t>Bed Days:</t>
  </si>
  <si>
    <t>vacation</t>
  </si>
  <si>
    <t>sick/ personal</t>
  </si>
  <si>
    <t>Salary</t>
  </si>
  <si>
    <t>FTE</t>
  </si>
  <si>
    <t>Expense</t>
  </si>
  <si>
    <t>holidays</t>
  </si>
  <si>
    <t>training</t>
  </si>
  <si>
    <t>Total Hours per FTE:</t>
  </si>
  <si>
    <t>% of FTE:</t>
  </si>
  <si>
    <r>
      <t>Benchmark Salaries</t>
    </r>
    <r>
      <rPr>
        <b/>
        <sz val="9"/>
        <rFont val="Arial"/>
        <family val="2"/>
      </rPr>
      <t xml:space="preserve"> </t>
    </r>
  </si>
  <si>
    <t>Management</t>
  </si>
  <si>
    <r>
      <t xml:space="preserve">    </t>
    </r>
    <r>
      <rPr>
        <sz val="9"/>
        <rFont val="Arial"/>
        <family val="2"/>
      </rPr>
      <t>Program Director</t>
    </r>
  </si>
  <si>
    <t xml:space="preserve">    Clinical Director</t>
  </si>
  <si>
    <t>Medical and Clinical</t>
  </si>
  <si>
    <t xml:space="preserve">    APRN</t>
  </si>
  <si>
    <t xml:space="preserve">    Clinician (MA Lvl)</t>
  </si>
  <si>
    <t xml:space="preserve">    Registered Nurse</t>
  </si>
  <si>
    <t xml:space="preserve">    Licensed Practical Nurse (LPN)</t>
  </si>
  <si>
    <t xml:space="preserve">    Nurse Relief</t>
  </si>
  <si>
    <t xml:space="preserve">    Utilization Reviewer / MA Lvl Clinician</t>
  </si>
  <si>
    <t>Direct Care</t>
  </si>
  <si>
    <t xml:space="preserve">    Recovery Specialist Supervisor</t>
  </si>
  <si>
    <t>Total Program Staff</t>
  </si>
  <si>
    <t xml:space="preserve">    Caseworker</t>
  </si>
  <si>
    <t>Tax and Fringe</t>
  </si>
  <si>
    <t xml:space="preserve">    Recovery Specialist</t>
  </si>
  <si>
    <t>Total Compensation</t>
  </si>
  <si>
    <t xml:space="preserve">    Educational Coordinator</t>
  </si>
  <si>
    <t>Expenses</t>
  </si>
  <si>
    <t>Unit Cost</t>
  </si>
  <si>
    <t xml:space="preserve">    Support Staff</t>
  </si>
  <si>
    <t xml:space="preserve">    DC Relief staff</t>
  </si>
  <si>
    <t>Benchmark FTEs</t>
  </si>
  <si>
    <t>Total Reimb excl M&amp;G</t>
  </si>
  <si>
    <t>Admin. Allocation</t>
  </si>
  <si>
    <t>6.22.20 per Brian - move to 1 FTE from 2 FTES</t>
  </si>
  <si>
    <t>Subtotal</t>
  </si>
  <si>
    <t>6.22.20 per Brian - move to 2.8 FTE from 2.1 FTES to cover 2 shifts daily</t>
  </si>
  <si>
    <t>6.22.20 per Brian - move to 2.1 FTE from 1.4 FTES</t>
  </si>
  <si>
    <t>Program Total</t>
  </si>
  <si>
    <t>Per Bed Day rate (100% utilization)</t>
  </si>
  <si>
    <t>6.22.20 per Brian - move to 0.5 FTE from 1 FTE</t>
  </si>
  <si>
    <t>Per Bed Day rate (95% utilization)</t>
  </si>
  <si>
    <t>Per Bed Day rate (90% utilization)</t>
  </si>
  <si>
    <t>6.17.20 per Brian - move to 1 FTE from 2 FTES</t>
  </si>
  <si>
    <t>current rate</t>
  </si>
  <si>
    <t>proposed 90%</t>
  </si>
  <si>
    <t>change</t>
  </si>
  <si>
    <t>Benchmark Expenses</t>
  </si>
  <si>
    <t>% increase</t>
  </si>
  <si>
    <t>FY21 Benchmark</t>
  </si>
  <si>
    <t>Occupancy (per bed day)</t>
  </si>
  <si>
    <t>Meals (per bed day)</t>
  </si>
  <si>
    <t>Other Expenses (per bed day)</t>
  </si>
  <si>
    <t>Based on FY18 UFR Data  includes  transportation, other expenses, Prg Supplies &amp; Mats and Training</t>
  </si>
  <si>
    <t>C.257 Benchmark</t>
  </si>
  <si>
    <t>CAF</t>
  </si>
  <si>
    <t>Sp 2020 Projection</t>
  </si>
  <si>
    <t>Recovery Supervisor</t>
  </si>
  <si>
    <t>S</t>
  </si>
  <si>
    <t>M</t>
  </si>
  <si>
    <t xml:space="preserve">T </t>
  </si>
  <si>
    <t>W</t>
  </si>
  <si>
    <t xml:space="preserve">TH </t>
  </si>
  <si>
    <t>F</t>
  </si>
  <si>
    <t>Shift 1</t>
  </si>
  <si>
    <t>Shift 2</t>
  </si>
  <si>
    <t>Shift 3</t>
  </si>
  <si>
    <t>Recovery Specialist</t>
  </si>
  <si>
    <t>total Shifts</t>
  </si>
  <si>
    <t>shift * 8 hours</t>
  </si>
  <si>
    <t>FTE needed</t>
  </si>
  <si>
    <t>Nurse / LPN</t>
  </si>
  <si>
    <t>Activity Code</t>
  </si>
  <si>
    <t>Program</t>
  </si>
  <si>
    <t>Annualized Variance</t>
  </si>
  <si>
    <t>% of Increase</t>
  </si>
  <si>
    <t>Youth Detox &amp; Stabilization - 12 Bed</t>
  </si>
  <si>
    <t xml:space="preserve">STAFFING SUPPORT </t>
  </si>
  <si>
    <t>Activity Code 2517</t>
  </si>
  <si>
    <t xml:space="preserve"> Hourly Rate </t>
  </si>
  <si>
    <t xml:space="preserve"> 30 Minute Rate </t>
  </si>
  <si>
    <t>Master Data Look-up Table</t>
  </si>
  <si>
    <t>Clinical Director</t>
  </si>
  <si>
    <t>Food Service I</t>
  </si>
  <si>
    <t>Benchmark Salary</t>
  </si>
  <si>
    <t>Current Salary</t>
  </si>
  <si>
    <t>FY 21 Salaries</t>
  </si>
  <si>
    <t>Source</t>
  </si>
  <si>
    <t>PER DIEM</t>
  </si>
  <si>
    <t>HOURLY</t>
  </si>
  <si>
    <t>Clincal Director</t>
  </si>
  <si>
    <t>Benchmarked to BLS/OES Clinical Manager Annual Salary</t>
  </si>
  <si>
    <t>Service Unit - Day</t>
  </si>
  <si>
    <t>Total Days</t>
  </si>
  <si>
    <t>Service Unit - Hour</t>
  </si>
  <si>
    <t>Total Hours</t>
  </si>
  <si>
    <t>Clinician w/Independent Licensure</t>
  </si>
  <si>
    <t>Benchmarked to BLS/OES Clinical with Indpendent Licensure</t>
  </si>
  <si>
    <t>Direct Care Staff I</t>
  </si>
  <si>
    <t>Benchmarked to BLS/OES Workforce Initiative salaries for DC I staff</t>
  </si>
  <si>
    <t>Direct Care Staff III</t>
  </si>
  <si>
    <t>n/a</t>
  </si>
  <si>
    <t xml:space="preserve">Benchmarked to BLS/OES Direct Care III Staff </t>
  </si>
  <si>
    <t>Program Oversight</t>
  </si>
  <si>
    <t>Relief</t>
  </si>
  <si>
    <t>Maintenance I General</t>
  </si>
  <si>
    <t xml:space="preserve">Benchmarked to Direct Care I </t>
  </si>
  <si>
    <t>Maintenance II Skilled</t>
  </si>
  <si>
    <t xml:space="preserve">BLS 2019: Janitors and Cleaners, except Maid and Housekeeping </t>
  </si>
  <si>
    <t>Taxes &amp; Fringe</t>
  </si>
  <si>
    <t>Maintenance III Licensed</t>
  </si>
  <si>
    <t>Benchmarked to Direct Care III</t>
  </si>
  <si>
    <t>PFMLA</t>
  </si>
  <si>
    <t>Food Service II</t>
  </si>
  <si>
    <t xml:space="preserve">BLS 2019: Cooks All Other </t>
  </si>
  <si>
    <t xml:space="preserve">Admin. Alloc. </t>
  </si>
  <si>
    <t>Food Service III</t>
  </si>
  <si>
    <t>BLS 2019: Cooks Institution and Cafeteria</t>
  </si>
  <si>
    <t>TOTAL</t>
  </si>
  <si>
    <t>Supplies</t>
  </si>
  <si>
    <t>Transporter</t>
  </si>
  <si>
    <t>Security</t>
  </si>
  <si>
    <t>Per Diem Rate</t>
  </si>
  <si>
    <t>Trainer</t>
  </si>
  <si>
    <t>BLS 2019: Community and Social Service Specialists, all other</t>
  </si>
  <si>
    <t>Current Rate</t>
  </si>
  <si>
    <t>Hourly Rate</t>
  </si>
  <si>
    <t>Previous expense plus compounding CAFs</t>
  </si>
  <si>
    <t>Clinician with Independent Licensure</t>
  </si>
  <si>
    <t>Relief ***</t>
  </si>
  <si>
    <t>Chapter 257 Benchmark</t>
  </si>
  <si>
    <t>Placeholder, benchmarked to Comm Office of Comptroller T&amp;F 2021</t>
  </si>
  <si>
    <t>101 CMR 418.00: YSTS</t>
  </si>
  <si>
    <t>Rate Review FY19</t>
  </si>
  <si>
    <t xml:space="preserve">PFMLA </t>
  </si>
  <si>
    <t>Per the Grand Bargain Agreement</t>
  </si>
  <si>
    <t>CAF RR2021</t>
  </si>
  <si>
    <t>SP 2020 CAF Report</t>
  </si>
  <si>
    <t>Base FY19 Q1 - Prospective 10/1/18 - 9/30/20</t>
  </si>
  <si>
    <t>***</t>
  </si>
  <si>
    <t>Relief only applied to per diem, not hourly staff</t>
  </si>
  <si>
    <t>Maint Materials</t>
  </si>
  <si>
    <t>TRAINER</t>
  </si>
  <si>
    <t>Clerical</t>
  </si>
  <si>
    <t>Clerical Support</t>
  </si>
  <si>
    <t xml:space="preserve">Relief </t>
  </si>
  <si>
    <t>Supplies &amp; Mats</t>
  </si>
  <si>
    <t>Hourly rate</t>
  </si>
  <si>
    <t>***there is no DC rate in regulation now - no fiscal impact to be assumed</t>
  </si>
  <si>
    <t>because this is not bought today</t>
  </si>
  <si>
    <t>Current Rate (Direct Care)</t>
  </si>
  <si>
    <t>Current Rate (clerical)</t>
  </si>
  <si>
    <t>Massachusetts Economic Indicators</t>
  </si>
  <si>
    <r>
      <t xml:space="preserve">IHS Markit, </t>
    </r>
    <r>
      <rPr>
        <b/>
        <sz val="12"/>
        <color indexed="10"/>
        <rFont val="Arial"/>
        <family val="2"/>
      </rPr>
      <t>Spring 2022 Forecast</t>
    </r>
  </si>
  <si>
    <t>Prepared by Michael Lynch, 781-301-9129</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</si>
  <si>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</si>
  <si>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</si>
  <si>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</si>
  <si>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</si>
  <si>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</si>
  <si>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</si>
  <si>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</si>
  <si>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</si>
  <si>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</si>
  <si>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</si>
  <si>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</si>
  <si>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</si>
  <si>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</si>
  <si>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</si>
  <si>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</si>
  <si>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</si>
  <si>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</si>
  <si>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</si>
  <si>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</si>
  <si>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</si>
  <si>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</si>
  <si>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</si>
  <si>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</si>
  <si>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</si>
  <si>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</si>
  <si>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</si>
  <si>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</si>
  <si>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</si>
  <si>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</si>
  <si>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</si>
  <si>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</si>
  <si>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</si>
  <si>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</si>
  <si>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</si>
  <si>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</si>
  <si>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</si>
  <si>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</si>
  <si>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</si>
  <si>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</si>
  <si>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</si>
  <si>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</si>
  <si>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</si>
  <si>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</si>
  <si>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</si>
  <si>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</si>
  <si>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</si>
  <si>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</si>
  <si>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</si>
  <si>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</si>
  <si>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</si>
  <si>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</si>
  <si>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</si>
  <si>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</si>
  <si>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</si>
  <si>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</si>
  <si>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</si>
  <si>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</si>
  <si>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</si>
  <si>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</si>
  <si>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</si>
  <si>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</si>
  <si>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</si>
  <si>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</si>
  <si>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</si>
  <si>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</si>
  <si>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</si>
  <si>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</si>
  <si>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</si>
  <si>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</si>
  <si>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</si>
  <si>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</si>
  <si>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</si>
  <si>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</si>
  <si>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</si>
  <si>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</si>
  <si>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</si>
  <si>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</si>
  <si>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</si>
  <si>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</si>
  <si>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</si>
  <si>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</si>
  <si>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</si>
  <si>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</si>
  <si>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</si>
  <si>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</si>
  <si>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</si>
  <si>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</si>
  <si>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</si>
  <si>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</si>
  <si>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</si>
  <si>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</si>
  <si>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</si>
  <si>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</si>
  <si>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</si>
  <si>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</si>
  <si>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</si>
  <si>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</si>
  <si>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</si>
  <si>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</si>
  <si>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</si>
  <si>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</si>
  <si>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 xml:space="preserve">Base period: </t>
  </si>
  <si>
    <t>Average</t>
  </si>
  <si>
    <t xml:space="preserve">Prospective rate period: </t>
  </si>
  <si>
    <t>CAF:</t>
  </si>
  <si>
    <t>Source:</t>
  </si>
  <si>
    <t>BLS / OES</t>
  </si>
  <si>
    <t>Position</t>
  </si>
  <si>
    <r>
      <t>Median</t>
    </r>
    <r>
      <rPr>
        <b/>
        <sz val="20"/>
        <color indexed="10"/>
        <rFont val="Calibri"/>
        <family val="2"/>
      </rPr>
      <t xml:space="preserve"> </t>
    </r>
  </si>
  <si>
    <t>Common model titles (not all inclusive)</t>
  </si>
  <si>
    <t>Minimum Education and/or certification/Training/Experience</t>
  </si>
  <si>
    <t>C.257 Average</t>
  </si>
  <si>
    <t>BLS Occupational Code(s)</t>
  </si>
  <si>
    <t>Direct Care (hourly)</t>
  </si>
  <si>
    <t>High School diploma / GED / State Training</t>
  </si>
  <si>
    <t>21-1093, 31-1120, 31-2022, 31-9099</t>
  </si>
  <si>
    <t>Direct Care  (annual)</t>
  </si>
  <si>
    <t>Direct Care III (hourly)</t>
  </si>
  <si>
    <t>Direct Care Supervisor, Direct Care Bachelors</t>
  </si>
  <si>
    <t>Bachelors Level or 5+ years related experience</t>
  </si>
  <si>
    <t>21-1094, 21-1015, 21-1018, 21-1023, 39-1022</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</si>
  <si>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</si>
  <si>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</si>
  <si>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</si>
  <si>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</si>
  <si>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</si>
  <si>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</si>
  <si>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</si>
  <si>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</si>
  <si>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</si>
  <si>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N/A</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</si>
  <si>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</si>
  <si>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</si>
  <si>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</si>
  <si>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</si>
  <si>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</si>
  <si>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</si>
  <si>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</si>
  <si>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</si>
  <si>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</si>
  <si>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</si>
  <si>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</si>
  <si>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</si>
  <si>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</si>
  <si>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</si>
  <si>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</si>
  <si>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</si>
  <si>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</si>
  <si>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</si>
  <si>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</si>
  <si>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</si>
  <si>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</si>
  <si>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</si>
  <si>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</si>
  <si>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</si>
  <si>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</si>
  <si>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</si>
  <si>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</si>
  <si>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</si>
  <si>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</si>
  <si>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</si>
  <si>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</si>
  <si>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</si>
  <si>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</si>
  <si>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</si>
  <si>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</si>
  <si>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</si>
  <si>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</si>
  <si>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</si>
  <si>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</si>
  <si>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</si>
  <si>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</si>
  <si>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</si>
  <si>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</si>
  <si>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</si>
  <si>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</si>
  <si>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</si>
  <si>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</si>
  <si>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</si>
  <si>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</si>
  <si>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</si>
  <si>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</si>
  <si>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</si>
  <si>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</si>
  <si>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 xml:space="preserve">Tax and Fringe =  </t>
  </si>
  <si>
    <t xml:space="preserve">Benchmarked to FY22 (approved) Commonwealth (office of the Comptroller) T&amp;F rate, less </t>
  </si>
  <si>
    <t xml:space="preserve">Terminal leave, and  retirement.  Does include Paid Family Medical Leave tax.
Includes and additional 2% to be used at providers descretion for retirement and/or other benefits
</t>
  </si>
  <si>
    <t>Admin Allocation</t>
  </si>
  <si>
    <t>Misc. BLS benchmarks</t>
  </si>
  <si>
    <t>Psychiatrist</t>
  </si>
  <si>
    <t>M2020 BLS Occ Code 29-1223 NAICS 622200 (Nat'l)</t>
  </si>
  <si>
    <t>Medical Director</t>
  </si>
  <si>
    <t>M2020 BLS Occ Code 29-1229 NAICS 622200 (Nat'l)</t>
  </si>
  <si>
    <t>Physician Assistants</t>
  </si>
  <si>
    <t>M2020 BLS  Occ Code 29-1071</t>
  </si>
  <si>
    <t>Assumption for Rate Reviews that are to be promulgated October 2022</t>
  </si>
  <si>
    <t>LICSW</t>
  </si>
  <si>
    <t>Relief Expense</t>
  </si>
  <si>
    <t>Total</t>
  </si>
  <si>
    <t>Per Diem</t>
  </si>
  <si>
    <t>Hourly</t>
  </si>
  <si>
    <t>FY23Q1</t>
  </si>
  <si>
    <t>10/1/22 through 9/30/24</t>
  </si>
  <si>
    <t>% change</t>
  </si>
  <si>
    <t>Maint I (General)</t>
  </si>
  <si>
    <t>Maint II (Skilled)</t>
  </si>
  <si>
    <t>Maint III (License)</t>
  </si>
  <si>
    <t xml:space="preserve">30 minute </t>
  </si>
  <si>
    <t>Maintenence I</t>
  </si>
  <si>
    <t>Maintenence II</t>
  </si>
  <si>
    <t>Maintenence III</t>
  </si>
  <si>
    <t>M2020 BLS  Occ Code 49-9099</t>
  </si>
  <si>
    <t xml:space="preserve">Direct Care </t>
  </si>
  <si>
    <t xml:space="preserve">Clerical Support </t>
  </si>
  <si>
    <t>T&amp;F</t>
  </si>
  <si>
    <t>M2020 BLS  Occ Code 37-0000</t>
  </si>
  <si>
    <t>M2020 BLS  Occ Code 49-0000 and 49-9071 (average)</t>
  </si>
  <si>
    <t>Benchmarked to Direct Care</t>
  </si>
  <si>
    <t xml:space="preserve">Direct Care, Direct Care Blend, Non Specialized DC, Peer mentor, Family Specialist/ Partner / Food Server </t>
  </si>
  <si>
    <t>Average of benchmarks Direct Care and Direct Care III</t>
  </si>
  <si>
    <t>DAILY FOOD CALCULATION - ALLOWANCE PER PERSON</t>
  </si>
  <si>
    <t>https://fns-prod.azureedge.us/sites/default/files/media/file/CostofFoodFeb2022LowModLib.pdf</t>
  </si>
  <si>
    <r>
      <t xml:space="preserve">GOVERNMENT ESTIMATES OF COST PER </t>
    </r>
    <r>
      <rPr>
        <b/>
        <i/>
        <u/>
        <sz val="11"/>
        <color rgb="FF222222"/>
        <rFont val="Calibri"/>
        <family val="2"/>
        <scheme val="minor"/>
      </rPr>
      <t>WEEK</t>
    </r>
    <r>
      <rPr>
        <b/>
        <sz val="11"/>
        <color rgb="FF222222"/>
        <rFont val="Calibri"/>
        <family val="2"/>
        <scheme val="minor"/>
      </rPr>
      <t xml:space="preserve"> (USDA)</t>
    </r>
  </si>
  <si>
    <t>DAILY COST CALCULATION (WEEKLY DIVIDED BY 7)</t>
  </si>
  <si>
    <t>Food costs for one week - Prices from USDA November 2020 (most recent government figures available)</t>
  </si>
  <si>
    <t>Low-cost plan</t>
  </si>
  <si>
    <t>Moderate cost plan</t>
  </si>
  <si>
    <t>Liberal plan</t>
  </si>
  <si>
    <t>MALE</t>
  </si>
  <si>
    <t>19-50 years</t>
  </si>
  <si>
    <t>51-70 years</t>
  </si>
  <si>
    <t>71+ years</t>
  </si>
  <si>
    <t>FEMALE</t>
  </si>
  <si>
    <t>Straight Average</t>
  </si>
  <si>
    <t>Variance</t>
  </si>
  <si>
    <t>Straight Average All Plans</t>
  </si>
  <si>
    <t>Average of Low/Mod</t>
  </si>
  <si>
    <t>Average of Low/Mod/Lib</t>
  </si>
  <si>
    <t>Average of Mod/Lib</t>
  </si>
  <si>
    <t xml:space="preserve"> Benchmarked to USDA food February 2022</t>
  </si>
  <si>
    <t>Beds:    12</t>
  </si>
  <si>
    <t xml:space="preserve">Staff Positions </t>
  </si>
  <si>
    <t>Medical / Nursing and Clinical</t>
  </si>
  <si>
    <t xml:space="preserve">    Nurse (RN &amp; LPN) Relief</t>
  </si>
  <si>
    <t>Direct Service Staff</t>
  </si>
  <si>
    <t xml:space="preserve">    Rec Spec Relief staff</t>
  </si>
  <si>
    <t>code 2517</t>
  </si>
  <si>
    <t>Region</t>
  </si>
  <si>
    <t>Central</t>
  </si>
  <si>
    <t xml:space="preserve">Metro </t>
  </si>
  <si>
    <t>NE</t>
  </si>
  <si>
    <t xml:space="preserve">Southeast </t>
  </si>
  <si>
    <t>West</t>
  </si>
  <si>
    <t>TOTALS</t>
  </si>
  <si>
    <t>Secure Treatment Clinicians</t>
  </si>
  <si>
    <t>Revocation Clinicians</t>
  </si>
  <si>
    <t>Stabilization Clinicians</t>
  </si>
  <si>
    <t>Detention/Reception Clinicians</t>
  </si>
  <si>
    <t>Assessment Clinicians</t>
  </si>
  <si>
    <t>Float Licensed Clinical/Intake</t>
  </si>
  <si>
    <t>Food service III</t>
  </si>
  <si>
    <t>TOTAL STAFF</t>
  </si>
  <si>
    <t>FY21 BASED ON RATES EFFECTIVE 10/1/20</t>
  </si>
  <si>
    <t>FY21 TOTALS</t>
  </si>
  <si>
    <t>DIFFERENCE</t>
  </si>
  <si>
    <t>Direct Care III</t>
  </si>
  <si>
    <t>All Expenses (per bed day)</t>
  </si>
  <si>
    <t>Units purchased</t>
  </si>
  <si>
    <t>New rate (per diem)</t>
  </si>
  <si>
    <t>New Cost</t>
  </si>
  <si>
    <t>Annual</t>
  </si>
  <si>
    <t xml:space="preserve"> Units</t>
  </si>
  <si>
    <t>Direct Service Staff including relief</t>
  </si>
  <si>
    <t>Medical / Nursing &amp; Clinical Director &amp; Clin Staff including relief</t>
  </si>
  <si>
    <t>Clinician 
(MA Level)</t>
  </si>
  <si>
    <t>53 Percentile</t>
  </si>
  <si>
    <t>Direct Care, Direct Care Blend, Non Specialized DC, Peer mentor, Family Specialist/ Partner</t>
  </si>
  <si>
    <r>
      <rPr>
        <b/>
        <sz val="20"/>
        <color rgb="FFFF0000"/>
        <rFont val="Calibri"/>
        <family val="2"/>
        <scheme val="minor"/>
      </rPr>
      <t>**PLEASE SEE NOTE BELOW</t>
    </r>
    <r>
      <rPr>
        <sz val="20"/>
        <color theme="1"/>
        <rFont val="Calibri"/>
        <family val="2"/>
        <scheme val="minor"/>
      </rPr>
      <t xml:space="preserve">
21-1093, 31-1120, 31-2022, 31-9099</t>
    </r>
  </si>
  <si>
    <t>Developmental Specialist,  Triage Specialist, Medical Assistant</t>
  </si>
  <si>
    <t>Assistant Manager</t>
  </si>
  <si>
    <t>Occupational Therapist (hourly) *</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</si>
  <si>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</si>
  <si>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</si>
  <si>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</si>
  <si>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</si>
  <si>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</si>
  <si>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t>Education Coordiantor</t>
  </si>
  <si>
    <t>Teacher</t>
  </si>
  <si>
    <t>25-3099; 25-9044; 25-9045</t>
  </si>
  <si>
    <t>25-9044</t>
  </si>
  <si>
    <r>
      <t xml:space="preserve">Clerical, Support &amp; Direct Care Relief Staff are benched to Direct Care </t>
    </r>
    <r>
      <rPr>
        <b/>
        <i/>
        <sz val="20"/>
        <color theme="1"/>
        <rFont val="Calibri"/>
        <family val="2"/>
        <scheme val="minor"/>
      </rPr>
      <t>**</t>
    </r>
  </si>
  <si>
    <t xml:space="preserve">Benchmarked to FY24 (approved) Commonwealth (office of the Comptroller) T&amp;F rate, less </t>
  </si>
  <si>
    <t>Psychiatrist *</t>
  </si>
  <si>
    <t>M2021 BLS  NAICS 623200 (Nat'l)   Intellectual and Developmental Disability,   Residential, Mental Health, and Substance Abuse Facilities</t>
  </si>
  <si>
    <t>M2022 BLS  (29-1222 Physicians) National Annual Mean</t>
  </si>
  <si>
    <t>M2022 BLS  Occ Code 29-1071</t>
  </si>
  <si>
    <t>M2022 BLS  Occ Code 37-0000</t>
  </si>
  <si>
    <t>M2022 BLS  Occ Code 49-9099</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</si>
  <si>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</si>
  <si>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</si>
  <si>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</si>
  <si>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</si>
  <si>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</si>
  <si>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</si>
  <si>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S&amp;P Global Market Intelligence, Fall 2023 Forecast</t>
  </si>
  <si>
    <t>jan-march</t>
  </si>
  <si>
    <t>april -june</t>
  </si>
  <si>
    <t>july-sep</t>
  </si>
  <si>
    <t>oct-dec</t>
  </si>
  <si>
    <t>FY26</t>
  </si>
  <si>
    <t>FY27</t>
  </si>
  <si>
    <t>2026Q1</t>
  </si>
  <si>
    <t>2026Q2</t>
  </si>
  <si>
    <t>2026Q3</t>
  </si>
  <si>
    <t>2026Q4</t>
  </si>
  <si>
    <t>2027Q1</t>
  </si>
  <si>
    <t>2027Q2</t>
  </si>
  <si>
    <t>2027Q3</t>
  </si>
  <si>
    <t>2027Q4</t>
  </si>
  <si>
    <t>2028Q1</t>
  </si>
  <si>
    <t>2028Q2</t>
  </si>
  <si>
    <t>2028Q3</t>
  </si>
  <si>
    <t>2028Q4</t>
  </si>
  <si>
    <t>2029Q1</t>
  </si>
  <si>
    <t>2029Q2</t>
  </si>
  <si>
    <t>2029Q3</t>
  </si>
  <si>
    <t>2029Q4</t>
  </si>
  <si>
    <t>Assumption for Rate Reviews that are to be promulgated July 1, 2024</t>
  </si>
  <si>
    <t>Salaries</t>
  </si>
  <si>
    <t>Original</t>
  </si>
  <si>
    <t xml:space="preserve">Total </t>
  </si>
  <si>
    <t>New</t>
  </si>
  <si>
    <t>Individual salaries used in lump sum line (cell E10)</t>
  </si>
  <si>
    <t>Individual salaries used in lump sum line (cell E11)</t>
  </si>
  <si>
    <t>% of change (cell E10)</t>
  </si>
  <si>
    <t>% of change (cell E11)</t>
  </si>
  <si>
    <t>https://fns-prod.azureedge.us/sites/default/files/resource-files/CostofFoodSep2023LowModLib.pdf</t>
  </si>
  <si>
    <t>All Expenses per bed day</t>
  </si>
  <si>
    <t>Expenses before being rolled up Prior rate review</t>
  </si>
  <si>
    <t>Expenses before being rolled up current rate review</t>
  </si>
  <si>
    <t>October 1, 2024 - September 30, 2026</t>
  </si>
  <si>
    <t>FY25Q1</t>
  </si>
  <si>
    <t>Change</t>
  </si>
  <si>
    <t xml:space="preserve">
21-1093, 31-1120, 31-2022, 31-9099</t>
  </si>
  <si>
    <t xml:space="preserve"> 31-1131</t>
  </si>
  <si>
    <t xml:space="preserve">
29-1129, 31-2011, 29-1122 (25%/25%/50%)</t>
  </si>
  <si>
    <t xml:space="preserve">
29-1129, 29-1127</t>
  </si>
  <si>
    <t xml:space="preserve">Benchmarked to FY25 (proposed) Commonwealth (office of the Comptroller) T&amp;F rate, less </t>
  </si>
  <si>
    <t>S&amp;P Global Market Intelligence, Spring 2024</t>
  </si>
  <si>
    <t>2030Q1</t>
  </si>
  <si>
    <t>2030Q2</t>
  </si>
  <si>
    <t>2030Q3</t>
  </si>
  <si>
    <t>2030Q4</t>
  </si>
  <si>
    <t>Assumption for Rate Reviews that are to be promulgated January 1, 2025</t>
  </si>
  <si>
    <t>BASE</t>
  </si>
  <si>
    <t>budget_fiscal_year</t>
  </si>
  <si>
    <t>fiscal_year</t>
  </si>
  <si>
    <t>unit</t>
  </si>
  <si>
    <t>doc_code</t>
  </si>
  <si>
    <t>doc_identifier</t>
  </si>
  <si>
    <t>cash_expense_amount</t>
  </si>
  <si>
    <t>appropriation</t>
  </si>
  <si>
    <t>object</t>
  </si>
  <si>
    <t>legal_name</t>
  </si>
  <si>
    <t>major_program</t>
  </si>
  <si>
    <t>program</t>
  </si>
  <si>
    <t>activity</t>
  </si>
  <si>
    <t>9351</t>
  </si>
  <si>
    <t>EFT</t>
  </si>
  <si>
    <t>DISB0301240000287333</t>
  </si>
  <si>
    <t>42000300</t>
  </si>
  <si>
    <t>M03</t>
  </si>
  <si>
    <t>JUSTICE RESOURCE INSTITUTE INC</t>
  </si>
  <si>
    <t/>
  </si>
  <si>
    <t>2517</t>
  </si>
  <si>
    <t>DISB0321240000357010</t>
  </si>
  <si>
    <t>9463</t>
  </si>
  <si>
    <t>DISB0325240000362468</t>
  </si>
  <si>
    <t>SPECTRUM HEALTH SYSTEMS INC</t>
  </si>
  <si>
    <t>9251</t>
  </si>
  <si>
    <t>DISB0825230000199404</t>
  </si>
  <si>
    <t>9565</t>
  </si>
  <si>
    <t>DISB0914230000257765</t>
  </si>
  <si>
    <t>DISB1018230000357851</t>
  </si>
  <si>
    <t>9162</t>
  </si>
  <si>
    <t>DISB1027230000385271</t>
  </si>
  <si>
    <t>CENTER FOR HUMAN</t>
  </si>
  <si>
    <t>DISB1101230000398918</t>
  </si>
  <si>
    <t>DISB1218230000034724</t>
  </si>
  <si>
    <t>DISB1229230000074074</t>
  </si>
  <si>
    <t>PRC</t>
  </si>
  <si>
    <t>FY249162WESTFSUPTOCT</t>
  </si>
  <si>
    <t>FY249162WESTSUPT0JUL</t>
  </si>
  <si>
    <t>FY249351JRIC3300OCTX</t>
  </si>
  <si>
    <t>FY249351JRIC3300SEPT</t>
  </si>
  <si>
    <t>FY249351JRIC3300XDEC</t>
  </si>
  <si>
    <t>FY249351JRIC3300XFEB</t>
  </si>
  <si>
    <t>FY249351JRIC3300XNOV</t>
  </si>
  <si>
    <t>FY249463SPECTRSUPAUG</t>
  </si>
  <si>
    <t>FY249463SPECTRSUPNOV</t>
  </si>
  <si>
    <t>FY249565JRICBSSOEDEC</t>
  </si>
  <si>
    <t>FY249565JRICBSSOEFEB</t>
  </si>
  <si>
    <t>FY249565JRICBSSOESEP</t>
  </si>
  <si>
    <t>SCDYS9251222110AUG23</t>
  </si>
  <si>
    <t>SCDYS9251222110FEB24</t>
  </si>
  <si>
    <t>SCDYS9251222110JUL23</t>
  </si>
  <si>
    <t>SCDYS9251222110N0V23</t>
  </si>
  <si>
    <t>DISB0409240000409434</t>
  </si>
  <si>
    <t>DISB0116240000119256</t>
  </si>
  <si>
    <t>DISB0117240000129663</t>
  </si>
  <si>
    <t>DISB0829230000203598</t>
  </si>
  <si>
    <t>DISB0925230000286997</t>
  </si>
  <si>
    <t>DISB1004230000314021</t>
  </si>
  <si>
    <t>DISB1016230000346212</t>
  </si>
  <si>
    <t>DISB1016230000346226</t>
  </si>
  <si>
    <t>FY249162WESTFSUPTSEP</t>
  </si>
  <si>
    <t>FY249351JRIC3300XJAN</t>
  </si>
  <si>
    <t>FY249463SPECTRSUPJUL</t>
  </si>
  <si>
    <t>FY249463SPECTRSUPOCT</t>
  </si>
  <si>
    <t>FY249463SPECTRSUPSE1</t>
  </si>
  <si>
    <t>FY249565JRICBSSOEJAN</t>
  </si>
  <si>
    <t>DISB0327240000365997</t>
  </si>
  <si>
    <t>CENTER FOR HUMAN DEVELOPMENT INC</t>
  </si>
  <si>
    <t>DISB0418240000444627</t>
  </si>
  <si>
    <t>FY249162WESTFSUPPDEC</t>
  </si>
  <si>
    <t>FY249162WESTFSUPPNOV</t>
  </si>
  <si>
    <t>DISB0110240000105945</t>
  </si>
  <si>
    <t>DISB0118240000138559</t>
  </si>
  <si>
    <t>DISB0315240000333964</t>
  </si>
  <si>
    <t>DISB1103230000409530</t>
  </si>
  <si>
    <t>DISB1212230000018875</t>
  </si>
  <si>
    <t>DISB1214230000030019</t>
  </si>
  <si>
    <t>DISB1220230000046640</t>
  </si>
  <si>
    <t>FY249162WESTSUPT0AUG</t>
  </si>
  <si>
    <t>FY249320JRIC3300JULY</t>
  </si>
  <si>
    <t>FY249351JRIC3300AUGU</t>
  </si>
  <si>
    <t>FY249463SPECTRSUPFEB</t>
  </si>
  <si>
    <t>FY249565JRICBSSOENOV</t>
  </si>
  <si>
    <t>SCDYS9251222110JAN24</t>
  </si>
  <si>
    <t>SCDYS9251222110SEP23</t>
  </si>
  <si>
    <t>SCDYS9251222JAN24ADJ</t>
  </si>
  <si>
    <t>FY249351JRIC3300MRCH</t>
  </si>
  <si>
    <t>SCDYS9251222110MAR24</t>
  </si>
  <si>
    <t>DISB0411240000420249</t>
  </si>
  <si>
    <t>DISB0213240000224244</t>
  </si>
  <si>
    <t>DISB0216240000237643</t>
  </si>
  <si>
    <t>DISB0314240000331808</t>
  </si>
  <si>
    <t>DISB0905230000218533</t>
  </si>
  <si>
    <t>DISB1013230000344735</t>
  </si>
  <si>
    <t>DISB1106230000411832</t>
  </si>
  <si>
    <t>FY249463SPECTRSUPDEC</t>
  </si>
  <si>
    <t>FY249463SPECTRSUPJAN</t>
  </si>
  <si>
    <t>FY249463SPECTRSUPSEP</t>
  </si>
  <si>
    <t>FY249565JRICBSSOEAUG</t>
  </si>
  <si>
    <t>FY249565JRICBSSOEJUL</t>
  </si>
  <si>
    <t>FY249565JRICBSSOEOCT</t>
  </si>
  <si>
    <t>SCDYS9251222110DEC23</t>
  </si>
  <si>
    <t>SCDYS9251222110OCT23</t>
  </si>
  <si>
    <t>FY249565JRICBSSOEMAR</t>
  </si>
  <si>
    <t>RATES FOR STAFFING SUPPORT</t>
  </si>
  <si>
    <t xml:space="preserve">Positions </t>
  </si>
  <si>
    <r>
      <t>Rate</t>
    </r>
    <r>
      <rPr>
        <b/>
        <i/>
        <sz val="11"/>
        <color rgb="FF000000"/>
        <rFont val="Times New Roman"/>
        <family val="1"/>
      </rPr>
      <t xml:space="preserve"> </t>
    </r>
  </si>
  <si>
    <t xml:space="preserve">Hourly Rate </t>
  </si>
  <si>
    <t xml:space="preserve"> 30-Minute Rate </t>
  </si>
  <si>
    <t>Clinical (LICSW)</t>
  </si>
  <si>
    <t>Clinical (MA Level)</t>
  </si>
  <si>
    <t>Direct Care Staff</t>
  </si>
  <si>
    <t xml:space="preserve">Maintenance III Licensed </t>
  </si>
  <si>
    <t xml:space="preserve">RATES FOR YOUTH AND TRANSITIONAL AGE YOUTH DETOXIFICATION AND STABILIZATION PROGRAMS </t>
  </si>
  <si>
    <t>Capacity</t>
  </si>
  <si>
    <r>
      <t>Per Diem</t>
    </r>
    <r>
      <rPr>
        <b/>
        <sz val="11"/>
        <color theme="1"/>
        <rFont val="Times New Roman"/>
        <family val="1"/>
      </rPr>
      <t xml:space="preserve"> Rate</t>
    </r>
  </si>
  <si>
    <t>12 Beds</t>
  </si>
  <si>
    <t>Data</t>
  </si>
  <si>
    <t>Provider Name</t>
  </si>
  <si>
    <t>Fiscal Year</t>
  </si>
  <si>
    <t>Month</t>
  </si>
  <si>
    <t>Sum of Total Paid Units</t>
  </si>
  <si>
    <t>Sum of Total Paid $ Amount</t>
  </si>
  <si>
    <t>CHL Motivate Youth</t>
  </si>
  <si>
    <t>01. Jul</t>
  </si>
  <si>
    <t>02.Aug</t>
  </si>
  <si>
    <t>03. Sept</t>
  </si>
  <si>
    <t>04. Oct</t>
  </si>
  <si>
    <t>05. Nov</t>
  </si>
  <si>
    <t>06. Dec</t>
  </si>
  <si>
    <t>07. Jan</t>
  </si>
  <si>
    <t>08. Feb</t>
  </si>
  <si>
    <t>09. Mar</t>
  </si>
  <si>
    <t>FY24 Q4 Projected</t>
  </si>
  <si>
    <t>10. Apr</t>
  </si>
  <si>
    <t>11. May</t>
  </si>
  <si>
    <t>12. Jun</t>
  </si>
  <si>
    <t>GRAND TOTAL</t>
  </si>
  <si>
    <t>PROJECTED SPEND</t>
  </si>
  <si>
    <t>FISCAL IMPACT</t>
  </si>
  <si>
    <t>UNITS</t>
  </si>
  <si>
    <t>NEW RATE</t>
  </si>
  <si>
    <t>PROPOSED RATES</t>
  </si>
  <si>
    <t>CURRENT RATES</t>
  </si>
  <si>
    <t>DPH</t>
  </si>
  <si>
    <t>* Confirmed 6/5</t>
  </si>
  <si>
    <t>department</t>
  </si>
  <si>
    <t>DYS</t>
  </si>
  <si>
    <t>DISB0508240000499147</t>
  </si>
  <si>
    <t>DISB0517240000026146</t>
  </si>
  <si>
    <t>DISB0523240000057692</t>
  </si>
  <si>
    <t>DISB0530240000072241</t>
  </si>
  <si>
    <t>FY249351JRIC3300XMAY</t>
  </si>
  <si>
    <t>DISB0607240000106011</t>
  </si>
  <si>
    <t>DISB0611240000110382</t>
  </si>
  <si>
    <t>FY249463SPECTRSUPMAR</t>
  </si>
  <si>
    <t>DISB0515240000015461</t>
  </si>
  <si>
    <t>DISB0521240000029501</t>
  </si>
  <si>
    <t>DISB0528240000062522</t>
  </si>
  <si>
    <t>SCDYS9251222110MAY24</t>
  </si>
  <si>
    <t>FY249565JRICBSSOEMAY</t>
  </si>
  <si>
    <t>FY249463SPECTRSUPMAY</t>
  </si>
  <si>
    <t>FY249351JRIC3300JUNE</t>
  </si>
  <si>
    <t>DISB0716240000048817</t>
  </si>
  <si>
    <t>DISB0719240000070308</t>
  </si>
  <si>
    <t>FY249162WESTSUPTTJUN</t>
  </si>
  <si>
    <t>FY249565JRICBSSOEJUN</t>
  </si>
  <si>
    <t>FY249463SPECTRSUPJUN</t>
  </si>
  <si>
    <t>DISB0724240000076620</t>
  </si>
  <si>
    <t>FY249565JRICBSSOEAPR</t>
  </si>
  <si>
    <t>FY249162WESTSUPTTAPR</t>
  </si>
  <si>
    <t>FY249463SPECTRSUPAPR</t>
  </si>
  <si>
    <t>DISB0606240000098410</t>
  </si>
  <si>
    <t>DISB0621240000148918</t>
  </si>
  <si>
    <t>DISB0715240000046984</t>
  </si>
  <si>
    <t>SCDYS9251222110JUN24</t>
  </si>
  <si>
    <t>SCDYS9251222110APR24</t>
  </si>
  <si>
    <t>FY249162WESTSUPTJNMR</t>
  </si>
  <si>
    <t>FY249351JRIC3300APRL</t>
  </si>
  <si>
    <t>FY24 Spend</t>
  </si>
  <si>
    <t>FY25 Projected Spend</t>
  </si>
  <si>
    <t>Dept.</t>
  </si>
  <si>
    <t>Capacity Building</t>
  </si>
  <si>
    <t>Variance for implementation 10/1/24</t>
  </si>
  <si>
    <t>BEFORE 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</si>
</sst>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
    <numFmt numFmtId="165" formatCode="0.0%"/>
    <numFmt numFmtId="166" formatCode="_(&quot;$&quot;* #,##0_);_(&quot;$&quot;* \(#,##0\);_(&quot;$&quot;* &quot;-&quot;??_);_(@_)"/>
    <numFmt numFmtId="167" formatCode="\$#,##0.00"/>
    <numFmt numFmtId="168" formatCode="&quot;$&quot;#,##0"/>
    <numFmt numFmtId="169" formatCode="&quot;$&quot;#,##0.0000_);[Red]\(&quot;$&quot;#,##0.0000\)"/>
    <numFmt numFmtId="170" formatCode="0.000"/>
    <numFmt numFmtId="171" formatCode="&quot;$&quot;#,##0.00"/>
    <numFmt numFmtId="172" formatCode="0.0000"/>
    <numFmt numFmtId="173" formatCode="&quot;$&quot;#,##0.0000_);\(&quot;$&quot;#,##0.0000\)"/>
    <numFmt numFmtId="174" formatCode="0.0"/>
    <numFmt numFmtId="175" formatCode="[$-409]mmmm\ d\,\ yyyy;@"/>
    <numFmt numFmtId="176" formatCode="_(* #,##0_);_(* \(#,##0\);_(* &quot;-&quot;??_);_(@_)"/>
    <numFmt numFmtId="177" formatCode="0.00000"/>
    <numFmt numFmtId="178" formatCode="_(&quot;$&quot;* #,##0.00_);_(&quot;$&quot;* \(#,##0.00\);_(&quot;$&quot;* &quot;-&quot;_);_(@_)"/>
  </numFmts>
  <fonts count="79" x14ac:knownFonts="1">
    <font>
      <sz val="11"/>
      <color theme="1"/>
      <name val="Calibri"/>
      <family val="2"/>
      <scheme val="minor"/>
    </font>
    <font>
      <sz val="11"/>
      <color theme="1"/>
      <name val="Calibri"/>
      <family val="2"/>
      <scheme val="minor"/>
    </font>
    <font>
      <b/>
      <sz val="11"/>
      <color theme="1"/>
      <name val="Calibri"/>
      <family val="2"/>
      <scheme val="minor"/>
    </font>
    <font>
      <i/>
      <sz val="9"/>
      <color theme="1"/>
      <name val="Calibri"/>
      <family val="2"/>
      <scheme val="minor"/>
    </font>
    <font>
      <sz val="9"/>
      <name val="Calibri"/>
      <family val="2"/>
      <scheme val="minor"/>
    </font>
    <font>
      <b/>
      <sz val="9"/>
      <name val="Arial"/>
      <family val="2"/>
    </font>
    <font>
      <sz val="9"/>
      <color theme="1"/>
      <name val="Calibri"/>
      <family val="2"/>
      <scheme val="minor"/>
    </font>
    <font>
      <sz val="9"/>
      <name val="Arial"/>
      <family val="2"/>
    </font>
    <font>
      <b/>
      <u/>
      <sz val="9"/>
      <name val="Arial"/>
      <family val="2"/>
    </font>
    <font>
      <sz val="10"/>
      <name val="Arial"/>
      <family val="2"/>
    </font>
    <font>
      <sz val="9"/>
      <color theme="1"/>
      <name val="Arial"/>
      <family val="2"/>
    </font>
    <font>
      <b/>
      <sz val="9"/>
      <color theme="1"/>
      <name val="Arial"/>
      <family val="2"/>
    </font>
    <font>
      <b/>
      <sz val="10"/>
      <color theme="1"/>
      <name val="Calibri"/>
      <family val="2"/>
      <scheme val="minor"/>
    </font>
    <font>
      <b/>
      <sz val="10"/>
      <name val="Arial"/>
      <family val="2"/>
    </font>
    <font>
      <sz val="10"/>
      <color indexed="8"/>
      <name val="Arial"/>
      <family val="2"/>
    </font>
    <font>
      <sz val="10"/>
      <color theme="1"/>
      <name val="Calibri"/>
      <family val="2"/>
      <scheme val="minor"/>
    </font>
    <font>
      <b/>
      <u/>
      <sz val="10"/>
      <color theme="1"/>
      <name val="Calibri"/>
      <family val="2"/>
      <scheme val="minor"/>
    </font>
    <font>
      <b/>
      <u/>
      <sz val="10"/>
      <name val="Calibri"/>
      <family val="2"/>
      <scheme val="minor"/>
    </font>
    <font>
      <b/>
      <sz val="14"/>
      <color theme="1"/>
      <name val="Calibri"/>
      <family val="2"/>
      <scheme val="minor"/>
    </font>
    <font>
      <sz val="14"/>
      <color theme="1"/>
      <name val="Calibri"/>
      <family val="2"/>
      <scheme val="minor"/>
    </font>
    <font>
      <b/>
      <sz val="11"/>
      <color indexed="12"/>
      <name val="Calibri"/>
      <family val="2"/>
      <scheme val="minor"/>
    </font>
    <font>
      <b/>
      <sz val="11"/>
      <color rgb="FF000000"/>
      <name val="Calibri"/>
      <family val="2"/>
      <scheme val="minor"/>
    </font>
    <font>
      <b/>
      <sz val="10"/>
      <color rgb="FF000000"/>
      <name val="Arial"/>
      <family val="2"/>
    </font>
    <font>
      <sz val="11"/>
      <name val="Calibri"/>
      <family val="2"/>
      <scheme val="minor"/>
    </font>
    <font>
      <b/>
      <sz val="11"/>
      <color indexed="8"/>
      <name val="Calibri"/>
      <family val="2"/>
      <scheme val="minor"/>
    </font>
    <font>
      <b/>
      <sz val="11"/>
      <name val="Calibri"/>
      <family val="2"/>
      <scheme val="minor"/>
    </font>
    <font>
      <sz val="11"/>
      <color indexed="8"/>
      <name val="Calibri"/>
      <family val="2"/>
    </font>
    <font>
      <sz val="11"/>
      <color indexed="8"/>
      <name val="Calibri"/>
      <family val="2"/>
      <scheme val="minor"/>
    </font>
    <font>
      <sz val="11"/>
      <name val="Arial"/>
      <family val="2"/>
    </font>
    <font>
      <b/>
      <sz val="12"/>
      <color theme="1"/>
      <name val="Calibri"/>
      <family val="2"/>
      <scheme val="minor"/>
    </font>
    <font>
      <sz val="11"/>
      <name val="Calibri"/>
      <family val="2"/>
    </font>
    <font>
      <b/>
      <sz val="9"/>
      <color indexed="81"/>
      <name val="Tahoma"/>
      <family val="2"/>
    </font>
    <font>
      <sz val="9"/>
      <color indexed="81"/>
      <name val="Tahoma"/>
      <family val="2"/>
    </font>
    <font>
      <sz val="10"/>
      <name val="Arial"/>
      <family val="2"/>
    </font>
    <font>
      <b/>
      <sz val="14"/>
      <name val="Arial"/>
      <family val="2"/>
    </font>
    <font>
      <b/>
      <sz val="12"/>
      <name val="Arial"/>
      <family val="2"/>
    </font>
    <font>
      <b/>
      <sz val="12"/>
      <color indexed="10"/>
      <name val="Arial"/>
      <family val="2"/>
    </font>
    <font>
      <b/>
      <sz val="11"/>
      <name val="Arial"/>
      <family val="2"/>
    </font>
    <font>
      <sz val="10"/>
      <color theme="0"/>
      <name val="Arial"/>
      <family val="2"/>
    </font>
    <font>
      <sz val="10"/>
      <color theme="1"/>
      <name val="Arial"/>
      <family val="2"/>
    </font>
    <font>
      <b/>
      <sz val="10"/>
      <color rgb="FFFF0000"/>
      <name val="Arial"/>
      <family val="2"/>
    </font>
    <font>
      <sz val="10"/>
      <color rgb="FFFF0000"/>
      <name val="Arial"/>
      <family val="2"/>
    </font>
    <font>
      <b/>
      <u/>
      <sz val="10"/>
      <name val="Arial"/>
      <family val="2"/>
    </font>
    <font>
      <b/>
      <sz val="10"/>
      <color theme="1"/>
      <name val="Arial"/>
      <family val="2"/>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sz val="20"/>
      <color indexed="10"/>
      <name val="Calibri"/>
      <family val="2"/>
    </font>
    <font>
      <sz val="10"/>
      <name val="Calibri"/>
      <family val="2"/>
      <scheme val="minor"/>
    </font>
    <font>
      <b/>
      <sz val="10"/>
      <name val="Calibri"/>
      <family val="2"/>
      <scheme val="minor"/>
    </font>
    <font>
      <sz val="11"/>
      <color theme="0"/>
      <name val="Calibri"/>
      <family val="2"/>
      <scheme val="minor"/>
    </font>
    <font>
      <sz val="8"/>
      <name val="Calibri"/>
      <family val="2"/>
      <scheme val="minor"/>
    </font>
    <font>
      <b/>
      <sz val="12"/>
      <name val="Calibri"/>
      <family val="2"/>
      <scheme val="minor"/>
    </font>
    <font>
      <u/>
      <sz val="11"/>
      <color theme="10"/>
      <name val="Calibri"/>
      <family val="2"/>
    </font>
    <font>
      <b/>
      <sz val="11"/>
      <color rgb="FF222222"/>
      <name val="Calibri"/>
      <family val="2"/>
      <scheme val="minor"/>
    </font>
    <font>
      <b/>
      <i/>
      <u/>
      <sz val="11"/>
      <color rgb="FF222222"/>
      <name val="Calibri"/>
      <family val="2"/>
      <scheme val="minor"/>
    </font>
    <font>
      <b/>
      <sz val="14"/>
      <color rgb="FF222222"/>
      <name val="Calibri"/>
      <family val="2"/>
      <scheme val="minor"/>
    </font>
    <font>
      <sz val="11"/>
      <color rgb="FF222222"/>
      <name val="Calibri"/>
      <family val="2"/>
      <scheme val="minor"/>
    </font>
    <font>
      <b/>
      <sz val="11"/>
      <color theme="1"/>
      <name val="Arial"/>
      <family val="2"/>
    </font>
    <font>
      <sz val="11"/>
      <color theme="1"/>
      <name val="Arial"/>
      <family val="2"/>
    </font>
    <font>
      <b/>
      <sz val="11"/>
      <color rgb="FFFF0000"/>
      <name val="Arial"/>
      <family val="2"/>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sz val="10"/>
      <color indexed="8"/>
      <name val="Arial"/>
      <family val="2"/>
    </font>
    <font>
      <sz val="11"/>
      <color indexed="8"/>
      <name val="Calibri"/>
      <family val="2"/>
    </font>
    <font>
      <b/>
      <sz val="11"/>
      <color theme="1"/>
      <name val="Times New Roman"/>
      <family val="1"/>
    </font>
    <font>
      <sz val="11"/>
      <color theme="1"/>
      <name val="Times New Roman"/>
      <family val="1"/>
    </font>
    <font>
      <b/>
      <sz val="11"/>
      <color rgb="FF000000"/>
      <name val="Times New Roman"/>
      <family val="1"/>
    </font>
    <font>
      <b/>
      <i/>
      <sz val="11"/>
      <color rgb="FF000000"/>
      <name val="Times New Roman"/>
      <family val="1"/>
    </font>
    <font>
      <sz val="11"/>
      <color rgb="FF000000"/>
      <name val="Times New Roman"/>
      <family val="1"/>
    </font>
    <font>
      <b/>
      <i/>
      <sz val="11"/>
      <color theme="1"/>
      <name val="Times New Roman"/>
      <family val="1"/>
    </font>
    <font>
      <i/>
      <sz val="11"/>
      <color rgb="FFFF0000"/>
      <name val="Calibri"/>
      <family val="2"/>
      <scheme val="minor"/>
    </font>
    <font>
      <b/>
      <i/>
      <sz val="11"/>
      <color rgb="FFFF0000"/>
      <name val="Calibri"/>
      <family val="2"/>
      <scheme val="minor"/>
    </font>
    <font>
      <b/>
      <sz val="11"/>
      <color rgb="FFFF0000"/>
      <name val="Calibri"/>
      <family val="2"/>
      <scheme val="minor"/>
    </font>
    <font>
      <sz val="9"/>
      <color indexed="81"/>
      <name val="Tahoma"/>
      <charset val="1"/>
    </font>
    <font>
      <b/>
      <sz val="9"/>
      <color indexed="81"/>
      <name val="Tahoma"/>
      <charset val="1"/>
    </font>
  </fonts>
  <fills count="23">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indexed="2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66CCFF"/>
        <bgColor indexed="64"/>
      </patternFill>
    </fill>
    <fill>
      <patternFill patternType="solid">
        <fgColor theme="9" tint="0.39997558519241921"/>
        <bgColor indexed="64"/>
      </patternFill>
    </fill>
    <fill>
      <patternFill patternType="solid">
        <fgColor rgb="FF00B05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theme="7" tint="-0.249977111117893"/>
        <bgColor indexed="64"/>
      </patternFill>
    </fill>
    <fill>
      <patternFill patternType="solid">
        <fgColor indexed="22"/>
        <bgColor indexed="0"/>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58"/>
      </top>
      <bottom/>
      <diagonal/>
    </border>
    <border>
      <left/>
      <right/>
      <top style="thin">
        <color indexed="58"/>
      </top>
      <bottom/>
      <diagonal/>
    </border>
    <border>
      <left/>
      <right style="medium">
        <color indexed="64"/>
      </right>
      <top style="thin">
        <color indexed="58"/>
      </top>
      <bottom/>
      <diagonal/>
    </border>
    <border>
      <left style="medium">
        <color indexed="64"/>
      </left>
      <right/>
      <top style="thin">
        <color indexed="58"/>
      </top>
      <bottom style="double">
        <color indexed="58"/>
      </bottom>
      <diagonal/>
    </border>
    <border>
      <left/>
      <right/>
      <top style="thin">
        <color indexed="58"/>
      </top>
      <bottom style="double">
        <color indexed="58"/>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rgb="FFC3CCB7"/>
      </right>
      <top/>
      <bottom/>
      <diagonal/>
    </border>
    <border>
      <left style="medium">
        <color rgb="FFC3CCB7"/>
      </left>
      <right style="medium">
        <color rgb="FFC3CCB7"/>
      </right>
      <top style="medium">
        <color rgb="FFC3CCB7"/>
      </top>
      <bottom style="medium">
        <color rgb="FFC3CCB7"/>
      </bottom>
      <diagonal/>
    </border>
    <border>
      <left style="medium">
        <color rgb="FFC3CCB7"/>
      </left>
      <right/>
      <top style="medium">
        <color rgb="FFC3CCB7"/>
      </top>
      <bottom style="medium">
        <color rgb="FFC3CCB7"/>
      </bottom>
      <diagonal/>
    </border>
    <border>
      <left style="medium">
        <color indexed="64"/>
      </left>
      <right style="medium">
        <color rgb="FFC3CCB7"/>
      </right>
      <top style="medium">
        <color rgb="FFC3CCB7"/>
      </top>
      <bottom style="medium">
        <color rgb="FFC3CCB7"/>
      </bottom>
      <diagonal/>
    </border>
    <border>
      <left style="medium">
        <color rgb="FFC3CCB7"/>
      </left>
      <right style="medium">
        <color rgb="FFC3CCB7"/>
      </right>
      <top style="medium">
        <color rgb="FFC3CCB7"/>
      </top>
      <bottom/>
      <diagonal/>
    </border>
    <border>
      <left style="medium">
        <color rgb="FFC3CCB7"/>
      </left>
      <right style="medium">
        <color indexed="64"/>
      </right>
      <top style="medium">
        <color rgb="FFC3CCB7"/>
      </top>
      <bottom style="medium">
        <color rgb="FFC3CCB7"/>
      </bottom>
      <diagonal/>
    </border>
    <border>
      <left style="medium">
        <color indexed="64"/>
      </left>
      <right/>
      <top style="medium">
        <color rgb="FFC3CCB7"/>
      </top>
      <bottom style="medium">
        <color rgb="FFC3CCB7"/>
      </bottom>
      <diagonal/>
    </border>
    <border>
      <left style="medium">
        <color indexed="64"/>
      </left>
      <right style="medium">
        <color rgb="FFC3CCB7"/>
      </right>
      <top style="medium">
        <color indexed="64"/>
      </top>
      <bottom style="medium">
        <color rgb="FFC3CCB7"/>
      </bottom>
      <diagonal/>
    </border>
    <border>
      <left style="medium">
        <color rgb="FFC3CCB7"/>
      </left>
      <right style="medium">
        <color indexed="64"/>
      </right>
      <top style="medium">
        <color indexed="64"/>
      </top>
      <bottom style="medium">
        <color rgb="FFC3CCB7"/>
      </bottom>
      <diagonal/>
    </border>
    <border>
      <left/>
      <right style="medium">
        <color indexed="64"/>
      </right>
      <top style="medium">
        <color rgb="FFC3CCB7"/>
      </top>
      <bottom style="medium">
        <color rgb="FFC3CCB7"/>
      </bottom>
      <diagonal/>
    </border>
    <border>
      <left style="medium">
        <color indexed="64"/>
      </left>
      <right style="medium">
        <color rgb="FFC3CCB7"/>
      </right>
      <top style="medium">
        <color rgb="FFC3CCB7"/>
      </top>
      <bottom style="medium">
        <color indexed="64"/>
      </bottom>
      <diagonal/>
    </border>
    <border>
      <left style="medium">
        <color rgb="FFC3CCB7"/>
      </left>
      <right style="medium">
        <color rgb="FFC3CCB7"/>
      </right>
      <top style="medium">
        <color rgb="FFC3CCB7"/>
      </top>
      <bottom style="medium">
        <color indexed="64"/>
      </bottom>
      <diagonal/>
    </border>
    <border>
      <left style="medium">
        <color rgb="FFC3CCB7"/>
      </left>
      <right/>
      <top style="medium">
        <color rgb="FFC3CCB7"/>
      </top>
      <bottom style="medium">
        <color indexed="64"/>
      </bottom>
      <diagonal/>
    </border>
    <border>
      <left style="medium">
        <color indexed="64"/>
      </left>
      <right/>
      <top style="medium">
        <color rgb="FFC3CCB7"/>
      </top>
      <bottom style="medium">
        <color indexed="64"/>
      </bottom>
      <diagonal/>
    </border>
    <border>
      <left style="medium">
        <color rgb="FFC3CCB7"/>
      </left>
      <right style="medium">
        <color indexed="64"/>
      </right>
      <top style="medium">
        <color rgb="FFC3CCB7"/>
      </top>
      <bottom style="medium">
        <color indexed="64"/>
      </bottom>
      <diagonal/>
    </border>
    <border>
      <left/>
      <right style="medium">
        <color indexed="64"/>
      </right>
      <top style="medium">
        <color rgb="FFC3CCB7"/>
      </top>
      <bottom style="medium">
        <color indexed="64"/>
      </bottom>
      <diagonal/>
    </border>
    <border>
      <left/>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top style="thin">
        <color indexed="65"/>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5"/>
      </left>
      <right/>
      <top style="thin">
        <color rgb="FF000000"/>
      </top>
      <bottom style="thin">
        <color rgb="FF000000"/>
      </bottom>
      <diagonal/>
    </border>
    <border>
      <left style="thin">
        <color indexed="65"/>
      </left>
      <right/>
      <top style="medium">
        <color indexed="64"/>
      </top>
      <bottom/>
      <diagonal/>
    </border>
    <border>
      <left style="thin">
        <color rgb="FF000000"/>
      </left>
      <right/>
      <top style="medium">
        <color indexed="64"/>
      </top>
      <bottom/>
      <diagonal/>
    </border>
    <border>
      <left style="thin">
        <color indexed="65"/>
      </left>
      <right style="medium">
        <color indexed="64"/>
      </right>
      <top style="medium">
        <color indexed="64"/>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5"/>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s>
  <cellStyleXfs count="28">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26" fillId="0" borderId="0" applyFont="0" applyFill="0" applyBorder="0" applyAlignment="0" applyProtection="0"/>
    <xf numFmtId="44" fontId="26" fillId="0" borderId="0" applyFont="0" applyFill="0" applyBorder="0" applyAlignment="0" applyProtection="0"/>
    <xf numFmtId="9" fontId="28" fillId="0" borderId="0" applyFont="0" applyFill="0" applyBorder="0" applyAlignment="0" applyProtection="0"/>
    <xf numFmtId="44" fontId="26" fillId="0" borderId="0" applyFont="0" applyFill="0" applyBorder="0" applyAlignment="0" applyProtection="0"/>
    <xf numFmtId="0" fontId="33" fillId="0" borderId="0"/>
    <xf numFmtId="0" fontId="9" fillId="0" borderId="0"/>
    <xf numFmtId="0" fontId="39" fillId="0" borderId="0">
      <alignment horizontal="left" vertical="center" wrapText="1"/>
    </xf>
    <xf numFmtId="9" fontId="9" fillId="0" borderId="0" applyFont="0" applyFill="0" applyBorder="0" applyAlignment="0" applyProtection="0"/>
    <xf numFmtId="0" fontId="1" fillId="0" borderId="0"/>
    <xf numFmtId="9" fontId="9" fillId="0" borderId="0" applyFont="0" applyFill="0" applyBorder="0" applyAlignment="0" applyProtection="0"/>
    <xf numFmtId="0" fontId="1" fillId="0" borderId="0"/>
    <xf numFmtId="0" fontId="1" fillId="0" borderId="0"/>
    <xf numFmtId="0" fontId="54"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66" fillId="0" borderId="0"/>
  </cellStyleXfs>
  <cellXfs count="815">
    <xf numFmtId="0" fontId="0" fillId="0" borderId="0" xfId="0"/>
    <xf numFmtId="0" fontId="3" fillId="0" borderId="0" xfId="0" applyFont="1"/>
    <xf numFmtId="0" fontId="4" fillId="0" borderId="0" xfId="0" applyFont="1" applyAlignment="1">
      <alignment wrapText="1"/>
    </xf>
    <xf numFmtId="0" fontId="6" fillId="0" borderId="0" xfId="0" applyFont="1"/>
    <xf numFmtId="0" fontId="5" fillId="0" borderId="10" xfId="0" applyFont="1" applyBorder="1"/>
    <xf numFmtId="0" fontId="5" fillId="0" borderId="0" xfId="0" applyFont="1" applyAlignment="1">
      <alignment horizontal="center"/>
    </xf>
    <xf numFmtId="164" fontId="5" fillId="0" borderId="11" xfId="0" applyNumberFormat="1" applyFont="1" applyBorder="1" applyAlignment="1">
      <alignment horizontal="center"/>
    </xf>
    <xf numFmtId="0" fontId="5" fillId="0" borderId="12" xfId="0" applyFont="1" applyBorder="1"/>
    <xf numFmtId="0" fontId="5" fillId="0" borderId="13" xfId="0" applyFont="1" applyBorder="1" applyAlignment="1">
      <alignment horizontal="left"/>
    </xf>
    <xf numFmtId="0" fontId="5" fillId="0" borderId="13" xfId="0" applyFont="1" applyBorder="1"/>
    <xf numFmtId="3" fontId="5" fillId="0" borderId="14" xfId="0" applyNumberFormat="1" applyFont="1" applyBorder="1"/>
    <xf numFmtId="0" fontId="7" fillId="0" borderId="10" xfId="0" applyFont="1" applyBorder="1"/>
    <xf numFmtId="0" fontId="7" fillId="0" borderId="11" xfId="0" applyFont="1" applyBorder="1" applyAlignment="1">
      <alignment horizontal="center"/>
    </xf>
    <xf numFmtId="0" fontId="7" fillId="0" borderId="0" xfId="0" applyFont="1"/>
    <xf numFmtId="0" fontId="7" fillId="0" borderId="11" xfId="0" applyFont="1" applyBorder="1"/>
    <xf numFmtId="0" fontId="5" fillId="0" borderId="0" xfId="0" applyFont="1"/>
    <xf numFmtId="0" fontId="5" fillId="0" borderId="15" xfId="0" applyFont="1" applyBorder="1" applyAlignment="1">
      <alignment horizontal="center"/>
    </xf>
    <xf numFmtId="0" fontId="5" fillId="0" borderId="16" xfId="0" applyFont="1" applyBorder="1" applyAlignment="1">
      <alignment horizontal="center"/>
    </xf>
    <xf numFmtId="0" fontId="5" fillId="0" borderId="11" xfId="0" applyFont="1" applyBorder="1" applyAlignment="1">
      <alignment horizontal="center"/>
    </xf>
    <xf numFmtId="0" fontId="7" fillId="0" borderId="17" xfId="0" applyFont="1" applyBorder="1"/>
    <xf numFmtId="0" fontId="7" fillId="0" borderId="15" xfId="0" applyFont="1" applyBorder="1" applyAlignment="1">
      <alignment horizontal="center"/>
    </xf>
    <xf numFmtId="0" fontId="7" fillId="0" borderId="16" xfId="0" applyFont="1" applyBorder="1" applyAlignment="1">
      <alignment horizontal="center"/>
    </xf>
    <xf numFmtId="42" fontId="7" fillId="0" borderId="0" xfId="0" applyNumberFormat="1" applyFont="1"/>
    <xf numFmtId="4" fontId="7" fillId="0" borderId="0" xfId="0" applyNumberFormat="1" applyFont="1"/>
    <xf numFmtId="42" fontId="7" fillId="0" borderId="11" xfId="0" applyNumberFormat="1" applyFont="1" applyBorder="1"/>
    <xf numFmtId="0" fontId="7" fillId="0" borderId="7" xfId="0" applyFont="1" applyBorder="1"/>
    <xf numFmtId="0" fontId="7" fillId="0" borderId="8" xfId="0" applyFont="1" applyBorder="1" applyAlignment="1">
      <alignment horizontal="right"/>
    </xf>
    <xf numFmtId="165" fontId="7" fillId="0" borderId="9" xfId="2" applyNumberFormat="1" applyFont="1" applyBorder="1" applyAlignment="1">
      <alignment horizontal="center"/>
    </xf>
    <xf numFmtId="0" fontId="6" fillId="0" borderId="10" xfId="0" applyFont="1" applyBorder="1"/>
    <xf numFmtId="0" fontId="6" fillId="0" borderId="11" xfId="0" applyFont="1" applyBorder="1"/>
    <xf numFmtId="0" fontId="9" fillId="0" borderId="0" xfId="0" applyFont="1"/>
    <xf numFmtId="42" fontId="7" fillId="0" borderId="11" xfId="0" applyNumberFormat="1" applyFont="1" applyBorder="1" applyAlignment="1">
      <alignment horizontal="center"/>
    </xf>
    <xf numFmtId="166" fontId="7" fillId="0" borderId="11" xfId="0" applyNumberFormat="1" applyFont="1" applyBorder="1" applyAlignment="1">
      <alignment horizontal="center"/>
    </xf>
    <xf numFmtId="0" fontId="5" fillId="0" borderId="18" xfId="0" applyFont="1" applyBorder="1"/>
    <xf numFmtId="0" fontId="5" fillId="0" borderId="19" xfId="0" applyFont="1" applyBorder="1"/>
    <xf numFmtId="4" fontId="5" fillId="0" borderId="19" xfId="0" applyNumberFormat="1" applyFont="1" applyBorder="1"/>
    <xf numFmtId="42" fontId="5" fillId="0" borderId="20" xfId="0" applyNumberFormat="1" applyFont="1" applyBorder="1"/>
    <xf numFmtId="10" fontId="10" fillId="0" borderId="0" xfId="2" applyNumberFormat="1" applyFont="1"/>
    <xf numFmtId="0" fontId="10" fillId="0" borderId="0" xfId="0" applyFont="1"/>
    <xf numFmtId="166" fontId="10" fillId="0" borderId="11" xfId="0" applyNumberFormat="1" applyFont="1" applyBorder="1"/>
    <xf numFmtId="44" fontId="5" fillId="0" borderId="19" xfId="0" applyNumberFormat="1" applyFont="1" applyBorder="1"/>
    <xf numFmtId="42" fontId="5" fillId="0" borderId="11" xfId="0" applyNumberFormat="1" applyFont="1" applyBorder="1"/>
    <xf numFmtId="10" fontId="7" fillId="0" borderId="0" xfId="0" applyNumberFormat="1" applyFont="1"/>
    <xf numFmtId="44" fontId="7" fillId="0" borderId="0" xfId="0" applyNumberFormat="1" applyFont="1"/>
    <xf numFmtId="166" fontId="7" fillId="0" borderId="11" xfId="0" applyNumberFormat="1" applyFont="1" applyBorder="1"/>
    <xf numFmtId="0" fontId="7" fillId="0" borderId="8" xfId="0" applyFont="1" applyBorder="1"/>
    <xf numFmtId="42" fontId="7" fillId="0" borderId="9" xfId="0" applyNumberFormat="1" applyFont="1" applyBorder="1"/>
    <xf numFmtId="44" fontId="7" fillId="0" borderId="0" xfId="1" applyFont="1"/>
    <xf numFmtId="10" fontId="7" fillId="0" borderId="0" xfId="1" applyNumberFormat="1" applyFont="1"/>
    <xf numFmtId="2" fontId="7" fillId="0" borderId="11" xfId="0" applyNumberFormat="1" applyFont="1" applyBorder="1" applyAlignment="1">
      <alignment horizontal="center" wrapText="1"/>
    </xf>
    <xf numFmtId="2" fontId="7" fillId="3" borderId="11" xfId="0" applyNumberFormat="1" applyFont="1" applyFill="1" applyBorder="1" applyAlignment="1">
      <alignment horizontal="center" wrapText="1"/>
    </xf>
    <xf numFmtId="0" fontId="5" fillId="0" borderId="21" xfId="0" applyFont="1" applyBorder="1"/>
    <xf numFmtId="0" fontId="7" fillId="0" borderId="19" xfId="0" applyFont="1" applyBorder="1"/>
    <xf numFmtId="44" fontId="0" fillId="0" borderId="0" xfId="1" applyFont="1"/>
    <xf numFmtId="10" fontId="0" fillId="0" borderId="0" xfId="2" applyNumberFormat="1" applyFont="1"/>
    <xf numFmtId="44" fontId="7" fillId="0" borderId="19" xfId="1" applyFont="1" applyBorder="1"/>
    <xf numFmtId="9" fontId="0" fillId="0" borderId="0" xfId="0" applyNumberFormat="1"/>
    <xf numFmtId="44" fontId="0" fillId="0" borderId="0" xfId="0" applyNumberFormat="1"/>
    <xf numFmtId="9" fontId="0" fillId="0" borderId="0" xfId="2" applyFont="1"/>
    <xf numFmtId="167" fontId="5" fillId="0" borderId="4" xfId="0" applyNumberFormat="1" applyFont="1" applyBorder="1"/>
    <xf numFmtId="9" fontId="5" fillId="0" borderId="5" xfId="0" applyNumberFormat="1" applyFont="1" applyBorder="1"/>
    <xf numFmtId="164" fontId="5" fillId="0" borderId="5" xfId="0" applyNumberFormat="1" applyFont="1" applyBorder="1"/>
    <xf numFmtId="44" fontId="5" fillId="0" borderId="5" xfId="1" applyFont="1" applyBorder="1"/>
    <xf numFmtId="44" fontId="5" fillId="0" borderId="6" xfId="1" applyFont="1" applyBorder="1"/>
    <xf numFmtId="9" fontId="5" fillId="0" borderId="5" xfId="2" applyFont="1" applyBorder="1"/>
    <xf numFmtId="44" fontId="5" fillId="3" borderId="6" xfId="1" applyFont="1" applyFill="1" applyBorder="1"/>
    <xf numFmtId="167" fontId="5" fillId="0" borderId="0" xfId="0" applyNumberFormat="1" applyFont="1"/>
    <xf numFmtId="9" fontId="5" fillId="0" borderId="0" xfId="0" applyNumberFormat="1" applyFont="1"/>
    <xf numFmtId="9" fontId="5" fillId="0" borderId="0" xfId="2" applyFont="1"/>
    <xf numFmtId="2" fontId="7" fillId="0" borderId="8" xfId="0" applyNumberFormat="1" applyFont="1" applyBorder="1" applyAlignment="1">
      <alignment horizontal="center" wrapText="1"/>
    </xf>
    <xf numFmtId="2" fontId="7" fillId="0" borderId="9" xfId="0" applyNumberFormat="1" applyFont="1" applyBorder="1" applyAlignment="1">
      <alignment horizontal="center" wrapText="1"/>
    </xf>
    <xf numFmtId="10" fontId="7" fillId="0" borderId="11" xfId="2" applyNumberFormat="1" applyFont="1" applyBorder="1"/>
    <xf numFmtId="10" fontId="7" fillId="0" borderId="11" xfId="0" applyNumberFormat="1" applyFont="1" applyBorder="1"/>
    <xf numFmtId="165" fontId="7" fillId="0" borderId="11" xfId="2" applyNumberFormat="1" applyFont="1" applyBorder="1"/>
    <xf numFmtId="0" fontId="0" fillId="0" borderId="8" xfId="0" applyBorder="1"/>
    <xf numFmtId="10" fontId="7" fillId="0" borderId="9" xfId="0" applyNumberFormat="1" applyFont="1" applyBorder="1"/>
    <xf numFmtId="0" fontId="2" fillId="0" borderId="0" xfId="0" applyFont="1"/>
    <xf numFmtId="0" fontId="0" fillId="0" borderId="25" xfId="0" applyBorder="1"/>
    <xf numFmtId="0" fontId="15" fillId="0" borderId="25" xfId="0" applyFont="1" applyBorder="1"/>
    <xf numFmtId="0" fontId="16" fillId="0" borderId="0" xfId="0" applyFont="1" applyAlignment="1">
      <alignment horizontal="center"/>
    </xf>
    <xf numFmtId="0" fontId="17" fillId="0" borderId="0" xfId="0" applyFont="1" applyAlignment="1">
      <alignment horizontal="center"/>
    </xf>
    <xf numFmtId="0" fontId="15" fillId="0" borderId="0" xfId="0" applyFont="1" applyAlignment="1">
      <alignment horizontal="center"/>
    </xf>
    <xf numFmtId="0" fontId="15" fillId="0" borderId="26" xfId="0" applyFont="1" applyBorder="1" applyAlignment="1">
      <alignment horizontal="center"/>
    </xf>
    <xf numFmtId="0" fontId="0" fillId="0" borderId="0" xfId="0" applyAlignment="1">
      <alignment horizontal="center"/>
    </xf>
    <xf numFmtId="2" fontId="2" fillId="0" borderId="0" xfId="0" applyNumberFormat="1" applyFont="1" applyAlignment="1">
      <alignment horizontal="center"/>
    </xf>
    <xf numFmtId="0" fontId="9" fillId="0" borderId="25" xfId="0" applyFont="1" applyBorder="1"/>
    <xf numFmtId="0" fontId="15" fillId="0" borderId="0" xfId="0" applyFont="1"/>
    <xf numFmtId="0" fontId="2" fillId="0" borderId="0" xfId="0" applyFont="1" applyAlignment="1">
      <alignment horizontal="right"/>
    </xf>
    <xf numFmtId="10" fontId="2" fillId="0" borderId="0" xfId="0" applyNumberFormat="1" applyFont="1"/>
    <xf numFmtId="10" fontId="0" fillId="0" borderId="0" xfId="0" applyNumberFormat="1"/>
    <xf numFmtId="0" fontId="2" fillId="0" borderId="0" xfId="0" applyFont="1" applyAlignment="1">
      <alignment horizontal="center" wrapText="1"/>
    </xf>
    <xf numFmtId="37" fontId="0" fillId="0" borderId="0" xfId="0" applyNumberFormat="1"/>
    <xf numFmtId="5" fontId="0" fillId="0" borderId="0" xfId="0" applyNumberFormat="1"/>
    <xf numFmtId="5" fontId="0" fillId="0" borderId="26" xfId="0" applyNumberFormat="1" applyBorder="1"/>
    <xf numFmtId="5" fontId="0" fillId="0" borderId="0" xfId="0" applyNumberFormat="1" applyAlignment="1">
      <alignment horizontal="center"/>
    </xf>
    <xf numFmtId="10" fontId="0" fillId="0" borderId="26" xfId="2" applyNumberFormat="1" applyFont="1" applyBorder="1"/>
    <xf numFmtId="0" fontId="18" fillId="0" borderId="0" xfId="0" applyFont="1"/>
    <xf numFmtId="0" fontId="18" fillId="0" borderId="0" xfId="0" applyFont="1" applyAlignment="1">
      <alignment horizontal="center"/>
    </xf>
    <xf numFmtId="0" fontId="19" fillId="0" borderId="0" xfId="0" applyFont="1"/>
    <xf numFmtId="1" fontId="20" fillId="0" borderId="0" xfId="0" applyNumberFormat="1" applyFont="1" applyAlignment="1">
      <alignment horizontal="center"/>
    </xf>
    <xf numFmtId="164" fontId="21" fillId="0" borderId="4" xfId="0" applyNumberFormat="1" applyFont="1" applyBorder="1" applyAlignment="1">
      <alignment horizontal="center" vertical="center"/>
    </xf>
    <xf numFmtId="164" fontId="21" fillId="0" borderId="5" xfId="0" applyNumberFormat="1" applyFont="1" applyBorder="1" applyAlignment="1">
      <alignment horizontal="center" vertical="center"/>
    </xf>
    <xf numFmtId="164" fontId="21" fillId="0" borderId="6" xfId="0" applyNumberFormat="1" applyFont="1" applyBorder="1" applyAlignment="1">
      <alignment horizontal="center" vertical="center"/>
    </xf>
    <xf numFmtId="164" fontId="21" fillId="0" borderId="27" xfId="0" applyNumberFormat="1" applyFont="1" applyBorder="1" applyAlignment="1">
      <alignment horizontal="center" vertical="center"/>
    </xf>
    <xf numFmtId="164" fontId="22" fillId="0" borderId="0" xfId="0" applyNumberFormat="1" applyFont="1" applyAlignment="1">
      <alignment vertical="center"/>
    </xf>
    <xf numFmtId="164" fontId="21" fillId="0" borderId="1" xfId="0" applyNumberFormat="1" applyFont="1" applyBorder="1" applyAlignment="1">
      <alignment horizontal="center" vertical="center"/>
    </xf>
    <xf numFmtId="164" fontId="21" fillId="0" borderId="0" xfId="0" applyNumberFormat="1" applyFont="1" applyAlignment="1">
      <alignment horizontal="center" vertical="center"/>
    </xf>
    <xf numFmtId="164" fontId="21" fillId="0" borderId="2" xfId="0" applyNumberFormat="1" applyFont="1" applyBorder="1" applyAlignment="1">
      <alignment horizontal="center" vertical="center"/>
    </xf>
    <xf numFmtId="164" fontId="21" fillId="0" borderId="28" xfId="0" applyNumberFormat="1" applyFont="1" applyBorder="1" applyAlignment="1">
      <alignment horizontal="center" vertical="center"/>
    </xf>
    <xf numFmtId="1" fontId="23" fillId="0" borderId="10" xfId="0" applyNumberFormat="1" applyFont="1" applyBorder="1" applyAlignment="1">
      <alignment horizontal="left"/>
    </xf>
    <xf numFmtId="1" fontId="23" fillId="0" borderId="0" xfId="0" applyNumberFormat="1" applyFont="1" applyAlignment="1">
      <alignment horizontal="center"/>
    </xf>
    <xf numFmtId="1" fontId="23" fillId="0" borderId="11" xfId="0" applyNumberFormat="1" applyFont="1" applyBorder="1" applyAlignment="1">
      <alignment horizontal="center"/>
    </xf>
    <xf numFmtId="3" fontId="23" fillId="0" borderId="11" xfId="0" applyNumberFormat="1" applyFont="1" applyBorder="1" applyAlignment="1">
      <alignment horizontal="center"/>
    </xf>
    <xf numFmtId="164" fontId="21" fillId="0" borderId="10" xfId="0" applyNumberFormat="1" applyFont="1" applyBorder="1" applyAlignment="1">
      <alignment horizontal="center" vertical="center" wrapText="1"/>
    </xf>
    <xf numFmtId="0" fontId="2" fillId="0" borderId="29" xfId="0" applyFont="1" applyBorder="1" applyAlignment="1">
      <alignment horizontal="center"/>
    </xf>
    <xf numFmtId="0" fontId="24" fillId="0" borderId="17" xfId="0" applyFont="1" applyBorder="1" applyAlignment="1">
      <alignment horizontal="center"/>
    </xf>
    <xf numFmtId="164" fontId="24" fillId="0" borderId="15" xfId="0" applyNumberFormat="1" applyFont="1" applyBorder="1" applyAlignment="1">
      <alignment horizontal="center"/>
    </xf>
    <xf numFmtId="164" fontId="24" fillId="0" borderId="16" xfId="0" applyNumberFormat="1" applyFont="1" applyBorder="1" applyAlignment="1">
      <alignment horizontal="center"/>
    </xf>
    <xf numFmtId="164" fontId="24" fillId="0" borderId="0" xfId="0" applyNumberFormat="1" applyFont="1" applyAlignment="1">
      <alignment horizontal="center"/>
    </xf>
    <xf numFmtId="164" fontId="21" fillId="0" borderId="10" xfId="0" applyNumberFormat="1" applyFont="1" applyBorder="1" applyAlignment="1">
      <alignment horizontal="center" vertical="center"/>
    </xf>
    <xf numFmtId="164" fontId="23" fillId="0" borderId="10" xfId="0" applyNumberFormat="1" applyFont="1" applyBorder="1" applyAlignment="1">
      <alignment horizontal="left"/>
    </xf>
    <xf numFmtId="164" fontId="23" fillId="0" borderId="0" xfId="0" applyNumberFormat="1" applyFont="1" applyAlignment="1">
      <alignment horizontal="center"/>
    </xf>
    <xf numFmtId="164" fontId="23" fillId="0" borderId="11" xfId="0" applyNumberFormat="1" applyFont="1" applyBorder="1" applyAlignment="1">
      <alignment horizontal="center"/>
    </xf>
    <xf numFmtId="164" fontId="0" fillId="0" borderId="0" xfId="0" applyNumberFormat="1" applyAlignment="1">
      <alignment horizontal="center"/>
    </xf>
    <xf numFmtId="164" fontId="0" fillId="0" borderId="11" xfId="0" applyNumberFormat="1" applyBorder="1" applyAlignment="1">
      <alignment horizontal="center"/>
    </xf>
    <xf numFmtId="164" fontId="21" fillId="0" borderId="29" xfId="0" applyNumberFormat="1" applyFont="1" applyBorder="1" applyAlignment="1">
      <alignment horizontal="center" vertical="center"/>
    </xf>
    <xf numFmtId="164" fontId="23" fillId="0" borderId="17" xfId="0" applyNumberFormat="1" applyFont="1" applyBorder="1" applyAlignment="1">
      <alignment horizontal="left"/>
    </xf>
    <xf numFmtId="164" fontId="23" fillId="0" borderId="15" xfId="0" applyNumberFormat="1" applyFont="1" applyBorder="1" applyAlignment="1">
      <alignment horizontal="center"/>
    </xf>
    <xf numFmtId="164" fontId="23" fillId="0" borderId="16" xfId="0" applyNumberFormat="1" applyFont="1" applyBorder="1" applyAlignment="1">
      <alignment horizontal="center"/>
    </xf>
    <xf numFmtId="0" fontId="23" fillId="0" borderId="10" xfId="0" applyFont="1" applyBorder="1"/>
    <xf numFmtId="10" fontId="23" fillId="0" borderId="0" xfId="0" applyNumberFormat="1" applyFont="1" applyAlignment="1">
      <alignment horizontal="center"/>
    </xf>
    <xf numFmtId="10" fontId="0" fillId="0" borderId="0" xfId="0" applyNumberFormat="1" applyAlignment="1">
      <alignment horizontal="center"/>
    </xf>
    <xf numFmtId="164" fontId="23" fillId="0" borderId="10" xfId="0" applyNumberFormat="1" applyFont="1" applyBorder="1" applyAlignment="1">
      <alignment horizontal="right"/>
    </xf>
    <xf numFmtId="164" fontId="0" fillId="0" borderId="15" xfId="0" applyNumberFormat="1" applyBorder="1" applyAlignment="1">
      <alignment horizontal="center"/>
    </xf>
    <xf numFmtId="164" fontId="0" fillId="0" borderId="16" xfId="0" applyNumberFormat="1" applyBorder="1" applyAlignment="1">
      <alignment horizontal="center"/>
    </xf>
    <xf numFmtId="0" fontId="25" fillId="0" borderId="4" xfId="0" applyFont="1" applyBorder="1"/>
    <xf numFmtId="10" fontId="23" fillId="0" borderId="5" xfId="0" applyNumberFormat="1" applyFont="1" applyBorder="1" applyAlignment="1">
      <alignment horizontal="center"/>
    </xf>
    <xf numFmtId="164" fontId="23" fillId="0" borderId="6" xfId="0" applyNumberFormat="1" applyFont="1" applyBorder="1" applyAlignment="1">
      <alignment horizontal="center"/>
    </xf>
    <xf numFmtId="0" fontId="23" fillId="0" borderId="4" xfId="0" applyFont="1" applyBorder="1"/>
    <xf numFmtId="0" fontId="0" fillId="0" borderId="5" xfId="0" applyBorder="1" applyAlignment="1">
      <alignment horizontal="center"/>
    </xf>
    <xf numFmtId="164" fontId="0" fillId="0" borderId="6" xfId="0" applyNumberFormat="1" applyBorder="1" applyAlignment="1">
      <alignment horizontal="center"/>
    </xf>
    <xf numFmtId="10" fontId="23" fillId="0" borderId="0" xfId="4" applyNumberFormat="1" applyFont="1" applyAlignment="1">
      <alignment horizontal="center"/>
    </xf>
    <xf numFmtId="168" fontId="0" fillId="0" borderId="11" xfId="0" applyNumberFormat="1" applyBorder="1" applyAlignment="1">
      <alignment horizontal="center"/>
    </xf>
    <xf numFmtId="0" fontId="24" fillId="0" borderId="30" xfId="0" applyFont="1" applyBorder="1"/>
    <xf numFmtId="164" fontId="25" fillId="0" borderId="31" xfId="0" applyNumberFormat="1" applyFont="1" applyBorder="1" applyAlignment="1">
      <alignment horizontal="center"/>
    </xf>
    <xf numFmtId="164" fontId="25" fillId="0" borderId="32" xfId="0" applyNumberFormat="1" applyFont="1" applyBorder="1" applyAlignment="1">
      <alignment horizontal="center"/>
    </xf>
    <xf numFmtId="164" fontId="25" fillId="0" borderId="0" xfId="0" applyNumberFormat="1" applyFont="1" applyAlignment="1">
      <alignment horizontal="center"/>
    </xf>
    <xf numFmtId="0" fontId="27" fillId="0" borderId="4" xfId="0" applyFont="1" applyBorder="1"/>
    <xf numFmtId="10" fontId="23" fillId="0" borderId="5" xfId="2" applyNumberFormat="1" applyFont="1" applyBorder="1" applyAlignment="1">
      <alignment horizontal="center"/>
    </xf>
    <xf numFmtId="5" fontId="23" fillId="0" borderId="6" xfId="5" applyNumberFormat="1" applyFont="1" applyBorder="1" applyAlignment="1">
      <alignment horizontal="center"/>
    </xf>
    <xf numFmtId="5" fontId="23" fillId="0" borderId="0" xfId="5" applyNumberFormat="1" applyFont="1" applyAlignment="1">
      <alignment horizontal="center"/>
    </xf>
    <xf numFmtId="0" fontId="2" fillId="0" borderId="4" xfId="0" applyFont="1" applyBorder="1"/>
    <xf numFmtId="10" fontId="2" fillId="0" borderId="5" xfId="0" applyNumberFormat="1" applyFont="1" applyBorder="1" applyAlignment="1">
      <alignment horizontal="center"/>
    </xf>
    <xf numFmtId="8" fontId="2" fillId="3" borderId="6" xfId="0" applyNumberFormat="1" applyFont="1" applyFill="1" applyBorder="1" applyAlignment="1">
      <alignment horizontal="center"/>
    </xf>
    <xf numFmtId="8" fontId="2" fillId="0" borderId="0" xfId="0" applyNumberFormat="1" applyFont="1" applyAlignment="1">
      <alignment horizontal="center"/>
    </xf>
    <xf numFmtId="9" fontId="2" fillId="0" borderId="0" xfId="0" applyNumberFormat="1" applyFont="1" applyAlignment="1">
      <alignment horizontal="center"/>
    </xf>
    <xf numFmtId="0" fontId="24" fillId="0" borderId="33" xfId="0" applyFont="1" applyBorder="1"/>
    <xf numFmtId="164" fontId="25" fillId="0" borderId="34" xfId="0" applyNumberFormat="1" applyFont="1" applyBorder="1" applyAlignment="1">
      <alignment horizontal="center"/>
    </xf>
    <xf numFmtId="0" fontId="24" fillId="0" borderId="35" xfId="0" applyFont="1" applyBorder="1" applyAlignment="1">
      <alignment horizontal="center"/>
    </xf>
    <xf numFmtId="164" fontId="24" fillId="0" borderId="23" xfId="0" applyNumberFormat="1" applyFont="1" applyBorder="1" applyAlignment="1">
      <alignment horizontal="center"/>
    </xf>
    <xf numFmtId="164" fontId="25" fillId="0" borderId="10" xfId="0" applyNumberFormat="1" applyFont="1" applyBorder="1" applyAlignment="1">
      <alignment horizontal="center"/>
    </xf>
    <xf numFmtId="49" fontId="2" fillId="0" borderId="29" xfId="0" applyNumberFormat="1" applyFont="1" applyBorder="1" applyAlignment="1">
      <alignment horizontal="center"/>
    </xf>
    <xf numFmtId="44" fontId="0" fillId="0" borderId="0" xfId="1" applyFont="1" applyAlignment="1">
      <alignment horizontal="center"/>
    </xf>
    <xf numFmtId="0" fontId="24" fillId="0" borderId="10" xfId="0" applyFont="1" applyBorder="1"/>
    <xf numFmtId="10" fontId="23" fillId="0" borderId="0" xfId="2" applyNumberFormat="1" applyFont="1" applyAlignment="1">
      <alignment horizontal="center"/>
    </xf>
    <xf numFmtId="10" fontId="27" fillId="0" borderId="0" xfId="0" applyNumberFormat="1" applyFont="1" applyAlignment="1">
      <alignment horizontal="center"/>
    </xf>
    <xf numFmtId="164" fontId="27" fillId="0" borderId="11" xfId="0" applyNumberFormat="1" applyFont="1" applyBorder="1" applyAlignment="1">
      <alignment horizontal="center"/>
    </xf>
    <xf numFmtId="169" fontId="0" fillId="0" borderId="0" xfId="0" applyNumberFormat="1"/>
    <xf numFmtId="170" fontId="0" fillId="0" borderId="0" xfId="0" applyNumberFormat="1"/>
    <xf numFmtId="0" fontId="21" fillId="0" borderId="10" xfId="0" applyFont="1" applyBorder="1" applyAlignment="1">
      <alignment horizontal="left"/>
    </xf>
    <xf numFmtId="0" fontId="21" fillId="0" borderId="0" xfId="0" applyFont="1" applyAlignment="1">
      <alignment horizontal="left"/>
    </xf>
    <xf numFmtId="5" fontId="21" fillId="0" borderId="0" xfId="5" applyNumberFormat="1" applyFont="1" applyAlignment="1">
      <alignment horizontal="center"/>
    </xf>
    <xf numFmtId="0" fontId="2" fillId="0" borderId="29" xfId="0" applyFont="1" applyBorder="1" applyAlignment="1">
      <alignment vertical="center"/>
    </xf>
    <xf numFmtId="171" fontId="0" fillId="0" borderId="0" xfId="0" applyNumberFormat="1" applyAlignment="1">
      <alignment horizontal="center"/>
    </xf>
    <xf numFmtId="8" fontId="0" fillId="0" borderId="0" xfId="0" applyNumberFormat="1" applyAlignment="1">
      <alignment horizontal="center"/>
    </xf>
    <xf numFmtId="0" fontId="2" fillId="0" borderId="10" xfId="0" applyFont="1" applyBorder="1"/>
    <xf numFmtId="10" fontId="25" fillId="0" borderId="0" xfId="0" applyNumberFormat="1" applyFont="1" applyAlignment="1">
      <alignment horizontal="center"/>
    </xf>
    <xf numFmtId="10" fontId="1" fillId="0" borderId="0" xfId="5" applyNumberFormat="1" applyFont="1" applyAlignment="1">
      <alignment horizontal="center"/>
    </xf>
    <xf numFmtId="0" fontId="25" fillId="0" borderId="10" xfId="0" applyFont="1" applyBorder="1" applyAlignment="1">
      <alignment horizontal="left"/>
    </xf>
    <xf numFmtId="0" fontId="25" fillId="0" borderId="0" xfId="0" applyFont="1" applyAlignment="1">
      <alignment horizontal="left"/>
    </xf>
    <xf numFmtId="10" fontId="25" fillId="0" borderId="0" xfId="0" applyNumberFormat="1" applyFont="1" applyAlignment="1">
      <alignment horizontal="center" vertical="center"/>
    </xf>
    <xf numFmtId="10" fontId="2" fillId="0" borderId="0" xfId="2" applyNumberFormat="1" applyFont="1" applyAlignment="1">
      <alignment horizontal="center"/>
    </xf>
    <xf numFmtId="0" fontId="2" fillId="0" borderId="36" xfId="0" applyFont="1" applyBorder="1" applyAlignment="1">
      <alignment horizontal="left"/>
    </xf>
    <xf numFmtId="0" fontId="2" fillId="0" borderId="37" xfId="0" applyFont="1" applyBorder="1" applyAlignment="1">
      <alignment horizontal="left"/>
    </xf>
    <xf numFmtId="10" fontId="2" fillId="0" borderId="38" xfId="0" applyNumberFormat="1" applyFont="1" applyBorder="1" applyAlignment="1">
      <alignment horizontal="right"/>
    </xf>
    <xf numFmtId="0" fontId="2" fillId="0" borderId="39" xfId="0" applyFont="1" applyBorder="1" applyAlignment="1">
      <alignment horizontal="left"/>
    </xf>
    <xf numFmtId="0" fontId="0" fillId="0" borderId="40" xfId="0" applyBorder="1"/>
    <xf numFmtId="0" fontId="0" fillId="0" borderId="9" xfId="0" applyBorder="1"/>
    <xf numFmtId="10" fontId="25" fillId="0" borderId="9" xfId="6" applyNumberFormat="1" applyFont="1" applyBorder="1" applyAlignment="1">
      <alignment horizontal="right"/>
    </xf>
    <xf numFmtId="0" fontId="2" fillId="0" borderId="16" xfId="0" applyFont="1" applyBorder="1" applyAlignment="1">
      <alignment horizontal="left"/>
    </xf>
    <xf numFmtId="0" fontId="2" fillId="0" borderId="7" xfId="0" applyFont="1" applyBorder="1"/>
    <xf numFmtId="10" fontId="2" fillId="0" borderId="40" xfId="0" applyNumberFormat="1" applyFont="1" applyBorder="1"/>
    <xf numFmtId="0" fontId="29" fillId="0" borderId="9" xfId="0" applyFont="1" applyBorder="1" applyAlignment="1">
      <alignment horizontal="left"/>
    </xf>
    <xf numFmtId="0" fontId="19" fillId="0" borderId="6" xfId="0" applyFont="1" applyBorder="1"/>
    <xf numFmtId="1" fontId="0" fillId="0" borderId="0" xfId="0" applyNumberFormat="1"/>
    <xf numFmtId="0" fontId="30" fillId="0" borderId="10" xfId="0" applyFont="1" applyBorder="1"/>
    <xf numFmtId="0" fontId="30" fillId="0" borderId="0" xfId="0" applyFont="1"/>
    <xf numFmtId="0" fontId="30" fillId="0" borderId="0" xfId="0" applyFont="1" applyAlignment="1">
      <alignment horizontal="center"/>
    </xf>
    <xf numFmtId="0" fontId="30" fillId="0" borderId="11" xfId="0" applyFont="1" applyBorder="1" applyAlignment="1">
      <alignment horizontal="center"/>
    </xf>
    <xf numFmtId="10" fontId="0" fillId="0" borderId="5" xfId="0" applyNumberFormat="1" applyBorder="1" applyAlignment="1">
      <alignment horizontal="center"/>
    </xf>
    <xf numFmtId="7" fontId="2" fillId="3" borderId="6" xfId="5" applyNumberFormat="1" applyFont="1" applyFill="1" applyBorder="1" applyAlignment="1">
      <alignment horizontal="center"/>
    </xf>
    <xf numFmtId="7" fontId="2" fillId="0" borderId="0" xfId="5" applyNumberFormat="1" applyFont="1" applyAlignment="1">
      <alignment horizontal="center"/>
    </xf>
    <xf numFmtId="9" fontId="2" fillId="0" borderId="0" xfId="5" applyNumberFormat="1" applyFont="1" applyAlignment="1">
      <alignment horizontal="center"/>
    </xf>
    <xf numFmtId="171" fontId="0" fillId="0" borderId="0" xfId="0" applyNumberFormat="1"/>
    <xf numFmtId="10" fontId="0" fillId="0" borderId="0" xfId="2" applyNumberFormat="1" applyFont="1" applyAlignment="1">
      <alignment horizontal="center"/>
    </xf>
    <xf numFmtId="0" fontId="30" fillId="0" borderId="17" xfId="0" applyFont="1" applyBorder="1"/>
    <xf numFmtId="0" fontId="30" fillId="0" borderId="15" xfId="0" applyFont="1" applyBorder="1"/>
    <xf numFmtId="0" fontId="30" fillId="0" borderId="15" xfId="0" applyFont="1" applyBorder="1" applyAlignment="1">
      <alignment horizontal="center"/>
    </xf>
    <xf numFmtId="0" fontId="30" fillId="0" borderId="16" xfId="0" applyFont="1" applyBorder="1" applyAlignment="1">
      <alignment horizontal="center"/>
    </xf>
    <xf numFmtId="0" fontId="30" fillId="0" borderId="0" xfId="0" applyFont="1" applyAlignment="1">
      <alignment horizontal="right"/>
    </xf>
    <xf numFmtId="8" fontId="0" fillId="0" borderId="0" xfId="0" applyNumberFormat="1"/>
    <xf numFmtId="0" fontId="30" fillId="0" borderId="7" xfId="0" applyFont="1" applyBorder="1"/>
    <xf numFmtId="0" fontId="30" fillId="0" borderId="8" xfId="0" applyFont="1" applyBorder="1"/>
    <xf numFmtId="0" fontId="30" fillId="0" borderId="8" xfId="0" applyFont="1" applyBorder="1" applyAlignment="1">
      <alignment horizontal="right"/>
    </xf>
    <xf numFmtId="165" fontId="30" fillId="3" borderId="9" xfId="2" applyNumberFormat="1" applyFont="1" applyFill="1" applyBorder="1" applyAlignment="1">
      <alignment horizontal="center"/>
    </xf>
    <xf numFmtId="1" fontId="20" fillId="0" borderId="4" xfId="0" applyNumberFormat="1" applyFont="1" applyBorder="1" applyAlignment="1">
      <alignment horizontal="center"/>
    </xf>
    <xf numFmtId="1" fontId="20" fillId="0" borderId="5" xfId="0" applyNumberFormat="1" applyFont="1" applyBorder="1" applyAlignment="1">
      <alignment horizontal="center"/>
    </xf>
    <xf numFmtId="1" fontId="20" fillId="0" borderId="6" xfId="0" applyNumberFormat="1" applyFont="1" applyBorder="1" applyAlignment="1">
      <alignment horizontal="center"/>
    </xf>
    <xf numFmtId="10" fontId="2" fillId="0" borderId="0" xfId="5" applyNumberFormat="1" applyFont="1" applyAlignment="1">
      <alignment horizontal="center"/>
    </xf>
    <xf numFmtId="164" fontId="0" fillId="0" borderId="0" xfId="0" applyNumberFormat="1"/>
    <xf numFmtId="10" fontId="0" fillId="0" borderId="0" xfId="4" applyNumberFormat="1" applyFont="1" applyAlignment="1">
      <alignment horizontal="center"/>
    </xf>
    <xf numFmtId="172" fontId="0" fillId="0" borderId="0" xfId="0" applyNumberFormat="1"/>
    <xf numFmtId="173" fontId="0" fillId="0" borderId="0" xfId="0" applyNumberFormat="1"/>
    <xf numFmtId="7" fontId="2" fillId="3" borderId="5" xfId="5" applyNumberFormat="1" applyFont="1" applyFill="1" applyBorder="1" applyAlignment="1">
      <alignment horizontal="center"/>
    </xf>
    <xf numFmtId="0" fontId="2" fillId="0" borderId="6" xfId="0" applyFont="1" applyBorder="1"/>
    <xf numFmtId="168" fontId="23" fillId="0" borderId="0" xfId="0" applyNumberFormat="1" applyFont="1" applyAlignment="1">
      <alignment horizontal="center"/>
    </xf>
    <xf numFmtId="164" fontId="24" fillId="0" borderId="11" xfId="0" applyNumberFormat="1" applyFont="1" applyBorder="1" applyAlignment="1">
      <alignment horizontal="center"/>
    </xf>
    <xf numFmtId="7" fontId="1" fillId="0" borderId="0" xfId="5" applyNumberFormat="1" applyFont="1" applyAlignment="1">
      <alignment horizontal="center"/>
    </xf>
    <xf numFmtId="10" fontId="27" fillId="0" borderId="0" xfId="2" applyNumberFormat="1" applyFont="1" applyAlignment="1">
      <alignment horizontal="center"/>
    </xf>
    <xf numFmtId="5" fontId="1" fillId="0" borderId="0" xfId="7" applyNumberFormat="1" applyFont="1" applyAlignment="1">
      <alignment horizontal="center"/>
    </xf>
    <xf numFmtId="167" fontId="24" fillId="0" borderId="10" xfId="0" applyNumberFormat="1" applyFont="1" applyBorder="1"/>
    <xf numFmtId="167" fontId="27" fillId="0" borderId="10" xfId="0" applyNumberFormat="1" applyFont="1" applyBorder="1"/>
    <xf numFmtId="10" fontId="0" fillId="0" borderId="8" xfId="0" applyNumberFormat="1" applyBorder="1" applyAlignment="1">
      <alignment horizontal="center"/>
    </xf>
    <xf numFmtId="6" fontId="0" fillId="0" borderId="9" xfId="0" applyNumberFormat="1" applyBorder="1" applyAlignment="1">
      <alignment horizontal="center"/>
    </xf>
    <xf numFmtId="7" fontId="2" fillId="3" borderId="6" xfId="7" applyNumberFormat="1" applyFont="1" applyFill="1" applyBorder="1" applyAlignment="1">
      <alignment horizontal="center"/>
    </xf>
    <xf numFmtId="9" fontId="0" fillId="0" borderId="5" xfId="0" applyNumberFormat="1" applyBorder="1" applyAlignment="1">
      <alignment horizontal="center"/>
    </xf>
    <xf numFmtId="7" fontId="2" fillId="0" borderId="0" xfId="7" applyNumberFormat="1" applyFont="1" applyAlignment="1">
      <alignment horizontal="center"/>
    </xf>
    <xf numFmtId="9" fontId="0" fillId="0" borderId="0" xfId="0" applyNumberFormat="1" applyAlignment="1">
      <alignment horizontal="center"/>
    </xf>
    <xf numFmtId="0" fontId="33" fillId="0" borderId="0" xfId="8"/>
    <xf numFmtId="0" fontId="35" fillId="4" borderId="0" xfId="8" applyFont="1" applyFill="1"/>
    <xf numFmtId="0" fontId="13" fillId="4" borderId="11" xfId="8" applyFont="1" applyFill="1" applyBorder="1"/>
    <xf numFmtId="0" fontId="37" fillId="4" borderId="8" xfId="8" applyFont="1" applyFill="1" applyBorder="1"/>
    <xf numFmtId="0" fontId="13" fillId="4" borderId="9" xfId="8" applyFont="1" applyFill="1" applyBorder="1"/>
    <xf numFmtId="0" fontId="13" fillId="0" borderId="0" xfId="8" applyFont="1"/>
    <xf numFmtId="0" fontId="38" fillId="5" borderId="0" xfId="9" applyFont="1" applyFill="1"/>
    <xf numFmtId="0" fontId="38" fillId="6" borderId="0" xfId="9" applyFont="1" applyFill="1"/>
    <xf numFmtId="0" fontId="38" fillId="7" borderId="0" xfId="9" applyFont="1" applyFill="1"/>
    <xf numFmtId="0" fontId="38" fillId="8" borderId="0" xfId="8" applyFont="1" applyFill="1" applyAlignment="1">
      <alignment horizontal="center"/>
    </xf>
    <xf numFmtId="0" fontId="38" fillId="9" borderId="0" xfId="8" applyFont="1" applyFill="1" applyAlignment="1">
      <alignment horizontal="center"/>
    </xf>
    <xf numFmtId="14" fontId="13" fillId="0" borderId="0" xfId="8" applyNumberFormat="1" applyFont="1"/>
    <xf numFmtId="170" fontId="33" fillId="0" borderId="0" xfId="8" applyNumberFormat="1"/>
    <xf numFmtId="2" fontId="33" fillId="0" borderId="0" xfId="8" applyNumberFormat="1"/>
    <xf numFmtId="0" fontId="13" fillId="0" borderId="0" xfId="10" applyFont="1" applyAlignment="1"/>
    <xf numFmtId="0" fontId="39" fillId="0" borderId="0" xfId="10" applyAlignment="1"/>
    <xf numFmtId="0" fontId="40" fillId="0" borderId="0" xfId="10" applyFont="1" applyAlignment="1"/>
    <xf numFmtId="0" fontId="41" fillId="0" borderId="0" xfId="10" applyFont="1" applyAlignment="1"/>
    <xf numFmtId="0" fontId="39" fillId="0" borderId="41" xfId="10" applyBorder="1" applyAlignment="1"/>
    <xf numFmtId="0" fontId="39" fillId="0" borderId="42" xfId="10" applyBorder="1" applyAlignment="1"/>
    <xf numFmtId="0" fontId="39" fillId="0" borderId="43" xfId="10" applyBorder="1" applyAlignment="1"/>
    <xf numFmtId="0" fontId="39" fillId="0" borderId="25" xfId="10" applyBorder="1" applyAlignment="1"/>
    <xf numFmtId="0" fontId="39" fillId="0" borderId="0" xfId="10" applyAlignment="1">
      <alignment horizontal="right"/>
    </xf>
    <xf numFmtId="0" fontId="13" fillId="0" borderId="0" xfId="10" applyFont="1" applyAlignment="1">
      <alignment horizontal="center"/>
    </xf>
    <xf numFmtId="0" fontId="39" fillId="0" borderId="44" xfId="10" applyBorder="1" applyAlignment="1"/>
    <xf numFmtId="14" fontId="13" fillId="0" borderId="0" xfId="8" applyNumberFormat="1" applyFont="1" applyAlignment="1">
      <alignment horizontal="center"/>
    </xf>
    <xf numFmtId="0" fontId="42" fillId="0" borderId="44" xfId="10" applyFont="1" applyBorder="1" applyAlignment="1">
      <alignment horizontal="center"/>
    </xf>
    <xf numFmtId="174" fontId="33" fillId="0" borderId="0" xfId="8" applyNumberFormat="1"/>
    <xf numFmtId="170" fontId="33" fillId="0" borderId="45" xfId="8" applyNumberFormat="1" applyBorder="1"/>
    <xf numFmtId="170" fontId="39" fillId="0" borderId="44" xfId="10" applyNumberFormat="1" applyBorder="1" applyAlignment="1">
      <alignment horizontal="center"/>
    </xf>
    <xf numFmtId="0" fontId="39" fillId="0" borderId="44" xfId="10" applyBorder="1" applyAlignment="1">
      <alignment horizontal="center"/>
    </xf>
    <xf numFmtId="0" fontId="39" fillId="0" borderId="25" xfId="10" applyBorder="1" applyAlignment="1">
      <alignment horizontal="right"/>
    </xf>
    <xf numFmtId="0" fontId="43" fillId="0" borderId="0" xfId="10" applyFont="1" applyAlignment="1">
      <alignment horizontal="right"/>
    </xf>
    <xf numFmtId="0" fontId="13" fillId="3" borderId="0" xfId="10" applyFont="1" applyFill="1" applyAlignment="1">
      <alignment horizontal="right"/>
    </xf>
    <xf numFmtId="10" fontId="13" fillId="3" borderId="44" xfId="11" applyNumberFormat="1" applyFont="1" applyFill="1" applyBorder="1" applyAlignment="1">
      <alignment horizontal="center"/>
    </xf>
    <xf numFmtId="0" fontId="39" fillId="0" borderId="46" xfId="10" applyBorder="1" applyAlignment="1"/>
    <xf numFmtId="0" fontId="39" fillId="0" borderId="15" xfId="10" applyBorder="1" applyAlignment="1"/>
    <xf numFmtId="0" fontId="39" fillId="0" borderId="24" xfId="10" applyBorder="1" applyAlignment="1"/>
    <xf numFmtId="0" fontId="44" fillId="0" borderId="0" xfId="12" applyFont="1"/>
    <xf numFmtId="0" fontId="45" fillId="0" borderId="0" xfId="12" applyFont="1" applyAlignment="1">
      <alignment horizontal="center"/>
    </xf>
    <xf numFmtId="0" fontId="44" fillId="0" borderId="0" xfId="12" applyFont="1" applyAlignment="1">
      <alignment wrapText="1"/>
    </xf>
    <xf numFmtId="17" fontId="46" fillId="0" borderId="0" xfId="12" applyNumberFormat="1" applyFont="1" applyAlignment="1">
      <alignment horizontal="center"/>
    </xf>
    <xf numFmtId="0" fontId="47" fillId="0" borderId="0" xfId="12" applyFont="1" applyAlignment="1">
      <alignment horizontal="center"/>
    </xf>
    <xf numFmtId="175" fontId="47" fillId="0" borderId="0" xfId="12" applyNumberFormat="1" applyFont="1" applyAlignment="1">
      <alignment horizontal="left" vertical="top"/>
    </xf>
    <xf numFmtId="0" fontId="47" fillId="0" borderId="0" xfId="12" applyFont="1"/>
    <xf numFmtId="9" fontId="47" fillId="0" borderId="0" xfId="12" applyNumberFormat="1" applyFont="1" applyAlignment="1">
      <alignment horizontal="center" wrapText="1"/>
    </xf>
    <xf numFmtId="0" fontId="47" fillId="0" borderId="0" xfId="12" applyFont="1" applyAlignment="1">
      <alignment horizontal="left" wrapText="1"/>
    </xf>
    <xf numFmtId="0" fontId="44" fillId="0" borderId="1" xfId="12" applyFont="1" applyBorder="1"/>
    <xf numFmtId="171" fontId="44" fillId="0" borderId="2" xfId="12" applyNumberFormat="1" applyFont="1" applyBorder="1" applyAlignment="1">
      <alignment horizontal="center"/>
    </xf>
    <xf numFmtId="171" fontId="44" fillId="0" borderId="13" xfId="12" applyNumberFormat="1" applyFont="1" applyBorder="1" applyAlignment="1">
      <alignment horizontal="center"/>
    </xf>
    <xf numFmtId="171" fontId="44" fillId="0" borderId="47" xfId="12" applyNumberFormat="1" applyFont="1" applyBorder="1"/>
    <xf numFmtId="0" fontId="44" fillId="0" borderId="7" xfId="12" applyFont="1" applyBorder="1"/>
    <xf numFmtId="168" fontId="44" fillId="0" borderId="8" xfId="12" applyNumberFormat="1" applyFont="1" applyBorder="1" applyAlignment="1">
      <alignment horizontal="center"/>
    </xf>
    <xf numFmtId="168" fontId="44" fillId="0" borderId="40" xfId="12" applyNumberFormat="1" applyFont="1" applyBorder="1"/>
    <xf numFmtId="0" fontId="44" fillId="0" borderId="2" xfId="12" applyFont="1" applyBorder="1"/>
    <xf numFmtId="0" fontId="44" fillId="0" borderId="10" xfId="12" applyFont="1" applyBorder="1"/>
    <xf numFmtId="168" fontId="44" fillId="0" borderId="0" xfId="12" applyNumberFormat="1" applyFont="1" applyAlignment="1">
      <alignment horizontal="center"/>
    </xf>
    <xf numFmtId="0" fontId="44" fillId="0" borderId="8" xfId="12" applyFont="1" applyBorder="1"/>
    <xf numFmtId="0" fontId="44" fillId="0" borderId="1" xfId="12" applyFont="1" applyBorder="1" applyAlignment="1">
      <alignment wrapText="1"/>
    </xf>
    <xf numFmtId="0" fontId="44" fillId="0" borderId="7" xfId="12" applyFont="1" applyBorder="1" applyAlignment="1">
      <alignment wrapText="1"/>
    </xf>
    <xf numFmtId="168" fontId="44" fillId="0" borderId="48" xfId="12" applyNumberFormat="1" applyFont="1" applyBorder="1"/>
    <xf numFmtId="171" fontId="44" fillId="0" borderId="0" xfId="12" applyNumberFormat="1" applyFont="1" applyAlignment="1">
      <alignment horizontal="center"/>
    </xf>
    <xf numFmtId="171" fontId="44" fillId="0" borderId="48" xfId="12" applyNumberFormat="1" applyFont="1" applyBorder="1"/>
    <xf numFmtId="0" fontId="44" fillId="0" borderId="0" xfId="12" applyFont="1" applyAlignment="1">
      <alignment horizontal="right" wrapText="1"/>
    </xf>
    <xf numFmtId="0" fontId="44" fillId="0" borderId="0" xfId="12" applyFont="1" applyAlignment="1">
      <alignment horizontal="center"/>
    </xf>
    <xf numFmtId="0" fontId="44" fillId="0" borderId="0" xfId="12" applyFont="1" applyAlignment="1">
      <alignment horizontal="right"/>
    </xf>
    <xf numFmtId="10" fontId="44" fillId="0" borderId="0" xfId="2" applyNumberFormat="1" applyFont="1" applyAlignment="1">
      <alignment horizontal="center"/>
    </xf>
    <xf numFmtId="9" fontId="44" fillId="0" borderId="0" xfId="2" applyFont="1" applyAlignment="1">
      <alignment horizontal="center"/>
    </xf>
    <xf numFmtId="42" fontId="7" fillId="0" borderId="22" xfId="0" applyNumberFormat="1" applyFont="1" applyBorder="1"/>
    <xf numFmtId="166" fontId="7" fillId="0" borderId="23" xfId="1" applyNumberFormat="1" applyFont="1" applyFill="1" applyBorder="1" applyAlignment="1">
      <alignment horizontal="right"/>
    </xf>
    <xf numFmtId="166" fontId="11" fillId="0" borderId="24" xfId="1" applyNumberFormat="1" applyFont="1" applyFill="1" applyBorder="1"/>
    <xf numFmtId="44" fontId="5" fillId="0" borderId="6" xfId="1" applyFont="1" applyFill="1" applyBorder="1"/>
    <xf numFmtId="9" fontId="5" fillId="0" borderId="0" xfId="2" applyFont="1" applyBorder="1"/>
    <xf numFmtId="44" fontId="5" fillId="0" borderId="0" xfId="1" applyFont="1" applyBorder="1"/>
    <xf numFmtId="0" fontId="12" fillId="0" borderId="1" xfId="0" applyFont="1" applyBorder="1" applyAlignment="1">
      <alignment horizontal="center"/>
    </xf>
    <xf numFmtId="44" fontId="49" fillId="0" borderId="3" xfId="1" applyFont="1" applyBorder="1"/>
    <xf numFmtId="0" fontId="12" fillId="0" borderId="10" xfId="0" applyFont="1" applyBorder="1" applyAlignment="1">
      <alignment horizontal="center"/>
    </xf>
    <xf numFmtId="44" fontId="49" fillId="0" borderId="16" xfId="1" applyFont="1" applyBorder="1"/>
    <xf numFmtId="44" fontId="50" fillId="0" borderId="11" xfId="1" applyFont="1" applyBorder="1"/>
    <xf numFmtId="0" fontId="12" fillId="0" borderId="7" xfId="0" applyFont="1" applyBorder="1" applyAlignment="1">
      <alignment horizontal="center"/>
    </xf>
    <xf numFmtId="10" fontId="12" fillId="0" borderId="9" xfId="2" applyNumberFormat="1" applyFont="1" applyBorder="1"/>
    <xf numFmtId="0" fontId="4" fillId="0" borderId="3" xfId="0" applyFont="1" applyBorder="1" applyAlignment="1">
      <alignment wrapText="1"/>
    </xf>
    <xf numFmtId="0" fontId="4" fillId="0" borderId="11" xfId="0" applyFont="1" applyBorder="1" applyAlignment="1">
      <alignment wrapText="1"/>
    </xf>
    <xf numFmtId="0" fontId="7" fillId="0" borderId="0" xfId="0" applyFont="1" applyAlignment="1">
      <alignment horizontal="center"/>
    </xf>
    <xf numFmtId="0" fontId="7" fillId="0" borderId="0" xfId="0" applyFont="1" applyAlignment="1">
      <alignment horizontal="right"/>
    </xf>
    <xf numFmtId="2" fontId="7" fillId="0" borderId="0" xfId="0" applyNumberFormat="1" applyFont="1" applyAlignment="1">
      <alignment horizontal="center" wrapText="1"/>
    </xf>
    <xf numFmtId="0" fontId="4" fillId="0" borderId="9" xfId="0" applyFont="1" applyBorder="1" applyAlignment="1">
      <alignment wrapText="1"/>
    </xf>
    <xf numFmtId="0" fontId="7" fillId="10" borderId="10" xfId="0" applyFont="1" applyFill="1" applyBorder="1"/>
    <xf numFmtId="0" fontId="7" fillId="10" borderId="0" xfId="0" applyFont="1" applyFill="1"/>
    <xf numFmtId="44" fontId="7" fillId="10" borderId="11" xfId="1" applyFont="1" applyFill="1" applyBorder="1"/>
    <xf numFmtId="0" fontId="14" fillId="10" borderId="10" xfId="3" applyFont="1" applyFill="1" applyBorder="1"/>
    <xf numFmtId="8" fontId="7" fillId="10" borderId="11" xfId="1" applyNumberFormat="1" applyFont="1" applyFill="1" applyBorder="1"/>
    <xf numFmtId="0" fontId="0" fillId="0" borderId="0" xfId="0" applyAlignment="1">
      <alignment horizontal="right"/>
    </xf>
    <xf numFmtId="168" fontId="0" fillId="0" borderId="0" xfId="0" applyNumberFormat="1"/>
    <xf numFmtId="168" fontId="0" fillId="0" borderId="0" xfId="0" applyNumberFormat="1" applyAlignment="1">
      <alignment horizontal="right"/>
    </xf>
    <xf numFmtId="164" fontId="0" fillId="0" borderId="0" xfId="0" applyNumberFormat="1" applyAlignment="1">
      <alignment horizontal="right"/>
    </xf>
    <xf numFmtId="0" fontId="2" fillId="0" borderId="0" xfId="0" applyFont="1" applyAlignment="1">
      <alignment wrapText="1"/>
    </xf>
    <xf numFmtId="168" fontId="2" fillId="0" borderId="0" xfId="0" applyNumberFormat="1" applyFont="1"/>
    <xf numFmtId="0" fontId="2" fillId="3" borderId="0" xfId="0" applyFont="1" applyFill="1" applyAlignment="1">
      <alignment horizontal="right"/>
    </xf>
    <xf numFmtId="171" fontId="2" fillId="3" borderId="0" xfId="0" applyNumberFormat="1" applyFont="1" applyFill="1"/>
    <xf numFmtId="164" fontId="21" fillId="3" borderId="0" xfId="0" applyNumberFormat="1" applyFont="1" applyFill="1" applyAlignment="1">
      <alignment horizontal="right" vertical="center"/>
    </xf>
    <xf numFmtId="168" fontId="2" fillId="3" borderId="0" xfId="0" applyNumberFormat="1" applyFont="1" applyFill="1" applyAlignment="1">
      <alignment horizontal="right"/>
    </xf>
    <xf numFmtId="0" fontId="53" fillId="0" borderId="0" xfId="14" applyFont="1" applyAlignment="1">
      <alignment vertical="center"/>
    </xf>
    <xf numFmtId="0" fontId="1" fillId="0" borderId="0" xfId="15"/>
    <xf numFmtId="0" fontId="54" fillId="0" borderId="0" xfId="16"/>
    <xf numFmtId="0" fontId="1" fillId="0" borderId="0" xfId="14"/>
    <xf numFmtId="0" fontId="55" fillId="12" borderId="49" xfId="14" applyFont="1" applyFill="1" applyBorder="1" applyAlignment="1">
      <alignment horizontal="center" vertical="center"/>
    </xf>
    <xf numFmtId="0" fontId="55" fillId="12" borderId="50" xfId="14" applyFont="1" applyFill="1" applyBorder="1" applyAlignment="1">
      <alignment horizontal="center" vertical="center" wrapText="1"/>
    </xf>
    <xf numFmtId="0" fontId="55" fillId="12" borderId="51" xfId="14" applyFont="1" applyFill="1" applyBorder="1" applyAlignment="1">
      <alignment horizontal="center" vertical="center" wrapText="1"/>
    </xf>
    <xf numFmtId="0" fontId="55" fillId="12" borderId="52" xfId="14" applyFont="1" applyFill="1" applyBorder="1" applyAlignment="1">
      <alignment horizontal="center" vertical="center" wrapText="1"/>
    </xf>
    <xf numFmtId="0" fontId="55" fillId="12" borderId="53" xfId="14" applyFont="1" applyFill="1" applyBorder="1" applyAlignment="1">
      <alignment horizontal="center" vertical="center" wrapText="1"/>
    </xf>
    <xf numFmtId="0" fontId="55" fillId="12" borderId="54" xfId="14" applyFont="1" applyFill="1" applyBorder="1" applyAlignment="1">
      <alignment horizontal="center" vertical="center" wrapText="1"/>
    </xf>
    <xf numFmtId="0" fontId="58" fillId="0" borderId="52" xfId="14" applyFont="1" applyBorder="1" applyAlignment="1">
      <alignment horizontal="center" vertical="center" wrapText="1"/>
    </xf>
    <xf numFmtId="8" fontId="58" fillId="0" borderId="50" xfId="14" applyNumberFormat="1" applyFont="1" applyBorder="1" applyAlignment="1">
      <alignment horizontal="center" vertical="center" wrapText="1"/>
    </xf>
    <xf numFmtId="8" fontId="58" fillId="0" borderId="51" xfId="14" applyNumberFormat="1" applyFont="1" applyBorder="1" applyAlignment="1">
      <alignment horizontal="center" vertical="center" wrapText="1"/>
    </xf>
    <xf numFmtId="8" fontId="58" fillId="0" borderId="55" xfId="14" applyNumberFormat="1" applyFont="1" applyBorder="1" applyAlignment="1">
      <alignment horizontal="center" vertical="center" wrapText="1"/>
    </xf>
    <xf numFmtId="8" fontId="58" fillId="13" borderId="56" xfId="14" applyNumberFormat="1" applyFont="1" applyFill="1" applyBorder="1" applyAlignment="1">
      <alignment horizontal="center" vertical="center" wrapText="1"/>
    </xf>
    <xf numFmtId="8" fontId="58" fillId="13" borderId="57" xfId="14" applyNumberFormat="1" applyFont="1" applyFill="1" applyBorder="1" applyAlignment="1">
      <alignment horizontal="center" vertical="center" wrapText="1"/>
    </xf>
    <xf numFmtId="8" fontId="58" fillId="0" borderId="58" xfId="14" applyNumberFormat="1" applyFont="1" applyBorder="1" applyAlignment="1">
      <alignment horizontal="center" vertical="center" wrapText="1"/>
    </xf>
    <xf numFmtId="8" fontId="58" fillId="13" borderId="52" xfId="14" applyNumberFormat="1" applyFont="1" applyFill="1" applyBorder="1" applyAlignment="1">
      <alignment horizontal="center" vertical="center" wrapText="1"/>
    </xf>
    <xf numFmtId="8" fontId="58" fillId="13" borderId="54" xfId="14" applyNumberFormat="1" applyFont="1" applyFill="1" applyBorder="1" applyAlignment="1">
      <alignment horizontal="center" vertical="center" wrapText="1"/>
    </xf>
    <xf numFmtId="0" fontId="58" fillId="0" borderId="59" xfId="14" applyFont="1" applyBorder="1" applyAlignment="1">
      <alignment horizontal="center" vertical="center" wrapText="1"/>
    </xf>
    <xf numFmtId="8" fontId="58" fillId="0" borderId="60" xfId="14" applyNumberFormat="1" applyFont="1" applyBorder="1" applyAlignment="1">
      <alignment horizontal="center" vertical="center" wrapText="1"/>
    </xf>
    <xf numFmtId="8" fontId="58" fillId="0" borderId="61" xfId="14" applyNumberFormat="1" applyFont="1" applyBorder="1" applyAlignment="1">
      <alignment horizontal="center" vertical="center" wrapText="1"/>
    </xf>
    <xf numFmtId="8" fontId="58" fillId="0" borderId="62" xfId="14" applyNumberFormat="1" applyFont="1" applyBorder="1" applyAlignment="1">
      <alignment horizontal="center" vertical="center" wrapText="1"/>
    </xf>
    <xf numFmtId="8" fontId="58" fillId="13" borderId="59" xfId="14" applyNumberFormat="1" applyFont="1" applyFill="1" applyBorder="1" applyAlignment="1">
      <alignment horizontal="center" vertical="center" wrapText="1"/>
    </xf>
    <xf numFmtId="8" fontId="58" fillId="13" borderId="63" xfId="14" applyNumberFormat="1" applyFont="1" applyFill="1" applyBorder="1" applyAlignment="1">
      <alignment horizontal="center" vertical="center" wrapText="1"/>
    </xf>
    <xf numFmtId="8" fontId="58" fillId="0" borderId="64" xfId="14" applyNumberFormat="1" applyFont="1" applyBorder="1" applyAlignment="1">
      <alignment horizontal="center" vertical="center" wrapText="1"/>
    </xf>
    <xf numFmtId="0" fontId="23" fillId="0" borderId="0" xfId="14" applyFont="1"/>
    <xf numFmtId="0" fontId="25" fillId="0" borderId="2" xfId="14" applyFont="1" applyBorder="1"/>
    <xf numFmtId="0" fontId="25" fillId="0" borderId="65" xfId="14" applyFont="1" applyBorder="1"/>
    <xf numFmtId="8" fontId="25" fillId="0" borderId="65" xfId="14" applyNumberFormat="1" applyFont="1" applyBorder="1" applyAlignment="1">
      <alignment horizontal="center"/>
    </xf>
    <xf numFmtId="8" fontId="25" fillId="13" borderId="65" xfId="14" applyNumberFormat="1" applyFont="1" applyFill="1" applyBorder="1" applyAlignment="1">
      <alignment horizontal="center"/>
    </xf>
    <xf numFmtId="8" fontId="1" fillId="0" borderId="0" xfId="15" applyNumberFormat="1"/>
    <xf numFmtId="8" fontId="25" fillId="0" borderId="27" xfId="14" applyNumberFormat="1" applyFont="1" applyBorder="1"/>
    <xf numFmtId="0" fontId="25" fillId="0" borderId="27" xfId="14" applyFont="1" applyBorder="1" applyAlignment="1">
      <alignment horizontal="center"/>
    </xf>
    <xf numFmtId="8" fontId="25" fillId="0" borderId="44" xfId="14" applyNumberFormat="1" applyFont="1" applyBorder="1"/>
    <xf numFmtId="8" fontId="23" fillId="0" borderId="66" xfId="14" applyNumberFormat="1" applyFont="1" applyBorder="1"/>
    <xf numFmtId="10" fontId="23" fillId="0" borderId="66" xfId="17" applyNumberFormat="1" applyFont="1" applyBorder="1"/>
    <xf numFmtId="8" fontId="25" fillId="3" borderId="6" xfId="14" applyNumberFormat="1" applyFont="1" applyFill="1" applyBorder="1"/>
    <xf numFmtId="8" fontId="25" fillId="0" borderId="24" xfId="14" applyNumberFormat="1" applyFont="1" applyBorder="1"/>
    <xf numFmtId="8" fontId="25" fillId="0" borderId="22" xfId="14" applyNumberFormat="1" applyFont="1" applyBorder="1"/>
    <xf numFmtId="10" fontId="10" fillId="0" borderId="0" xfId="0" applyNumberFormat="1" applyFont="1"/>
    <xf numFmtId="9" fontId="7" fillId="0" borderId="0" xfId="0" applyNumberFormat="1" applyFont="1"/>
    <xf numFmtId="42" fontId="7" fillId="0" borderId="20" xfId="0" applyNumberFormat="1" applyFont="1" applyBorder="1"/>
    <xf numFmtId="166" fontId="11" fillId="0" borderId="16" xfId="1" applyNumberFormat="1" applyFont="1" applyFill="1" applyBorder="1"/>
    <xf numFmtId="0" fontId="8" fillId="0" borderId="0" xfId="0" applyFont="1" applyAlignment="1">
      <alignment horizontal="right"/>
    </xf>
    <xf numFmtId="0" fontId="8" fillId="0" borderId="11" xfId="0" applyFont="1" applyBorder="1" applyAlignment="1">
      <alignment horizontal="right"/>
    </xf>
    <xf numFmtId="0" fontId="19" fillId="14" borderId="0" xfId="0" applyFont="1" applyFill="1"/>
    <xf numFmtId="0" fontId="0" fillId="14" borderId="0" xfId="0" applyFill="1"/>
    <xf numFmtId="0" fontId="2" fillId="14" borderId="0" xfId="0" applyFont="1" applyFill="1"/>
    <xf numFmtId="164" fontId="22" fillId="14" borderId="0" xfId="0" applyNumberFormat="1" applyFont="1" applyFill="1" applyAlignment="1">
      <alignment vertical="center"/>
    </xf>
    <xf numFmtId="10" fontId="51" fillId="14" borderId="0" xfId="0" applyNumberFormat="1" applyFont="1" applyFill="1"/>
    <xf numFmtId="10" fontId="2" fillId="0" borderId="0" xfId="2" applyNumberFormat="1" applyFont="1" applyFill="1" applyBorder="1" applyAlignment="1">
      <alignment horizontal="center"/>
    </xf>
    <xf numFmtId="0" fontId="2" fillId="0" borderId="0" xfId="0" applyFont="1" applyAlignment="1">
      <alignment horizontal="left"/>
    </xf>
    <xf numFmtId="0" fontId="59" fillId="0" borderId="2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67" xfId="0" applyFont="1" applyBorder="1" applyAlignment="1">
      <alignment horizontal="center" vertical="center" wrapText="1"/>
    </xf>
    <xf numFmtId="0" fontId="59" fillId="0" borderId="6" xfId="0" applyFont="1" applyBorder="1"/>
    <xf numFmtId="0" fontId="59" fillId="0" borderId="0" xfId="0" applyFont="1"/>
    <xf numFmtId="0" fontId="60" fillId="0" borderId="36" xfId="0" applyFont="1" applyBorder="1" applyAlignment="1">
      <alignment vertical="center" wrapText="1"/>
    </xf>
    <xf numFmtId="0" fontId="28" fillId="0" borderId="38" xfId="0" applyFont="1" applyBorder="1" applyAlignment="1">
      <alignment horizontal="center" vertical="center" wrapText="1"/>
    </xf>
    <xf numFmtId="0" fontId="28" fillId="0" borderId="68" xfId="0" applyFont="1" applyBorder="1" applyAlignment="1">
      <alignment horizontal="center" vertical="center" wrapText="1"/>
    </xf>
    <xf numFmtId="0" fontId="60" fillId="0" borderId="69" xfId="0" applyFont="1" applyBorder="1"/>
    <xf numFmtId="0" fontId="60" fillId="0" borderId="0" xfId="0" applyFont="1"/>
    <xf numFmtId="0" fontId="60" fillId="0" borderId="70" xfId="0" applyFont="1" applyBorder="1" applyAlignment="1">
      <alignment vertical="center" wrapText="1"/>
    </xf>
    <xf numFmtId="0" fontId="28" fillId="0" borderId="45" xfId="0" applyFont="1" applyBorder="1" applyAlignment="1">
      <alignment horizontal="center" vertical="center" wrapText="1"/>
    </xf>
    <xf numFmtId="0" fontId="28" fillId="0" borderId="21" xfId="0" applyFont="1" applyBorder="1" applyAlignment="1">
      <alignment horizontal="center" vertical="center" wrapText="1"/>
    </xf>
    <xf numFmtId="0" fontId="60" fillId="0" borderId="71" xfId="0" applyFont="1" applyBorder="1"/>
    <xf numFmtId="0" fontId="60" fillId="0" borderId="70" xfId="0" applyFont="1" applyBorder="1" applyAlignment="1">
      <alignment vertical="center"/>
    </xf>
    <xf numFmtId="0" fontId="28" fillId="0" borderId="45" xfId="0" applyFont="1" applyBorder="1" applyAlignment="1">
      <alignment horizontal="center" vertical="center"/>
    </xf>
    <xf numFmtId="0" fontId="28" fillId="0" borderId="21" xfId="0" applyFont="1" applyBorder="1" applyAlignment="1">
      <alignment horizontal="center" vertical="center"/>
    </xf>
    <xf numFmtId="0" fontId="59" fillId="0" borderId="72" xfId="0" applyFont="1" applyBorder="1" applyAlignment="1">
      <alignment vertical="center"/>
    </xf>
    <xf numFmtId="0" fontId="37" fillId="0" borderId="73" xfId="0" applyFont="1" applyBorder="1" applyAlignment="1">
      <alignment horizontal="center" vertical="center"/>
    </xf>
    <xf numFmtId="0" fontId="37" fillId="0" borderId="74" xfId="0" applyFont="1" applyBorder="1" applyAlignment="1">
      <alignment horizontal="center" vertical="center"/>
    </xf>
    <xf numFmtId="0" fontId="59" fillId="0" borderId="75" xfId="0" applyFont="1" applyBorder="1"/>
    <xf numFmtId="0" fontId="59" fillId="0" borderId="0" xfId="0" applyFont="1" applyAlignment="1">
      <alignment vertical="center"/>
    </xf>
    <xf numFmtId="0" fontId="59" fillId="0" borderId="0" xfId="0" applyFont="1" applyAlignment="1">
      <alignment horizontal="center" vertical="center"/>
    </xf>
    <xf numFmtId="0" fontId="60" fillId="0" borderId="0" xfId="0" applyFont="1" applyAlignment="1">
      <alignment horizontal="center"/>
    </xf>
    <xf numFmtId="0" fontId="60" fillId="0" borderId="2" xfId="0" applyFont="1" applyBorder="1"/>
    <xf numFmtId="0" fontId="60" fillId="0" borderId="3" xfId="0" applyFont="1" applyBorder="1"/>
    <xf numFmtId="0" fontId="59" fillId="0" borderId="4" xfId="0" applyFont="1" applyBorder="1" applyAlignment="1">
      <alignment horizontal="center" vertical="center" wrapText="1"/>
    </xf>
    <xf numFmtId="0" fontId="37" fillId="15" borderId="27" xfId="0" applyFont="1" applyFill="1" applyBorder="1" applyAlignment="1">
      <alignment horizontal="center" vertical="center" wrapText="1"/>
    </xf>
    <xf numFmtId="0" fontId="37" fillId="15" borderId="5" xfId="0" applyFont="1" applyFill="1" applyBorder="1" applyAlignment="1">
      <alignment horizontal="center" vertical="center" wrapText="1"/>
    </xf>
    <xf numFmtId="0" fontId="37" fillId="15" borderId="6" xfId="0" applyFont="1" applyFill="1" applyBorder="1" applyAlignment="1">
      <alignment horizontal="center" vertical="center" wrapText="1"/>
    </xf>
    <xf numFmtId="0" fontId="60" fillId="0" borderId="76" xfId="0" applyFont="1" applyBorder="1" applyAlignment="1">
      <alignment vertical="center" wrapText="1"/>
    </xf>
    <xf numFmtId="166" fontId="60" fillId="0" borderId="66" xfId="1" applyNumberFormat="1" applyFont="1" applyBorder="1" applyAlignment="1">
      <alignment horizontal="center" vertical="center" wrapText="1"/>
    </xf>
    <xf numFmtId="166" fontId="59" fillId="0" borderId="77" xfId="0" applyNumberFormat="1" applyFont="1" applyBorder="1"/>
    <xf numFmtId="166" fontId="60" fillId="0" borderId="45" xfId="1" applyNumberFormat="1" applyFont="1" applyBorder="1" applyAlignment="1">
      <alignment horizontal="center" vertical="center" wrapText="1"/>
    </xf>
    <xf numFmtId="166" fontId="60" fillId="0" borderId="45" xfId="1" applyNumberFormat="1" applyFont="1" applyBorder="1" applyAlignment="1">
      <alignment horizontal="center" vertical="center"/>
    </xf>
    <xf numFmtId="166" fontId="28" fillId="0" borderId="45" xfId="0" applyNumberFormat="1" applyFont="1" applyBorder="1" applyAlignment="1">
      <alignment horizontal="center" vertical="center"/>
    </xf>
    <xf numFmtId="0" fontId="60" fillId="0" borderId="72" xfId="0" applyFont="1" applyBorder="1" applyAlignment="1">
      <alignment vertical="center"/>
    </xf>
    <xf numFmtId="0" fontId="28" fillId="0" borderId="73" xfId="0" applyFont="1" applyBorder="1" applyAlignment="1">
      <alignment horizontal="center" vertical="center"/>
    </xf>
    <xf numFmtId="166" fontId="28" fillId="0" borderId="73" xfId="0" applyNumberFormat="1" applyFont="1" applyBorder="1" applyAlignment="1">
      <alignment horizontal="center" vertical="center"/>
    </xf>
    <xf numFmtId="166" fontId="60" fillId="0" borderId="73" xfId="1" applyNumberFormat="1" applyFont="1" applyBorder="1" applyAlignment="1">
      <alignment horizontal="center" vertical="center" wrapText="1"/>
    </xf>
    <xf numFmtId="0" fontId="60" fillId="0" borderId="40" xfId="0" applyFont="1" applyBorder="1" applyAlignment="1">
      <alignment vertical="center"/>
    </xf>
    <xf numFmtId="166" fontId="61" fillId="0" borderId="9" xfId="1" applyNumberFormat="1" applyFont="1" applyBorder="1" applyAlignment="1">
      <alignment horizontal="center" vertical="center"/>
    </xf>
    <xf numFmtId="0" fontId="60" fillId="0" borderId="4" xfId="0" applyFont="1" applyBorder="1"/>
    <xf numFmtId="166" fontId="60" fillId="0" borderId="5" xfId="1" applyNumberFormat="1" applyFont="1" applyBorder="1" applyAlignment="1">
      <alignment horizontal="center"/>
    </xf>
    <xf numFmtId="166" fontId="60" fillId="0" borderId="5" xfId="1" applyNumberFormat="1" applyFont="1" applyBorder="1"/>
    <xf numFmtId="166" fontId="61" fillId="0" borderId="6" xfId="1" applyNumberFormat="1" applyFont="1" applyBorder="1" applyAlignment="1">
      <alignment horizontal="center" vertical="center"/>
    </xf>
    <xf numFmtId="166" fontId="60" fillId="0" borderId="5" xfId="0" applyNumberFormat="1" applyFont="1" applyBorder="1" applyAlignment="1">
      <alignment horizontal="center"/>
    </xf>
    <xf numFmtId="166" fontId="60" fillId="0" borderId="6" xfId="0" applyNumberFormat="1" applyFont="1" applyBorder="1" applyAlignment="1">
      <alignment horizontal="center"/>
    </xf>
    <xf numFmtId="44" fontId="60" fillId="0" borderId="0" xfId="0" applyNumberFormat="1" applyFont="1"/>
    <xf numFmtId="0" fontId="2" fillId="16" borderId="0" xfId="0" applyFont="1" applyFill="1" applyAlignment="1">
      <alignment wrapText="1"/>
    </xf>
    <xf numFmtId="0" fontId="2" fillId="16" borderId="0" xfId="0" applyFont="1" applyFill="1" applyAlignment="1">
      <alignment horizontal="left" wrapText="1"/>
    </xf>
    <xf numFmtId="0" fontId="2" fillId="0" borderId="0" xfId="0" applyFont="1" applyAlignment="1">
      <alignment horizontal="left" wrapText="1"/>
    </xf>
    <xf numFmtId="168" fontId="0" fillId="0" borderId="0" xfId="0" applyNumberFormat="1" applyAlignment="1">
      <alignment wrapText="1"/>
    </xf>
    <xf numFmtId="171" fontId="2" fillId="3" borderId="0" xfId="0" applyNumberFormat="1" applyFont="1" applyFill="1" applyAlignment="1">
      <alignment horizontal="right"/>
    </xf>
    <xf numFmtId="0" fontId="14" fillId="0" borderId="10" xfId="3" applyFont="1" applyBorder="1"/>
    <xf numFmtId="7" fontId="7" fillId="0" borderId="11" xfId="1" applyNumberFormat="1" applyFont="1" applyFill="1" applyBorder="1"/>
    <xf numFmtId="43" fontId="59" fillId="0" borderId="0" xfId="18" applyFont="1" applyAlignment="1">
      <alignment horizontal="center"/>
    </xf>
    <xf numFmtId="43" fontId="60" fillId="0" borderId="0" xfId="18" applyFont="1" applyAlignment="1">
      <alignment horizontal="center"/>
    </xf>
    <xf numFmtId="176" fontId="60" fillId="0" borderId="0" xfId="18" applyNumberFormat="1" applyFont="1" applyAlignment="1">
      <alignment horizontal="center"/>
    </xf>
    <xf numFmtId="171" fontId="60" fillId="0" borderId="0" xfId="0" applyNumberFormat="1" applyFont="1"/>
    <xf numFmtId="0" fontId="59" fillId="0" borderId="0" xfId="0" applyFont="1" applyAlignment="1">
      <alignment horizontal="right"/>
    </xf>
    <xf numFmtId="0" fontId="60" fillId="0" borderId="0" xfId="0" applyFont="1" applyAlignment="1">
      <alignment horizontal="right"/>
    </xf>
    <xf numFmtId="168" fontId="60" fillId="0" borderId="0" xfId="0" applyNumberFormat="1" applyFont="1" applyAlignment="1">
      <alignment horizontal="right"/>
    </xf>
    <xf numFmtId="0" fontId="60" fillId="0" borderId="26" xfId="0" applyFont="1" applyBorder="1" applyAlignment="1">
      <alignment horizontal="right"/>
    </xf>
    <xf numFmtId="168" fontId="59" fillId="0" borderId="0" xfId="0" applyNumberFormat="1" applyFont="1" applyAlignment="1">
      <alignment horizontal="right"/>
    </xf>
    <xf numFmtId="168" fontId="60" fillId="0" borderId="0" xfId="0" applyNumberFormat="1" applyFont="1"/>
    <xf numFmtId="168" fontId="60" fillId="0" borderId="26" xfId="0" applyNumberFormat="1" applyFont="1" applyBorder="1"/>
    <xf numFmtId="168" fontId="59" fillId="0" borderId="0" xfId="0" applyNumberFormat="1" applyFont="1"/>
    <xf numFmtId="10" fontId="59" fillId="0" borderId="0" xfId="2" applyNumberFormat="1" applyFont="1"/>
    <xf numFmtId="177" fontId="0" fillId="0" borderId="0" xfId="0" applyNumberFormat="1"/>
    <xf numFmtId="0" fontId="44" fillId="0" borderId="0" xfId="19" applyFont="1"/>
    <xf numFmtId="0" fontId="45" fillId="0" borderId="0" xfId="19" applyFont="1" applyAlignment="1">
      <alignment horizontal="center"/>
    </xf>
    <xf numFmtId="0" fontId="44" fillId="0" borderId="0" xfId="19" applyFont="1" applyAlignment="1">
      <alignment wrapText="1"/>
    </xf>
    <xf numFmtId="17" fontId="46" fillId="0" borderId="0" xfId="19" applyNumberFormat="1" applyFont="1" applyAlignment="1">
      <alignment horizontal="center"/>
    </xf>
    <xf numFmtId="175" fontId="47" fillId="0" borderId="0" xfId="19" applyNumberFormat="1" applyFont="1" applyAlignment="1">
      <alignment horizontal="left" vertical="top"/>
    </xf>
    <xf numFmtId="0" fontId="47" fillId="0" borderId="0" xfId="19" applyFont="1" applyAlignment="1">
      <alignment horizontal="center"/>
    </xf>
    <xf numFmtId="0" fontId="47" fillId="0" borderId="0" xfId="19" applyFont="1"/>
    <xf numFmtId="9" fontId="47" fillId="0" borderId="0" xfId="19" applyNumberFormat="1" applyFont="1" applyAlignment="1">
      <alignment horizontal="center" wrapText="1"/>
    </xf>
    <xf numFmtId="0" fontId="47" fillId="0" borderId="0" xfId="19" applyFont="1" applyAlignment="1">
      <alignment horizontal="left" wrapText="1"/>
    </xf>
    <xf numFmtId="0" fontId="62" fillId="0" borderId="1" xfId="19" applyFont="1" applyBorder="1"/>
    <xf numFmtId="171" fontId="44" fillId="0" borderId="13" xfId="19" applyNumberFormat="1" applyFont="1" applyBorder="1" applyAlignment="1">
      <alignment horizontal="center"/>
    </xf>
    <xf numFmtId="0" fontId="62" fillId="0" borderId="7" xfId="19" applyFont="1" applyBorder="1"/>
    <xf numFmtId="168" fontId="44" fillId="0" borderId="8" xfId="19" applyNumberFormat="1" applyFont="1" applyBorder="1" applyAlignment="1">
      <alignment horizontal="center"/>
    </xf>
    <xf numFmtId="0" fontId="44" fillId="0" borderId="1" xfId="19" applyFont="1" applyBorder="1"/>
    <xf numFmtId="0" fontId="44" fillId="0" borderId="2" xfId="19" applyFont="1" applyBorder="1"/>
    <xf numFmtId="0" fontId="44" fillId="0" borderId="10" xfId="19" applyFont="1" applyBorder="1"/>
    <xf numFmtId="168" fontId="44" fillId="0" borderId="0" xfId="19" applyNumberFormat="1" applyFont="1" applyAlignment="1">
      <alignment horizontal="center"/>
    </xf>
    <xf numFmtId="0" fontId="44" fillId="0" borderId="11" xfId="19" applyFont="1" applyBorder="1" applyAlignment="1">
      <alignment horizontal="left" vertical="center" wrapText="1"/>
    </xf>
    <xf numFmtId="0" fontId="44" fillId="0" borderId="7" xfId="19" applyFont="1" applyBorder="1"/>
    <xf numFmtId="0" fontId="44" fillId="0" borderId="8" xfId="19" applyFont="1" applyBorder="1"/>
    <xf numFmtId="0" fontId="44" fillId="0" borderId="1" xfId="19" applyFont="1" applyBorder="1" applyAlignment="1">
      <alignment wrapText="1"/>
    </xf>
    <xf numFmtId="0" fontId="44" fillId="0" borderId="7" xfId="19" applyFont="1" applyBorder="1" applyAlignment="1">
      <alignment wrapText="1"/>
    </xf>
    <xf numFmtId="171" fontId="44" fillId="0" borderId="2" xfId="19" applyNumberFormat="1" applyFont="1" applyBorder="1" applyAlignment="1">
      <alignment horizontal="center"/>
    </xf>
    <xf numFmtId="171" fontId="44" fillId="0" borderId="0" xfId="19" applyNumberFormat="1" applyFont="1" applyAlignment="1">
      <alignment horizontal="center"/>
    </xf>
    <xf numFmtId="0" fontId="62" fillId="0" borderId="10" xfId="19" applyFont="1" applyBorder="1"/>
    <xf numFmtId="0" fontId="44" fillId="0" borderId="2" xfId="19" applyFont="1" applyBorder="1" applyAlignment="1">
      <alignment horizontal="left" vertical="center" wrapText="1"/>
    </xf>
    <xf numFmtId="0" fontId="44" fillId="0" borderId="8" xfId="19" applyFont="1" applyBorder="1" applyAlignment="1">
      <alignment horizontal="left" vertical="center" wrapText="1"/>
    </xf>
    <xf numFmtId="0" fontId="63" fillId="0" borderId="0" xfId="19" applyFont="1" applyAlignment="1">
      <alignment horizontal="right" wrapText="1"/>
    </xf>
    <xf numFmtId="0" fontId="44" fillId="0" borderId="0" xfId="19" applyFont="1" applyAlignment="1">
      <alignment horizontal="center"/>
    </xf>
    <xf numFmtId="0" fontId="44" fillId="0" borderId="0" xfId="19" applyFont="1" applyAlignment="1">
      <alignment horizontal="right"/>
    </xf>
    <xf numFmtId="10" fontId="44" fillId="0" borderId="0" xfId="20" applyNumberFormat="1" applyFont="1" applyAlignment="1">
      <alignment horizontal="center"/>
    </xf>
    <xf numFmtId="9" fontId="44" fillId="0" borderId="0" xfId="20" applyFont="1" applyAlignment="1">
      <alignment horizontal="center"/>
    </xf>
    <xf numFmtId="9" fontId="44" fillId="0" borderId="0" xfId="20" applyFont="1"/>
    <xf numFmtId="0" fontId="62" fillId="0" borderId="0" xfId="19" applyFont="1" applyAlignment="1">
      <alignment horizontal="right"/>
    </xf>
    <xf numFmtId="6" fontId="44" fillId="0" borderId="0" xfId="19" applyNumberFormat="1" applyFont="1" applyAlignment="1">
      <alignment horizontal="center"/>
    </xf>
    <xf numFmtId="0" fontId="47" fillId="0" borderId="0" xfId="19" applyFont="1" applyAlignment="1">
      <alignment horizontal="right"/>
    </xf>
    <xf numFmtId="0" fontId="47" fillId="0" borderId="0" xfId="19" applyFont="1" applyAlignment="1">
      <alignment horizontal="right" vertical="top"/>
    </xf>
    <xf numFmtId="0" fontId="38" fillId="17" borderId="0" xfId="21" applyFont="1" applyFill="1" applyAlignment="1">
      <alignment horizontal="center"/>
    </xf>
    <xf numFmtId="0" fontId="38" fillId="18" borderId="0" xfId="21" applyFont="1" applyFill="1" applyAlignment="1">
      <alignment horizontal="center"/>
    </xf>
    <xf numFmtId="0" fontId="38" fillId="19" borderId="0" xfId="21" applyFont="1" applyFill="1" applyAlignment="1">
      <alignment horizontal="center"/>
    </xf>
    <xf numFmtId="0" fontId="38" fillId="20" borderId="0" xfId="21" applyFont="1" applyFill="1" applyAlignment="1">
      <alignment horizontal="center"/>
    </xf>
    <xf numFmtId="0" fontId="9" fillId="0" borderId="0" xfId="21"/>
    <xf numFmtId="0" fontId="13" fillId="0" borderId="0" xfId="22" applyFont="1"/>
    <xf numFmtId="0" fontId="9" fillId="0" borderId="0" xfId="22"/>
    <xf numFmtId="0" fontId="40" fillId="0" borderId="0" xfId="22" applyFont="1"/>
    <xf numFmtId="0" fontId="41" fillId="0" borderId="0" xfId="22" applyFont="1"/>
    <xf numFmtId="0" fontId="9" fillId="0" borderId="41" xfId="22" applyBorder="1"/>
    <xf numFmtId="0" fontId="9" fillId="0" borderId="42" xfId="22" applyBorder="1"/>
    <xf numFmtId="0" fontId="9" fillId="0" borderId="43" xfId="22" applyBorder="1"/>
    <xf numFmtId="0" fontId="9" fillId="0" borderId="25" xfId="22" applyBorder="1"/>
    <xf numFmtId="0" fontId="9" fillId="0" borderId="0" xfId="22" applyAlignment="1">
      <alignment horizontal="right"/>
    </xf>
    <xf numFmtId="0" fontId="13" fillId="0" borderId="0" xfId="22" applyFont="1" applyAlignment="1">
      <alignment horizontal="center"/>
    </xf>
    <xf numFmtId="0" fontId="9" fillId="0" borderId="44" xfId="22" applyBorder="1"/>
    <xf numFmtId="14" fontId="13" fillId="0" borderId="0" xfId="21" applyNumberFormat="1" applyFont="1" applyAlignment="1">
      <alignment horizontal="center"/>
    </xf>
    <xf numFmtId="0" fontId="42" fillId="0" borderId="44" xfId="22" applyFont="1" applyBorder="1" applyAlignment="1">
      <alignment horizontal="center"/>
    </xf>
    <xf numFmtId="170" fontId="9" fillId="0" borderId="78" xfId="21" applyNumberFormat="1" applyBorder="1"/>
    <xf numFmtId="0" fontId="9" fillId="0" borderId="79" xfId="22" applyBorder="1"/>
    <xf numFmtId="170" fontId="9" fillId="0" borderId="44" xfId="22" applyNumberFormat="1" applyBorder="1" applyAlignment="1">
      <alignment horizontal="center"/>
    </xf>
    <xf numFmtId="0" fontId="9" fillId="0" borderId="25" xfId="22" applyBorder="1" applyAlignment="1">
      <alignment horizontal="right"/>
    </xf>
    <xf numFmtId="170" fontId="9" fillId="0" borderId="80" xfId="21" applyNumberFormat="1" applyBorder="1"/>
    <xf numFmtId="0" fontId="9" fillId="0" borderId="44" xfId="22" applyBorder="1" applyAlignment="1">
      <alignment horizontal="center"/>
    </xf>
    <xf numFmtId="0" fontId="13" fillId="3" borderId="0" xfId="22" applyFont="1" applyFill="1" applyAlignment="1">
      <alignment horizontal="right"/>
    </xf>
    <xf numFmtId="177" fontId="33" fillId="0" borderId="0" xfId="8" applyNumberFormat="1"/>
    <xf numFmtId="0" fontId="9" fillId="0" borderId="46" xfId="22" applyBorder="1"/>
    <xf numFmtId="0" fontId="9" fillId="0" borderId="15" xfId="22" applyBorder="1"/>
    <xf numFmtId="0" fontId="9" fillId="0" borderId="24" xfId="22" applyBorder="1"/>
    <xf numFmtId="0" fontId="2" fillId="14" borderId="4" xfId="0" applyFont="1" applyFill="1" applyBorder="1" applyAlignment="1">
      <alignment horizontal="center"/>
    </xf>
    <xf numFmtId="0" fontId="0" fillId="0" borderId="75" xfId="0" applyBorder="1"/>
    <xf numFmtId="0" fontId="0" fillId="14" borderId="4" xfId="0" applyFill="1" applyBorder="1"/>
    <xf numFmtId="0" fontId="0" fillId="0" borderId="70" xfId="0" applyBorder="1" applyAlignment="1">
      <alignment horizontal="center"/>
    </xf>
    <xf numFmtId="2" fontId="0" fillId="0" borderId="76" xfId="0" applyNumberFormat="1" applyBorder="1" applyAlignment="1">
      <alignment horizontal="center"/>
    </xf>
    <xf numFmtId="168" fontId="7" fillId="0" borderId="11" xfId="0" applyNumberFormat="1" applyFont="1" applyBorder="1"/>
    <xf numFmtId="171" fontId="0" fillId="0" borderId="17" xfId="0" applyNumberFormat="1" applyBorder="1"/>
    <xf numFmtId="168" fontId="0" fillId="0" borderId="18" xfId="0" applyNumberFormat="1" applyBorder="1"/>
    <xf numFmtId="168" fontId="9" fillId="0" borderId="18" xfId="0" applyNumberFormat="1" applyFont="1" applyBorder="1"/>
    <xf numFmtId="168" fontId="0" fillId="0" borderId="82" xfId="0" applyNumberFormat="1" applyBorder="1"/>
    <xf numFmtId="178" fontId="7" fillId="0" borderId="11" xfId="0" applyNumberFormat="1" applyFont="1" applyBorder="1"/>
    <xf numFmtId="178" fontId="7" fillId="0" borderId="11" xfId="0" applyNumberFormat="1" applyFont="1" applyBorder="1" applyAlignment="1">
      <alignment horizontal="center"/>
    </xf>
    <xf numFmtId="44" fontId="7" fillId="0" borderId="11" xfId="0" applyNumberFormat="1" applyFont="1" applyBorder="1" applyAlignment="1">
      <alignment horizontal="center"/>
    </xf>
    <xf numFmtId="168" fontId="2" fillId="14" borderId="5" xfId="0" applyNumberFormat="1" applyFont="1" applyFill="1" applyBorder="1" applyAlignment="1">
      <alignment horizontal="center"/>
    </xf>
    <xf numFmtId="168" fontId="0" fillId="0" borderId="46" xfId="0" applyNumberFormat="1" applyBorder="1"/>
    <xf numFmtId="168" fontId="0" fillId="0" borderId="21" xfId="0" applyNumberFormat="1" applyBorder="1"/>
    <xf numFmtId="168" fontId="9" fillId="0" borderId="21" xfId="0" applyNumberFormat="1" applyFont="1" applyBorder="1"/>
    <xf numFmtId="168" fontId="0" fillId="0" borderId="71" xfId="0" applyNumberFormat="1" applyBorder="1"/>
    <xf numFmtId="168" fontId="0" fillId="0" borderId="81" xfId="0" applyNumberFormat="1" applyBorder="1"/>
    <xf numFmtId="168" fontId="2" fillId="14" borderId="27" xfId="0" applyNumberFormat="1" applyFont="1" applyFill="1" applyBorder="1" applyAlignment="1">
      <alignment horizontal="center"/>
    </xf>
    <xf numFmtId="9" fontId="0" fillId="0" borderId="81" xfId="2" applyFont="1" applyBorder="1"/>
    <xf numFmtId="178" fontId="7" fillId="0" borderId="9" xfId="0" applyNumberFormat="1" applyFont="1" applyBorder="1"/>
    <xf numFmtId="168" fontId="0" fillId="14" borderId="74" xfId="0" applyNumberFormat="1" applyFill="1" applyBorder="1"/>
    <xf numFmtId="168" fontId="0" fillId="14" borderId="75" xfId="0" applyNumberFormat="1" applyFill="1" applyBorder="1"/>
    <xf numFmtId="2" fontId="0" fillId="14" borderId="72" xfId="0" applyNumberFormat="1" applyFill="1" applyBorder="1" applyAlignment="1">
      <alignment horizontal="center"/>
    </xf>
    <xf numFmtId="168" fontId="0" fillId="0" borderId="41" xfId="0" applyNumberFormat="1" applyBorder="1"/>
    <xf numFmtId="168" fontId="0" fillId="0" borderId="48" xfId="0" applyNumberFormat="1" applyBorder="1"/>
    <xf numFmtId="2" fontId="0" fillId="14" borderId="83" xfId="0" applyNumberFormat="1" applyFill="1" applyBorder="1" applyAlignment="1">
      <alignment horizontal="center"/>
    </xf>
    <xf numFmtId="168" fontId="0" fillId="14" borderId="84" xfId="0" applyNumberFormat="1" applyFill="1" applyBorder="1"/>
    <xf numFmtId="168" fontId="0" fillId="14" borderId="27" xfId="0" applyNumberFormat="1" applyFill="1" applyBorder="1"/>
    <xf numFmtId="0" fontId="0" fillId="14" borderId="27" xfId="0" applyFill="1" applyBorder="1"/>
    <xf numFmtId="168" fontId="0" fillId="0" borderId="12" xfId="0" applyNumberFormat="1" applyBorder="1"/>
    <xf numFmtId="9" fontId="0" fillId="0" borderId="69" xfId="2" applyFont="1" applyBorder="1"/>
    <xf numFmtId="9" fontId="0" fillId="0" borderId="71" xfId="2" applyFont="1" applyBorder="1"/>
    <xf numFmtId="7" fontId="7" fillId="0" borderId="0" xfId="0" applyNumberFormat="1" applyFont="1"/>
    <xf numFmtId="164" fontId="5" fillId="0" borderId="0" xfId="0" applyNumberFormat="1" applyFont="1" applyAlignment="1">
      <alignment horizontal="center"/>
    </xf>
    <xf numFmtId="165" fontId="7" fillId="0" borderId="0" xfId="2" applyNumberFormat="1" applyFont="1" applyBorder="1" applyAlignment="1">
      <alignment horizontal="center"/>
    </xf>
    <xf numFmtId="42" fontId="7" fillId="0" borderId="0" xfId="0" applyNumberFormat="1" applyFont="1" applyAlignment="1">
      <alignment horizontal="center"/>
    </xf>
    <xf numFmtId="166" fontId="7" fillId="0" borderId="0" xfId="0" applyNumberFormat="1" applyFont="1" applyAlignment="1">
      <alignment horizontal="center"/>
    </xf>
    <xf numFmtId="2" fontId="0" fillId="0" borderId="22" xfId="0" applyNumberFormat="1" applyBorder="1" applyAlignment="1">
      <alignment horizontal="center"/>
    </xf>
    <xf numFmtId="2" fontId="9" fillId="0" borderId="22" xfId="0" applyNumberFormat="1" applyFont="1" applyBorder="1" applyAlignment="1">
      <alignment horizontal="center"/>
    </xf>
    <xf numFmtId="0" fontId="9" fillId="0" borderId="22" xfId="0" applyFont="1" applyBorder="1" applyAlignment="1">
      <alignment horizontal="center"/>
    </xf>
    <xf numFmtId="2" fontId="0" fillId="0" borderId="43" xfId="0" applyNumberFormat="1" applyBorder="1" applyAlignment="1">
      <alignment horizontal="center"/>
    </xf>
    <xf numFmtId="0" fontId="7" fillId="0" borderId="69" xfId="0" applyFont="1" applyBorder="1"/>
    <xf numFmtId="0" fontId="7" fillId="0" borderId="71" xfId="0" applyFont="1" applyBorder="1"/>
    <xf numFmtId="0" fontId="7" fillId="0" borderId="75" xfId="0" applyFont="1" applyBorder="1"/>
    <xf numFmtId="0" fontId="8" fillId="0" borderId="0" xfId="0" applyFont="1" applyAlignment="1">
      <alignment horizontal="center"/>
    </xf>
    <xf numFmtId="0" fontId="5" fillId="0" borderId="27" xfId="0" applyFont="1" applyBorder="1"/>
    <xf numFmtId="171" fontId="0" fillId="0" borderId="39" xfId="0" applyNumberFormat="1" applyBorder="1"/>
    <xf numFmtId="171" fontId="0" fillId="0" borderId="85" xfId="0" applyNumberFormat="1" applyBorder="1"/>
    <xf numFmtId="171" fontId="0" fillId="0" borderId="87" xfId="0" applyNumberFormat="1" applyBorder="1"/>
    <xf numFmtId="171" fontId="0" fillId="14" borderId="89" xfId="0" applyNumberFormat="1" applyFill="1" applyBorder="1"/>
    <xf numFmtId="0" fontId="38" fillId="21" borderId="0" xfId="21" applyFont="1" applyFill="1" applyAlignment="1">
      <alignment horizontal="center"/>
    </xf>
    <xf numFmtId="8" fontId="44" fillId="0" borderId="0" xfId="12" applyNumberFormat="1" applyFont="1"/>
    <xf numFmtId="8" fontId="44" fillId="0" borderId="0" xfId="12" applyNumberFormat="1" applyFont="1" applyAlignment="1">
      <alignment horizontal="right"/>
    </xf>
    <xf numFmtId="0" fontId="62" fillId="0" borderId="1" xfId="12" applyFont="1" applyBorder="1"/>
    <xf numFmtId="44" fontId="44" fillId="14" borderId="13" xfId="1" applyFont="1" applyFill="1" applyBorder="1" applyAlignment="1">
      <alignment horizontal="center"/>
    </xf>
    <xf numFmtId="8" fontId="44" fillId="0" borderId="3" xfId="12" applyNumberFormat="1" applyFont="1" applyBorder="1"/>
    <xf numFmtId="10" fontId="44" fillId="0" borderId="0" xfId="2" applyNumberFormat="1" applyFont="1"/>
    <xf numFmtId="0" fontId="62" fillId="0" borderId="7" xfId="12" applyFont="1" applyBorder="1"/>
    <xf numFmtId="166" fontId="44" fillId="14" borderId="8" xfId="1" applyNumberFormat="1" applyFont="1" applyFill="1" applyBorder="1" applyAlignment="1">
      <alignment horizontal="center"/>
    </xf>
    <xf numFmtId="6" fontId="44" fillId="0" borderId="3" xfId="12" applyNumberFormat="1" applyFont="1" applyBorder="1"/>
    <xf numFmtId="166" fontId="44" fillId="14" borderId="0" xfId="1" applyNumberFormat="1" applyFont="1" applyFill="1" applyAlignment="1">
      <alignment horizontal="center"/>
    </xf>
    <xf numFmtId="44" fontId="44" fillId="14" borderId="2" xfId="1" applyFont="1" applyFill="1" applyBorder="1" applyAlignment="1">
      <alignment horizontal="center"/>
    </xf>
    <xf numFmtId="44" fontId="44" fillId="14" borderId="8" xfId="1" applyFont="1" applyFill="1" applyBorder="1" applyAlignment="1">
      <alignment horizontal="center"/>
    </xf>
    <xf numFmtId="44" fontId="44" fillId="14" borderId="0" xfId="1" applyFont="1" applyFill="1" applyAlignment="1">
      <alignment horizontal="center"/>
    </xf>
    <xf numFmtId="0" fontId="62" fillId="0" borderId="10" xfId="12" applyFont="1" applyBorder="1"/>
    <xf numFmtId="10" fontId="46" fillId="0" borderId="0" xfId="12" applyNumberFormat="1" applyFont="1"/>
    <xf numFmtId="0" fontId="63" fillId="0" borderId="0" xfId="12" applyFont="1" applyAlignment="1">
      <alignment horizontal="right" wrapText="1"/>
    </xf>
    <xf numFmtId="9" fontId="44" fillId="0" borderId="0" xfId="2" applyFont="1"/>
    <xf numFmtId="0" fontId="62" fillId="0" borderId="0" xfId="12" applyFont="1" applyAlignment="1">
      <alignment horizontal="right"/>
    </xf>
    <xf numFmtId="168" fontId="44" fillId="0" borderId="0" xfId="12" applyNumberFormat="1" applyFont="1"/>
    <xf numFmtId="6" fontId="44" fillId="0" borderId="0" xfId="12" applyNumberFormat="1" applyFont="1" applyAlignment="1">
      <alignment horizontal="center"/>
    </xf>
    <xf numFmtId="0" fontId="47" fillId="0" borderId="0" xfId="12" applyFont="1" applyAlignment="1">
      <alignment horizontal="right"/>
    </xf>
    <xf numFmtId="0" fontId="47" fillId="0" borderId="0" xfId="12" applyFont="1" applyAlignment="1">
      <alignment horizontal="right" vertical="top"/>
    </xf>
    <xf numFmtId="0" fontId="35" fillId="4" borderId="0" xfId="21" applyFont="1" applyFill="1"/>
    <xf numFmtId="0" fontId="13" fillId="4" borderId="11" xfId="21" applyFont="1" applyFill="1" applyBorder="1"/>
    <xf numFmtId="0" fontId="37" fillId="4" borderId="8" xfId="21" applyFont="1" applyFill="1" applyBorder="1"/>
    <xf numFmtId="0" fontId="13" fillId="4" borderId="9" xfId="21" applyFont="1" applyFill="1" applyBorder="1"/>
    <xf numFmtId="0" fontId="13" fillId="0" borderId="0" xfId="21" applyFont="1"/>
    <xf numFmtId="14" fontId="13" fillId="0" borderId="0" xfId="21" applyNumberFormat="1" applyFont="1"/>
    <xf numFmtId="170" fontId="9" fillId="0" borderId="0" xfId="21" applyNumberFormat="1"/>
    <xf numFmtId="2" fontId="9" fillId="0" borderId="0" xfId="21" applyNumberFormat="1"/>
    <xf numFmtId="0" fontId="13" fillId="0" borderId="0" xfId="23" applyFont="1"/>
    <xf numFmtId="0" fontId="9" fillId="0" borderId="0" xfId="23"/>
    <xf numFmtId="0" fontId="40" fillId="0" borderId="0" xfId="23" applyFont="1"/>
    <xf numFmtId="0" fontId="41" fillId="0" borderId="0" xfId="23" applyFont="1"/>
    <xf numFmtId="0" fontId="9" fillId="0" borderId="41" xfId="23" applyBorder="1"/>
    <xf numFmtId="0" fontId="9" fillId="0" borderId="42" xfId="23" applyBorder="1"/>
    <xf numFmtId="0" fontId="9" fillId="0" borderId="43" xfId="23" applyBorder="1"/>
    <xf numFmtId="0" fontId="9" fillId="0" borderId="25" xfId="23" applyBorder="1"/>
    <xf numFmtId="0" fontId="9" fillId="0" borderId="0" xfId="23" applyAlignment="1">
      <alignment horizontal="right"/>
    </xf>
    <xf numFmtId="0" fontId="13" fillId="0" borderId="0" xfId="23" applyFont="1" applyAlignment="1">
      <alignment horizontal="center"/>
    </xf>
    <xf numFmtId="0" fontId="9" fillId="0" borderId="44" xfId="23" applyBorder="1"/>
    <xf numFmtId="14" fontId="13" fillId="0" borderId="0" xfId="24" applyNumberFormat="1" applyFont="1" applyAlignment="1">
      <alignment horizontal="center"/>
    </xf>
    <xf numFmtId="0" fontId="42" fillId="0" borderId="44" xfId="23" applyFont="1" applyBorder="1" applyAlignment="1">
      <alignment horizontal="center"/>
    </xf>
    <xf numFmtId="170" fontId="9" fillId="0" borderId="78" xfId="24" applyNumberFormat="1" applyBorder="1"/>
    <xf numFmtId="0" fontId="9" fillId="0" borderId="79" xfId="23" applyBorder="1"/>
    <xf numFmtId="170" fontId="9" fillId="0" borderId="44" xfId="23" applyNumberFormat="1" applyBorder="1" applyAlignment="1">
      <alignment horizontal="center"/>
    </xf>
    <xf numFmtId="0" fontId="9" fillId="0" borderId="25" xfId="23" applyBorder="1" applyAlignment="1">
      <alignment horizontal="right"/>
    </xf>
    <xf numFmtId="0" fontId="13" fillId="0" borderId="0" xfId="25" applyFont="1"/>
    <xf numFmtId="0" fontId="38" fillId="18" borderId="0" xfId="24" applyFont="1" applyFill="1" applyAlignment="1">
      <alignment horizontal="center"/>
    </xf>
    <xf numFmtId="0" fontId="38" fillId="6" borderId="0" xfId="24" applyFont="1" applyFill="1" applyAlignment="1">
      <alignment horizontal="center"/>
    </xf>
    <xf numFmtId="170" fontId="9" fillId="0" borderId="80" xfId="24" applyNumberFormat="1" applyBorder="1"/>
    <xf numFmtId="0" fontId="9" fillId="0" borderId="44" xfId="23" applyBorder="1" applyAlignment="1">
      <alignment horizontal="center"/>
    </xf>
    <xf numFmtId="0" fontId="13" fillId="3" borderId="0" xfId="23" applyFont="1" applyFill="1" applyAlignment="1">
      <alignment horizontal="right"/>
    </xf>
    <xf numFmtId="10" fontId="13" fillId="3" borderId="44" xfId="26" applyNumberFormat="1" applyFont="1" applyFill="1" applyBorder="1" applyAlignment="1">
      <alignment horizontal="center"/>
    </xf>
    <xf numFmtId="0" fontId="9" fillId="0" borderId="46" xfId="23" applyBorder="1"/>
    <xf numFmtId="0" fontId="9" fillId="0" borderId="15" xfId="23" applyBorder="1"/>
    <xf numFmtId="0" fontId="9" fillId="0" borderId="24" xfId="23" applyBorder="1"/>
    <xf numFmtId="0" fontId="68" fillId="0" borderId="0" xfId="0" applyFont="1" applyAlignment="1">
      <alignment horizontal="center" vertical="center"/>
    </xf>
    <xf numFmtId="0" fontId="69" fillId="0" borderId="0" xfId="0" applyFont="1" applyAlignment="1">
      <alignment horizontal="center" vertical="center"/>
    </xf>
    <xf numFmtId="0" fontId="71" fillId="0" borderId="3" xfId="0" applyFont="1" applyBorder="1" applyAlignment="1">
      <alignment horizontal="center" vertical="center" wrapText="1"/>
    </xf>
    <xf numFmtId="0" fontId="70" fillId="0" borderId="9" xfId="0" applyFont="1" applyBorder="1" applyAlignment="1">
      <alignment horizontal="center" vertical="center" wrapText="1"/>
    </xf>
    <xf numFmtId="0" fontId="72" fillId="0" borderId="40" xfId="0" applyFont="1" applyBorder="1" applyAlignment="1">
      <alignment vertical="center"/>
    </xf>
    <xf numFmtId="8" fontId="72" fillId="0" borderId="9" xfId="0" applyNumberFormat="1" applyFont="1" applyBorder="1" applyAlignment="1">
      <alignment horizontal="center" vertical="center"/>
    </xf>
    <xf numFmtId="0" fontId="72" fillId="0" borderId="9" xfId="0" applyFont="1" applyBorder="1" applyAlignment="1">
      <alignment horizontal="center" vertical="center"/>
    </xf>
    <xf numFmtId="0" fontId="72" fillId="0" borderId="40" xfId="0" applyFont="1" applyBorder="1" applyAlignment="1">
      <alignment vertical="center" wrapText="1"/>
    </xf>
    <xf numFmtId="0" fontId="68" fillId="0" borderId="92" xfId="0" applyFont="1" applyBorder="1" applyAlignment="1">
      <alignment horizontal="center" vertical="center" wrapText="1"/>
    </xf>
    <xf numFmtId="0" fontId="73" fillId="0" borderId="93" xfId="0" applyFont="1" applyBorder="1" applyAlignment="1">
      <alignment horizontal="center" vertical="center" wrapText="1"/>
    </xf>
    <xf numFmtId="0" fontId="69" fillId="0" borderId="94" xfId="0" applyFont="1" applyBorder="1" applyAlignment="1">
      <alignment horizontal="center" vertical="center" wrapText="1"/>
    </xf>
    <xf numFmtId="8" fontId="69" fillId="0" borderId="95" xfId="0" applyNumberFormat="1" applyFont="1" applyBorder="1" applyAlignment="1">
      <alignment horizontal="center" vertical="center" wrapText="1"/>
    </xf>
    <xf numFmtId="0" fontId="68" fillId="0" borderId="0" xfId="0" applyFont="1" applyAlignment="1">
      <alignment horizontal="left" vertical="center"/>
    </xf>
    <xf numFmtId="0" fontId="74" fillId="0" borderId="0" xfId="0" applyFont="1"/>
    <xf numFmtId="44" fontId="69" fillId="0" borderId="95" xfId="0" applyNumberFormat="1" applyFont="1" applyBorder="1" applyAlignment="1">
      <alignment horizontal="center" vertical="center" wrapText="1"/>
    </xf>
    <xf numFmtId="0" fontId="49" fillId="0" borderId="0" xfId="0" applyFont="1"/>
    <xf numFmtId="0" fontId="49" fillId="0" borderId="96" xfId="0" applyFont="1" applyBorder="1"/>
    <xf numFmtId="0" fontId="50" fillId="0" borderId="96" xfId="0" applyFont="1" applyBorder="1"/>
    <xf numFmtId="0" fontId="49" fillId="0" borderId="97" xfId="0" applyFont="1" applyBorder="1"/>
    <xf numFmtId="0" fontId="49" fillId="0" borderId="98" xfId="0" applyFont="1" applyBorder="1"/>
    <xf numFmtId="0" fontId="50" fillId="0" borderId="100" xfId="0" applyFont="1" applyBorder="1"/>
    <xf numFmtId="8" fontId="50" fillId="0" borderId="0" xfId="0" applyNumberFormat="1" applyFont="1"/>
    <xf numFmtId="0" fontId="49" fillId="3" borderId="99" xfId="0" applyFont="1" applyFill="1" applyBorder="1"/>
    <xf numFmtId="0" fontId="49" fillId="0" borderId="1" xfId="0" applyFont="1" applyBorder="1"/>
    <xf numFmtId="0" fontId="49" fillId="0" borderId="101" xfId="0" applyFont="1" applyBorder="1"/>
    <xf numFmtId="0" fontId="50" fillId="0" borderId="102" xfId="0" applyFont="1" applyBorder="1"/>
    <xf numFmtId="0" fontId="49" fillId="0" borderId="103" xfId="0" applyFont="1" applyBorder="1"/>
    <xf numFmtId="0" fontId="50" fillId="0" borderId="104" xfId="0" applyFont="1" applyBorder="1"/>
    <xf numFmtId="0" fontId="50" fillId="0" borderId="105" xfId="0" applyFont="1" applyBorder="1"/>
    <xf numFmtId="0" fontId="49" fillId="0" borderId="104" xfId="0" applyFont="1" applyBorder="1"/>
    <xf numFmtId="8" fontId="49" fillId="0" borderId="105" xfId="0" applyNumberFormat="1" applyFont="1" applyBorder="1"/>
    <xf numFmtId="0" fontId="49" fillId="0" borderId="106" xfId="0" applyFont="1" applyBorder="1"/>
    <xf numFmtId="8" fontId="49" fillId="0" borderId="11" xfId="0" applyNumberFormat="1" applyFont="1" applyBorder="1"/>
    <xf numFmtId="0" fontId="49" fillId="0" borderId="11" xfId="0" applyFont="1" applyBorder="1"/>
    <xf numFmtId="0" fontId="50" fillId="0" borderId="107" xfId="0" applyFont="1" applyBorder="1"/>
    <xf numFmtId="8" fontId="49" fillId="3" borderId="108" xfId="0" applyNumberFormat="1" applyFont="1" applyFill="1" applyBorder="1"/>
    <xf numFmtId="0" fontId="49" fillId="0" borderId="10" xfId="0" applyFont="1" applyBorder="1"/>
    <xf numFmtId="0" fontId="0" fillId="3" borderId="0" xfId="0" applyFill="1"/>
    <xf numFmtId="8" fontId="0" fillId="3" borderId="11" xfId="0" applyNumberFormat="1" applyFill="1" applyBorder="1"/>
    <xf numFmtId="0" fontId="0" fillId="0" borderId="11" xfId="0" applyBorder="1"/>
    <xf numFmtId="0" fontId="25" fillId="0" borderId="10" xfId="0" applyFont="1" applyBorder="1"/>
    <xf numFmtId="0" fontId="25" fillId="0" borderId="0" xfId="0" applyFont="1"/>
    <xf numFmtId="8" fontId="2" fillId="0" borderId="11" xfId="0" applyNumberFormat="1" applyFont="1" applyBorder="1"/>
    <xf numFmtId="0" fontId="2" fillId="0" borderId="11" xfId="0" applyFont="1" applyBorder="1"/>
    <xf numFmtId="0" fontId="25" fillId="0" borderId="7" xfId="0" applyFont="1" applyBorder="1"/>
    <xf numFmtId="0" fontId="25" fillId="0" borderId="8" xfId="0" applyFont="1" applyBorder="1"/>
    <xf numFmtId="0" fontId="25" fillId="0" borderId="1" xfId="0" applyFont="1" applyBorder="1"/>
    <xf numFmtId="0" fontId="25" fillId="0" borderId="2" xfId="0" applyFont="1" applyBorder="1"/>
    <xf numFmtId="0" fontId="0" fillId="0" borderId="2" xfId="0" applyBorder="1"/>
    <xf numFmtId="8" fontId="2" fillId="0" borderId="3" xfId="0" applyNumberFormat="1" applyFont="1" applyBorder="1"/>
    <xf numFmtId="8" fontId="25" fillId="16" borderId="9" xfId="0" applyNumberFormat="1" applyFont="1" applyFill="1" applyBorder="1"/>
    <xf numFmtId="0" fontId="67" fillId="22" borderId="90" xfId="27" applyFont="1" applyFill="1" applyBorder="1" applyAlignment="1">
      <alignment horizontal="center"/>
    </xf>
    <xf numFmtId="0" fontId="67" fillId="0" borderId="91" xfId="27" applyFont="1" applyBorder="1" applyAlignment="1">
      <alignment horizontal="right" wrapText="1"/>
    </xf>
    <xf numFmtId="0" fontId="67" fillId="0" borderId="91" xfId="27" applyFont="1" applyBorder="1" applyAlignment="1">
      <alignment wrapText="1"/>
    </xf>
    <xf numFmtId="0" fontId="2" fillId="0" borderId="0" xfId="0" applyFont="1" applyAlignment="1">
      <alignment horizontal="center" vertical="center" wrapText="1"/>
    </xf>
    <xf numFmtId="0" fontId="0" fillId="0" borderId="0" xfId="0" applyAlignment="1">
      <alignment horizontal="center" vertical="center"/>
    </xf>
    <xf numFmtId="44" fontId="0" fillId="0" borderId="26" xfId="0" applyNumberFormat="1" applyBorder="1"/>
    <xf numFmtId="166" fontId="0" fillId="0" borderId="0" xfId="1" applyNumberFormat="1" applyFont="1"/>
    <xf numFmtId="166" fontId="0" fillId="0" borderId="0" xfId="0" applyNumberFormat="1"/>
    <xf numFmtId="44" fontId="2" fillId="0" borderId="11" xfId="0" applyNumberFormat="1" applyFont="1" applyBorder="1"/>
    <xf numFmtId="0" fontId="34" fillId="4" borderId="2" xfId="21" applyFont="1" applyFill="1" applyBorder="1" applyAlignment="1">
      <alignment horizontal="left"/>
    </xf>
    <xf numFmtId="0" fontId="34" fillId="4" borderId="3" xfId="21" applyFont="1" applyFill="1" applyBorder="1" applyAlignment="1">
      <alignment horizontal="left"/>
    </xf>
    <xf numFmtId="0" fontId="9" fillId="0" borderId="25" xfId="23" applyBorder="1" applyAlignment="1">
      <alignment horizontal="right"/>
    </xf>
    <xf numFmtId="0" fontId="9" fillId="0" borderId="0" xfId="23" applyAlignment="1">
      <alignment horizontal="right"/>
    </xf>
    <xf numFmtId="0" fontId="44" fillId="0" borderId="3" xfId="12" applyFont="1" applyBorder="1" applyAlignment="1">
      <alignment horizontal="left" vertical="center" wrapText="1"/>
    </xf>
    <xf numFmtId="0" fontId="44" fillId="0" borderId="9" xfId="12" applyFont="1" applyBorder="1" applyAlignment="1">
      <alignment horizontal="left" vertical="center" wrapText="1"/>
    </xf>
    <xf numFmtId="0" fontId="44" fillId="0" borderId="2" xfId="12" applyFont="1" applyBorder="1" applyAlignment="1">
      <alignment horizontal="left" vertical="top" wrapText="1"/>
    </xf>
    <xf numFmtId="0" fontId="44" fillId="0" borderId="8" xfId="12" applyFont="1" applyBorder="1" applyAlignment="1">
      <alignment horizontal="left" vertical="top" wrapText="1"/>
    </xf>
    <xf numFmtId="0" fontId="44" fillId="0" borderId="11" xfId="12" applyFont="1" applyBorder="1" applyAlignment="1">
      <alignment horizontal="left" vertical="center" wrapText="1"/>
    </xf>
    <xf numFmtId="49" fontId="44" fillId="0" borderId="3" xfId="12" applyNumberFormat="1" applyFont="1" applyBorder="1" applyAlignment="1">
      <alignment horizontal="left" vertical="center" wrapText="1"/>
    </xf>
    <xf numFmtId="49" fontId="44" fillId="0" borderId="9" xfId="12" applyNumberFormat="1" applyFont="1" applyBorder="1" applyAlignment="1">
      <alignment horizontal="left" vertical="center" wrapText="1"/>
    </xf>
    <xf numFmtId="0" fontId="44" fillId="0" borderId="2" xfId="12" applyFont="1" applyBorder="1" applyAlignment="1">
      <alignment vertical="top" wrapText="1"/>
    </xf>
    <xf numFmtId="0" fontId="44" fillId="0" borderId="8" xfId="12" applyFont="1" applyBorder="1" applyAlignment="1">
      <alignment vertical="top" wrapText="1"/>
    </xf>
    <xf numFmtId="0" fontId="44" fillId="0" borderId="0" xfId="12" applyFont="1" applyAlignment="1">
      <alignment horizontal="left" vertical="top" wrapText="1"/>
    </xf>
    <xf numFmtId="0" fontId="44" fillId="0" borderId="0" xfId="12" applyFont="1" applyAlignment="1">
      <alignment horizontal="center"/>
    </xf>
    <xf numFmtId="0" fontId="46" fillId="0" borderId="0" xfId="12" applyFont="1" applyAlignment="1">
      <alignment horizontal="center"/>
    </xf>
    <xf numFmtId="0" fontId="44" fillId="0" borderId="3" xfId="19" applyFont="1" applyBorder="1" applyAlignment="1">
      <alignment horizontal="left" vertical="center" wrapText="1"/>
    </xf>
    <xf numFmtId="0" fontId="44" fillId="0" borderId="9" xfId="19" applyFont="1" applyBorder="1" applyAlignment="1">
      <alignment horizontal="left" vertical="center" wrapText="1"/>
    </xf>
    <xf numFmtId="0" fontId="44" fillId="0" borderId="2" xfId="19" applyFont="1" applyBorder="1" applyAlignment="1">
      <alignment horizontal="left" vertical="top" wrapText="1"/>
    </xf>
    <xf numFmtId="0" fontId="44" fillId="0" borderId="8" xfId="19" applyFont="1" applyBorder="1" applyAlignment="1">
      <alignment horizontal="left" vertical="top" wrapText="1"/>
    </xf>
    <xf numFmtId="0" fontId="44" fillId="0" borderId="11" xfId="19" applyFont="1" applyBorder="1" applyAlignment="1">
      <alignment horizontal="left" vertical="center" wrapText="1"/>
    </xf>
    <xf numFmtId="49" fontId="44" fillId="0" borderId="3" xfId="19" applyNumberFormat="1" applyFont="1" applyBorder="1" applyAlignment="1">
      <alignment horizontal="left" vertical="center" wrapText="1"/>
    </xf>
    <xf numFmtId="49" fontId="44" fillId="0" borderId="9" xfId="19" applyNumberFormat="1" applyFont="1" applyBorder="1" applyAlignment="1">
      <alignment horizontal="left" vertical="center" wrapText="1"/>
    </xf>
    <xf numFmtId="0" fontId="44" fillId="0" borderId="2" xfId="19" applyFont="1" applyBorder="1" applyAlignment="1">
      <alignment vertical="top" wrapText="1"/>
    </xf>
    <xf numFmtId="0" fontId="44" fillId="0" borderId="8" xfId="19" applyFont="1" applyBorder="1" applyAlignment="1">
      <alignment vertical="top" wrapText="1"/>
    </xf>
    <xf numFmtId="0" fontId="44" fillId="0" borderId="0" xfId="19" applyFont="1" applyAlignment="1">
      <alignment horizontal="left" vertical="top" wrapText="1"/>
    </xf>
    <xf numFmtId="0" fontId="44" fillId="0" borderId="0" xfId="19" applyFont="1" applyAlignment="1">
      <alignment horizontal="center"/>
    </xf>
    <xf numFmtId="0" fontId="46" fillId="0" borderId="0" xfId="19" applyFont="1" applyAlignment="1">
      <alignment horizontal="center"/>
    </xf>
    <xf numFmtId="0" fontId="34" fillId="4" borderId="2" xfId="8" applyFont="1" applyFill="1" applyBorder="1" applyAlignment="1">
      <alignment horizontal="left"/>
    </xf>
    <xf numFmtId="0" fontId="34" fillId="4" borderId="3" xfId="8" applyFont="1" applyFill="1" applyBorder="1" applyAlignment="1">
      <alignment horizontal="left"/>
    </xf>
    <xf numFmtId="0" fontId="9" fillId="0" borderId="25" xfId="22" applyBorder="1" applyAlignment="1">
      <alignment horizontal="right"/>
    </xf>
    <xf numFmtId="0" fontId="9" fillId="0" borderId="0" xfId="22" applyAlignment="1">
      <alignment horizontal="right"/>
    </xf>
    <xf numFmtId="0" fontId="39" fillId="0" borderId="25" xfId="10" applyBorder="1" applyAlignment="1">
      <alignment horizontal="right"/>
    </xf>
    <xf numFmtId="0" fontId="39" fillId="0" borderId="0" xfId="10" applyAlignment="1">
      <alignment horizontal="right"/>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168" fontId="0" fillId="3" borderId="4" xfId="0" applyNumberFormat="1" applyFill="1" applyBorder="1" applyAlignment="1">
      <alignment horizontal="center"/>
    </xf>
    <xf numFmtId="168" fontId="0" fillId="3" borderId="5" xfId="0" applyNumberFormat="1" applyFill="1" applyBorder="1" applyAlignment="1">
      <alignment horizontal="center"/>
    </xf>
    <xf numFmtId="168" fontId="0" fillId="3" borderId="6" xfId="0" applyNumberFormat="1" applyFill="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10"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2" fontId="0" fillId="3" borderId="12" xfId="0" applyNumberFormat="1" applyFill="1" applyBorder="1" applyAlignment="1">
      <alignment horizontal="center"/>
    </xf>
    <xf numFmtId="2" fontId="0" fillId="3" borderId="13" xfId="0" applyNumberFormat="1" applyFill="1" applyBorder="1" applyAlignment="1">
      <alignment horizontal="center"/>
    </xf>
    <xf numFmtId="2" fontId="0" fillId="3" borderId="14" xfId="0" applyNumberForma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0" borderId="12" xfId="0" applyBorder="1" applyAlignment="1">
      <alignment horizontal="center"/>
    </xf>
    <xf numFmtId="0" fontId="0" fillId="0" borderId="37" xfId="0"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14" borderId="4" xfId="0" applyFill="1" applyBorder="1" applyAlignment="1">
      <alignment horizontal="center"/>
    </xf>
    <xf numFmtId="0" fontId="0" fillId="14" borderId="88" xfId="0" applyFill="1" applyBorder="1" applyAlignment="1">
      <alignment horizontal="center"/>
    </xf>
    <xf numFmtId="0" fontId="0" fillId="0" borderId="86" xfId="0" applyBorder="1" applyAlignment="1">
      <alignment horizontal="center"/>
    </xf>
    <xf numFmtId="0" fontId="0" fillId="0" borderId="43" xfId="0" applyBorder="1" applyAlignment="1">
      <alignment horizontal="center"/>
    </xf>
    <xf numFmtId="1" fontId="20" fillId="0" borderId="4" xfId="0" applyNumberFormat="1" applyFont="1" applyBorder="1" applyAlignment="1">
      <alignment horizontal="center"/>
    </xf>
    <xf numFmtId="1" fontId="20" fillId="0" borderId="5" xfId="0" applyNumberFormat="1" applyFont="1" applyBorder="1" applyAlignment="1">
      <alignment horizontal="center"/>
    </xf>
    <xf numFmtId="1" fontId="20" fillId="0" borderId="6" xfId="0" applyNumberFormat="1" applyFont="1" applyBorder="1" applyAlignment="1">
      <alignment horizontal="center"/>
    </xf>
    <xf numFmtId="5" fontId="23" fillId="0" borderId="0" xfId="5" applyNumberFormat="1" applyFont="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9" fillId="0" borderId="4" xfId="0" applyFont="1" applyBorder="1" applyAlignment="1">
      <alignment horizontal="left"/>
    </xf>
    <xf numFmtId="0" fontId="19" fillId="0" borderId="5" xfId="0" applyFont="1" applyBorder="1" applyAlignment="1">
      <alignment horizontal="left"/>
    </xf>
    <xf numFmtId="0" fontId="19" fillId="0" borderId="6"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1" fontId="20" fillId="0" borderId="0" xfId="0" applyNumberFormat="1" applyFont="1" applyAlignment="1">
      <alignment horizontal="center"/>
    </xf>
    <xf numFmtId="0" fontId="76" fillId="0" borderId="0" xfId="0" applyFont="1" applyAlignment="1">
      <alignment horizontal="center"/>
    </xf>
    <xf numFmtId="0" fontId="49" fillId="0" borderId="0" xfId="0" applyFont="1"/>
    <xf numFmtId="0" fontId="0" fillId="0" borderId="0" xfId="0" applyAlignment="1">
      <alignment horizontal="center"/>
    </xf>
    <xf numFmtId="0" fontId="47" fillId="11" borderId="0" xfId="12" applyFont="1" applyFill="1" applyAlignment="1">
      <alignment horizontal="center"/>
    </xf>
    <xf numFmtId="171" fontId="44" fillId="0" borderId="47" xfId="12" applyNumberFormat="1" applyFont="1" applyBorder="1" applyAlignment="1">
      <alignment horizontal="right" vertical="center"/>
    </xf>
    <xf numFmtId="171" fontId="44" fillId="0" borderId="40" xfId="12" applyNumberFormat="1" applyFont="1" applyBorder="1" applyAlignment="1">
      <alignment horizontal="right" vertical="center"/>
    </xf>
    <xf numFmtId="0" fontId="25" fillId="0" borderId="45" xfId="14" applyFont="1" applyBorder="1" applyAlignment="1">
      <alignment horizontal="center"/>
    </xf>
    <xf numFmtId="0" fontId="55" fillId="0" borderId="4" xfId="14" applyFont="1" applyBorder="1" applyAlignment="1">
      <alignment horizontal="center" vertical="center" wrapText="1"/>
    </xf>
    <xf numFmtId="0" fontId="55" fillId="0" borderId="5" xfId="14" applyFont="1" applyBorder="1" applyAlignment="1">
      <alignment horizontal="center" vertical="center" wrapText="1"/>
    </xf>
    <xf numFmtId="0" fontId="57" fillId="0" borderId="1" xfId="14" applyFont="1" applyBorder="1" applyAlignment="1">
      <alignment horizontal="center" vertical="center" wrapText="1"/>
    </xf>
    <xf numFmtId="0" fontId="57" fillId="0" borderId="2" xfId="14" applyFont="1" applyBorder="1" applyAlignment="1">
      <alignment horizontal="center" vertical="center" wrapText="1"/>
    </xf>
    <xf numFmtId="0" fontId="57" fillId="0" borderId="3" xfId="14" applyFont="1" applyBorder="1" applyAlignment="1">
      <alignment horizontal="center" vertical="center" wrapText="1"/>
    </xf>
    <xf numFmtId="0" fontId="57" fillId="0" borderId="7" xfId="14" applyFont="1" applyBorder="1" applyAlignment="1">
      <alignment horizontal="center" vertical="center" wrapText="1"/>
    </xf>
    <xf numFmtId="0" fontId="57" fillId="0" borderId="8" xfId="14" applyFont="1" applyBorder="1" applyAlignment="1">
      <alignment horizontal="center" vertical="center" wrapText="1"/>
    </xf>
    <xf numFmtId="0" fontId="57" fillId="0" borderId="9" xfId="14" applyFont="1" applyBorder="1" applyAlignment="1">
      <alignment horizontal="center" vertical="center" wrapText="1"/>
    </xf>
    <xf numFmtId="0" fontId="1" fillId="0" borderId="47" xfId="14" applyBorder="1" applyAlignment="1">
      <alignment horizontal="center" vertical="center"/>
    </xf>
    <xf numFmtId="0" fontId="1" fillId="0" borderId="48" xfId="14" applyBorder="1" applyAlignment="1">
      <alignment horizontal="center" vertical="center"/>
    </xf>
    <xf numFmtId="0" fontId="1" fillId="0" borderId="40" xfId="14" applyBorder="1" applyAlignment="1">
      <alignment horizontal="center" vertical="center"/>
    </xf>
    <xf numFmtId="0" fontId="25" fillId="0" borderId="4" xfId="14" applyFont="1" applyBorder="1" applyAlignment="1">
      <alignment horizontal="center"/>
    </xf>
    <xf numFmtId="0" fontId="25" fillId="0" borderId="5" xfId="14" applyFont="1" applyBorder="1" applyAlignment="1">
      <alignment horizontal="center"/>
    </xf>
    <xf numFmtId="0" fontId="25" fillId="0" borderId="6" xfId="14" applyFont="1" applyBorder="1" applyAlignment="1">
      <alignment horizontal="center"/>
    </xf>
    <xf numFmtId="0" fontId="75" fillId="0" borderId="0" xfId="0" applyFont="1" applyAlignment="1">
      <alignment horizontal="center"/>
    </xf>
    <xf numFmtId="0" fontId="70" fillId="0" borderId="47" xfId="0" applyFont="1" applyBorder="1" applyAlignment="1">
      <alignment horizontal="center" vertical="center" wrapText="1"/>
    </xf>
    <xf numFmtId="0" fontId="70" fillId="0" borderId="40" xfId="0" applyFont="1" applyBorder="1" applyAlignment="1">
      <alignment horizontal="center" vertical="center" wrapText="1"/>
    </xf>
    <xf numFmtId="0" fontId="68" fillId="0" borderId="0" xfId="0" applyFont="1" applyAlignment="1">
      <alignment horizontal="center" vertical="center" wrapText="1"/>
    </xf>
    <xf numFmtId="0" fontId="70" fillId="0" borderId="47" xfId="0" applyFont="1" applyBorder="1" applyAlignment="1">
      <alignment horizontal="center" vertical="center"/>
    </xf>
    <xf numFmtId="0" fontId="70" fillId="0" borderId="40" xfId="0" applyFont="1" applyBorder="1" applyAlignment="1">
      <alignment horizontal="center" vertical="center"/>
    </xf>
    <xf numFmtId="0" fontId="59" fillId="0" borderId="1" xfId="0" applyFont="1" applyBorder="1" applyAlignment="1">
      <alignment horizontal="center"/>
    </xf>
    <xf numFmtId="0" fontId="59" fillId="0" borderId="2" xfId="0" applyFont="1" applyBorder="1" applyAlignment="1">
      <alignment horizontal="center"/>
    </xf>
  </cellXfs>
  <cellStyles count="28">
    <cellStyle name="Comma" xfId="18" builtinId="3"/>
    <cellStyle name="Currency" xfId="1" builtinId="4"/>
    <cellStyle name="Currency 4" xfId="7" xr:uid="{8FB6F42B-E28E-40FD-AAAE-2F19D1306A69}"/>
    <cellStyle name="Currency 5" xfId="5" xr:uid="{DAA54A8C-2631-481C-8702-FD2EFB55197D}"/>
    <cellStyle name="Hyperlink" xfId="16" builtinId="8"/>
    <cellStyle name="Normal" xfId="0" builtinId="0"/>
    <cellStyle name="Normal 10" xfId="14" xr:uid="{D34191E5-9737-4B2D-93B2-6946E0C15A1F}"/>
    <cellStyle name="Normal 10 2" xfId="25" xr:uid="{986FEAC6-6117-49C9-B08F-82E402E91D1D}"/>
    <cellStyle name="Normal 11" xfId="15" xr:uid="{1451E98D-9DDB-4808-BFF8-CCE1574DB149}"/>
    <cellStyle name="Normal 18" xfId="21" xr:uid="{761DFB99-0BA3-41C4-8AD2-0AA57F393FA0}"/>
    <cellStyle name="Normal 18 2" xfId="24" xr:uid="{203BBA95-DA23-4077-B663-BBB6D491D6FE}"/>
    <cellStyle name="Normal 2" xfId="8" xr:uid="{77FBF2C5-C927-4D72-903D-19FA1A7725B7}"/>
    <cellStyle name="Normal 4" xfId="10" xr:uid="{3606C7F9-F2E7-468C-8C9A-2DAB2818AD12}"/>
    <cellStyle name="Normal 4 2" xfId="3" xr:uid="{679DDCCC-37F9-4BD3-BC21-ABF60F7E84D8}"/>
    <cellStyle name="Normal 4 2 2" xfId="23" xr:uid="{25D7918F-5B05-4092-8CB1-F8B504FF9CA5}"/>
    <cellStyle name="Normal 4 3" xfId="22" xr:uid="{594BBA30-43A2-4806-B8B6-E236177EB61B}"/>
    <cellStyle name="Normal 5" xfId="12" xr:uid="{1150D402-1C27-4A40-8B0D-4A78AF59DB60}"/>
    <cellStyle name="Normal 5 5" xfId="19" xr:uid="{C6225A90-8219-4B57-91C9-57B19AB714E5}"/>
    <cellStyle name="Normal 6 2" xfId="9" xr:uid="{5E3545AE-9D19-4AC6-9F67-12E0B747FDA9}"/>
    <cellStyle name="Normal_FY24budget_fiscal_year_x0009_fiscal_y" xfId="27" xr:uid="{523980FF-B263-4C5B-8576-E23068B97C59}"/>
    <cellStyle name="Percent" xfId="2" builtinId="5"/>
    <cellStyle name="Percent 10" xfId="17" xr:uid="{1FBC08E7-8BCD-489F-8215-EF02374BE58F}"/>
    <cellStyle name="Percent 2" xfId="11" xr:uid="{838143CC-E209-4A6B-B2AB-795961BDABCC}"/>
    <cellStyle name="Percent 2 2" xfId="13" xr:uid="{C43AE1FF-7EF8-459A-956E-7191B67D02B0}"/>
    <cellStyle name="Percent 2 2 2" xfId="26" xr:uid="{3744D5E7-08E0-4E84-AF5B-8980E662BD50}"/>
    <cellStyle name="Percent 3" xfId="6" xr:uid="{6A9C64F3-2C1B-4246-8F6F-7DE993CA7C64}"/>
    <cellStyle name="Percent 4" xfId="4" xr:uid="{721A51E4-3371-4A02-9F35-D45BEAF8A1A8}"/>
    <cellStyle name="Percent 7 2" xfId="20" xr:uid="{0D1C1062-B41C-418A-B69C-8AD1D22684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hus_madcfrmu\MA%20DYS\RRO\2016%20Provisional%202014%20Final\2.%20Staff%20Rosters\MA%20DYS%20RO%20Time%20Study%20Staff%20Roster%20Templa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E\X\Data%20&amp;%20Reporting%20Tools\STARR%20Utilization\STARR%20Utilization%20Tool%20FY10%20Jun"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M2023%20BLS.xlsx" TargetMode="External"/><Relationship Id="rId1" Type="http://schemas.openxmlformats.org/officeDocument/2006/relationships/externalLinkPath" Target="file:///X:\Administrative%20Services-POS%20Policy%20Office\Rate%20Setting\Implementation%20&amp;%20Benchmarks\C257%20M2023%20BLS.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20BLS%20M2022%2053rd.xlsx" TargetMode="External"/><Relationship Id="rId1" Type="http://schemas.openxmlformats.org/officeDocument/2006/relationships/externalLinkPath" Target="file:///X:\Administrative%20Services-POS%20Policy%20Office\Rate%20Setting\Implementation%20&amp;%20Benchmarks\C.257%20%20BLS%20M2022%2053r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X:\Administrative%20Services-POS%20Policy%20Office\Admin%20&amp;%20Staff\Kara\Workforce%20Initiatives\May%202022%20BLS\1a.%20C.257%20%20BLS%20M2022%2053rd%20with%20BU.xlsx" TargetMode="External"/><Relationship Id="rId1" Type="http://schemas.openxmlformats.org/officeDocument/2006/relationships/externalLinkPath" Target="file:///X:\Administrative%20Services-POS%20Policy%20Office\Admin%20&amp;%20Staff\Kara\Workforce%20Initiatives\May%202022%20BLS\1a.%20C.257%20%20BLS%20M2022%2053rd%20with%20BU.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Administrative%20Services-POS%20Policy%20Office\Rate%20Setting\Rate%20Projects\Youth%20Short%20Term%20Stabilization-CMR%20418\YSTS%20Rate%20Review%20Oct%202020\1.%20Strategy%20Materials\1.%20New%20Youth%20Stab%20Model%206.23.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Administrative%20Services-POS%20Policy%20Office\Rate%20Setting\Rate%20Projects\Youth%20Short%20Term%20Stabilization-CMR%20418\YSTS%20Rate%20Review%20Oct%202020\1.%20Strategy%20Materials\DYS%20Staffing%20Supports%206-12-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Administrative%20Services-POS%20Policy%20Office\Admin%20&amp;%20Staff\Kara\Workforce%20Initiatives\May%202021%20BLS\1.%20C.257%20%20BLS%20Benchmarks%20M2021%20WI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Solimini\AppData\Local\Microsoft\Windows\INetCache\Content.Outlook\JK5B0NM2\Capacity%20Building%20FY22%20All%20Regions%20New%20Contract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Percentile Scale"/>
      <sheetName val="Field Descriptions"/>
      <sheetName val="UpdateTime"/>
      <sheetName val="Filler"/>
    </sheetNames>
    <sheetDataSet>
      <sheetData sheetId="0"/>
      <sheetData sheetId="1"/>
      <sheetData sheetId="2"/>
      <sheetData sheetId="3"/>
      <sheetData sheetId="4">
        <row r="8">
          <cell r="I8">
            <v>20.792100000000001</v>
          </cell>
        </row>
        <row r="13">
          <cell r="I13">
            <v>21.417999999999999</v>
          </cell>
          <cell r="J13">
            <v>44549.439999999995</v>
          </cell>
        </row>
        <row r="21">
          <cell r="I21">
            <v>27.027519999999999</v>
          </cell>
        </row>
      </sheetData>
      <sheetData sheetId="5">
        <row r="6">
          <cell r="J6">
            <v>30.979999999999997</v>
          </cell>
        </row>
        <row r="13">
          <cell r="J13">
            <v>33.755499999999998</v>
          </cell>
        </row>
      </sheetData>
      <sheetData sheetId="6">
        <row r="8">
          <cell r="J8">
            <v>40.211399999999998</v>
          </cell>
        </row>
        <row r="14">
          <cell r="J14">
            <v>48.945399999999999</v>
          </cell>
        </row>
      </sheetData>
      <sheetData sheetId="7">
        <row r="4">
          <cell r="J4">
            <v>35.506799999999998</v>
          </cell>
        </row>
        <row r="8">
          <cell r="J8">
            <v>49.818400000000004</v>
          </cell>
        </row>
        <row r="13">
          <cell r="J13">
            <v>67.710800000000006</v>
          </cell>
        </row>
      </sheetData>
      <sheetData sheetId="8">
        <row r="4">
          <cell r="J4">
            <v>38.860399999999998</v>
          </cell>
        </row>
      </sheetData>
      <sheetData sheetId="9">
        <row r="5">
          <cell r="I5">
            <v>36.818800000000003</v>
          </cell>
        </row>
        <row r="11">
          <cell r="I11">
            <v>39.750500000000002</v>
          </cell>
        </row>
        <row r="17">
          <cell r="I17">
            <v>42.784640000000003</v>
          </cell>
        </row>
        <row r="21">
          <cell r="I21">
            <v>44.301760000000002</v>
          </cell>
        </row>
      </sheetData>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sheetData sheetId="5"/>
      <sheetData sheetId="6"/>
      <sheetData sheetId="7"/>
      <sheetData sheetId="8"/>
      <sheetData sheetId="9"/>
      <sheetData sheetId="10">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sheetData sheetId="5"/>
      <sheetData sheetId="6"/>
      <sheetData sheetId="7"/>
      <sheetData sheetId="8"/>
      <sheetData sheetId="9">
        <row r="25">
          <cell r="M25">
            <v>26.998012820512823</v>
          </cell>
        </row>
      </sheetData>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ary Bench Chart"/>
      <sheetName val="Youth Stabilization 12 Beds "/>
      <sheetName val="CAF Spring 2020"/>
      <sheetName val="Fiscal Impact"/>
      <sheetName val="badCAF Spring 2020"/>
      <sheetName val="USDA Food"/>
      <sheetName val="Sheet3"/>
      <sheetName val="FY19 Contract utilization"/>
      <sheetName val="old Fiscal Impact "/>
      <sheetName val="FY18 UFR"/>
    </sheetNames>
    <sheetDataSet>
      <sheetData sheetId="0" refreshError="1"/>
      <sheetData sheetId="1" refreshError="1"/>
      <sheetData sheetId="2" refreshError="1"/>
      <sheetData sheetId="3" refreshError="1"/>
      <sheetData sheetId="4" refreshError="1"/>
      <sheetData sheetId="5" refreshError="1"/>
      <sheetData sheetId="6" refreshError="1">
        <row r="5">
          <cell r="T5">
            <v>9.7374429223744285E-2</v>
          </cell>
        </row>
        <row r="6">
          <cell r="T6">
            <v>5.0570776255707765E-2</v>
          </cell>
        </row>
        <row r="8">
          <cell r="T8">
            <v>0.22682648401826483</v>
          </cell>
        </row>
        <row r="9">
          <cell r="T9">
            <v>0.28070776255707763</v>
          </cell>
        </row>
        <row r="16">
          <cell r="T16">
            <v>3.105593607305936</v>
          </cell>
        </row>
        <row r="18">
          <cell r="T18">
            <v>3.3105022831050228E-3</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taffing Supports current "/>
      <sheetName val="1. RatesForReg"/>
      <sheetName val="2.  Staffing Supports RR2021"/>
      <sheetName val="Master Data"/>
      <sheetName val="FY17 UFR Staff"/>
      <sheetName val="Chart"/>
      <sheetName val="2.  Staffing Supports RR202 "/>
      <sheetName val="Spring CAF 2018"/>
      <sheetName val="Fiscal Impact"/>
      <sheetName val="FI backup"/>
      <sheetName val="CPIMA"/>
    </sheetNames>
    <sheetDataSet>
      <sheetData sheetId="0"/>
      <sheetData sheetId="1">
        <row r="4">
          <cell r="E4">
            <v>360.16554100933791</v>
          </cell>
        </row>
        <row r="7">
          <cell r="F7">
            <v>21.16</v>
          </cell>
        </row>
        <row r="8">
          <cell r="F8">
            <v>26.56</v>
          </cell>
        </row>
        <row r="9">
          <cell r="F9">
            <v>29.12</v>
          </cell>
        </row>
        <row r="15">
          <cell r="F15">
            <v>33.36</v>
          </cell>
        </row>
        <row r="16">
          <cell r="F16">
            <v>24.04</v>
          </cell>
        </row>
      </sheetData>
      <sheetData sheetId="2"/>
      <sheetData sheetId="3"/>
      <sheetData sheetId="4"/>
      <sheetData sheetId="5">
        <row r="4">
          <cell r="C4">
            <v>32198.400000000001</v>
          </cell>
        </row>
        <row r="6">
          <cell r="C6">
            <v>41516.800000000003</v>
          </cell>
        </row>
      </sheetData>
      <sheetData sheetId="6"/>
      <sheetData sheetId="7"/>
      <sheetData sheetId="8"/>
      <sheetData sheetId="9"/>
      <sheetData sheetId="10">
        <row r="23">
          <cell r="BY23">
            <v>2.6081907729015665E-2</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Sheet1"/>
      <sheetName val="DC  CNA  DC III"/>
      <sheetName val="Case Social Worker.Manager"/>
      <sheetName val="Clinical"/>
      <sheetName val="Nursing"/>
      <sheetName val="Management"/>
      <sheetName val="Therapies"/>
    </sheetNames>
    <sheetDataSet>
      <sheetData sheetId="0"/>
      <sheetData sheetId="1">
        <row r="303">
          <cell r="G303">
            <v>129960</v>
          </cell>
        </row>
      </sheetData>
      <sheetData sheetId="2">
        <row r="6">
          <cell r="G6">
            <v>18.72</v>
          </cell>
        </row>
        <row r="10">
          <cell r="G10">
            <v>17.97</v>
          </cell>
        </row>
        <row r="19">
          <cell r="G19">
            <v>23.416</v>
          </cell>
        </row>
      </sheetData>
      <sheetData sheetId="3">
        <row r="4">
          <cell r="G4">
            <v>23.67</v>
          </cell>
        </row>
        <row r="11">
          <cell r="G11">
            <v>28.444999999999997</v>
          </cell>
        </row>
      </sheetData>
      <sheetData sheetId="4">
        <row r="6">
          <cell r="G6">
            <v>34.2425</v>
          </cell>
        </row>
        <row r="12">
          <cell r="G12">
            <v>42.14</v>
          </cell>
        </row>
      </sheetData>
      <sheetData sheetId="5">
        <row r="2">
          <cell r="G2">
            <v>28.94</v>
          </cell>
        </row>
        <row r="6">
          <cell r="G6">
            <v>45.65</v>
          </cell>
        </row>
        <row r="11">
          <cell r="G11">
            <v>61.62</v>
          </cell>
        </row>
      </sheetData>
      <sheetData sheetId="6">
        <row r="2">
          <cell r="G2">
            <v>34.61</v>
          </cell>
          <cell r="H2">
            <v>72000</v>
          </cell>
        </row>
      </sheetData>
      <sheetData sheetId="7">
        <row r="2">
          <cell r="E2">
            <v>30</v>
          </cell>
        </row>
        <row r="8">
          <cell r="E8">
            <v>37.730000000000004</v>
          </cell>
        </row>
        <row r="14">
          <cell r="E14">
            <v>39.756</v>
          </cell>
        </row>
        <row r="18">
          <cell r="E18">
            <v>42.274000000000001</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info"/>
      <sheetName val="rates 10_1_20"/>
    </sheetNames>
    <sheetDataSet>
      <sheetData sheetId="0"/>
      <sheetData sheetId="1">
        <row r="2">
          <cell r="J2">
            <v>115388</v>
          </cell>
        </row>
        <row r="3">
          <cell r="J3">
            <v>84367.400000000009</v>
          </cell>
        </row>
        <row r="4">
          <cell r="J4">
            <v>53258.400000000001</v>
          </cell>
        </row>
        <row r="5">
          <cell r="J5">
            <v>67017.599999999991</v>
          </cell>
        </row>
        <row r="6">
          <cell r="J6">
            <v>74180.600000000006</v>
          </cell>
        </row>
        <row r="7">
          <cell r="J7">
            <v>59519.199999999997</v>
          </cell>
        </row>
        <row r="8">
          <cell r="J8">
            <v>65504.4</v>
          </cell>
        </row>
        <row r="9">
          <cell r="J9">
            <v>70155.8</v>
          </cell>
        </row>
        <row r="10">
          <cell r="J10">
            <v>51105.599999999999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persons/person.xml><?xml version="1.0" encoding="utf-8"?>
<personList xmlns="http://schemas.microsoft.com/office/spreadsheetml/2018/threadedcomments" xmlns:x="http://schemas.openxmlformats.org/spreadsheetml/2006/main">
  <person displayName="Lenane, Marie (EHS)" id="{C75229F2-AA34-4C00-BE16-DA41E0C50D90}" userId="S::Marie.A.Lenane@mass.gov::15b1abfb-c41d-45d3-9770-bf469b6b0de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1" dT="2024-02-29T19:04:38.35" personId="{C75229F2-AA34-4C00-BE16-DA41E0C50D90}" id="{0C7FDF32-82E2-4647-9D9A-DA2FAA029856}">
    <text>CAF'd using past rate review CAF bc was not increased in last review.</text>
  </threadedComment>
  <threadedComment ref="N43" dT="2024-02-29T18:49:52.04" personId="{C75229F2-AA34-4C00-BE16-DA41E0C50D90}" id="{FDFDC871-B900-4ED2-8A7E-491BBA670DA7}">
    <text>Added previous CAF to this number prior to it being CAF'd with current RR as it was not changed in the last review.</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649E7-3DA6-4B37-B6C2-C71424F8D207}">
  <dimension ref="A1:DF44"/>
  <sheetViews>
    <sheetView topLeftCell="BQ5" workbookViewId="0">
      <selection activeCell="CP29" sqref="CP29"/>
    </sheetView>
  </sheetViews>
  <sheetFormatPr defaultRowHeight="12.75" x14ac:dyDescent="0.2"/>
  <cols>
    <col min="1" max="1" width="38.42578125" style="504" customWidth="1"/>
    <col min="2" max="2" width="12.85546875" style="608" customWidth="1"/>
    <col min="3" max="82" width="7.7109375" style="504" customWidth="1"/>
    <col min="83" max="16384" width="9.140625" style="504"/>
  </cols>
  <sheetData>
    <row r="1" spans="1:110" ht="18" x14ac:dyDescent="0.25">
      <c r="A1" s="699" t="s">
        <v>159</v>
      </c>
      <c r="B1" s="700"/>
    </row>
    <row r="2" spans="1:110" ht="15.75" x14ac:dyDescent="0.25">
      <c r="A2" s="604" t="s">
        <v>510</v>
      </c>
      <c r="B2" s="605"/>
    </row>
    <row r="3" spans="1:110" ht="15.75" thickBot="1" x14ac:dyDescent="0.3">
      <c r="A3" s="606" t="s">
        <v>161</v>
      </c>
      <c r="B3" s="607"/>
    </row>
    <row r="7" spans="1:110" s="608" customFormat="1" x14ac:dyDescent="0.2">
      <c r="B7" s="608" t="s">
        <v>167</v>
      </c>
      <c r="C7" s="609" t="s">
        <v>168</v>
      </c>
      <c r="D7" s="609" t="s">
        <v>169</v>
      </c>
      <c r="E7" s="609" t="s">
        <v>170</v>
      </c>
      <c r="F7" s="609" t="s">
        <v>171</v>
      </c>
      <c r="G7" s="609" t="s">
        <v>172</v>
      </c>
      <c r="H7" s="609" t="s">
        <v>173</v>
      </c>
      <c r="I7" s="609" t="s">
        <v>174</v>
      </c>
      <c r="J7" s="609" t="s">
        <v>175</v>
      </c>
      <c r="K7" s="609" t="s">
        <v>176</v>
      </c>
      <c r="L7" s="609" t="s">
        <v>177</v>
      </c>
      <c r="M7" s="609" t="s">
        <v>178</v>
      </c>
      <c r="N7" s="609" t="s">
        <v>179</v>
      </c>
      <c r="O7" s="609" t="s">
        <v>180</v>
      </c>
      <c r="P7" s="609" t="s">
        <v>181</v>
      </c>
      <c r="Q7" s="609" t="s">
        <v>182</v>
      </c>
      <c r="R7" s="609" t="s">
        <v>183</v>
      </c>
      <c r="S7" s="609" t="s">
        <v>184</v>
      </c>
      <c r="T7" s="609" t="s">
        <v>185</v>
      </c>
      <c r="U7" s="609" t="s">
        <v>186</v>
      </c>
      <c r="V7" s="609" t="s">
        <v>187</v>
      </c>
      <c r="W7" s="609" t="s">
        <v>188</v>
      </c>
      <c r="X7" s="609" t="s">
        <v>189</v>
      </c>
      <c r="Y7" s="609" t="s">
        <v>190</v>
      </c>
      <c r="Z7" s="609" t="s">
        <v>191</v>
      </c>
      <c r="AA7" s="609" t="s">
        <v>192</v>
      </c>
      <c r="AB7" s="609" t="s">
        <v>193</v>
      </c>
      <c r="AC7" s="609" t="s">
        <v>194</v>
      </c>
      <c r="AD7" s="609" t="s">
        <v>195</v>
      </c>
      <c r="AE7" s="609" t="s">
        <v>196</v>
      </c>
      <c r="AF7" s="609" t="s">
        <v>197</v>
      </c>
      <c r="AG7" s="609" t="s">
        <v>198</v>
      </c>
      <c r="AH7" s="609" t="s">
        <v>199</v>
      </c>
      <c r="AI7" s="609" t="s">
        <v>200</v>
      </c>
      <c r="AJ7" s="609" t="s">
        <v>201</v>
      </c>
      <c r="AK7" s="609" t="s">
        <v>202</v>
      </c>
      <c r="AL7" s="609" t="s">
        <v>203</v>
      </c>
      <c r="AM7" s="609" t="s">
        <v>204</v>
      </c>
      <c r="AN7" s="609" t="s">
        <v>205</v>
      </c>
      <c r="AO7" s="609" t="s">
        <v>206</v>
      </c>
      <c r="AP7" s="609" t="s">
        <v>207</v>
      </c>
      <c r="AQ7" s="609" t="s">
        <v>208</v>
      </c>
      <c r="AR7" s="609" t="s">
        <v>209</v>
      </c>
      <c r="AS7" s="609" t="s">
        <v>210</v>
      </c>
      <c r="AT7" s="609" t="s">
        <v>211</v>
      </c>
      <c r="AU7" s="608" t="s">
        <v>212</v>
      </c>
      <c r="AV7" s="608" t="s">
        <v>213</v>
      </c>
      <c r="AW7" s="608" t="s">
        <v>214</v>
      </c>
      <c r="AX7" s="608" t="s">
        <v>215</v>
      </c>
      <c r="AY7" s="608" t="s">
        <v>216</v>
      </c>
      <c r="AZ7" s="608" t="s">
        <v>217</v>
      </c>
      <c r="BA7" s="608" t="s">
        <v>218</v>
      </c>
      <c r="BB7" s="608" t="s">
        <v>219</v>
      </c>
      <c r="BC7" s="608" t="s">
        <v>220</v>
      </c>
      <c r="BD7" s="608" t="s">
        <v>221</v>
      </c>
      <c r="BE7" s="608" t="s">
        <v>222</v>
      </c>
      <c r="BF7" s="608" t="s">
        <v>223</v>
      </c>
      <c r="BG7" s="608" t="s">
        <v>224</v>
      </c>
      <c r="BH7" s="608" t="s">
        <v>225</v>
      </c>
      <c r="BI7" s="608" t="s">
        <v>226</v>
      </c>
      <c r="BJ7" s="608" t="s">
        <v>227</v>
      </c>
      <c r="BK7" s="608" t="s">
        <v>228</v>
      </c>
      <c r="BL7" s="608" t="s">
        <v>229</v>
      </c>
      <c r="BM7" s="608" t="s">
        <v>230</v>
      </c>
      <c r="BN7" s="608" t="s">
        <v>231</v>
      </c>
      <c r="BO7" s="608" t="s">
        <v>232</v>
      </c>
      <c r="BP7" s="608" t="s">
        <v>233</v>
      </c>
      <c r="BQ7" s="608" t="s">
        <v>234</v>
      </c>
      <c r="BR7" s="608" t="s">
        <v>235</v>
      </c>
      <c r="BS7" s="608" t="s">
        <v>236</v>
      </c>
      <c r="BT7" s="608" t="s">
        <v>237</v>
      </c>
      <c r="BU7" s="608" t="s">
        <v>238</v>
      </c>
      <c r="BV7" s="608" t="s">
        <v>239</v>
      </c>
      <c r="BW7" s="608" t="s">
        <v>240</v>
      </c>
      <c r="BX7" s="608" t="s">
        <v>241</v>
      </c>
      <c r="BY7" s="608" t="s">
        <v>242</v>
      </c>
      <c r="BZ7" s="608" t="s">
        <v>243</v>
      </c>
      <c r="CA7" s="608" t="s">
        <v>244</v>
      </c>
      <c r="CB7" s="608" t="s">
        <v>245</v>
      </c>
      <c r="CC7" s="608" t="s">
        <v>246</v>
      </c>
      <c r="CD7" s="608" t="s">
        <v>247</v>
      </c>
      <c r="CE7" s="608" t="s">
        <v>248</v>
      </c>
      <c r="CF7" s="608" t="s">
        <v>249</v>
      </c>
      <c r="CG7" s="608" t="s">
        <v>250</v>
      </c>
      <c r="CH7" s="608" t="s">
        <v>251</v>
      </c>
      <c r="CI7" s="608" t="s">
        <v>252</v>
      </c>
      <c r="CJ7" s="608" t="s">
        <v>253</v>
      </c>
      <c r="CK7" s="608" t="s">
        <v>254</v>
      </c>
      <c r="CL7" s="608" t="s">
        <v>255</v>
      </c>
      <c r="CM7" s="608" t="s">
        <v>473</v>
      </c>
      <c r="CN7" s="608" t="s">
        <v>474</v>
      </c>
      <c r="CO7" s="608" t="s">
        <v>475</v>
      </c>
      <c r="CP7" s="608" t="s">
        <v>476</v>
      </c>
      <c r="CQ7" s="608" t="s">
        <v>477</v>
      </c>
      <c r="CR7" s="608" t="s">
        <v>478</v>
      </c>
      <c r="CS7" s="608" t="s">
        <v>479</v>
      </c>
      <c r="CT7" s="608" t="s">
        <v>480</v>
      </c>
      <c r="CU7" s="608" t="s">
        <v>481</v>
      </c>
      <c r="CV7" s="608" t="s">
        <v>482</v>
      </c>
      <c r="CW7" s="608" t="s">
        <v>483</v>
      </c>
      <c r="CX7" s="608" t="s">
        <v>484</v>
      </c>
      <c r="CY7" s="608" t="s">
        <v>485</v>
      </c>
      <c r="CZ7" s="608" t="s">
        <v>486</v>
      </c>
      <c r="DA7" s="608" t="s">
        <v>487</v>
      </c>
      <c r="DB7" s="608" t="s">
        <v>488</v>
      </c>
      <c r="DC7" s="608" t="s">
        <v>511</v>
      </c>
      <c r="DD7" s="608" t="s">
        <v>512</v>
      </c>
      <c r="DE7" s="608" t="s">
        <v>513</v>
      </c>
      <c r="DF7" s="608" t="s">
        <v>514</v>
      </c>
    </row>
    <row r="8" spans="1:110" x14ac:dyDescent="0.2">
      <c r="A8" s="608" t="s">
        <v>256</v>
      </c>
      <c r="B8" s="608" t="s">
        <v>257</v>
      </c>
      <c r="C8" s="610">
        <v>2.00639679451126</v>
      </c>
      <c r="D8" s="610">
        <v>2.0292109297355498</v>
      </c>
      <c r="E8" s="610">
        <v>2.0375058294524102</v>
      </c>
      <c r="F8" s="610">
        <v>2.06056286486842</v>
      </c>
      <c r="G8" s="610">
        <v>2.0745428606455998</v>
      </c>
      <c r="H8" s="610">
        <v>2.0848413942905899</v>
      </c>
      <c r="I8" s="610">
        <v>2.1205826504988901</v>
      </c>
      <c r="J8" s="610">
        <v>2.1424708884727002</v>
      </c>
      <c r="K8" s="610">
        <v>2.1577842148349302</v>
      </c>
      <c r="L8" s="610">
        <v>2.1833771521170799</v>
      </c>
      <c r="M8" s="610">
        <v>2.20415213222888</v>
      </c>
      <c r="N8" s="610">
        <v>2.1895699791396499</v>
      </c>
      <c r="O8" s="610">
        <v>2.2079136115462199</v>
      </c>
      <c r="P8" s="610">
        <v>2.2278812100652798</v>
      </c>
      <c r="Q8" s="610">
        <v>2.2459724758823998</v>
      </c>
      <c r="R8" s="610">
        <v>2.27321625302632</v>
      </c>
      <c r="S8" s="610">
        <v>2.2978763357595899</v>
      </c>
      <c r="T8" s="610">
        <v>2.3349096825049198</v>
      </c>
      <c r="U8" s="610">
        <v>2.37340386050542</v>
      </c>
      <c r="V8" s="610">
        <v>2.3214039994171398</v>
      </c>
      <c r="W8" s="610">
        <v>2.30398505677391</v>
      </c>
      <c r="X8" s="610">
        <v>2.3147083864463101</v>
      </c>
      <c r="Y8" s="610">
        <v>2.3338426453763099</v>
      </c>
      <c r="Z8" s="610">
        <v>2.3520478393720801</v>
      </c>
      <c r="AA8" s="610">
        <v>2.3571079124875198</v>
      </c>
      <c r="AB8" s="610">
        <v>2.3597617722192901</v>
      </c>
      <c r="AC8" s="610">
        <v>2.3675113152405798</v>
      </c>
      <c r="AD8" s="610">
        <v>2.3894316572521599</v>
      </c>
      <c r="AE8" s="610">
        <v>2.4081640743995498</v>
      </c>
      <c r="AF8" s="610">
        <v>2.4443091198429299</v>
      </c>
      <c r="AG8" s="610">
        <v>2.4604230131467402</v>
      </c>
      <c r="AH8" s="610">
        <v>2.4673797299606202</v>
      </c>
      <c r="AI8" s="610">
        <v>2.4804327516067102</v>
      </c>
      <c r="AJ8" s="610">
        <v>2.486800531558</v>
      </c>
      <c r="AK8" s="610">
        <v>2.4979859493426302</v>
      </c>
      <c r="AL8" s="610">
        <v>2.51748463931711</v>
      </c>
      <c r="AM8" s="610">
        <v>2.5233681242674999</v>
      </c>
      <c r="AN8" s="610">
        <v>2.5236274631965898</v>
      </c>
      <c r="AO8" s="610">
        <v>2.5385110008237399</v>
      </c>
      <c r="AP8" s="610">
        <v>2.5493378234842399</v>
      </c>
      <c r="AQ8" s="610">
        <v>2.5641532580887398</v>
      </c>
      <c r="AR8" s="610">
        <v>2.5682475848483501</v>
      </c>
      <c r="AS8" s="610">
        <v>2.5745442177532798</v>
      </c>
      <c r="AT8" s="610">
        <v>2.5703691601533998</v>
      </c>
      <c r="AU8" s="610">
        <v>2.5621458287346699</v>
      </c>
      <c r="AV8" s="610">
        <v>2.5738366275259401</v>
      </c>
      <c r="AW8" s="610">
        <v>2.5763689814164299</v>
      </c>
      <c r="AX8" s="610">
        <v>2.5767283886230801</v>
      </c>
      <c r="AY8" s="610">
        <v>2.57174264404668</v>
      </c>
      <c r="AZ8" s="610">
        <v>2.5921935040783399</v>
      </c>
      <c r="BA8" s="610">
        <v>2.6069552513680199</v>
      </c>
      <c r="BB8" s="610">
        <v>2.62538144782462</v>
      </c>
      <c r="BC8" s="610">
        <v>2.6431179142038301</v>
      </c>
      <c r="BD8" s="610">
        <v>2.6455161818091399</v>
      </c>
      <c r="BE8" s="610">
        <v>2.65158539542049</v>
      </c>
      <c r="BF8" s="610">
        <v>2.6731697651786201</v>
      </c>
      <c r="BG8" s="610">
        <v>2.7004180913353601</v>
      </c>
      <c r="BH8" s="610">
        <v>2.71929105115849</v>
      </c>
      <c r="BI8" s="610">
        <v>2.73135484596928</v>
      </c>
      <c r="BJ8" s="610">
        <v>2.7428191932094901</v>
      </c>
      <c r="BK8" s="610">
        <v>2.7493023943472399</v>
      </c>
      <c r="BL8" s="610">
        <v>2.7699198683661201</v>
      </c>
      <c r="BM8" s="610">
        <v>2.7857569710013399</v>
      </c>
      <c r="BN8" s="610">
        <v>2.7962160388037498</v>
      </c>
      <c r="BO8" s="610">
        <v>2.8061535341217798</v>
      </c>
      <c r="BP8" s="610">
        <v>2.7915859923377702</v>
      </c>
      <c r="BQ8" s="610">
        <v>2.8038608397418998</v>
      </c>
      <c r="BR8" s="610">
        <v>2.8160547506121398</v>
      </c>
      <c r="BS8" s="610">
        <v>2.8442507966276001</v>
      </c>
      <c r="BT8" s="610">
        <v>2.87972613135834</v>
      </c>
      <c r="BU8" s="610">
        <v>2.9209830633074998</v>
      </c>
      <c r="BV8" s="610">
        <v>2.9774391818411701</v>
      </c>
      <c r="BW8" s="610">
        <v>3.0353049224602802</v>
      </c>
      <c r="BX8" s="610">
        <v>3.0959757052085299</v>
      </c>
      <c r="BY8" s="610">
        <v>3.1302079773937099</v>
      </c>
      <c r="BZ8" s="610">
        <v>3.1644236579613598</v>
      </c>
      <c r="CA8" s="610">
        <v>3.1720271546852401</v>
      </c>
      <c r="CB8" s="610">
        <v>3.1746140749510698</v>
      </c>
      <c r="CC8" s="610">
        <v>3.1993314088845399</v>
      </c>
      <c r="CD8" s="610">
        <v>3.2267758849407899</v>
      </c>
      <c r="CE8" s="610">
        <v>3.24888762501012</v>
      </c>
      <c r="CF8" s="610">
        <v>3.26964582941969</v>
      </c>
      <c r="CG8" s="610">
        <v>3.2896340930964798</v>
      </c>
      <c r="CH8" s="610">
        <v>3.3053813005300601</v>
      </c>
      <c r="CI8" s="610">
        <v>3.31540037508013</v>
      </c>
      <c r="CJ8" s="610">
        <v>3.3292835392878999</v>
      </c>
      <c r="CK8" s="610">
        <v>3.34803178972642</v>
      </c>
      <c r="CL8" s="610">
        <v>3.3673825941733302</v>
      </c>
      <c r="CM8" s="610">
        <v>3.38833435878575</v>
      </c>
      <c r="CN8" s="610">
        <v>3.4096488246484</v>
      </c>
      <c r="CO8" s="610">
        <v>3.4302167440242401</v>
      </c>
      <c r="CP8" s="610">
        <v>3.45145754963055</v>
      </c>
      <c r="CQ8" s="610">
        <v>3.4722762520781498</v>
      </c>
      <c r="CR8" s="610">
        <v>3.4924343719725499</v>
      </c>
      <c r="CS8" s="610">
        <v>3.5144142725933101</v>
      </c>
      <c r="CT8" s="610">
        <v>3.5351512646516001</v>
      </c>
      <c r="CU8" s="610">
        <v>3.55554584133397</v>
      </c>
      <c r="CV8" s="610">
        <v>3.5764354228783102</v>
      </c>
      <c r="CW8" s="610">
        <v>3.59483758127999</v>
      </c>
      <c r="CX8" s="610">
        <v>3.61758129574664</v>
      </c>
      <c r="CY8" s="610">
        <v>3.63868632381413</v>
      </c>
      <c r="CZ8" s="610">
        <v>3.6591118208728699</v>
      </c>
      <c r="DA8" s="610">
        <v>3.68043866459842</v>
      </c>
      <c r="DB8" s="610">
        <v>3.7011701172571398</v>
      </c>
      <c r="DC8" s="610">
        <v>3.7224710034620299</v>
      </c>
      <c r="DD8" s="610">
        <v>3.7438151538286601</v>
      </c>
      <c r="DE8" s="610">
        <v>3.7655756592132099</v>
      </c>
      <c r="DF8" s="610">
        <v>3.7872768667310699</v>
      </c>
    </row>
    <row r="9" spans="1:110" x14ac:dyDescent="0.2">
      <c r="A9" s="608" t="s">
        <v>258</v>
      </c>
      <c r="B9" s="608" t="s">
        <v>259</v>
      </c>
      <c r="C9" s="610">
        <v>2.00639679451126</v>
      </c>
      <c r="D9" s="610">
        <v>2.0292109297355498</v>
      </c>
      <c r="E9" s="610">
        <v>2.0375058294524102</v>
      </c>
      <c r="F9" s="610">
        <v>2.06056286486842</v>
      </c>
      <c r="G9" s="610">
        <v>2.0745428606455998</v>
      </c>
      <c r="H9" s="610">
        <v>2.0848413942905899</v>
      </c>
      <c r="I9" s="610">
        <v>2.1205826504988901</v>
      </c>
      <c r="J9" s="610">
        <v>2.1424708884727002</v>
      </c>
      <c r="K9" s="610">
        <v>2.1577842148349302</v>
      </c>
      <c r="L9" s="610">
        <v>2.1833771521170799</v>
      </c>
      <c r="M9" s="610">
        <v>2.20415213222888</v>
      </c>
      <c r="N9" s="610">
        <v>2.1895699791396499</v>
      </c>
      <c r="O9" s="610">
        <v>2.2079136115462199</v>
      </c>
      <c r="P9" s="610">
        <v>2.2278812100652798</v>
      </c>
      <c r="Q9" s="610">
        <v>2.2459724758823998</v>
      </c>
      <c r="R9" s="610">
        <v>2.27321625302632</v>
      </c>
      <c r="S9" s="610">
        <v>2.2978763357595899</v>
      </c>
      <c r="T9" s="610">
        <v>2.3349096825049198</v>
      </c>
      <c r="U9" s="610">
        <v>2.37340386050542</v>
      </c>
      <c r="V9" s="610">
        <v>2.3214039994171398</v>
      </c>
      <c r="W9" s="610">
        <v>2.30398505677391</v>
      </c>
      <c r="X9" s="610">
        <v>2.3147083864463101</v>
      </c>
      <c r="Y9" s="610">
        <v>2.3338426453763099</v>
      </c>
      <c r="Z9" s="610">
        <v>2.3520478393720801</v>
      </c>
      <c r="AA9" s="610">
        <v>2.3571079124875198</v>
      </c>
      <c r="AB9" s="610">
        <v>2.3597617722192901</v>
      </c>
      <c r="AC9" s="610">
        <v>2.3675113152405798</v>
      </c>
      <c r="AD9" s="610">
        <v>2.3894316572521599</v>
      </c>
      <c r="AE9" s="610">
        <v>2.4081640743995498</v>
      </c>
      <c r="AF9" s="610">
        <v>2.4443091198429299</v>
      </c>
      <c r="AG9" s="610">
        <v>2.4604230131467402</v>
      </c>
      <c r="AH9" s="610">
        <v>2.4673797299606202</v>
      </c>
      <c r="AI9" s="610">
        <v>2.4804327516067102</v>
      </c>
      <c r="AJ9" s="610">
        <v>2.486800531558</v>
      </c>
      <c r="AK9" s="610">
        <v>2.4979859493426302</v>
      </c>
      <c r="AL9" s="610">
        <v>2.51748463931711</v>
      </c>
      <c r="AM9" s="610">
        <v>2.5233681242674999</v>
      </c>
      <c r="AN9" s="610">
        <v>2.5236274631965898</v>
      </c>
      <c r="AO9" s="610">
        <v>2.5385110008237399</v>
      </c>
      <c r="AP9" s="610">
        <v>2.5493378234842399</v>
      </c>
      <c r="AQ9" s="610">
        <v>2.5641532580887398</v>
      </c>
      <c r="AR9" s="610">
        <v>2.5682475848483501</v>
      </c>
      <c r="AS9" s="610">
        <v>2.5745442177532798</v>
      </c>
      <c r="AT9" s="610">
        <v>2.5703691601533998</v>
      </c>
      <c r="AU9" s="610">
        <v>2.5621458287346699</v>
      </c>
      <c r="AV9" s="610">
        <v>2.5738366275259401</v>
      </c>
      <c r="AW9" s="610">
        <v>2.5763689814164299</v>
      </c>
      <c r="AX9" s="610">
        <v>2.5767283886230801</v>
      </c>
      <c r="AY9" s="610">
        <v>2.57174264404668</v>
      </c>
      <c r="AZ9" s="610">
        <v>2.5921935040783399</v>
      </c>
      <c r="BA9" s="610">
        <v>2.6069552513680199</v>
      </c>
      <c r="BB9" s="610">
        <v>2.62538144782462</v>
      </c>
      <c r="BC9" s="610">
        <v>2.6431179142038301</v>
      </c>
      <c r="BD9" s="610">
        <v>2.6455161818091399</v>
      </c>
      <c r="BE9" s="610">
        <v>2.65158539542049</v>
      </c>
      <c r="BF9" s="610">
        <v>2.6731697651786201</v>
      </c>
      <c r="BG9" s="610">
        <v>2.7004180913353601</v>
      </c>
      <c r="BH9" s="610">
        <v>2.71929105115849</v>
      </c>
      <c r="BI9" s="610">
        <v>2.73135484596928</v>
      </c>
      <c r="BJ9" s="610">
        <v>2.7428191932094901</v>
      </c>
      <c r="BK9" s="610">
        <v>2.7493023943472399</v>
      </c>
      <c r="BL9" s="610">
        <v>2.7699198683661201</v>
      </c>
      <c r="BM9" s="610">
        <v>2.7857569710013399</v>
      </c>
      <c r="BN9" s="610">
        <v>2.7962160388037498</v>
      </c>
      <c r="BO9" s="610">
        <v>2.8061535341217798</v>
      </c>
      <c r="BP9" s="610">
        <v>2.7915859923377702</v>
      </c>
      <c r="BQ9" s="610">
        <v>2.8038608397418998</v>
      </c>
      <c r="BR9" s="610">
        <v>2.8160547506121398</v>
      </c>
      <c r="BS9" s="610">
        <v>2.8442507966276001</v>
      </c>
      <c r="BT9" s="610">
        <v>2.87972613135834</v>
      </c>
      <c r="BU9" s="610">
        <v>2.9209830633074998</v>
      </c>
      <c r="BV9" s="610">
        <v>2.9774391818411701</v>
      </c>
      <c r="BW9" s="610">
        <v>3.0353049224602802</v>
      </c>
      <c r="BX9" s="610">
        <v>3.0959757052085299</v>
      </c>
      <c r="BY9" s="610">
        <v>3.1302079773937099</v>
      </c>
      <c r="BZ9" s="610">
        <v>3.1644236579613598</v>
      </c>
      <c r="CA9" s="610">
        <v>3.1720271546852401</v>
      </c>
      <c r="CB9" s="610">
        <v>3.1746140749510698</v>
      </c>
      <c r="CC9" s="610">
        <v>3.1993314088845399</v>
      </c>
      <c r="CD9" s="610">
        <v>3.2267758849407899</v>
      </c>
      <c r="CE9" s="610">
        <v>3.23861104385055</v>
      </c>
      <c r="CF9" s="610">
        <v>3.2586911143828101</v>
      </c>
      <c r="CG9" s="610">
        <v>3.2747145479094502</v>
      </c>
      <c r="CH9" s="610">
        <v>3.2888482187183001</v>
      </c>
      <c r="CI9" s="610">
        <v>3.2980662097021098</v>
      </c>
      <c r="CJ9" s="610">
        <v>3.3103080504098301</v>
      </c>
      <c r="CK9" s="610">
        <v>3.3271189360512898</v>
      </c>
      <c r="CL9" s="610">
        <v>3.3442433232875199</v>
      </c>
      <c r="CM9" s="610">
        <v>3.3629304591705398</v>
      </c>
      <c r="CN9" s="610">
        <v>3.3816871263152701</v>
      </c>
      <c r="CO9" s="610">
        <v>3.3998849861946701</v>
      </c>
      <c r="CP9" s="610">
        <v>3.4188380416453801</v>
      </c>
      <c r="CQ9" s="610">
        <v>3.43763686882959</v>
      </c>
      <c r="CR9" s="610">
        <v>3.4557039278676198</v>
      </c>
      <c r="CS9" s="610">
        <v>3.4755336252277802</v>
      </c>
      <c r="CT9" s="610">
        <v>3.49420749370704</v>
      </c>
      <c r="CU9" s="610">
        <v>3.51266527336763</v>
      </c>
      <c r="CV9" s="610">
        <v>3.5316196326200102</v>
      </c>
      <c r="CW9" s="610">
        <v>3.5481028861103598</v>
      </c>
      <c r="CX9" s="610">
        <v>3.5686972473543399</v>
      </c>
      <c r="CY9" s="610">
        <v>3.5878070667964099</v>
      </c>
      <c r="CZ9" s="610">
        <v>3.60601339684285</v>
      </c>
      <c r="DA9" s="610">
        <v>3.6249443264757701</v>
      </c>
      <c r="DB9" s="610">
        <v>3.6431192808362498</v>
      </c>
      <c r="DC9" s="610">
        <v>3.6618952687172399</v>
      </c>
      <c r="DD9" s="610">
        <v>3.6804056076660601</v>
      </c>
      <c r="DE9" s="610">
        <v>3.6991810732536998</v>
      </c>
      <c r="DF9" s="610">
        <v>3.7177417370148498</v>
      </c>
    </row>
    <row r="10" spans="1:110" x14ac:dyDescent="0.2">
      <c r="A10" s="608" t="s">
        <v>260</v>
      </c>
      <c r="B10" s="608" t="s">
        <v>261</v>
      </c>
      <c r="C10" s="610">
        <v>2.00639679451126</v>
      </c>
      <c r="D10" s="610">
        <v>2.0292109297355498</v>
      </c>
      <c r="E10" s="610">
        <v>2.0375058294524102</v>
      </c>
      <c r="F10" s="610">
        <v>2.06056286486842</v>
      </c>
      <c r="G10" s="610">
        <v>2.0745428606455998</v>
      </c>
      <c r="H10" s="610">
        <v>2.0848413942905899</v>
      </c>
      <c r="I10" s="610">
        <v>2.1205826504988901</v>
      </c>
      <c r="J10" s="610">
        <v>2.1424708884727002</v>
      </c>
      <c r="K10" s="610">
        <v>2.1577842148349302</v>
      </c>
      <c r="L10" s="610">
        <v>2.1833771521170799</v>
      </c>
      <c r="M10" s="610">
        <v>2.20415213222888</v>
      </c>
      <c r="N10" s="610">
        <v>2.1895699791396499</v>
      </c>
      <c r="O10" s="610">
        <v>2.2079136115462199</v>
      </c>
      <c r="P10" s="610">
        <v>2.2278812100652798</v>
      </c>
      <c r="Q10" s="610">
        <v>2.2459724758823998</v>
      </c>
      <c r="R10" s="610">
        <v>2.27321625302632</v>
      </c>
      <c r="S10" s="610">
        <v>2.2978763357595899</v>
      </c>
      <c r="T10" s="610">
        <v>2.3349096825049198</v>
      </c>
      <c r="U10" s="610">
        <v>2.37340386050542</v>
      </c>
      <c r="V10" s="610">
        <v>2.3214039994171398</v>
      </c>
      <c r="W10" s="610">
        <v>2.30398505677391</v>
      </c>
      <c r="X10" s="610">
        <v>2.3147083864463101</v>
      </c>
      <c r="Y10" s="610">
        <v>2.3338426453763099</v>
      </c>
      <c r="Z10" s="610">
        <v>2.3520478393720801</v>
      </c>
      <c r="AA10" s="610">
        <v>2.3571079124875198</v>
      </c>
      <c r="AB10" s="610">
        <v>2.3597617722192901</v>
      </c>
      <c r="AC10" s="610">
        <v>2.3675113152405798</v>
      </c>
      <c r="AD10" s="610">
        <v>2.3894316572521599</v>
      </c>
      <c r="AE10" s="610">
        <v>2.4081640743995498</v>
      </c>
      <c r="AF10" s="610">
        <v>2.4443091198429299</v>
      </c>
      <c r="AG10" s="610">
        <v>2.4604230131467402</v>
      </c>
      <c r="AH10" s="610">
        <v>2.4673797299606202</v>
      </c>
      <c r="AI10" s="610">
        <v>2.4804327516067102</v>
      </c>
      <c r="AJ10" s="610">
        <v>2.486800531558</v>
      </c>
      <c r="AK10" s="610">
        <v>2.4979859493426302</v>
      </c>
      <c r="AL10" s="610">
        <v>2.51748463931711</v>
      </c>
      <c r="AM10" s="610">
        <v>2.5233681242674999</v>
      </c>
      <c r="AN10" s="610">
        <v>2.5236274631965898</v>
      </c>
      <c r="AO10" s="610">
        <v>2.5385110008237399</v>
      </c>
      <c r="AP10" s="610">
        <v>2.5493378234842399</v>
      </c>
      <c r="AQ10" s="610">
        <v>2.5641532580887398</v>
      </c>
      <c r="AR10" s="610">
        <v>2.5682475848483501</v>
      </c>
      <c r="AS10" s="610">
        <v>2.5745442177532798</v>
      </c>
      <c r="AT10" s="610">
        <v>2.5703691601533998</v>
      </c>
      <c r="AU10" s="610">
        <v>2.5621458287346699</v>
      </c>
      <c r="AV10" s="610">
        <v>2.5738366275259401</v>
      </c>
      <c r="AW10" s="610">
        <v>2.5763689814164299</v>
      </c>
      <c r="AX10" s="610">
        <v>2.5767283886230801</v>
      </c>
      <c r="AY10" s="610">
        <v>2.57174264404668</v>
      </c>
      <c r="AZ10" s="610">
        <v>2.5921935040783399</v>
      </c>
      <c r="BA10" s="610">
        <v>2.6069552513680199</v>
      </c>
      <c r="BB10" s="610">
        <v>2.62538144782462</v>
      </c>
      <c r="BC10" s="610">
        <v>2.6431179142038301</v>
      </c>
      <c r="BD10" s="610">
        <v>2.6455161818091399</v>
      </c>
      <c r="BE10" s="610">
        <v>2.65158539542049</v>
      </c>
      <c r="BF10" s="610">
        <v>2.6731697651786201</v>
      </c>
      <c r="BG10" s="610">
        <v>2.7004180913353601</v>
      </c>
      <c r="BH10" s="610">
        <v>2.71929105115849</v>
      </c>
      <c r="BI10" s="610">
        <v>2.73135484596928</v>
      </c>
      <c r="BJ10" s="610">
        <v>2.7428191932094901</v>
      </c>
      <c r="BK10" s="610">
        <v>2.7493023943472399</v>
      </c>
      <c r="BL10" s="610">
        <v>2.7699198683661201</v>
      </c>
      <c r="BM10" s="610">
        <v>2.7857569710013399</v>
      </c>
      <c r="BN10" s="610">
        <v>2.7962160388037498</v>
      </c>
      <c r="BO10" s="610">
        <v>2.8061535341217798</v>
      </c>
      <c r="BP10" s="610">
        <v>2.7915859923377702</v>
      </c>
      <c r="BQ10" s="610">
        <v>2.8038608397418998</v>
      </c>
      <c r="BR10" s="610">
        <v>2.8160547506121398</v>
      </c>
      <c r="BS10" s="610">
        <v>2.8442507966276001</v>
      </c>
      <c r="BT10" s="610">
        <v>2.87972613135834</v>
      </c>
      <c r="BU10" s="610">
        <v>2.9209830633074998</v>
      </c>
      <c r="BV10" s="610">
        <v>2.9774391818411701</v>
      </c>
      <c r="BW10" s="610">
        <v>3.0353049224602802</v>
      </c>
      <c r="BX10" s="610">
        <v>3.0959757052085299</v>
      </c>
      <c r="BY10" s="610">
        <v>3.1302079773937099</v>
      </c>
      <c r="BZ10" s="610">
        <v>3.1644236579613598</v>
      </c>
      <c r="CA10" s="610">
        <v>3.1720271546852401</v>
      </c>
      <c r="CB10" s="610">
        <v>3.1746140749510698</v>
      </c>
      <c r="CC10" s="610">
        <v>3.1993314088845399</v>
      </c>
      <c r="CD10" s="610">
        <v>3.2267758849407899</v>
      </c>
      <c r="CE10" s="610">
        <v>3.2693381681165499</v>
      </c>
      <c r="CF10" s="610">
        <v>3.30699111572862</v>
      </c>
      <c r="CG10" s="610">
        <v>3.3439200076883999</v>
      </c>
      <c r="CH10" s="610">
        <v>3.3734855400417998</v>
      </c>
      <c r="CI10" s="610">
        <v>3.3957809994631298</v>
      </c>
      <c r="CJ10" s="610">
        <v>3.4222739011384</v>
      </c>
      <c r="CK10" s="610">
        <v>3.4531309431427499</v>
      </c>
      <c r="CL10" s="610">
        <v>3.4842388432884599</v>
      </c>
      <c r="CM10" s="610">
        <v>3.5172215135383502</v>
      </c>
      <c r="CN10" s="610">
        <v>3.55090220299489</v>
      </c>
      <c r="CO10" s="610">
        <v>3.5841187616108399</v>
      </c>
      <c r="CP10" s="610">
        <v>3.6183216989814002</v>
      </c>
      <c r="CQ10" s="610">
        <v>3.6516391273185</v>
      </c>
      <c r="CR10" s="610">
        <v>3.6837931741219698</v>
      </c>
      <c r="CS10" s="610">
        <v>3.7179564008669801</v>
      </c>
      <c r="CT10" s="610">
        <v>3.7511161035314702</v>
      </c>
      <c r="CU10" s="610">
        <v>3.78437717042361</v>
      </c>
      <c r="CV10" s="610">
        <v>3.81824237174451</v>
      </c>
      <c r="CW10" s="610">
        <v>3.8497757633287599</v>
      </c>
      <c r="CX10" s="610">
        <v>3.88598572024127</v>
      </c>
      <c r="CY10" s="610">
        <v>3.9206759123421699</v>
      </c>
      <c r="CZ10" s="610">
        <v>3.9545752476342302</v>
      </c>
      <c r="DA10" s="610">
        <v>3.9895098230862001</v>
      </c>
      <c r="DB10" s="610">
        <v>4.0239802978325603</v>
      </c>
      <c r="DC10" s="610">
        <v>4.0593348304644801</v>
      </c>
      <c r="DD10" s="610">
        <v>4.0948528428443902</v>
      </c>
      <c r="DE10" s="610">
        <v>4.1310069630033599</v>
      </c>
      <c r="DF10" s="610">
        <v>4.1673692408863596</v>
      </c>
    </row>
    <row r="12" spans="1:110" x14ac:dyDescent="0.2">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row>
    <row r="13" spans="1:110" x14ac:dyDescent="0.2">
      <c r="C13" s="611"/>
      <c r="D13" s="611"/>
      <c r="E13" s="611"/>
      <c r="F13" s="611"/>
      <c r="G13" s="611"/>
      <c r="H13" s="611"/>
      <c r="I13" s="611"/>
      <c r="J13" s="611"/>
      <c r="K13" s="611"/>
      <c r="L13" s="611"/>
      <c r="M13" s="611"/>
      <c r="N13" s="611"/>
      <c r="O13" s="611"/>
      <c r="P13" s="611"/>
      <c r="Q13" s="611"/>
      <c r="R13" s="611"/>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row>
    <row r="14" spans="1:110" x14ac:dyDescent="0.2">
      <c r="C14" s="610"/>
      <c r="D14" s="610"/>
      <c r="E14" s="610"/>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10"/>
      <c r="AM14" s="610"/>
      <c r="AN14" s="610"/>
      <c r="AO14" s="610"/>
      <c r="AP14" s="610"/>
      <c r="AQ14" s="610"/>
      <c r="AR14" s="610"/>
      <c r="AS14" s="610"/>
      <c r="AT14" s="610"/>
    </row>
    <row r="18" spans="83:94" x14ac:dyDescent="0.2">
      <c r="CE18" s="612" t="s">
        <v>262</v>
      </c>
      <c r="CF18" s="613"/>
      <c r="CG18" s="613"/>
      <c r="CH18" s="614" t="s">
        <v>515</v>
      </c>
      <c r="CI18" s="615"/>
      <c r="CJ18" s="615"/>
      <c r="CK18" s="615"/>
      <c r="CL18" s="615"/>
      <c r="CM18" s="615"/>
      <c r="CN18" s="613"/>
      <c r="CO18" s="613"/>
      <c r="CP18" s="613"/>
    </row>
    <row r="19" spans="83:94" x14ac:dyDescent="0.2">
      <c r="CE19" s="616"/>
      <c r="CF19" s="617"/>
      <c r="CG19" s="617"/>
      <c r="CH19" s="617"/>
      <c r="CI19" s="617"/>
      <c r="CJ19" s="617"/>
      <c r="CK19" s="617"/>
      <c r="CL19" s="617"/>
      <c r="CM19" s="617"/>
      <c r="CN19" s="617"/>
      <c r="CO19" s="617"/>
      <c r="CP19" s="618"/>
    </row>
    <row r="20" spans="83:94" x14ac:dyDescent="0.2">
      <c r="CE20" s="619"/>
      <c r="CF20" s="620" t="s">
        <v>263</v>
      </c>
      <c r="CG20" s="621" t="s">
        <v>251</v>
      </c>
      <c r="CH20" s="613"/>
      <c r="CI20" s="613"/>
      <c r="CJ20" s="613"/>
      <c r="CK20" s="613"/>
      <c r="CL20" s="613"/>
      <c r="CM20" s="613"/>
      <c r="CN20" s="613"/>
      <c r="CO20" s="613"/>
      <c r="CP20" s="622"/>
    </row>
    <row r="21" spans="83:94" x14ac:dyDescent="0.2">
      <c r="CE21" s="619"/>
      <c r="CF21" s="613"/>
      <c r="CG21" s="623" t="s">
        <v>503</v>
      </c>
      <c r="CH21" s="613"/>
      <c r="CI21" s="613"/>
      <c r="CJ21" s="613"/>
      <c r="CK21" s="613"/>
      <c r="CL21" s="613"/>
      <c r="CM21" s="613"/>
      <c r="CN21" s="613"/>
      <c r="CO21" s="613"/>
      <c r="CP21" s="624" t="s">
        <v>264</v>
      </c>
    </row>
    <row r="22" spans="83:94" x14ac:dyDescent="0.2">
      <c r="CE22" s="619"/>
      <c r="CF22" s="613"/>
      <c r="CG22" s="625">
        <f>CG9</f>
        <v>3.2747145479094502</v>
      </c>
      <c r="CH22" s="626"/>
      <c r="CI22" s="613"/>
      <c r="CJ22" s="613"/>
      <c r="CK22" s="613"/>
      <c r="CL22" s="613"/>
      <c r="CM22" s="613"/>
      <c r="CN22" s="613"/>
      <c r="CO22" s="613"/>
      <c r="CP22" s="627">
        <f>CG22</f>
        <v>3.2747145479094502</v>
      </c>
    </row>
    <row r="23" spans="83:94" x14ac:dyDescent="0.2">
      <c r="CE23" s="619"/>
      <c r="CF23" s="613"/>
      <c r="CG23" s="613"/>
      <c r="CH23" s="613"/>
      <c r="CI23" s="613"/>
      <c r="CJ23" s="613"/>
      <c r="CK23" s="613"/>
      <c r="CL23" s="613"/>
      <c r="CM23" s="613"/>
      <c r="CN23" s="613"/>
      <c r="CO23" s="613"/>
      <c r="CP23" s="627"/>
    </row>
    <row r="24" spans="83:94" x14ac:dyDescent="0.2">
      <c r="CE24" s="701" t="s">
        <v>265</v>
      </c>
      <c r="CF24" s="702"/>
      <c r="CG24" s="702"/>
      <c r="CH24" s="613" t="s">
        <v>502</v>
      </c>
      <c r="CI24" s="613"/>
      <c r="CJ24" s="613"/>
      <c r="CK24" s="613"/>
      <c r="CL24" s="613"/>
      <c r="CM24" s="613"/>
      <c r="CN24" s="613"/>
      <c r="CO24" s="613"/>
      <c r="CP24" s="627"/>
    </row>
    <row r="25" spans="83:94" x14ac:dyDescent="0.2">
      <c r="CE25" s="628"/>
      <c r="CF25" s="620"/>
      <c r="CG25" s="629" t="str">
        <f>CH7</f>
        <v>2024Q4</v>
      </c>
      <c r="CH25" s="629" t="str">
        <f t="shared" ref="CH25:CN25" si="0">CI7</f>
        <v>2025Q1</v>
      </c>
      <c r="CI25" s="629" t="str">
        <f t="shared" si="0"/>
        <v>2025Q2</v>
      </c>
      <c r="CJ25" s="629" t="str">
        <f t="shared" si="0"/>
        <v>2025Q3</v>
      </c>
      <c r="CK25" s="629" t="str">
        <f t="shared" si="0"/>
        <v>2025Q4</v>
      </c>
      <c r="CL25" s="629" t="str">
        <f t="shared" si="0"/>
        <v>2026Q1</v>
      </c>
      <c r="CM25" s="629" t="str">
        <f t="shared" si="0"/>
        <v>2026Q2</v>
      </c>
      <c r="CN25" s="629" t="str">
        <f t="shared" si="0"/>
        <v>2026Q3</v>
      </c>
      <c r="CO25" s="613"/>
      <c r="CP25" s="627"/>
    </row>
    <row r="26" spans="83:94" x14ac:dyDescent="0.2">
      <c r="CE26" s="619"/>
      <c r="CF26" s="613"/>
      <c r="CG26" s="630" t="s">
        <v>166</v>
      </c>
      <c r="CH26" s="630" t="s">
        <v>166</v>
      </c>
      <c r="CI26" s="630" t="s">
        <v>166</v>
      </c>
      <c r="CJ26" s="631" t="s">
        <v>471</v>
      </c>
      <c r="CK26" s="631" t="s">
        <v>471</v>
      </c>
      <c r="CL26" s="631" t="s">
        <v>471</v>
      </c>
      <c r="CM26" s="631" t="s">
        <v>471</v>
      </c>
      <c r="CN26" s="630" t="s">
        <v>472</v>
      </c>
      <c r="CO26" s="613"/>
      <c r="CP26" s="627"/>
    </row>
    <row r="27" spans="83:94" x14ac:dyDescent="0.2">
      <c r="CE27" s="619"/>
      <c r="CF27" s="613"/>
      <c r="CG27" s="632">
        <f>CH9</f>
        <v>3.2888482187183001</v>
      </c>
      <c r="CH27" s="632">
        <f t="shared" ref="CH27:CM27" si="1">CI9</f>
        <v>3.2980662097021098</v>
      </c>
      <c r="CI27" s="632">
        <f t="shared" si="1"/>
        <v>3.3103080504098301</v>
      </c>
      <c r="CJ27" s="632">
        <f t="shared" si="1"/>
        <v>3.3271189360512898</v>
      </c>
      <c r="CK27" s="632">
        <f t="shared" si="1"/>
        <v>3.3442433232875199</v>
      </c>
      <c r="CL27" s="632">
        <f t="shared" si="1"/>
        <v>3.3629304591705398</v>
      </c>
      <c r="CM27" s="632">
        <f t="shared" si="1"/>
        <v>3.3816871263152701</v>
      </c>
      <c r="CN27" s="632">
        <f>CO9</f>
        <v>3.3998849861946701</v>
      </c>
      <c r="CO27" s="613"/>
      <c r="CP27" s="627">
        <f>AVERAGE(CG27:CN27)</f>
        <v>3.3391359137311913</v>
      </c>
    </row>
    <row r="28" spans="83:94" x14ac:dyDescent="0.2">
      <c r="CE28" s="619"/>
      <c r="CF28" s="613"/>
      <c r="CG28" s="613"/>
      <c r="CH28" s="613"/>
      <c r="CI28" s="613"/>
      <c r="CJ28" s="613"/>
      <c r="CK28" s="613"/>
      <c r="CL28" s="613"/>
      <c r="CM28" s="613"/>
      <c r="CN28" s="613"/>
      <c r="CO28" s="613"/>
      <c r="CP28" s="633"/>
    </row>
    <row r="29" spans="83:94" x14ac:dyDescent="0.2">
      <c r="CE29" s="619"/>
      <c r="CF29" s="613"/>
      <c r="CG29" s="613"/>
      <c r="CH29" s="613"/>
      <c r="CI29" s="613"/>
      <c r="CJ29" s="613"/>
      <c r="CK29" s="613"/>
      <c r="CL29" s="613"/>
      <c r="CM29" s="613"/>
      <c r="CN29" s="613"/>
      <c r="CO29" s="634" t="s">
        <v>266</v>
      </c>
      <c r="CP29" s="635">
        <f>(CP27-CP22)/CP22</f>
        <v>1.9672360713964287E-2</v>
      </c>
    </row>
    <row r="30" spans="83:94" x14ac:dyDescent="0.2">
      <c r="CE30" s="636"/>
      <c r="CF30" s="637"/>
      <c r="CG30" s="637"/>
      <c r="CH30" s="637"/>
      <c r="CI30" s="637"/>
      <c r="CJ30" s="637"/>
      <c r="CK30" s="637"/>
      <c r="CL30" s="637"/>
      <c r="CM30" s="637"/>
      <c r="CN30" s="637"/>
      <c r="CO30" s="637"/>
      <c r="CP30" s="638"/>
    </row>
    <row r="32" spans="83:94" x14ac:dyDescent="0.2">
      <c r="CE32" s="612" t="s">
        <v>262</v>
      </c>
      <c r="CF32" s="613"/>
      <c r="CG32" s="613"/>
      <c r="CH32" s="614" t="s">
        <v>515</v>
      </c>
      <c r="CI32" s="615"/>
      <c r="CJ32" s="615"/>
      <c r="CK32" s="615"/>
      <c r="CL32" s="615"/>
      <c r="CM32" s="615"/>
      <c r="CN32" s="613"/>
      <c r="CO32" s="613"/>
      <c r="CP32" s="613"/>
    </row>
    <row r="33" spans="81:94" x14ac:dyDescent="0.2">
      <c r="CE33" s="616"/>
      <c r="CF33" s="617"/>
      <c r="CG33" s="617"/>
      <c r="CH33" s="617"/>
      <c r="CI33" s="617"/>
      <c r="CJ33" s="617"/>
      <c r="CK33" s="617"/>
      <c r="CL33" s="617"/>
      <c r="CM33" s="617"/>
      <c r="CN33" s="617"/>
      <c r="CO33" s="617"/>
      <c r="CP33" s="618"/>
    </row>
    <row r="34" spans="81:94" x14ac:dyDescent="0.2">
      <c r="CE34" s="619"/>
      <c r="CF34" s="620" t="s">
        <v>263</v>
      </c>
      <c r="CG34" s="621" t="s">
        <v>250</v>
      </c>
      <c r="CH34" s="613"/>
      <c r="CI34" s="613"/>
      <c r="CJ34" s="613"/>
      <c r="CK34" s="613"/>
      <c r="CL34" s="613"/>
      <c r="CM34" s="613"/>
      <c r="CN34" s="613"/>
      <c r="CO34" s="613"/>
      <c r="CP34" s="622"/>
    </row>
    <row r="35" spans="81:94" x14ac:dyDescent="0.2">
      <c r="CE35" s="619"/>
      <c r="CF35" s="613"/>
      <c r="CG35" s="623" t="s">
        <v>503</v>
      </c>
      <c r="CH35" s="613"/>
      <c r="CI35" s="613"/>
      <c r="CJ35" s="613"/>
      <c r="CK35" s="613"/>
      <c r="CL35" s="613"/>
      <c r="CM35" s="613"/>
      <c r="CN35" s="613"/>
      <c r="CO35" s="613"/>
      <c r="CP35" s="624" t="s">
        <v>264</v>
      </c>
    </row>
    <row r="36" spans="81:94" x14ac:dyDescent="0.2">
      <c r="CE36" s="619"/>
      <c r="CF36" s="613"/>
      <c r="CG36" s="625">
        <f>CG8</f>
        <v>3.2896340930964798</v>
      </c>
      <c r="CH36" s="626"/>
      <c r="CI36" s="613"/>
      <c r="CJ36" s="613"/>
      <c r="CK36" s="613"/>
      <c r="CL36" s="613"/>
      <c r="CM36" s="613"/>
      <c r="CN36" s="613"/>
      <c r="CO36" s="613"/>
      <c r="CP36" s="627">
        <f>CG36</f>
        <v>3.2896340930964798</v>
      </c>
    </row>
    <row r="37" spans="81:94" x14ac:dyDescent="0.2">
      <c r="CC37" s="504" t="s">
        <v>516</v>
      </c>
      <c r="CE37" s="619"/>
      <c r="CF37" s="613"/>
      <c r="CG37" s="613"/>
      <c r="CH37" s="613"/>
      <c r="CI37" s="613"/>
      <c r="CJ37" s="613"/>
      <c r="CK37" s="613"/>
      <c r="CL37" s="613"/>
      <c r="CM37" s="613"/>
      <c r="CN37" s="613"/>
      <c r="CO37" s="613"/>
      <c r="CP37" s="627"/>
    </row>
    <row r="38" spans="81:94" x14ac:dyDescent="0.2">
      <c r="CE38" s="701" t="s">
        <v>265</v>
      </c>
      <c r="CF38" s="702"/>
      <c r="CG38" s="702"/>
      <c r="CH38" s="613" t="s">
        <v>502</v>
      </c>
      <c r="CI38" s="613"/>
      <c r="CJ38" s="613"/>
      <c r="CK38" s="613"/>
      <c r="CL38" s="613"/>
      <c r="CM38" s="613"/>
      <c r="CN38" s="613"/>
      <c r="CO38" s="613"/>
      <c r="CP38" s="627"/>
    </row>
    <row r="39" spans="81:94" x14ac:dyDescent="0.2">
      <c r="CE39" s="628"/>
      <c r="CF39" s="620"/>
      <c r="CG39" s="629" t="str">
        <f>CH7</f>
        <v>2024Q4</v>
      </c>
      <c r="CH39" s="629" t="str">
        <f t="shared" ref="CH39:CN39" si="2">CI7</f>
        <v>2025Q1</v>
      </c>
      <c r="CI39" s="629" t="str">
        <f t="shared" si="2"/>
        <v>2025Q2</v>
      </c>
      <c r="CJ39" s="629" t="str">
        <f t="shared" si="2"/>
        <v>2025Q3</v>
      </c>
      <c r="CK39" s="629" t="str">
        <f t="shared" si="2"/>
        <v>2025Q4</v>
      </c>
      <c r="CL39" s="629" t="str">
        <f t="shared" si="2"/>
        <v>2026Q1</v>
      </c>
      <c r="CM39" s="629" t="str">
        <f t="shared" si="2"/>
        <v>2026Q2</v>
      </c>
      <c r="CN39" s="629" t="str">
        <f t="shared" si="2"/>
        <v>2026Q3</v>
      </c>
      <c r="CO39" s="613"/>
      <c r="CP39" s="627"/>
    </row>
    <row r="40" spans="81:94" x14ac:dyDescent="0.2">
      <c r="CE40" s="619"/>
      <c r="CF40" s="613"/>
      <c r="CG40" s="630" t="s">
        <v>166</v>
      </c>
      <c r="CH40" s="630" t="s">
        <v>166</v>
      </c>
      <c r="CI40" s="630" t="s">
        <v>166</v>
      </c>
      <c r="CJ40" s="631" t="s">
        <v>471</v>
      </c>
      <c r="CK40" s="631" t="s">
        <v>471</v>
      </c>
      <c r="CL40" s="631" t="s">
        <v>471</v>
      </c>
      <c r="CM40" s="631" t="s">
        <v>471</v>
      </c>
      <c r="CN40" s="630" t="s">
        <v>472</v>
      </c>
      <c r="CO40" s="613"/>
      <c r="CP40" s="627"/>
    </row>
    <row r="41" spans="81:94" x14ac:dyDescent="0.2">
      <c r="CE41" s="619"/>
      <c r="CF41" s="613"/>
      <c r="CG41" s="632">
        <f>CH8</f>
        <v>3.3053813005300601</v>
      </c>
      <c r="CH41" s="632">
        <f t="shared" ref="CH41:CN41" si="3">CI8</f>
        <v>3.31540037508013</v>
      </c>
      <c r="CI41" s="632">
        <f t="shared" si="3"/>
        <v>3.3292835392878999</v>
      </c>
      <c r="CJ41" s="632">
        <f t="shared" si="3"/>
        <v>3.34803178972642</v>
      </c>
      <c r="CK41" s="632">
        <f t="shared" si="3"/>
        <v>3.3673825941733302</v>
      </c>
      <c r="CL41" s="632">
        <f t="shared" si="3"/>
        <v>3.38833435878575</v>
      </c>
      <c r="CM41" s="632">
        <f t="shared" si="3"/>
        <v>3.4096488246484</v>
      </c>
      <c r="CN41" s="632">
        <f t="shared" si="3"/>
        <v>3.4302167440242401</v>
      </c>
      <c r="CO41" s="613"/>
      <c r="CP41" s="627">
        <f>AVERAGE(CG41:CN41)</f>
        <v>3.3617099407820281</v>
      </c>
    </row>
    <row r="42" spans="81:94" x14ac:dyDescent="0.2">
      <c r="CE42" s="619"/>
      <c r="CF42" s="613"/>
      <c r="CG42" s="613"/>
      <c r="CH42" s="613"/>
      <c r="CI42" s="613"/>
      <c r="CJ42" s="613"/>
      <c r="CK42" s="613"/>
      <c r="CL42" s="613"/>
      <c r="CM42" s="613"/>
      <c r="CN42" s="613"/>
      <c r="CO42" s="613"/>
      <c r="CP42" s="633"/>
    </row>
    <row r="43" spans="81:94" x14ac:dyDescent="0.2">
      <c r="CE43" s="619"/>
      <c r="CF43" s="613"/>
      <c r="CG43" s="613"/>
      <c r="CH43" s="613"/>
      <c r="CI43" s="613"/>
      <c r="CJ43" s="613"/>
      <c r="CK43" s="613"/>
      <c r="CL43" s="613"/>
      <c r="CM43" s="613"/>
      <c r="CN43" s="613"/>
      <c r="CO43" s="634" t="s">
        <v>266</v>
      </c>
      <c r="CP43" s="635">
        <f>(CP41-CP36)/CP36</f>
        <v>2.1909989271087737E-2</v>
      </c>
    </row>
    <row r="44" spans="81:94" x14ac:dyDescent="0.2">
      <c r="CE44" s="636"/>
      <c r="CF44" s="637"/>
      <c r="CG44" s="637"/>
      <c r="CH44" s="637"/>
      <c r="CI44" s="637"/>
      <c r="CJ44" s="637"/>
      <c r="CK44" s="637"/>
      <c r="CL44" s="637"/>
      <c r="CM44" s="637"/>
      <c r="CN44" s="637"/>
      <c r="CO44" s="637"/>
      <c r="CP44" s="638"/>
    </row>
  </sheetData>
  <mergeCells count="3">
    <mergeCell ref="A1:B1"/>
    <mergeCell ref="CE24:CG24"/>
    <mergeCell ref="CE38:CG38"/>
  </mergeCells>
  <phoneticPr fontId="52" type="noConversion"/>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90A18-FF31-48E2-9B6B-E865E8DAFB1E}">
  <dimension ref="A1:M182"/>
  <sheetViews>
    <sheetView topLeftCell="A157" workbookViewId="0">
      <selection activeCell="F180" sqref="F180"/>
    </sheetView>
  </sheetViews>
  <sheetFormatPr defaultRowHeight="18.95" customHeight="1" x14ac:dyDescent="0.25"/>
  <cols>
    <col min="5" max="5" width="27.28515625" customWidth="1"/>
    <col min="6" max="6" width="27.85546875" customWidth="1"/>
    <col min="7" max="7" width="32.140625" customWidth="1"/>
    <col min="9" max="9" width="39.28515625" customWidth="1"/>
  </cols>
  <sheetData>
    <row r="1" spans="1:13" ht="18.95" customHeight="1" x14ac:dyDescent="0.25">
      <c r="A1" s="690" t="s">
        <v>517</v>
      </c>
      <c r="B1" s="690" t="s">
        <v>518</v>
      </c>
      <c r="C1" s="690" t="s">
        <v>519</v>
      </c>
      <c r="D1" s="690" t="s">
        <v>520</v>
      </c>
      <c r="E1" s="690" t="s">
        <v>521</v>
      </c>
      <c r="F1" s="690" t="s">
        <v>522</v>
      </c>
      <c r="G1" s="690" t="s">
        <v>523</v>
      </c>
      <c r="H1" s="690" t="s">
        <v>524</v>
      </c>
      <c r="I1" s="690" t="s">
        <v>525</v>
      </c>
      <c r="J1" s="690" t="s">
        <v>526</v>
      </c>
      <c r="K1" s="690" t="s">
        <v>527</v>
      </c>
      <c r="L1" s="690" t="s">
        <v>663</v>
      </c>
      <c r="M1" s="690" t="s">
        <v>528</v>
      </c>
    </row>
    <row r="2" spans="1:13" ht="18.95" customHeight="1" x14ac:dyDescent="0.25">
      <c r="A2" s="691">
        <v>2024</v>
      </c>
      <c r="B2" s="691">
        <v>2024</v>
      </c>
      <c r="C2" s="692" t="s">
        <v>543</v>
      </c>
      <c r="D2" s="692" t="s">
        <v>552</v>
      </c>
      <c r="E2" s="692" t="s">
        <v>616</v>
      </c>
      <c r="F2" s="691">
        <v>0</v>
      </c>
      <c r="G2" s="692" t="s">
        <v>532</v>
      </c>
      <c r="H2" s="692" t="s">
        <v>533</v>
      </c>
      <c r="I2" s="692" t="s">
        <v>534</v>
      </c>
      <c r="J2" s="692" t="s">
        <v>535</v>
      </c>
      <c r="K2" s="692" t="s">
        <v>535</v>
      </c>
      <c r="L2" s="692" t="s">
        <v>664</v>
      </c>
      <c r="M2" s="692" t="s">
        <v>536</v>
      </c>
    </row>
    <row r="3" spans="1:13" ht="18.95" customHeight="1" x14ac:dyDescent="0.25">
      <c r="A3" s="691">
        <v>2024</v>
      </c>
      <c r="B3" s="691">
        <v>2024</v>
      </c>
      <c r="C3" s="692" t="s">
        <v>529</v>
      </c>
      <c r="D3" s="692" t="s">
        <v>552</v>
      </c>
      <c r="E3" s="692" t="s">
        <v>596</v>
      </c>
      <c r="F3" s="691">
        <v>0</v>
      </c>
      <c r="G3" s="692" t="s">
        <v>532</v>
      </c>
      <c r="H3" s="692" t="s">
        <v>533</v>
      </c>
      <c r="I3" s="692" t="s">
        <v>534</v>
      </c>
      <c r="J3" s="692" t="s">
        <v>535</v>
      </c>
      <c r="K3" s="692" t="s">
        <v>535</v>
      </c>
      <c r="L3" s="692" t="s">
        <v>664</v>
      </c>
      <c r="M3" s="692" t="s">
        <v>536</v>
      </c>
    </row>
    <row r="4" spans="1:13" ht="18.95" customHeight="1" x14ac:dyDescent="0.25">
      <c r="A4" s="691">
        <v>2024</v>
      </c>
      <c r="B4" s="691">
        <v>2024</v>
      </c>
      <c r="C4" s="692" t="s">
        <v>529</v>
      </c>
      <c r="D4" s="692" t="s">
        <v>530</v>
      </c>
      <c r="E4" s="692" t="s">
        <v>609</v>
      </c>
      <c r="F4" s="691">
        <v>39694.379999999997</v>
      </c>
      <c r="G4" s="692" t="s">
        <v>532</v>
      </c>
      <c r="H4" s="692" t="s">
        <v>533</v>
      </c>
      <c r="I4" s="692" t="s">
        <v>534</v>
      </c>
      <c r="J4" s="692" t="s">
        <v>535</v>
      </c>
      <c r="K4" s="692" t="s">
        <v>535</v>
      </c>
      <c r="L4" s="692" t="s">
        <v>664</v>
      </c>
      <c r="M4" s="692" t="s">
        <v>536</v>
      </c>
    </row>
    <row r="5" spans="1:13" ht="18.95" customHeight="1" x14ac:dyDescent="0.25">
      <c r="A5" s="691">
        <v>2024</v>
      </c>
      <c r="B5" s="691">
        <v>2024</v>
      </c>
      <c r="C5" s="692" t="s">
        <v>543</v>
      </c>
      <c r="D5" s="692" t="s">
        <v>552</v>
      </c>
      <c r="E5" s="692" t="s">
        <v>615</v>
      </c>
      <c r="F5" s="691">
        <v>0</v>
      </c>
      <c r="G5" s="692" t="s">
        <v>532</v>
      </c>
      <c r="H5" s="692" t="s">
        <v>533</v>
      </c>
      <c r="I5" s="692" t="s">
        <v>534</v>
      </c>
      <c r="J5" s="692" t="s">
        <v>535</v>
      </c>
      <c r="K5" s="692" t="s">
        <v>535</v>
      </c>
      <c r="L5" s="692" t="s">
        <v>664</v>
      </c>
      <c r="M5" s="692" t="s">
        <v>536</v>
      </c>
    </row>
    <row r="6" spans="1:13" ht="18.95" customHeight="1" x14ac:dyDescent="0.25">
      <c r="A6" s="691">
        <v>2024</v>
      </c>
      <c r="B6" s="691">
        <v>2024</v>
      </c>
      <c r="C6" s="692" t="s">
        <v>538</v>
      </c>
      <c r="D6" s="692" t="s">
        <v>530</v>
      </c>
      <c r="E6" s="692" t="s">
        <v>573</v>
      </c>
      <c r="F6" s="691">
        <v>123814.96</v>
      </c>
      <c r="G6" s="692" t="s">
        <v>532</v>
      </c>
      <c r="H6" s="692" t="s">
        <v>533</v>
      </c>
      <c r="I6" s="692" t="s">
        <v>540</v>
      </c>
      <c r="J6" s="692" t="s">
        <v>535</v>
      </c>
      <c r="K6" s="692" t="s">
        <v>535</v>
      </c>
      <c r="L6" s="692" t="s">
        <v>664</v>
      </c>
      <c r="M6" s="692" t="s">
        <v>536</v>
      </c>
    </row>
    <row r="7" spans="1:13" ht="18.95" customHeight="1" x14ac:dyDescent="0.25">
      <c r="A7" s="691">
        <v>2024</v>
      </c>
      <c r="B7" s="691">
        <v>2024</v>
      </c>
      <c r="C7" s="692" t="s">
        <v>538</v>
      </c>
      <c r="D7" s="692" t="s">
        <v>530</v>
      </c>
      <c r="E7" s="692" t="s">
        <v>573</v>
      </c>
      <c r="F7" s="691">
        <v>0</v>
      </c>
      <c r="G7" s="692" t="s">
        <v>532</v>
      </c>
      <c r="H7" s="692" t="s">
        <v>533</v>
      </c>
      <c r="I7" s="692" t="s">
        <v>540</v>
      </c>
      <c r="J7" s="692" t="s">
        <v>535</v>
      </c>
      <c r="K7" s="692" t="s">
        <v>535</v>
      </c>
      <c r="L7" s="692" t="s">
        <v>664</v>
      </c>
      <c r="M7" s="692" t="s">
        <v>536</v>
      </c>
    </row>
    <row r="8" spans="1:13" ht="18.95" customHeight="1" x14ac:dyDescent="0.25">
      <c r="A8" s="691">
        <v>2024</v>
      </c>
      <c r="B8" s="691">
        <v>2024</v>
      </c>
      <c r="C8" s="692" t="s">
        <v>529</v>
      </c>
      <c r="D8" s="692" t="s">
        <v>530</v>
      </c>
      <c r="E8" s="692" t="s">
        <v>574</v>
      </c>
      <c r="F8" s="691">
        <v>36043.49</v>
      </c>
      <c r="G8" s="692" t="s">
        <v>532</v>
      </c>
      <c r="H8" s="692" t="s">
        <v>533</v>
      </c>
      <c r="I8" s="692" t="s">
        <v>534</v>
      </c>
      <c r="J8" s="692" t="s">
        <v>535</v>
      </c>
      <c r="K8" s="692" t="s">
        <v>535</v>
      </c>
      <c r="L8" s="692" t="s">
        <v>664</v>
      </c>
      <c r="M8" s="692" t="s">
        <v>536</v>
      </c>
    </row>
    <row r="9" spans="1:13" ht="18.95" customHeight="1" x14ac:dyDescent="0.25">
      <c r="A9" s="691">
        <v>2024</v>
      </c>
      <c r="B9" s="691">
        <v>2024</v>
      </c>
      <c r="C9" s="692" t="s">
        <v>543</v>
      </c>
      <c r="D9" s="692" t="s">
        <v>530</v>
      </c>
      <c r="E9" s="692" t="s">
        <v>610</v>
      </c>
      <c r="F9" s="691">
        <v>84373.8</v>
      </c>
      <c r="G9" s="692" t="s">
        <v>532</v>
      </c>
      <c r="H9" s="692" t="s">
        <v>533</v>
      </c>
      <c r="I9" s="692" t="s">
        <v>534</v>
      </c>
      <c r="J9" s="692" t="s">
        <v>535</v>
      </c>
      <c r="K9" s="692" t="s">
        <v>535</v>
      </c>
      <c r="L9" s="692" t="s">
        <v>664</v>
      </c>
      <c r="M9" s="692" t="s">
        <v>536</v>
      </c>
    </row>
    <row r="10" spans="1:13" ht="18.95" customHeight="1" x14ac:dyDescent="0.25">
      <c r="A10" s="691">
        <v>2024</v>
      </c>
      <c r="B10" s="691">
        <v>2024</v>
      </c>
      <c r="C10" s="692" t="s">
        <v>538</v>
      </c>
      <c r="D10" s="692" t="s">
        <v>530</v>
      </c>
      <c r="E10" s="692" t="s">
        <v>575</v>
      </c>
      <c r="F10" s="691">
        <v>123814.96</v>
      </c>
      <c r="G10" s="692" t="s">
        <v>532</v>
      </c>
      <c r="H10" s="692" t="s">
        <v>533</v>
      </c>
      <c r="I10" s="692" t="s">
        <v>540</v>
      </c>
      <c r="J10" s="692" t="s">
        <v>535</v>
      </c>
      <c r="K10" s="692" t="s">
        <v>535</v>
      </c>
      <c r="L10" s="692" t="s">
        <v>664</v>
      </c>
      <c r="M10" s="692" t="s">
        <v>536</v>
      </c>
    </row>
    <row r="11" spans="1:13" ht="18.95" customHeight="1" x14ac:dyDescent="0.25">
      <c r="A11" s="691">
        <v>2024</v>
      </c>
      <c r="B11" s="691">
        <v>2024</v>
      </c>
      <c r="C11" s="692" t="s">
        <v>529</v>
      </c>
      <c r="D11" s="692" t="s">
        <v>530</v>
      </c>
      <c r="E11" s="692" t="s">
        <v>576</v>
      </c>
      <c r="F11" s="691">
        <v>0</v>
      </c>
      <c r="G11" s="692" t="s">
        <v>532</v>
      </c>
      <c r="H11" s="692" t="s">
        <v>533</v>
      </c>
      <c r="I11" s="692" t="s">
        <v>534</v>
      </c>
      <c r="J11" s="692" t="s">
        <v>535</v>
      </c>
      <c r="K11" s="692" t="s">
        <v>535</v>
      </c>
      <c r="L11" s="692" t="s">
        <v>664</v>
      </c>
      <c r="M11" s="692" t="s">
        <v>536</v>
      </c>
    </row>
    <row r="12" spans="1:13" ht="18.95" customHeight="1" x14ac:dyDescent="0.25">
      <c r="A12" s="691">
        <v>2024</v>
      </c>
      <c r="B12" s="691">
        <v>2024</v>
      </c>
      <c r="C12" s="692" t="s">
        <v>546</v>
      </c>
      <c r="D12" s="692" t="s">
        <v>552</v>
      </c>
      <c r="E12" s="692" t="s">
        <v>595</v>
      </c>
      <c r="F12" s="691">
        <v>0</v>
      </c>
      <c r="G12" s="692" t="s">
        <v>532</v>
      </c>
      <c r="H12" s="692" t="s">
        <v>533</v>
      </c>
      <c r="I12" s="692" t="s">
        <v>548</v>
      </c>
      <c r="J12" s="692" t="s">
        <v>535</v>
      </c>
      <c r="K12" s="692" t="s">
        <v>535</v>
      </c>
      <c r="L12" s="692" t="s">
        <v>664</v>
      </c>
      <c r="M12" s="692" t="s">
        <v>536</v>
      </c>
    </row>
    <row r="13" spans="1:13" ht="18.95" customHeight="1" x14ac:dyDescent="0.25">
      <c r="A13" s="691">
        <v>2024</v>
      </c>
      <c r="B13" s="691">
        <v>2024</v>
      </c>
      <c r="C13" s="692" t="s">
        <v>546</v>
      </c>
      <c r="D13" s="692" t="s">
        <v>530</v>
      </c>
      <c r="E13" s="692" t="s">
        <v>547</v>
      </c>
      <c r="F13" s="691">
        <v>91640</v>
      </c>
      <c r="G13" s="692" t="s">
        <v>532</v>
      </c>
      <c r="H13" s="692" t="s">
        <v>533</v>
      </c>
      <c r="I13" s="692" t="s">
        <v>548</v>
      </c>
      <c r="J13" s="692" t="s">
        <v>535</v>
      </c>
      <c r="K13" s="692" t="s">
        <v>535</v>
      </c>
      <c r="L13" s="692" t="s">
        <v>664</v>
      </c>
      <c r="M13" s="692" t="s">
        <v>536</v>
      </c>
    </row>
    <row r="14" spans="1:13" ht="18.95" customHeight="1" x14ac:dyDescent="0.25">
      <c r="A14" s="691">
        <v>2024</v>
      </c>
      <c r="B14" s="691">
        <v>2024</v>
      </c>
      <c r="C14" s="692" t="s">
        <v>538</v>
      </c>
      <c r="D14" s="692" t="s">
        <v>530</v>
      </c>
      <c r="E14" s="692" t="s">
        <v>549</v>
      </c>
      <c r="F14" s="691">
        <v>1542.3</v>
      </c>
      <c r="G14" s="692" t="s">
        <v>532</v>
      </c>
      <c r="H14" s="692" t="s">
        <v>533</v>
      </c>
      <c r="I14" s="692" t="s">
        <v>540</v>
      </c>
      <c r="J14" s="692" t="s">
        <v>535</v>
      </c>
      <c r="K14" s="692" t="s">
        <v>535</v>
      </c>
      <c r="L14" s="692" t="s">
        <v>664</v>
      </c>
      <c r="M14" s="692" t="s">
        <v>536</v>
      </c>
    </row>
    <row r="15" spans="1:13" ht="18.95" customHeight="1" x14ac:dyDescent="0.25">
      <c r="A15" s="691">
        <v>2024</v>
      </c>
      <c r="B15" s="691">
        <v>2024</v>
      </c>
      <c r="C15" s="692" t="s">
        <v>543</v>
      </c>
      <c r="D15" s="692" t="s">
        <v>552</v>
      </c>
      <c r="E15" s="692" t="s">
        <v>617</v>
      </c>
      <c r="F15" s="691">
        <v>0</v>
      </c>
      <c r="G15" s="692" t="s">
        <v>532</v>
      </c>
      <c r="H15" s="692" t="s">
        <v>533</v>
      </c>
      <c r="I15" s="692" t="s">
        <v>534</v>
      </c>
      <c r="J15" s="692" t="s">
        <v>535</v>
      </c>
      <c r="K15" s="692" t="s">
        <v>535</v>
      </c>
      <c r="L15" s="692" t="s">
        <v>664</v>
      </c>
      <c r="M15" s="692" t="s">
        <v>536</v>
      </c>
    </row>
    <row r="16" spans="1:13" ht="18.95" customHeight="1" x14ac:dyDescent="0.25">
      <c r="A16" s="691">
        <v>2024</v>
      </c>
      <c r="B16" s="691">
        <v>2024</v>
      </c>
      <c r="C16" s="692" t="s">
        <v>541</v>
      </c>
      <c r="D16" s="692" t="s">
        <v>552</v>
      </c>
      <c r="E16" s="692" t="s">
        <v>619</v>
      </c>
      <c r="F16" s="691">
        <v>0</v>
      </c>
      <c r="G16" s="692" t="s">
        <v>532</v>
      </c>
      <c r="H16" s="692" t="s">
        <v>533</v>
      </c>
      <c r="I16" s="692" t="s">
        <v>534</v>
      </c>
      <c r="J16" s="692" t="s">
        <v>535</v>
      </c>
      <c r="K16" s="692" t="s">
        <v>535</v>
      </c>
      <c r="L16" s="692" t="s">
        <v>664</v>
      </c>
      <c r="M16" s="692" t="s">
        <v>536</v>
      </c>
    </row>
    <row r="17" spans="1:13" ht="18.95" customHeight="1" x14ac:dyDescent="0.25">
      <c r="A17" s="691">
        <v>2024</v>
      </c>
      <c r="B17" s="691">
        <v>2024</v>
      </c>
      <c r="C17" s="692" t="s">
        <v>541</v>
      </c>
      <c r="D17" s="692" t="s">
        <v>530</v>
      </c>
      <c r="E17" s="692" t="s">
        <v>611</v>
      </c>
      <c r="F17" s="691">
        <v>0</v>
      </c>
      <c r="G17" s="692" t="s">
        <v>532</v>
      </c>
      <c r="H17" s="692" t="s">
        <v>533</v>
      </c>
      <c r="I17" s="692" t="s">
        <v>534</v>
      </c>
      <c r="J17" s="692" t="s">
        <v>535</v>
      </c>
      <c r="K17" s="692" t="s">
        <v>535</v>
      </c>
      <c r="L17" s="692" t="s">
        <v>664</v>
      </c>
      <c r="M17" s="692" t="s">
        <v>536</v>
      </c>
    </row>
    <row r="18" spans="1:13" ht="18.95" customHeight="1" x14ac:dyDescent="0.25">
      <c r="A18" s="691">
        <v>2024</v>
      </c>
      <c r="B18" s="691">
        <v>2024</v>
      </c>
      <c r="C18" s="692" t="s">
        <v>538</v>
      </c>
      <c r="D18" s="692" t="s">
        <v>552</v>
      </c>
      <c r="E18" s="692" t="s">
        <v>561</v>
      </c>
      <c r="F18" s="691">
        <v>0</v>
      </c>
      <c r="G18" s="692" t="s">
        <v>532</v>
      </c>
      <c r="H18" s="692" t="s">
        <v>533</v>
      </c>
      <c r="I18" s="692" t="s">
        <v>540</v>
      </c>
      <c r="J18" s="692" t="s">
        <v>535</v>
      </c>
      <c r="K18" s="692" t="s">
        <v>535</v>
      </c>
      <c r="L18" s="692" t="s">
        <v>664</v>
      </c>
      <c r="M18" s="692" t="s">
        <v>536</v>
      </c>
    </row>
    <row r="19" spans="1:13" ht="18.95" customHeight="1" x14ac:dyDescent="0.25">
      <c r="A19" s="691">
        <v>2024</v>
      </c>
      <c r="B19" s="691">
        <v>2024</v>
      </c>
      <c r="C19" s="692" t="s">
        <v>538</v>
      </c>
      <c r="D19" s="692" t="s">
        <v>530</v>
      </c>
      <c r="E19" s="692" t="s">
        <v>593</v>
      </c>
      <c r="F19" s="691">
        <v>131548.89000000001</v>
      </c>
      <c r="G19" s="692" t="s">
        <v>532</v>
      </c>
      <c r="H19" s="692" t="s">
        <v>533</v>
      </c>
      <c r="I19" s="692" t="s">
        <v>540</v>
      </c>
      <c r="J19" s="692" t="s">
        <v>535</v>
      </c>
      <c r="K19" s="692" t="s">
        <v>535</v>
      </c>
      <c r="L19" s="692" t="s">
        <v>664</v>
      </c>
      <c r="M19" s="692" t="s">
        <v>536</v>
      </c>
    </row>
    <row r="20" spans="1:13" ht="18.95" customHeight="1" x14ac:dyDescent="0.25">
      <c r="A20" s="691">
        <v>2024</v>
      </c>
      <c r="B20" s="691">
        <v>2024</v>
      </c>
      <c r="C20" s="692" t="s">
        <v>529</v>
      </c>
      <c r="D20" s="692" t="s">
        <v>530</v>
      </c>
      <c r="E20" s="692" t="s">
        <v>550</v>
      </c>
      <c r="F20" s="691">
        <v>40034.199999999997</v>
      </c>
      <c r="G20" s="692" t="s">
        <v>532</v>
      </c>
      <c r="H20" s="692" t="s">
        <v>533</v>
      </c>
      <c r="I20" s="692" t="s">
        <v>534</v>
      </c>
      <c r="J20" s="692" t="s">
        <v>535</v>
      </c>
      <c r="K20" s="692" t="s">
        <v>535</v>
      </c>
      <c r="L20" s="692" t="s">
        <v>664</v>
      </c>
      <c r="M20" s="692" t="s">
        <v>536</v>
      </c>
    </row>
    <row r="21" spans="1:13" ht="18.95" customHeight="1" x14ac:dyDescent="0.25">
      <c r="A21" s="691">
        <v>2024</v>
      </c>
      <c r="B21" s="691">
        <v>2024</v>
      </c>
      <c r="C21" s="692" t="s">
        <v>541</v>
      </c>
      <c r="D21" s="692" t="s">
        <v>530</v>
      </c>
      <c r="E21" s="692" t="s">
        <v>594</v>
      </c>
      <c r="F21" s="691">
        <v>0</v>
      </c>
      <c r="G21" s="692" t="s">
        <v>532</v>
      </c>
      <c r="H21" s="692" t="s">
        <v>533</v>
      </c>
      <c r="I21" s="692" t="s">
        <v>534</v>
      </c>
      <c r="J21" s="692" t="s">
        <v>535</v>
      </c>
      <c r="K21" s="692" t="s">
        <v>535</v>
      </c>
      <c r="L21" s="692" t="s">
        <v>664</v>
      </c>
      <c r="M21" s="692" t="s">
        <v>536</v>
      </c>
    </row>
    <row r="22" spans="1:13" ht="18.95" customHeight="1" x14ac:dyDescent="0.25">
      <c r="A22" s="691">
        <v>2024</v>
      </c>
      <c r="B22" s="691">
        <v>2024</v>
      </c>
      <c r="C22" s="692" t="s">
        <v>546</v>
      </c>
      <c r="D22" s="692" t="s">
        <v>552</v>
      </c>
      <c r="E22" s="692" t="s">
        <v>577</v>
      </c>
      <c r="F22" s="691">
        <v>0</v>
      </c>
      <c r="G22" s="692" t="s">
        <v>532</v>
      </c>
      <c r="H22" s="692" t="s">
        <v>533</v>
      </c>
      <c r="I22" s="692" t="s">
        <v>548</v>
      </c>
      <c r="J22" s="692" t="s">
        <v>535</v>
      </c>
      <c r="K22" s="692" t="s">
        <v>535</v>
      </c>
      <c r="L22" s="692" t="s">
        <v>664</v>
      </c>
      <c r="M22" s="692" t="s">
        <v>536</v>
      </c>
    </row>
    <row r="23" spans="1:13" ht="18.95" customHeight="1" x14ac:dyDescent="0.25">
      <c r="A23" s="691">
        <v>2024</v>
      </c>
      <c r="B23" s="691">
        <v>2024</v>
      </c>
      <c r="C23" s="692" t="s">
        <v>546</v>
      </c>
      <c r="D23" s="692" t="s">
        <v>552</v>
      </c>
      <c r="E23" s="692" t="s">
        <v>553</v>
      </c>
      <c r="F23" s="691">
        <v>0</v>
      </c>
      <c r="G23" s="692" t="s">
        <v>532</v>
      </c>
      <c r="H23" s="692" t="s">
        <v>533</v>
      </c>
      <c r="I23" s="692" t="s">
        <v>548</v>
      </c>
      <c r="J23" s="692" t="s">
        <v>535</v>
      </c>
      <c r="K23" s="692" t="s">
        <v>535</v>
      </c>
      <c r="L23" s="692" t="s">
        <v>664</v>
      </c>
      <c r="M23" s="692" t="s">
        <v>536</v>
      </c>
    </row>
    <row r="24" spans="1:13" ht="18.95" customHeight="1" x14ac:dyDescent="0.25">
      <c r="A24" s="691">
        <v>2024</v>
      </c>
      <c r="B24" s="691">
        <v>2024</v>
      </c>
      <c r="C24" s="692" t="s">
        <v>546</v>
      </c>
      <c r="D24" s="692" t="s">
        <v>530</v>
      </c>
      <c r="E24" s="692" t="s">
        <v>551</v>
      </c>
      <c r="F24" s="691">
        <v>0</v>
      </c>
      <c r="G24" s="692" t="s">
        <v>532</v>
      </c>
      <c r="H24" s="692" t="s">
        <v>533</v>
      </c>
      <c r="I24" s="692" t="s">
        <v>548</v>
      </c>
      <c r="J24" s="692" t="s">
        <v>535</v>
      </c>
      <c r="K24" s="692" t="s">
        <v>535</v>
      </c>
      <c r="L24" s="692" t="s">
        <v>664</v>
      </c>
      <c r="M24" s="692" t="s">
        <v>536</v>
      </c>
    </row>
    <row r="25" spans="1:13" ht="18.95" customHeight="1" x14ac:dyDescent="0.25">
      <c r="A25" s="691">
        <v>2024</v>
      </c>
      <c r="B25" s="691">
        <v>2024</v>
      </c>
      <c r="C25" s="692" t="s">
        <v>546</v>
      </c>
      <c r="D25" s="692" t="s">
        <v>530</v>
      </c>
      <c r="E25" s="692" t="s">
        <v>551</v>
      </c>
      <c r="F25" s="691">
        <v>80666.37</v>
      </c>
      <c r="G25" s="692" t="s">
        <v>532</v>
      </c>
      <c r="H25" s="692" t="s">
        <v>533</v>
      </c>
      <c r="I25" s="692" t="s">
        <v>548</v>
      </c>
      <c r="J25" s="692" t="s">
        <v>535</v>
      </c>
      <c r="K25" s="692" t="s">
        <v>535</v>
      </c>
      <c r="L25" s="692" t="s">
        <v>664</v>
      </c>
      <c r="M25" s="692" t="s">
        <v>536</v>
      </c>
    </row>
    <row r="26" spans="1:13" ht="18.95" customHeight="1" x14ac:dyDescent="0.25">
      <c r="A26" s="691">
        <v>2024</v>
      </c>
      <c r="B26" s="691">
        <v>2024</v>
      </c>
      <c r="C26" s="692" t="s">
        <v>543</v>
      </c>
      <c r="D26" s="692" t="s">
        <v>552</v>
      </c>
      <c r="E26" s="692" t="s">
        <v>599</v>
      </c>
      <c r="F26" s="691">
        <v>0</v>
      </c>
      <c r="G26" s="692" t="s">
        <v>532</v>
      </c>
      <c r="H26" s="692" t="s">
        <v>533</v>
      </c>
      <c r="I26" s="692" t="s">
        <v>534</v>
      </c>
      <c r="J26" s="692" t="s">
        <v>535</v>
      </c>
      <c r="K26" s="692" t="s">
        <v>535</v>
      </c>
      <c r="L26" s="692" t="s">
        <v>664</v>
      </c>
      <c r="M26" s="692" t="s">
        <v>536</v>
      </c>
    </row>
    <row r="27" spans="1:13" ht="18.95" customHeight="1" x14ac:dyDescent="0.25">
      <c r="A27" s="691">
        <v>2024</v>
      </c>
      <c r="B27" s="691">
        <v>2024</v>
      </c>
      <c r="C27" s="692" t="s">
        <v>543</v>
      </c>
      <c r="D27" s="692" t="s">
        <v>530</v>
      </c>
      <c r="E27" s="692" t="s">
        <v>588</v>
      </c>
      <c r="F27" s="691">
        <v>127952.9</v>
      </c>
      <c r="G27" s="692" t="s">
        <v>532</v>
      </c>
      <c r="H27" s="692" t="s">
        <v>533</v>
      </c>
      <c r="I27" s="692" t="s">
        <v>534</v>
      </c>
      <c r="J27" s="692" t="s">
        <v>535</v>
      </c>
      <c r="K27" s="692" t="s">
        <v>535</v>
      </c>
      <c r="L27" s="692" t="s">
        <v>664</v>
      </c>
      <c r="M27" s="692" t="s">
        <v>536</v>
      </c>
    </row>
    <row r="28" spans="1:13" ht="18.95" customHeight="1" x14ac:dyDescent="0.25">
      <c r="A28" s="691">
        <v>2024</v>
      </c>
      <c r="B28" s="691">
        <v>2024</v>
      </c>
      <c r="C28" s="692" t="s">
        <v>543</v>
      </c>
      <c r="D28" s="692" t="s">
        <v>530</v>
      </c>
      <c r="E28" s="692" t="s">
        <v>571</v>
      </c>
      <c r="F28" s="691">
        <v>0</v>
      </c>
      <c r="G28" s="692" t="s">
        <v>532</v>
      </c>
      <c r="H28" s="692" t="s">
        <v>533</v>
      </c>
      <c r="I28" s="692" t="s">
        <v>534</v>
      </c>
      <c r="J28" s="692" t="s">
        <v>535</v>
      </c>
      <c r="K28" s="692" t="s">
        <v>535</v>
      </c>
      <c r="L28" s="692" t="s">
        <v>664</v>
      </c>
      <c r="M28" s="692" t="s">
        <v>536</v>
      </c>
    </row>
    <row r="29" spans="1:13" ht="18.95" customHeight="1" x14ac:dyDescent="0.25">
      <c r="A29" s="691">
        <v>2024</v>
      </c>
      <c r="B29" s="691">
        <v>2024</v>
      </c>
      <c r="C29" s="692" t="s">
        <v>538</v>
      </c>
      <c r="D29" s="692" t="s">
        <v>530</v>
      </c>
      <c r="E29" s="692" t="s">
        <v>589</v>
      </c>
      <c r="F29" s="691">
        <v>0</v>
      </c>
      <c r="G29" s="692" t="s">
        <v>532</v>
      </c>
      <c r="H29" s="692" t="s">
        <v>533</v>
      </c>
      <c r="I29" s="692" t="s">
        <v>540</v>
      </c>
      <c r="J29" s="692" t="s">
        <v>535</v>
      </c>
      <c r="K29" s="692" t="s">
        <v>535</v>
      </c>
      <c r="L29" s="692" t="s">
        <v>664</v>
      </c>
      <c r="M29" s="692" t="s">
        <v>536</v>
      </c>
    </row>
    <row r="30" spans="1:13" ht="18.95" customHeight="1" x14ac:dyDescent="0.25">
      <c r="A30" s="691">
        <v>2024</v>
      </c>
      <c r="B30" s="691">
        <v>2024</v>
      </c>
      <c r="C30" s="692" t="s">
        <v>541</v>
      </c>
      <c r="D30" s="692" t="s">
        <v>552</v>
      </c>
      <c r="E30" s="692" t="s">
        <v>600</v>
      </c>
      <c r="F30" s="691">
        <v>0</v>
      </c>
      <c r="G30" s="692" t="s">
        <v>532</v>
      </c>
      <c r="H30" s="692" t="s">
        <v>533</v>
      </c>
      <c r="I30" s="692" t="s">
        <v>534</v>
      </c>
      <c r="J30" s="692" t="s">
        <v>535</v>
      </c>
      <c r="K30" s="692" t="s">
        <v>535</v>
      </c>
      <c r="L30" s="692" t="s">
        <v>664</v>
      </c>
      <c r="M30" s="692" t="s">
        <v>536</v>
      </c>
    </row>
    <row r="31" spans="1:13" ht="18.95" customHeight="1" x14ac:dyDescent="0.25">
      <c r="A31" s="691">
        <v>2024</v>
      </c>
      <c r="B31" s="691">
        <v>2024</v>
      </c>
      <c r="C31" s="692" t="s">
        <v>529</v>
      </c>
      <c r="D31" s="692" t="s">
        <v>530</v>
      </c>
      <c r="E31" s="692" t="s">
        <v>531</v>
      </c>
      <c r="F31" s="691">
        <v>37792.300000000003</v>
      </c>
      <c r="G31" s="692" t="s">
        <v>532</v>
      </c>
      <c r="H31" s="692" t="s">
        <v>533</v>
      </c>
      <c r="I31" s="692" t="s">
        <v>534</v>
      </c>
      <c r="J31" s="692" t="s">
        <v>535</v>
      </c>
      <c r="K31" s="692" t="s">
        <v>535</v>
      </c>
      <c r="L31" s="692" t="s">
        <v>664</v>
      </c>
      <c r="M31" s="692" t="s">
        <v>536</v>
      </c>
    </row>
    <row r="32" spans="1:13" ht="18.95" customHeight="1" x14ac:dyDescent="0.25">
      <c r="A32" s="691">
        <v>2024</v>
      </c>
      <c r="B32" s="691">
        <v>2024</v>
      </c>
      <c r="C32" s="692" t="s">
        <v>541</v>
      </c>
      <c r="D32" s="692" t="s">
        <v>530</v>
      </c>
      <c r="E32" s="692" t="s">
        <v>608</v>
      </c>
      <c r="F32" s="691">
        <v>180</v>
      </c>
      <c r="G32" s="692" t="s">
        <v>532</v>
      </c>
      <c r="H32" s="692" t="s">
        <v>533</v>
      </c>
      <c r="I32" s="692" t="s">
        <v>534</v>
      </c>
      <c r="J32" s="692" t="s">
        <v>535</v>
      </c>
      <c r="K32" s="692" t="s">
        <v>535</v>
      </c>
      <c r="L32" s="692" t="s">
        <v>664</v>
      </c>
      <c r="M32" s="692" t="s">
        <v>536</v>
      </c>
    </row>
    <row r="33" spans="1:13" ht="18.95" customHeight="1" x14ac:dyDescent="0.25">
      <c r="A33" s="691">
        <v>2024</v>
      </c>
      <c r="B33" s="691">
        <v>2024</v>
      </c>
      <c r="C33" s="692" t="s">
        <v>543</v>
      </c>
      <c r="D33" s="692" t="s">
        <v>530</v>
      </c>
      <c r="E33" s="692" t="s">
        <v>590</v>
      </c>
      <c r="F33" s="691">
        <v>0</v>
      </c>
      <c r="G33" s="692" t="s">
        <v>532</v>
      </c>
      <c r="H33" s="692" t="s">
        <v>533</v>
      </c>
      <c r="I33" s="692" t="s">
        <v>534</v>
      </c>
      <c r="J33" s="692" t="s">
        <v>535</v>
      </c>
      <c r="K33" s="692" t="s">
        <v>535</v>
      </c>
      <c r="L33" s="692" t="s">
        <v>664</v>
      </c>
      <c r="M33" s="692" t="s">
        <v>536</v>
      </c>
    </row>
    <row r="34" spans="1:13" ht="18.95" customHeight="1" x14ac:dyDescent="0.25">
      <c r="A34" s="691">
        <v>2024</v>
      </c>
      <c r="B34" s="691">
        <v>2024</v>
      </c>
      <c r="C34" s="692" t="s">
        <v>538</v>
      </c>
      <c r="D34" s="692" t="s">
        <v>530</v>
      </c>
      <c r="E34" s="692" t="s">
        <v>539</v>
      </c>
      <c r="F34" s="691">
        <v>134887.85999999999</v>
      </c>
      <c r="G34" s="692" t="s">
        <v>532</v>
      </c>
      <c r="H34" s="692" t="s">
        <v>533</v>
      </c>
      <c r="I34" s="692" t="s">
        <v>540</v>
      </c>
      <c r="J34" s="692" t="s">
        <v>535</v>
      </c>
      <c r="K34" s="692" t="s">
        <v>535</v>
      </c>
      <c r="L34" s="692" t="s">
        <v>664</v>
      </c>
      <c r="M34" s="692" t="s">
        <v>536</v>
      </c>
    </row>
    <row r="35" spans="1:13" ht="18.95" customHeight="1" x14ac:dyDescent="0.25">
      <c r="A35" s="691">
        <v>2024</v>
      </c>
      <c r="B35" s="691">
        <v>2024</v>
      </c>
      <c r="C35" s="692" t="s">
        <v>538</v>
      </c>
      <c r="D35" s="692" t="s">
        <v>530</v>
      </c>
      <c r="E35" s="692" t="s">
        <v>539</v>
      </c>
      <c r="F35" s="691">
        <v>137561.51999999999</v>
      </c>
      <c r="G35" s="692" t="s">
        <v>532</v>
      </c>
      <c r="H35" s="692" t="s">
        <v>533</v>
      </c>
      <c r="I35" s="692" t="s">
        <v>540</v>
      </c>
      <c r="J35" s="692" t="s">
        <v>535</v>
      </c>
      <c r="K35" s="692" t="s">
        <v>535</v>
      </c>
      <c r="L35" s="692" t="s">
        <v>664</v>
      </c>
      <c r="M35" s="692" t="s">
        <v>536</v>
      </c>
    </row>
    <row r="36" spans="1:13" ht="18.95" customHeight="1" x14ac:dyDescent="0.25">
      <c r="A36" s="691">
        <v>2024</v>
      </c>
      <c r="B36" s="691">
        <v>2024</v>
      </c>
      <c r="C36" s="692" t="s">
        <v>538</v>
      </c>
      <c r="D36" s="692" t="s">
        <v>530</v>
      </c>
      <c r="E36" s="692" t="s">
        <v>539</v>
      </c>
      <c r="F36" s="691">
        <v>0</v>
      </c>
      <c r="G36" s="692" t="s">
        <v>532</v>
      </c>
      <c r="H36" s="692" t="s">
        <v>533</v>
      </c>
      <c r="I36" s="692" t="s">
        <v>540</v>
      </c>
      <c r="J36" s="692" t="s">
        <v>535</v>
      </c>
      <c r="K36" s="692" t="s">
        <v>535</v>
      </c>
      <c r="L36" s="692" t="s">
        <v>664</v>
      </c>
      <c r="M36" s="692" t="s">
        <v>536</v>
      </c>
    </row>
    <row r="37" spans="1:13" ht="18.95" customHeight="1" x14ac:dyDescent="0.25">
      <c r="A37" s="691">
        <v>2024</v>
      </c>
      <c r="B37" s="691">
        <v>2024</v>
      </c>
      <c r="C37" s="692" t="s">
        <v>546</v>
      </c>
      <c r="D37" s="692" t="s">
        <v>552</v>
      </c>
      <c r="E37" s="692" t="s">
        <v>586</v>
      </c>
      <c r="F37" s="691">
        <v>0</v>
      </c>
      <c r="G37" s="692" t="s">
        <v>532</v>
      </c>
      <c r="H37" s="692" t="s">
        <v>533</v>
      </c>
      <c r="I37" s="692" t="s">
        <v>584</v>
      </c>
      <c r="J37" s="692" t="s">
        <v>535</v>
      </c>
      <c r="K37" s="692" t="s">
        <v>535</v>
      </c>
      <c r="L37" s="692" t="s">
        <v>664</v>
      </c>
      <c r="M37" s="692" t="s">
        <v>536</v>
      </c>
    </row>
    <row r="38" spans="1:13" ht="18.95" customHeight="1" x14ac:dyDescent="0.25">
      <c r="A38" s="691">
        <v>2024</v>
      </c>
      <c r="B38" s="691">
        <v>2024</v>
      </c>
      <c r="C38" s="692" t="s">
        <v>546</v>
      </c>
      <c r="D38" s="692" t="s">
        <v>530</v>
      </c>
      <c r="E38" s="692" t="s">
        <v>583</v>
      </c>
      <c r="F38" s="691">
        <v>0</v>
      </c>
      <c r="G38" s="692" t="s">
        <v>532</v>
      </c>
      <c r="H38" s="692" t="s">
        <v>533</v>
      </c>
      <c r="I38" s="692" t="s">
        <v>584</v>
      </c>
      <c r="J38" s="692" t="s">
        <v>535</v>
      </c>
      <c r="K38" s="692" t="s">
        <v>535</v>
      </c>
      <c r="L38" s="692" t="s">
        <v>664</v>
      </c>
      <c r="M38" s="692" t="s">
        <v>536</v>
      </c>
    </row>
    <row r="39" spans="1:13" ht="18.95" customHeight="1" x14ac:dyDescent="0.25">
      <c r="A39" s="691">
        <v>2024</v>
      </c>
      <c r="B39" s="691">
        <v>2024</v>
      </c>
      <c r="C39" s="692" t="s">
        <v>541</v>
      </c>
      <c r="D39" s="692" t="s">
        <v>552</v>
      </c>
      <c r="E39" s="692" t="s">
        <v>604</v>
      </c>
      <c r="F39" s="691">
        <v>0</v>
      </c>
      <c r="G39" s="692" t="s">
        <v>532</v>
      </c>
      <c r="H39" s="692" t="s">
        <v>533</v>
      </c>
      <c r="I39" s="692" t="s">
        <v>534</v>
      </c>
      <c r="J39" s="692" t="s">
        <v>535</v>
      </c>
      <c r="K39" s="692" t="s">
        <v>535</v>
      </c>
      <c r="L39" s="692" t="s">
        <v>664</v>
      </c>
      <c r="M39" s="692" t="s">
        <v>536</v>
      </c>
    </row>
    <row r="40" spans="1:13" ht="18.95" customHeight="1" x14ac:dyDescent="0.25">
      <c r="A40" s="691">
        <v>2024</v>
      </c>
      <c r="B40" s="691">
        <v>2024</v>
      </c>
      <c r="C40" s="692" t="s">
        <v>541</v>
      </c>
      <c r="D40" s="692" t="s">
        <v>530</v>
      </c>
      <c r="E40" s="692" t="s">
        <v>569</v>
      </c>
      <c r="F40" s="691">
        <v>81273.210000000006</v>
      </c>
      <c r="G40" s="692" t="s">
        <v>532</v>
      </c>
      <c r="H40" s="692" t="s">
        <v>533</v>
      </c>
      <c r="I40" s="692" t="s">
        <v>534</v>
      </c>
      <c r="J40" s="692" t="s">
        <v>535</v>
      </c>
      <c r="K40" s="692" t="s">
        <v>535</v>
      </c>
      <c r="L40" s="692" t="s">
        <v>664</v>
      </c>
      <c r="M40" s="692" t="s">
        <v>536</v>
      </c>
    </row>
    <row r="41" spans="1:13" ht="18.95" customHeight="1" x14ac:dyDescent="0.25">
      <c r="A41" s="691">
        <v>2024</v>
      </c>
      <c r="B41" s="691">
        <v>2024</v>
      </c>
      <c r="C41" s="692" t="s">
        <v>541</v>
      </c>
      <c r="D41" s="692" t="s">
        <v>530</v>
      </c>
      <c r="E41" s="692" t="s">
        <v>569</v>
      </c>
      <c r="F41" s="691">
        <v>0</v>
      </c>
      <c r="G41" s="692" t="s">
        <v>532</v>
      </c>
      <c r="H41" s="692" t="s">
        <v>533</v>
      </c>
      <c r="I41" s="692" t="s">
        <v>534</v>
      </c>
      <c r="J41" s="692" t="s">
        <v>535</v>
      </c>
      <c r="K41" s="692" t="s">
        <v>535</v>
      </c>
      <c r="L41" s="692" t="s">
        <v>664</v>
      </c>
      <c r="M41" s="692" t="s">
        <v>536</v>
      </c>
    </row>
    <row r="42" spans="1:13" ht="18.95" customHeight="1" x14ac:dyDescent="0.25">
      <c r="A42" s="691">
        <v>2024</v>
      </c>
      <c r="B42" s="691">
        <v>2024</v>
      </c>
      <c r="C42" s="692" t="s">
        <v>543</v>
      </c>
      <c r="D42" s="692" t="s">
        <v>552</v>
      </c>
      <c r="E42" s="692" t="s">
        <v>620</v>
      </c>
      <c r="F42" s="691">
        <v>0</v>
      </c>
      <c r="G42" s="692" t="s">
        <v>532</v>
      </c>
      <c r="H42" s="692" t="s">
        <v>533</v>
      </c>
      <c r="I42" s="692" t="s">
        <v>534</v>
      </c>
      <c r="J42" s="692" t="s">
        <v>535</v>
      </c>
      <c r="K42" s="692" t="s">
        <v>535</v>
      </c>
      <c r="L42" s="692" t="s">
        <v>664</v>
      </c>
      <c r="M42" s="692" t="s">
        <v>536</v>
      </c>
    </row>
    <row r="43" spans="1:13" ht="18.95" customHeight="1" x14ac:dyDescent="0.25">
      <c r="A43" s="691">
        <v>2024</v>
      </c>
      <c r="B43" s="691">
        <v>2024</v>
      </c>
      <c r="C43" s="692" t="s">
        <v>543</v>
      </c>
      <c r="D43" s="692" t="s">
        <v>530</v>
      </c>
      <c r="E43" s="692" t="s">
        <v>585</v>
      </c>
      <c r="F43" s="691">
        <v>0</v>
      </c>
      <c r="G43" s="692" t="s">
        <v>532</v>
      </c>
      <c r="H43" s="692" t="s">
        <v>533</v>
      </c>
      <c r="I43" s="692" t="s">
        <v>534</v>
      </c>
      <c r="J43" s="692" t="s">
        <v>535</v>
      </c>
      <c r="K43" s="692" t="s">
        <v>535</v>
      </c>
      <c r="L43" s="692" t="s">
        <v>664</v>
      </c>
      <c r="M43" s="692" t="s">
        <v>536</v>
      </c>
    </row>
    <row r="44" spans="1:13" ht="18.95" customHeight="1" x14ac:dyDescent="0.25">
      <c r="A44" s="691">
        <v>2024</v>
      </c>
      <c r="B44" s="691">
        <v>2024</v>
      </c>
      <c r="C44" s="692" t="s">
        <v>538</v>
      </c>
      <c r="D44" s="692" t="s">
        <v>530</v>
      </c>
      <c r="E44" s="692" t="s">
        <v>665</v>
      </c>
      <c r="F44" s="691">
        <v>0</v>
      </c>
      <c r="G44" s="692" t="s">
        <v>532</v>
      </c>
      <c r="H44" s="692" t="s">
        <v>533</v>
      </c>
      <c r="I44" s="692" t="s">
        <v>540</v>
      </c>
      <c r="J44" s="692" t="s">
        <v>535</v>
      </c>
      <c r="K44" s="692" t="s">
        <v>535</v>
      </c>
      <c r="L44" s="692" t="s">
        <v>664</v>
      </c>
      <c r="M44" s="692" t="s">
        <v>536</v>
      </c>
    </row>
    <row r="45" spans="1:13" ht="18.95" customHeight="1" x14ac:dyDescent="0.25">
      <c r="A45" s="691">
        <v>2024</v>
      </c>
      <c r="B45" s="691">
        <v>2024</v>
      </c>
      <c r="C45" s="692" t="s">
        <v>543</v>
      </c>
      <c r="D45" s="692" t="s">
        <v>530</v>
      </c>
      <c r="E45" s="692" t="s">
        <v>666</v>
      </c>
      <c r="F45" s="691">
        <v>0</v>
      </c>
      <c r="G45" s="692" t="s">
        <v>532</v>
      </c>
      <c r="H45" s="692" t="s">
        <v>533</v>
      </c>
      <c r="I45" s="692" t="s">
        <v>534</v>
      </c>
      <c r="J45" s="692" t="s">
        <v>535</v>
      </c>
      <c r="K45" s="692" t="s">
        <v>535</v>
      </c>
      <c r="L45" s="692" t="s">
        <v>664</v>
      </c>
      <c r="M45" s="692" t="s">
        <v>536</v>
      </c>
    </row>
    <row r="46" spans="1:13" ht="18.95" customHeight="1" x14ac:dyDescent="0.25">
      <c r="A46" s="691">
        <v>2024</v>
      </c>
      <c r="B46" s="691">
        <v>2024</v>
      </c>
      <c r="C46" s="692" t="s">
        <v>546</v>
      </c>
      <c r="D46" s="692" t="s">
        <v>530</v>
      </c>
      <c r="E46" s="692" t="s">
        <v>667</v>
      </c>
      <c r="F46" s="691">
        <v>0</v>
      </c>
      <c r="G46" s="692" t="s">
        <v>532</v>
      </c>
      <c r="H46" s="692" t="s">
        <v>533</v>
      </c>
      <c r="I46" s="692" t="s">
        <v>584</v>
      </c>
      <c r="J46" s="692" t="s">
        <v>535</v>
      </c>
      <c r="K46" s="692" t="s">
        <v>535</v>
      </c>
      <c r="L46" s="692" t="s">
        <v>664</v>
      </c>
      <c r="M46" s="692" t="s">
        <v>536</v>
      </c>
    </row>
    <row r="47" spans="1:13" ht="18.95" customHeight="1" x14ac:dyDescent="0.25">
      <c r="A47" s="691">
        <v>2024</v>
      </c>
      <c r="B47" s="691">
        <v>2024</v>
      </c>
      <c r="C47" s="692" t="s">
        <v>529</v>
      </c>
      <c r="D47" s="692" t="s">
        <v>530</v>
      </c>
      <c r="E47" s="692" t="s">
        <v>668</v>
      </c>
      <c r="F47" s="691">
        <v>38023.69</v>
      </c>
      <c r="G47" s="692" t="s">
        <v>532</v>
      </c>
      <c r="H47" s="692" t="s">
        <v>533</v>
      </c>
      <c r="I47" s="692" t="s">
        <v>534</v>
      </c>
      <c r="J47" s="692" t="s">
        <v>535</v>
      </c>
      <c r="K47" s="692" t="s">
        <v>535</v>
      </c>
      <c r="L47" s="692" t="s">
        <v>664</v>
      </c>
      <c r="M47" s="692" t="s">
        <v>536</v>
      </c>
    </row>
    <row r="48" spans="1:13" ht="18.95" customHeight="1" x14ac:dyDescent="0.25">
      <c r="A48" s="691">
        <v>2024</v>
      </c>
      <c r="B48" s="691">
        <v>2024</v>
      </c>
      <c r="C48" s="692" t="s">
        <v>529</v>
      </c>
      <c r="D48" s="692" t="s">
        <v>552</v>
      </c>
      <c r="E48" s="692" t="s">
        <v>669</v>
      </c>
      <c r="F48" s="691">
        <v>0</v>
      </c>
      <c r="G48" s="692" t="s">
        <v>532</v>
      </c>
      <c r="H48" s="692" t="s">
        <v>533</v>
      </c>
      <c r="I48" s="692" t="s">
        <v>534</v>
      </c>
      <c r="J48" s="692" t="s">
        <v>535</v>
      </c>
      <c r="K48" s="692" t="s">
        <v>535</v>
      </c>
      <c r="L48" s="692" t="s">
        <v>664</v>
      </c>
      <c r="M48" s="692" t="s">
        <v>536</v>
      </c>
    </row>
    <row r="49" spans="1:13" ht="18.95" customHeight="1" x14ac:dyDescent="0.25">
      <c r="A49" s="691">
        <v>2024</v>
      </c>
      <c r="B49" s="691">
        <v>2024</v>
      </c>
      <c r="C49" s="692" t="s">
        <v>529</v>
      </c>
      <c r="D49" s="692" t="s">
        <v>530</v>
      </c>
      <c r="E49" s="692" t="s">
        <v>670</v>
      </c>
      <c r="F49" s="691">
        <v>39280.980000000003</v>
      </c>
      <c r="G49" s="692" t="s">
        <v>532</v>
      </c>
      <c r="H49" s="692" t="s">
        <v>533</v>
      </c>
      <c r="I49" s="692" t="s">
        <v>534</v>
      </c>
      <c r="J49" s="692" t="s">
        <v>535</v>
      </c>
      <c r="K49" s="692" t="s">
        <v>535</v>
      </c>
      <c r="L49" s="692" t="s">
        <v>664</v>
      </c>
      <c r="M49" s="692" t="s">
        <v>536</v>
      </c>
    </row>
    <row r="50" spans="1:13" ht="18.95" customHeight="1" x14ac:dyDescent="0.25">
      <c r="A50" s="691">
        <v>2024</v>
      </c>
      <c r="B50" s="691">
        <v>2024</v>
      </c>
      <c r="C50" s="692" t="s">
        <v>543</v>
      </c>
      <c r="D50" s="692" t="s">
        <v>530</v>
      </c>
      <c r="E50" s="692" t="s">
        <v>671</v>
      </c>
      <c r="F50" s="691">
        <v>0</v>
      </c>
      <c r="G50" s="692" t="s">
        <v>532</v>
      </c>
      <c r="H50" s="692" t="s">
        <v>533</v>
      </c>
      <c r="I50" s="692" t="s">
        <v>534</v>
      </c>
      <c r="J50" s="692" t="s">
        <v>535</v>
      </c>
      <c r="K50" s="692" t="s">
        <v>535</v>
      </c>
      <c r="L50" s="692" t="s">
        <v>664</v>
      </c>
      <c r="M50" s="692" t="s">
        <v>536</v>
      </c>
    </row>
    <row r="51" spans="1:13" ht="18.95" customHeight="1" x14ac:dyDescent="0.25">
      <c r="A51" s="691">
        <v>2024</v>
      </c>
      <c r="B51" s="691">
        <v>2024</v>
      </c>
      <c r="C51" s="692" t="s">
        <v>541</v>
      </c>
      <c r="D51" s="692" t="s">
        <v>552</v>
      </c>
      <c r="E51" s="692" t="s">
        <v>567</v>
      </c>
      <c r="F51" s="691">
        <v>0</v>
      </c>
      <c r="G51" s="692" t="s">
        <v>532</v>
      </c>
      <c r="H51" s="692" t="s">
        <v>533</v>
      </c>
      <c r="I51" s="692" t="s">
        <v>534</v>
      </c>
      <c r="J51" s="692" t="s">
        <v>535</v>
      </c>
      <c r="K51" s="692" t="s">
        <v>535</v>
      </c>
      <c r="L51" s="692" t="s">
        <v>664</v>
      </c>
      <c r="M51" s="692" t="s">
        <v>536</v>
      </c>
    </row>
    <row r="52" spans="1:13" ht="18.95" customHeight="1" x14ac:dyDescent="0.25">
      <c r="A52" s="691">
        <v>2024</v>
      </c>
      <c r="B52" s="691">
        <v>2024</v>
      </c>
      <c r="C52" s="692" t="s">
        <v>529</v>
      </c>
      <c r="D52" s="692" t="s">
        <v>530</v>
      </c>
      <c r="E52" s="692" t="s">
        <v>609</v>
      </c>
      <c r="F52" s="691">
        <v>0</v>
      </c>
      <c r="G52" s="692" t="s">
        <v>532</v>
      </c>
      <c r="H52" s="692" t="s">
        <v>533</v>
      </c>
      <c r="I52" s="692" t="s">
        <v>534</v>
      </c>
      <c r="J52" s="692" t="s">
        <v>535</v>
      </c>
      <c r="K52" s="692" t="s">
        <v>535</v>
      </c>
      <c r="L52" s="692" t="s">
        <v>664</v>
      </c>
      <c r="M52" s="692" t="s">
        <v>536</v>
      </c>
    </row>
    <row r="53" spans="1:13" ht="18.95" customHeight="1" x14ac:dyDescent="0.25">
      <c r="A53" s="691">
        <v>2024</v>
      </c>
      <c r="B53" s="691">
        <v>2024</v>
      </c>
      <c r="C53" s="692" t="s">
        <v>541</v>
      </c>
      <c r="D53" s="692" t="s">
        <v>530</v>
      </c>
      <c r="E53" s="692" t="s">
        <v>544</v>
      </c>
      <c r="F53" s="691">
        <v>0</v>
      </c>
      <c r="G53" s="692" t="s">
        <v>532</v>
      </c>
      <c r="H53" s="692" t="s">
        <v>533</v>
      </c>
      <c r="I53" s="692" t="s">
        <v>534</v>
      </c>
      <c r="J53" s="692" t="s">
        <v>535</v>
      </c>
      <c r="K53" s="692" t="s">
        <v>535</v>
      </c>
      <c r="L53" s="692" t="s">
        <v>664</v>
      </c>
      <c r="M53" s="692" t="s">
        <v>536</v>
      </c>
    </row>
    <row r="54" spans="1:13" ht="18.95" customHeight="1" x14ac:dyDescent="0.25">
      <c r="A54" s="691">
        <v>2024</v>
      </c>
      <c r="B54" s="691">
        <v>2024</v>
      </c>
      <c r="C54" s="692" t="s">
        <v>543</v>
      </c>
      <c r="D54" s="692" t="s">
        <v>530</v>
      </c>
      <c r="E54" s="692" t="s">
        <v>544</v>
      </c>
      <c r="F54" s="691">
        <v>88962.94</v>
      </c>
      <c r="G54" s="692" t="s">
        <v>532</v>
      </c>
      <c r="H54" s="692" t="s">
        <v>533</v>
      </c>
      <c r="I54" s="692" t="s">
        <v>534</v>
      </c>
      <c r="J54" s="692" t="s">
        <v>535</v>
      </c>
      <c r="K54" s="692" t="s">
        <v>535</v>
      </c>
      <c r="L54" s="692" t="s">
        <v>664</v>
      </c>
      <c r="M54" s="692" t="s">
        <v>536</v>
      </c>
    </row>
    <row r="55" spans="1:13" ht="18.95" customHeight="1" x14ac:dyDescent="0.25">
      <c r="A55" s="691">
        <v>2024</v>
      </c>
      <c r="B55" s="691">
        <v>2024</v>
      </c>
      <c r="C55" s="692" t="s">
        <v>538</v>
      </c>
      <c r="D55" s="692" t="s">
        <v>552</v>
      </c>
      <c r="E55" s="692" t="s">
        <v>579</v>
      </c>
      <c r="F55" s="691">
        <v>0</v>
      </c>
      <c r="G55" s="692" t="s">
        <v>532</v>
      </c>
      <c r="H55" s="692" t="s">
        <v>533</v>
      </c>
      <c r="I55" s="692" t="s">
        <v>540</v>
      </c>
      <c r="J55" s="692" t="s">
        <v>535</v>
      </c>
      <c r="K55" s="692" t="s">
        <v>535</v>
      </c>
      <c r="L55" s="692" t="s">
        <v>664</v>
      </c>
      <c r="M55" s="692" t="s">
        <v>536</v>
      </c>
    </row>
    <row r="56" spans="1:13" ht="18.95" customHeight="1" x14ac:dyDescent="0.25">
      <c r="A56" s="691">
        <v>2024</v>
      </c>
      <c r="B56" s="691">
        <v>2024</v>
      </c>
      <c r="C56" s="692" t="s">
        <v>538</v>
      </c>
      <c r="D56" s="692" t="s">
        <v>530</v>
      </c>
      <c r="E56" s="692" t="s">
        <v>573</v>
      </c>
      <c r="F56" s="691">
        <v>123036.27</v>
      </c>
      <c r="G56" s="692" t="s">
        <v>532</v>
      </c>
      <c r="H56" s="692" t="s">
        <v>533</v>
      </c>
      <c r="I56" s="692" t="s">
        <v>540</v>
      </c>
      <c r="J56" s="692" t="s">
        <v>535</v>
      </c>
      <c r="K56" s="692" t="s">
        <v>535</v>
      </c>
      <c r="L56" s="692" t="s">
        <v>664</v>
      </c>
      <c r="M56" s="692" t="s">
        <v>536</v>
      </c>
    </row>
    <row r="57" spans="1:13" ht="18.95" customHeight="1" x14ac:dyDescent="0.25">
      <c r="A57" s="691">
        <v>2024</v>
      </c>
      <c r="B57" s="691">
        <v>2024</v>
      </c>
      <c r="C57" s="692" t="s">
        <v>529</v>
      </c>
      <c r="D57" s="692" t="s">
        <v>552</v>
      </c>
      <c r="E57" s="692" t="s">
        <v>597</v>
      </c>
      <c r="F57" s="691">
        <v>0</v>
      </c>
      <c r="G57" s="692" t="s">
        <v>532</v>
      </c>
      <c r="H57" s="692" t="s">
        <v>533</v>
      </c>
      <c r="I57" s="692" t="s">
        <v>534</v>
      </c>
      <c r="J57" s="692" t="s">
        <v>535</v>
      </c>
      <c r="K57" s="692" t="s">
        <v>535</v>
      </c>
      <c r="L57" s="692" t="s">
        <v>664</v>
      </c>
      <c r="M57" s="692" t="s">
        <v>536</v>
      </c>
    </row>
    <row r="58" spans="1:13" ht="18.95" customHeight="1" x14ac:dyDescent="0.25">
      <c r="A58" s="691">
        <v>2024</v>
      </c>
      <c r="B58" s="691">
        <v>2024</v>
      </c>
      <c r="C58" s="692" t="s">
        <v>543</v>
      </c>
      <c r="D58" s="692" t="s">
        <v>530</v>
      </c>
      <c r="E58" s="692" t="s">
        <v>610</v>
      </c>
      <c r="F58" s="691">
        <v>0</v>
      </c>
      <c r="G58" s="692" t="s">
        <v>532</v>
      </c>
      <c r="H58" s="692" t="s">
        <v>533</v>
      </c>
      <c r="I58" s="692" t="s">
        <v>534</v>
      </c>
      <c r="J58" s="692" t="s">
        <v>535</v>
      </c>
      <c r="K58" s="692" t="s">
        <v>535</v>
      </c>
      <c r="L58" s="692" t="s">
        <v>664</v>
      </c>
      <c r="M58" s="692" t="s">
        <v>536</v>
      </c>
    </row>
    <row r="59" spans="1:13" ht="18.95" customHeight="1" x14ac:dyDescent="0.25">
      <c r="A59" s="691">
        <v>2024</v>
      </c>
      <c r="B59" s="691">
        <v>2024</v>
      </c>
      <c r="C59" s="692" t="s">
        <v>529</v>
      </c>
      <c r="D59" s="692" t="s">
        <v>552</v>
      </c>
      <c r="E59" s="692" t="s">
        <v>556</v>
      </c>
      <c r="F59" s="691">
        <v>0</v>
      </c>
      <c r="G59" s="692" t="s">
        <v>532</v>
      </c>
      <c r="H59" s="692" t="s">
        <v>533</v>
      </c>
      <c r="I59" s="692" t="s">
        <v>534</v>
      </c>
      <c r="J59" s="692" t="s">
        <v>535</v>
      </c>
      <c r="K59" s="692" t="s">
        <v>535</v>
      </c>
      <c r="L59" s="692" t="s">
        <v>664</v>
      </c>
      <c r="M59" s="692" t="s">
        <v>536</v>
      </c>
    </row>
    <row r="60" spans="1:13" ht="18.95" customHeight="1" x14ac:dyDescent="0.25">
      <c r="A60" s="691">
        <v>2024</v>
      </c>
      <c r="B60" s="691">
        <v>2024</v>
      </c>
      <c r="C60" s="692" t="s">
        <v>538</v>
      </c>
      <c r="D60" s="692" t="s">
        <v>530</v>
      </c>
      <c r="E60" s="692" t="s">
        <v>575</v>
      </c>
      <c r="F60" s="691">
        <v>0</v>
      </c>
      <c r="G60" s="692" t="s">
        <v>532</v>
      </c>
      <c r="H60" s="692" t="s">
        <v>533</v>
      </c>
      <c r="I60" s="692" t="s">
        <v>540</v>
      </c>
      <c r="J60" s="692" t="s">
        <v>535</v>
      </c>
      <c r="K60" s="692" t="s">
        <v>535</v>
      </c>
      <c r="L60" s="692" t="s">
        <v>664</v>
      </c>
      <c r="M60" s="692" t="s">
        <v>536</v>
      </c>
    </row>
    <row r="61" spans="1:13" ht="18.95" customHeight="1" x14ac:dyDescent="0.25">
      <c r="A61" s="691">
        <v>2024</v>
      </c>
      <c r="B61" s="691">
        <v>2024</v>
      </c>
      <c r="C61" s="692" t="s">
        <v>541</v>
      </c>
      <c r="D61" s="692" t="s">
        <v>552</v>
      </c>
      <c r="E61" s="692" t="s">
        <v>601</v>
      </c>
      <c r="F61" s="691">
        <v>0</v>
      </c>
      <c r="G61" s="692" t="s">
        <v>532</v>
      </c>
      <c r="H61" s="692" t="s">
        <v>533</v>
      </c>
      <c r="I61" s="692" t="s">
        <v>534</v>
      </c>
      <c r="J61" s="692" t="s">
        <v>535</v>
      </c>
      <c r="K61" s="692" t="s">
        <v>535</v>
      </c>
      <c r="L61" s="692" t="s">
        <v>664</v>
      </c>
      <c r="M61" s="692" t="s">
        <v>536</v>
      </c>
    </row>
    <row r="62" spans="1:13" ht="18.95" customHeight="1" x14ac:dyDescent="0.25">
      <c r="A62" s="691">
        <v>2024</v>
      </c>
      <c r="B62" s="691">
        <v>2024</v>
      </c>
      <c r="C62" s="692" t="s">
        <v>541</v>
      </c>
      <c r="D62" s="692" t="s">
        <v>530</v>
      </c>
      <c r="E62" s="692" t="s">
        <v>545</v>
      </c>
      <c r="F62" s="691">
        <v>0</v>
      </c>
      <c r="G62" s="692" t="s">
        <v>532</v>
      </c>
      <c r="H62" s="692" t="s">
        <v>533</v>
      </c>
      <c r="I62" s="692" t="s">
        <v>534</v>
      </c>
      <c r="J62" s="692" t="s">
        <v>535</v>
      </c>
      <c r="K62" s="692" t="s">
        <v>535</v>
      </c>
      <c r="L62" s="692" t="s">
        <v>664</v>
      </c>
      <c r="M62" s="692" t="s">
        <v>536</v>
      </c>
    </row>
    <row r="63" spans="1:13" ht="18.95" customHeight="1" x14ac:dyDescent="0.25">
      <c r="A63" s="691">
        <v>2024</v>
      </c>
      <c r="B63" s="691">
        <v>2024</v>
      </c>
      <c r="C63" s="692" t="s">
        <v>546</v>
      </c>
      <c r="D63" s="692" t="s">
        <v>530</v>
      </c>
      <c r="E63" s="692" t="s">
        <v>547</v>
      </c>
      <c r="F63" s="691">
        <v>87528.8</v>
      </c>
      <c r="G63" s="692" t="s">
        <v>532</v>
      </c>
      <c r="H63" s="692" t="s">
        <v>533</v>
      </c>
      <c r="I63" s="692" t="s">
        <v>548</v>
      </c>
      <c r="J63" s="692" t="s">
        <v>535</v>
      </c>
      <c r="K63" s="692" t="s">
        <v>535</v>
      </c>
      <c r="L63" s="692" t="s">
        <v>664</v>
      </c>
      <c r="M63" s="692" t="s">
        <v>536</v>
      </c>
    </row>
    <row r="64" spans="1:13" ht="18.95" customHeight="1" x14ac:dyDescent="0.25">
      <c r="A64" s="691">
        <v>2024</v>
      </c>
      <c r="B64" s="691">
        <v>2024</v>
      </c>
      <c r="C64" s="692" t="s">
        <v>529</v>
      </c>
      <c r="D64" s="692" t="s">
        <v>552</v>
      </c>
      <c r="E64" s="692" t="s">
        <v>555</v>
      </c>
      <c r="F64" s="691">
        <v>0</v>
      </c>
      <c r="G64" s="692" t="s">
        <v>532</v>
      </c>
      <c r="H64" s="692" t="s">
        <v>533</v>
      </c>
      <c r="I64" s="692" t="s">
        <v>534</v>
      </c>
      <c r="J64" s="692" t="s">
        <v>535</v>
      </c>
      <c r="K64" s="692" t="s">
        <v>535</v>
      </c>
      <c r="L64" s="692" t="s">
        <v>664</v>
      </c>
      <c r="M64" s="692" t="s">
        <v>536</v>
      </c>
    </row>
    <row r="65" spans="1:13" ht="18.95" customHeight="1" x14ac:dyDescent="0.25">
      <c r="A65" s="691">
        <v>2024</v>
      </c>
      <c r="B65" s="691">
        <v>2024</v>
      </c>
      <c r="C65" s="692" t="s">
        <v>529</v>
      </c>
      <c r="D65" s="692" t="s">
        <v>530</v>
      </c>
      <c r="E65" s="692" t="s">
        <v>592</v>
      </c>
      <c r="F65" s="691">
        <v>0</v>
      </c>
      <c r="G65" s="692" t="s">
        <v>532</v>
      </c>
      <c r="H65" s="692" t="s">
        <v>533</v>
      </c>
      <c r="I65" s="692" t="s">
        <v>534</v>
      </c>
      <c r="J65" s="692" t="s">
        <v>535</v>
      </c>
      <c r="K65" s="692" t="s">
        <v>535</v>
      </c>
      <c r="L65" s="692" t="s">
        <v>664</v>
      </c>
      <c r="M65" s="692" t="s">
        <v>536</v>
      </c>
    </row>
    <row r="66" spans="1:13" ht="18.95" customHeight="1" x14ac:dyDescent="0.25">
      <c r="A66" s="691">
        <v>2024</v>
      </c>
      <c r="B66" s="691">
        <v>2024</v>
      </c>
      <c r="C66" s="692" t="s">
        <v>538</v>
      </c>
      <c r="D66" s="692" t="s">
        <v>530</v>
      </c>
      <c r="E66" s="692" t="s">
        <v>593</v>
      </c>
      <c r="F66" s="691">
        <v>135450.93</v>
      </c>
      <c r="G66" s="692" t="s">
        <v>532</v>
      </c>
      <c r="H66" s="692" t="s">
        <v>533</v>
      </c>
      <c r="I66" s="692" t="s">
        <v>540</v>
      </c>
      <c r="J66" s="692" t="s">
        <v>535</v>
      </c>
      <c r="K66" s="692" t="s">
        <v>535</v>
      </c>
      <c r="L66" s="692" t="s">
        <v>664</v>
      </c>
      <c r="M66" s="692" t="s">
        <v>536</v>
      </c>
    </row>
    <row r="67" spans="1:13" ht="18.95" customHeight="1" x14ac:dyDescent="0.25">
      <c r="A67" s="691">
        <v>2024</v>
      </c>
      <c r="B67" s="691">
        <v>2024</v>
      </c>
      <c r="C67" s="692" t="s">
        <v>543</v>
      </c>
      <c r="D67" s="692" t="s">
        <v>530</v>
      </c>
      <c r="E67" s="692" t="s">
        <v>588</v>
      </c>
      <c r="F67" s="691">
        <v>0</v>
      </c>
      <c r="G67" s="692" t="s">
        <v>532</v>
      </c>
      <c r="H67" s="692" t="s">
        <v>533</v>
      </c>
      <c r="I67" s="692" t="s">
        <v>534</v>
      </c>
      <c r="J67" s="692" t="s">
        <v>535</v>
      </c>
      <c r="K67" s="692" t="s">
        <v>535</v>
      </c>
      <c r="L67" s="692" t="s">
        <v>664</v>
      </c>
      <c r="M67" s="692" t="s">
        <v>536</v>
      </c>
    </row>
    <row r="68" spans="1:13" ht="18.95" customHeight="1" x14ac:dyDescent="0.25">
      <c r="A68" s="691">
        <v>2024</v>
      </c>
      <c r="B68" s="691">
        <v>2024</v>
      </c>
      <c r="C68" s="692" t="s">
        <v>543</v>
      </c>
      <c r="D68" s="692" t="s">
        <v>530</v>
      </c>
      <c r="E68" s="692" t="s">
        <v>571</v>
      </c>
      <c r="F68" s="691">
        <v>82488.929999999993</v>
      </c>
      <c r="G68" s="692" t="s">
        <v>532</v>
      </c>
      <c r="H68" s="692" t="s">
        <v>533</v>
      </c>
      <c r="I68" s="692" t="s">
        <v>534</v>
      </c>
      <c r="J68" s="692" t="s">
        <v>535</v>
      </c>
      <c r="K68" s="692" t="s">
        <v>535</v>
      </c>
      <c r="L68" s="692" t="s">
        <v>664</v>
      </c>
      <c r="M68" s="692" t="s">
        <v>536</v>
      </c>
    </row>
    <row r="69" spans="1:13" ht="18.95" customHeight="1" x14ac:dyDescent="0.25">
      <c r="A69" s="691">
        <v>2024</v>
      </c>
      <c r="B69" s="691">
        <v>2024</v>
      </c>
      <c r="C69" s="692" t="s">
        <v>538</v>
      </c>
      <c r="D69" s="692" t="s">
        <v>530</v>
      </c>
      <c r="E69" s="692" t="s">
        <v>589</v>
      </c>
      <c r="F69" s="691">
        <v>199927.95</v>
      </c>
      <c r="G69" s="692" t="s">
        <v>532</v>
      </c>
      <c r="H69" s="692" t="s">
        <v>533</v>
      </c>
      <c r="I69" s="692" t="s">
        <v>540</v>
      </c>
      <c r="J69" s="692" t="s">
        <v>535</v>
      </c>
      <c r="K69" s="692" t="s">
        <v>535</v>
      </c>
      <c r="L69" s="692" t="s">
        <v>664</v>
      </c>
      <c r="M69" s="692" t="s">
        <v>536</v>
      </c>
    </row>
    <row r="70" spans="1:13" ht="18.95" customHeight="1" x14ac:dyDescent="0.25">
      <c r="A70" s="691">
        <v>2024</v>
      </c>
      <c r="B70" s="691">
        <v>2024</v>
      </c>
      <c r="C70" s="692" t="s">
        <v>541</v>
      </c>
      <c r="D70" s="692" t="s">
        <v>530</v>
      </c>
      <c r="E70" s="692" t="s">
        <v>606</v>
      </c>
      <c r="F70" s="691">
        <v>75689.17</v>
      </c>
      <c r="G70" s="692" t="s">
        <v>532</v>
      </c>
      <c r="H70" s="692" t="s">
        <v>533</v>
      </c>
      <c r="I70" s="692" t="s">
        <v>534</v>
      </c>
      <c r="J70" s="692" t="s">
        <v>535</v>
      </c>
      <c r="K70" s="692" t="s">
        <v>535</v>
      </c>
      <c r="L70" s="692" t="s">
        <v>664</v>
      </c>
      <c r="M70" s="692" t="s">
        <v>536</v>
      </c>
    </row>
    <row r="71" spans="1:13" ht="18.95" customHeight="1" x14ac:dyDescent="0.25">
      <c r="A71" s="691">
        <v>2024</v>
      </c>
      <c r="B71" s="691">
        <v>2024</v>
      </c>
      <c r="C71" s="692" t="s">
        <v>543</v>
      </c>
      <c r="D71" s="692" t="s">
        <v>552</v>
      </c>
      <c r="E71" s="692" t="s">
        <v>582</v>
      </c>
      <c r="F71" s="691">
        <v>0</v>
      </c>
      <c r="G71" s="692" t="s">
        <v>532</v>
      </c>
      <c r="H71" s="692" t="s">
        <v>533</v>
      </c>
      <c r="I71" s="692" t="s">
        <v>534</v>
      </c>
      <c r="J71" s="692" t="s">
        <v>535</v>
      </c>
      <c r="K71" s="692" t="s">
        <v>535</v>
      </c>
      <c r="L71" s="692" t="s">
        <v>664</v>
      </c>
      <c r="M71" s="692" t="s">
        <v>536</v>
      </c>
    </row>
    <row r="72" spans="1:13" ht="18.95" customHeight="1" x14ac:dyDescent="0.25">
      <c r="A72" s="691">
        <v>2024</v>
      </c>
      <c r="B72" s="691">
        <v>2024</v>
      </c>
      <c r="C72" s="692" t="s">
        <v>541</v>
      </c>
      <c r="D72" s="692" t="s">
        <v>552</v>
      </c>
      <c r="E72" s="692" t="s">
        <v>602</v>
      </c>
      <c r="F72" s="691">
        <v>0</v>
      </c>
      <c r="G72" s="692" t="s">
        <v>532</v>
      </c>
      <c r="H72" s="692" t="s">
        <v>533</v>
      </c>
      <c r="I72" s="692" t="s">
        <v>534</v>
      </c>
      <c r="J72" s="692" t="s">
        <v>535</v>
      </c>
      <c r="K72" s="692" t="s">
        <v>535</v>
      </c>
      <c r="L72" s="692" t="s">
        <v>664</v>
      </c>
      <c r="M72" s="692" t="s">
        <v>536</v>
      </c>
    </row>
    <row r="73" spans="1:13" ht="18.95" customHeight="1" x14ac:dyDescent="0.25">
      <c r="A73" s="691">
        <v>2024</v>
      </c>
      <c r="B73" s="691">
        <v>2024</v>
      </c>
      <c r="C73" s="692" t="s">
        <v>541</v>
      </c>
      <c r="D73" s="692" t="s">
        <v>530</v>
      </c>
      <c r="E73" s="692" t="s">
        <v>608</v>
      </c>
      <c r="F73" s="691">
        <v>78764.740000000005</v>
      </c>
      <c r="G73" s="692" t="s">
        <v>532</v>
      </c>
      <c r="H73" s="692" t="s">
        <v>533</v>
      </c>
      <c r="I73" s="692" t="s">
        <v>534</v>
      </c>
      <c r="J73" s="692" t="s">
        <v>535</v>
      </c>
      <c r="K73" s="692" t="s">
        <v>535</v>
      </c>
      <c r="L73" s="692" t="s">
        <v>664</v>
      </c>
      <c r="M73" s="692" t="s">
        <v>536</v>
      </c>
    </row>
    <row r="74" spans="1:13" ht="18.95" customHeight="1" x14ac:dyDescent="0.25">
      <c r="A74" s="691">
        <v>2024</v>
      </c>
      <c r="B74" s="691">
        <v>2024</v>
      </c>
      <c r="C74" s="692" t="s">
        <v>543</v>
      </c>
      <c r="D74" s="692" t="s">
        <v>530</v>
      </c>
      <c r="E74" s="692" t="s">
        <v>590</v>
      </c>
      <c r="F74" s="691">
        <v>103284.52</v>
      </c>
      <c r="G74" s="692" t="s">
        <v>532</v>
      </c>
      <c r="H74" s="692" t="s">
        <v>533</v>
      </c>
      <c r="I74" s="692" t="s">
        <v>534</v>
      </c>
      <c r="J74" s="692" t="s">
        <v>535</v>
      </c>
      <c r="K74" s="692" t="s">
        <v>535</v>
      </c>
      <c r="L74" s="692" t="s">
        <v>664</v>
      </c>
      <c r="M74" s="692" t="s">
        <v>536</v>
      </c>
    </row>
    <row r="75" spans="1:13" ht="18.95" customHeight="1" x14ac:dyDescent="0.25">
      <c r="A75" s="691">
        <v>2024</v>
      </c>
      <c r="B75" s="691">
        <v>2024</v>
      </c>
      <c r="C75" s="692" t="s">
        <v>538</v>
      </c>
      <c r="D75" s="692" t="s">
        <v>552</v>
      </c>
      <c r="E75" s="692" t="s">
        <v>613</v>
      </c>
      <c r="F75" s="691">
        <v>0</v>
      </c>
      <c r="G75" s="692" t="s">
        <v>532</v>
      </c>
      <c r="H75" s="692" t="s">
        <v>533</v>
      </c>
      <c r="I75" s="692" t="s">
        <v>540</v>
      </c>
      <c r="J75" s="692" t="s">
        <v>535</v>
      </c>
      <c r="K75" s="692" t="s">
        <v>535</v>
      </c>
      <c r="L75" s="692" t="s">
        <v>664</v>
      </c>
      <c r="M75" s="692" t="s">
        <v>536</v>
      </c>
    </row>
    <row r="76" spans="1:13" ht="18.95" customHeight="1" x14ac:dyDescent="0.25">
      <c r="A76" s="691">
        <v>2024</v>
      </c>
      <c r="B76" s="691">
        <v>2024</v>
      </c>
      <c r="C76" s="692" t="s">
        <v>546</v>
      </c>
      <c r="D76" s="692" t="s">
        <v>530</v>
      </c>
      <c r="E76" s="692" t="s">
        <v>583</v>
      </c>
      <c r="F76" s="691">
        <v>89294.14</v>
      </c>
      <c r="G76" s="692" t="s">
        <v>532</v>
      </c>
      <c r="H76" s="692" t="s">
        <v>533</v>
      </c>
      <c r="I76" s="692" t="s">
        <v>584</v>
      </c>
      <c r="J76" s="692" t="s">
        <v>535</v>
      </c>
      <c r="K76" s="692" t="s">
        <v>535</v>
      </c>
      <c r="L76" s="692" t="s">
        <v>664</v>
      </c>
      <c r="M76" s="692" t="s">
        <v>536</v>
      </c>
    </row>
    <row r="77" spans="1:13" ht="18.95" customHeight="1" x14ac:dyDescent="0.25">
      <c r="A77" s="691">
        <v>2024</v>
      </c>
      <c r="B77" s="691">
        <v>2024</v>
      </c>
      <c r="C77" s="692" t="s">
        <v>529</v>
      </c>
      <c r="D77" s="692" t="s">
        <v>552</v>
      </c>
      <c r="E77" s="692" t="s">
        <v>603</v>
      </c>
      <c r="F77" s="691">
        <v>0</v>
      </c>
      <c r="G77" s="692" t="s">
        <v>532</v>
      </c>
      <c r="H77" s="692" t="s">
        <v>533</v>
      </c>
      <c r="I77" s="692" t="s">
        <v>534</v>
      </c>
      <c r="J77" s="692" t="s">
        <v>535</v>
      </c>
      <c r="K77" s="692" t="s">
        <v>535</v>
      </c>
      <c r="L77" s="692" t="s">
        <v>664</v>
      </c>
      <c r="M77" s="692" t="s">
        <v>536</v>
      </c>
    </row>
    <row r="78" spans="1:13" ht="18.95" customHeight="1" x14ac:dyDescent="0.25">
      <c r="A78" s="691">
        <v>2024</v>
      </c>
      <c r="B78" s="691">
        <v>2024</v>
      </c>
      <c r="C78" s="692" t="s">
        <v>543</v>
      </c>
      <c r="D78" s="692" t="s">
        <v>530</v>
      </c>
      <c r="E78" s="692" t="s">
        <v>585</v>
      </c>
      <c r="F78" s="691">
        <v>97500.74</v>
      </c>
      <c r="G78" s="692" t="s">
        <v>532</v>
      </c>
      <c r="H78" s="692" t="s">
        <v>533</v>
      </c>
      <c r="I78" s="692" t="s">
        <v>534</v>
      </c>
      <c r="J78" s="692" t="s">
        <v>535</v>
      </c>
      <c r="K78" s="692" t="s">
        <v>535</v>
      </c>
      <c r="L78" s="692" t="s">
        <v>664</v>
      </c>
      <c r="M78" s="692" t="s">
        <v>536</v>
      </c>
    </row>
    <row r="79" spans="1:13" ht="18.95" customHeight="1" x14ac:dyDescent="0.25">
      <c r="A79" s="691">
        <v>2024</v>
      </c>
      <c r="B79" s="691">
        <v>2024</v>
      </c>
      <c r="C79" s="692" t="s">
        <v>538</v>
      </c>
      <c r="D79" s="692" t="s">
        <v>552</v>
      </c>
      <c r="E79" s="692" t="s">
        <v>672</v>
      </c>
      <c r="F79" s="691">
        <v>0</v>
      </c>
      <c r="G79" s="692" t="s">
        <v>532</v>
      </c>
      <c r="H79" s="692" t="s">
        <v>533</v>
      </c>
      <c r="I79" s="692" t="s">
        <v>540</v>
      </c>
      <c r="J79" s="692" t="s">
        <v>535</v>
      </c>
      <c r="K79" s="692" t="s">
        <v>535</v>
      </c>
      <c r="L79" s="692" t="s">
        <v>664</v>
      </c>
      <c r="M79" s="692" t="s">
        <v>536</v>
      </c>
    </row>
    <row r="80" spans="1:13" ht="18.95" customHeight="1" x14ac:dyDescent="0.25">
      <c r="A80" s="691">
        <v>2024</v>
      </c>
      <c r="B80" s="691">
        <v>2024</v>
      </c>
      <c r="C80" s="692" t="s">
        <v>541</v>
      </c>
      <c r="D80" s="692" t="s">
        <v>530</v>
      </c>
      <c r="E80" s="692" t="s">
        <v>673</v>
      </c>
      <c r="F80" s="691">
        <v>83049.919999999998</v>
      </c>
      <c r="G80" s="692" t="s">
        <v>532</v>
      </c>
      <c r="H80" s="692" t="s">
        <v>533</v>
      </c>
      <c r="I80" s="692" t="s">
        <v>534</v>
      </c>
      <c r="J80" s="692" t="s">
        <v>535</v>
      </c>
      <c r="K80" s="692" t="s">
        <v>535</v>
      </c>
      <c r="L80" s="692" t="s">
        <v>664</v>
      </c>
      <c r="M80" s="692" t="s">
        <v>536</v>
      </c>
    </row>
    <row r="81" spans="1:13" ht="18.95" customHeight="1" x14ac:dyDescent="0.25">
      <c r="A81" s="691">
        <v>2024</v>
      </c>
      <c r="B81" s="691">
        <v>2024</v>
      </c>
      <c r="C81" s="692" t="s">
        <v>541</v>
      </c>
      <c r="D81" s="692" t="s">
        <v>530</v>
      </c>
      <c r="E81" s="692" t="s">
        <v>673</v>
      </c>
      <c r="F81" s="691">
        <v>0</v>
      </c>
      <c r="G81" s="692" t="s">
        <v>532</v>
      </c>
      <c r="H81" s="692" t="s">
        <v>533</v>
      </c>
      <c r="I81" s="692" t="s">
        <v>534</v>
      </c>
      <c r="J81" s="692" t="s">
        <v>535</v>
      </c>
      <c r="K81" s="692" t="s">
        <v>535</v>
      </c>
      <c r="L81" s="692" t="s">
        <v>664</v>
      </c>
      <c r="M81" s="692" t="s">
        <v>536</v>
      </c>
    </row>
    <row r="82" spans="1:13" ht="18.95" customHeight="1" x14ac:dyDescent="0.25">
      <c r="A82" s="691">
        <v>2024</v>
      </c>
      <c r="B82" s="691">
        <v>2024</v>
      </c>
      <c r="C82" s="692" t="s">
        <v>546</v>
      </c>
      <c r="D82" s="692" t="s">
        <v>530</v>
      </c>
      <c r="E82" s="692" t="s">
        <v>674</v>
      </c>
      <c r="F82" s="691">
        <v>76747.839999999997</v>
      </c>
      <c r="G82" s="692" t="s">
        <v>532</v>
      </c>
      <c r="H82" s="692" t="s">
        <v>533</v>
      </c>
      <c r="I82" s="692" t="s">
        <v>584</v>
      </c>
      <c r="J82" s="692" t="s">
        <v>535</v>
      </c>
      <c r="K82" s="692" t="s">
        <v>535</v>
      </c>
      <c r="L82" s="692" t="s">
        <v>664</v>
      </c>
      <c r="M82" s="692" t="s">
        <v>536</v>
      </c>
    </row>
    <row r="83" spans="1:13" ht="18.95" customHeight="1" x14ac:dyDescent="0.25">
      <c r="A83" s="691">
        <v>2024</v>
      </c>
      <c r="B83" s="691">
        <v>2024</v>
      </c>
      <c r="C83" s="692" t="s">
        <v>546</v>
      </c>
      <c r="D83" s="692" t="s">
        <v>530</v>
      </c>
      <c r="E83" s="692" t="s">
        <v>667</v>
      </c>
      <c r="F83" s="691">
        <v>223679.79</v>
      </c>
      <c r="G83" s="692" t="s">
        <v>532</v>
      </c>
      <c r="H83" s="692" t="s">
        <v>533</v>
      </c>
      <c r="I83" s="692" t="s">
        <v>584</v>
      </c>
      <c r="J83" s="692" t="s">
        <v>535</v>
      </c>
      <c r="K83" s="692" t="s">
        <v>535</v>
      </c>
      <c r="L83" s="692" t="s">
        <v>664</v>
      </c>
      <c r="M83" s="692" t="s">
        <v>536</v>
      </c>
    </row>
    <row r="84" spans="1:13" ht="18.95" customHeight="1" x14ac:dyDescent="0.25">
      <c r="A84" s="691">
        <v>2024</v>
      </c>
      <c r="B84" s="691">
        <v>2024</v>
      </c>
      <c r="C84" s="692" t="s">
        <v>538</v>
      </c>
      <c r="D84" s="692" t="s">
        <v>530</v>
      </c>
      <c r="E84" s="692" t="s">
        <v>675</v>
      </c>
      <c r="F84" s="691">
        <v>125216.42</v>
      </c>
      <c r="G84" s="692" t="s">
        <v>532</v>
      </c>
      <c r="H84" s="692" t="s">
        <v>533</v>
      </c>
      <c r="I84" s="692" t="s">
        <v>540</v>
      </c>
      <c r="J84" s="692" t="s">
        <v>535</v>
      </c>
      <c r="K84" s="692" t="s">
        <v>535</v>
      </c>
      <c r="L84" s="692" t="s">
        <v>664</v>
      </c>
      <c r="M84" s="692" t="s">
        <v>536</v>
      </c>
    </row>
    <row r="85" spans="1:13" ht="18.95" customHeight="1" x14ac:dyDescent="0.25">
      <c r="A85" s="691">
        <v>2024</v>
      </c>
      <c r="B85" s="691">
        <v>2024</v>
      </c>
      <c r="C85" s="692" t="s">
        <v>541</v>
      </c>
      <c r="D85" s="692" t="s">
        <v>552</v>
      </c>
      <c r="E85" s="692" t="s">
        <v>676</v>
      </c>
      <c r="F85" s="691">
        <v>0</v>
      </c>
      <c r="G85" s="692" t="s">
        <v>532</v>
      </c>
      <c r="H85" s="692" t="s">
        <v>533</v>
      </c>
      <c r="I85" s="692" t="s">
        <v>534</v>
      </c>
      <c r="J85" s="692" t="s">
        <v>535</v>
      </c>
      <c r="K85" s="692" t="s">
        <v>535</v>
      </c>
      <c r="L85" s="692" t="s">
        <v>664</v>
      </c>
      <c r="M85" s="692" t="s">
        <v>536</v>
      </c>
    </row>
    <row r="86" spans="1:13" ht="18.95" customHeight="1" x14ac:dyDescent="0.25">
      <c r="A86" s="691">
        <v>2024</v>
      </c>
      <c r="B86" s="691">
        <v>2024</v>
      </c>
      <c r="C86" s="692" t="s">
        <v>543</v>
      </c>
      <c r="D86" s="692" t="s">
        <v>552</v>
      </c>
      <c r="E86" s="692" t="s">
        <v>677</v>
      </c>
      <c r="F86" s="691">
        <v>0</v>
      </c>
      <c r="G86" s="692" t="s">
        <v>532</v>
      </c>
      <c r="H86" s="692" t="s">
        <v>533</v>
      </c>
      <c r="I86" s="692" t="s">
        <v>534</v>
      </c>
      <c r="J86" s="692" t="s">
        <v>535</v>
      </c>
      <c r="K86" s="692" t="s">
        <v>535</v>
      </c>
      <c r="L86" s="692" t="s">
        <v>664</v>
      </c>
      <c r="M86" s="692" t="s">
        <v>536</v>
      </c>
    </row>
    <row r="87" spans="1:13" ht="18.95" customHeight="1" x14ac:dyDescent="0.25">
      <c r="A87" s="691">
        <v>2024</v>
      </c>
      <c r="B87" s="691">
        <v>2024</v>
      </c>
      <c r="C87" s="692" t="s">
        <v>538</v>
      </c>
      <c r="D87" s="692" t="s">
        <v>552</v>
      </c>
      <c r="E87" s="692" t="s">
        <v>678</v>
      </c>
      <c r="F87" s="691">
        <v>0</v>
      </c>
      <c r="G87" s="692" t="s">
        <v>532</v>
      </c>
      <c r="H87" s="692" t="s">
        <v>533</v>
      </c>
      <c r="I87" s="692" t="s">
        <v>540</v>
      </c>
      <c r="J87" s="692" t="s">
        <v>535</v>
      </c>
      <c r="K87" s="692" t="s">
        <v>535</v>
      </c>
      <c r="L87" s="692" t="s">
        <v>664</v>
      </c>
      <c r="M87" s="692" t="s">
        <v>536</v>
      </c>
    </row>
    <row r="88" spans="1:13" ht="18.95" customHeight="1" x14ac:dyDescent="0.25">
      <c r="A88" s="691">
        <v>2024</v>
      </c>
      <c r="B88" s="691">
        <v>2024</v>
      </c>
      <c r="C88" s="692" t="s">
        <v>529</v>
      </c>
      <c r="D88" s="692" t="s">
        <v>552</v>
      </c>
      <c r="E88" s="692" t="s">
        <v>679</v>
      </c>
      <c r="F88" s="691">
        <v>0</v>
      </c>
      <c r="G88" s="692" t="s">
        <v>532</v>
      </c>
      <c r="H88" s="692" t="s">
        <v>533</v>
      </c>
      <c r="I88" s="692" t="s">
        <v>534</v>
      </c>
      <c r="J88" s="692" t="s">
        <v>535</v>
      </c>
      <c r="K88" s="692" t="s">
        <v>535</v>
      </c>
      <c r="L88" s="692" t="s">
        <v>664</v>
      </c>
      <c r="M88" s="692" t="s">
        <v>536</v>
      </c>
    </row>
    <row r="89" spans="1:13" ht="18.95" customHeight="1" x14ac:dyDescent="0.25">
      <c r="A89" s="691">
        <v>2024</v>
      </c>
      <c r="B89" s="691">
        <v>2025</v>
      </c>
      <c r="C89" s="692" t="s">
        <v>543</v>
      </c>
      <c r="D89" s="692" t="s">
        <v>530</v>
      </c>
      <c r="E89" s="692" t="s">
        <v>680</v>
      </c>
      <c r="F89" s="691">
        <v>0</v>
      </c>
      <c r="G89" s="692" t="s">
        <v>532</v>
      </c>
      <c r="H89" s="692" t="s">
        <v>533</v>
      </c>
      <c r="I89" s="692" t="s">
        <v>534</v>
      </c>
      <c r="J89" s="692" t="s">
        <v>535</v>
      </c>
      <c r="K89" s="692" t="s">
        <v>535</v>
      </c>
      <c r="L89" s="692" t="s">
        <v>664</v>
      </c>
      <c r="M89" s="692" t="s">
        <v>536</v>
      </c>
    </row>
    <row r="90" spans="1:13" ht="18.95" customHeight="1" x14ac:dyDescent="0.25">
      <c r="A90" s="691">
        <v>2024</v>
      </c>
      <c r="B90" s="691">
        <v>2025</v>
      </c>
      <c r="C90" s="692" t="s">
        <v>529</v>
      </c>
      <c r="D90" s="692" t="s">
        <v>530</v>
      </c>
      <c r="E90" s="692" t="s">
        <v>680</v>
      </c>
      <c r="F90" s="691">
        <v>0</v>
      </c>
      <c r="G90" s="692" t="s">
        <v>532</v>
      </c>
      <c r="H90" s="692" t="s">
        <v>533</v>
      </c>
      <c r="I90" s="692" t="s">
        <v>534</v>
      </c>
      <c r="J90" s="692" t="s">
        <v>535</v>
      </c>
      <c r="K90" s="692" t="s">
        <v>535</v>
      </c>
      <c r="L90" s="692" t="s">
        <v>664</v>
      </c>
      <c r="M90" s="692" t="s">
        <v>536</v>
      </c>
    </row>
    <row r="91" spans="1:13" ht="18.95" customHeight="1" x14ac:dyDescent="0.25">
      <c r="A91" s="691">
        <v>2024</v>
      </c>
      <c r="B91" s="691">
        <v>2025</v>
      </c>
      <c r="C91" s="692" t="s">
        <v>541</v>
      </c>
      <c r="D91" s="692" t="s">
        <v>530</v>
      </c>
      <c r="E91" s="692" t="s">
        <v>681</v>
      </c>
      <c r="F91" s="691">
        <v>89615.679999999993</v>
      </c>
      <c r="G91" s="692" t="s">
        <v>532</v>
      </c>
      <c r="H91" s="692" t="s">
        <v>533</v>
      </c>
      <c r="I91" s="692" t="s">
        <v>534</v>
      </c>
      <c r="J91" s="692" t="s">
        <v>535</v>
      </c>
      <c r="K91" s="692" t="s">
        <v>535</v>
      </c>
      <c r="L91" s="692" t="s">
        <v>664</v>
      </c>
      <c r="M91" s="692" t="s">
        <v>536</v>
      </c>
    </row>
    <row r="92" spans="1:13" ht="18.95" customHeight="1" x14ac:dyDescent="0.25">
      <c r="A92" s="691">
        <v>2024</v>
      </c>
      <c r="B92" s="691">
        <v>2024</v>
      </c>
      <c r="C92" s="692" t="s">
        <v>543</v>
      </c>
      <c r="D92" s="692" t="s">
        <v>530</v>
      </c>
      <c r="E92" s="692" t="s">
        <v>671</v>
      </c>
      <c r="F92" s="691">
        <v>93930.61</v>
      </c>
      <c r="G92" s="692" t="s">
        <v>532</v>
      </c>
      <c r="H92" s="692" t="s">
        <v>533</v>
      </c>
      <c r="I92" s="692" t="s">
        <v>534</v>
      </c>
      <c r="J92" s="692" t="s">
        <v>535</v>
      </c>
      <c r="K92" s="692" t="s">
        <v>535</v>
      </c>
      <c r="L92" s="692" t="s">
        <v>664</v>
      </c>
      <c r="M92" s="692" t="s">
        <v>536</v>
      </c>
    </row>
    <row r="93" spans="1:13" ht="18.95" customHeight="1" x14ac:dyDescent="0.25">
      <c r="A93" s="691">
        <v>2024</v>
      </c>
      <c r="B93" s="691">
        <v>2024</v>
      </c>
      <c r="C93" s="692" t="s">
        <v>546</v>
      </c>
      <c r="D93" s="692" t="s">
        <v>552</v>
      </c>
      <c r="E93" s="692" t="s">
        <v>682</v>
      </c>
      <c r="F93" s="691">
        <v>0</v>
      </c>
      <c r="G93" s="692" t="s">
        <v>532</v>
      </c>
      <c r="H93" s="692" t="s">
        <v>533</v>
      </c>
      <c r="I93" s="692" t="s">
        <v>584</v>
      </c>
      <c r="J93" s="692" t="s">
        <v>535</v>
      </c>
      <c r="K93" s="692" t="s">
        <v>535</v>
      </c>
      <c r="L93" s="692" t="s">
        <v>664</v>
      </c>
      <c r="M93" s="692" t="s">
        <v>536</v>
      </c>
    </row>
    <row r="94" spans="1:13" ht="18.95" customHeight="1" x14ac:dyDescent="0.25">
      <c r="A94" s="691">
        <v>2024</v>
      </c>
      <c r="B94" s="691">
        <v>2024</v>
      </c>
      <c r="C94" s="692" t="s">
        <v>543</v>
      </c>
      <c r="D94" s="692" t="s">
        <v>552</v>
      </c>
      <c r="E94" s="692" t="s">
        <v>683</v>
      </c>
      <c r="F94" s="691">
        <v>0</v>
      </c>
      <c r="G94" s="692" t="s">
        <v>532</v>
      </c>
      <c r="H94" s="692" t="s">
        <v>533</v>
      </c>
      <c r="I94" s="692" t="s">
        <v>534</v>
      </c>
      <c r="J94" s="692" t="s">
        <v>535</v>
      </c>
      <c r="K94" s="692" t="s">
        <v>535</v>
      </c>
      <c r="L94" s="692" t="s">
        <v>664</v>
      </c>
      <c r="M94" s="692" t="s">
        <v>536</v>
      </c>
    </row>
    <row r="95" spans="1:13" ht="18.95" customHeight="1" x14ac:dyDescent="0.25">
      <c r="A95" s="691">
        <v>2024</v>
      </c>
      <c r="B95" s="691">
        <v>2024</v>
      </c>
      <c r="C95" s="692" t="s">
        <v>538</v>
      </c>
      <c r="D95" s="692" t="s">
        <v>552</v>
      </c>
      <c r="E95" s="692" t="s">
        <v>684</v>
      </c>
      <c r="F95" s="691">
        <v>0</v>
      </c>
      <c r="G95" s="692" t="s">
        <v>532</v>
      </c>
      <c r="H95" s="692" t="s">
        <v>533</v>
      </c>
      <c r="I95" s="692" t="s">
        <v>540</v>
      </c>
      <c r="J95" s="692" t="s">
        <v>535</v>
      </c>
      <c r="K95" s="692" t="s">
        <v>535</v>
      </c>
      <c r="L95" s="692" t="s">
        <v>664</v>
      </c>
      <c r="M95" s="692" t="s">
        <v>536</v>
      </c>
    </row>
    <row r="96" spans="1:13" ht="18.95" customHeight="1" x14ac:dyDescent="0.25">
      <c r="A96" s="691">
        <v>2024</v>
      </c>
      <c r="B96" s="691">
        <v>2025</v>
      </c>
      <c r="C96" s="692" t="s">
        <v>538</v>
      </c>
      <c r="D96" s="692" t="s">
        <v>530</v>
      </c>
      <c r="E96" s="692" t="s">
        <v>685</v>
      </c>
      <c r="F96" s="691">
        <v>123340.31</v>
      </c>
      <c r="G96" s="692" t="s">
        <v>532</v>
      </c>
      <c r="H96" s="692" t="s">
        <v>533</v>
      </c>
      <c r="I96" s="692" t="s">
        <v>540</v>
      </c>
      <c r="J96" s="692" t="s">
        <v>535</v>
      </c>
      <c r="K96" s="692" t="s">
        <v>535</v>
      </c>
      <c r="L96" s="692" t="s">
        <v>664</v>
      </c>
      <c r="M96" s="692" t="s">
        <v>536</v>
      </c>
    </row>
    <row r="97" spans="1:13" ht="18.95" customHeight="1" x14ac:dyDescent="0.25">
      <c r="A97" s="691">
        <v>2024</v>
      </c>
      <c r="B97" s="691">
        <v>2024</v>
      </c>
      <c r="C97" s="692" t="s">
        <v>541</v>
      </c>
      <c r="D97" s="692" t="s">
        <v>530</v>
      </c>
      <c r="E97" s="692" t="s">
        <v>542</v>
      </c>
      <c r="F97" s="691">
        <v>92114.12</v>
      </c>
      <c r="G97" s="692" t="s">
        <v>532</v>
      </c>
      <c r="H97" s="692" t="s">
        <v>533</v>
      </c>
      <c r="I97" s="692" t="s">
        <v>534</v>
      </c>
      <c r="J97" s="692" t="s">
        <v>535</v>
      </c>
      <c r="K97" s="692" t="s">
        <v>535</v>
      </c>
      <c r="L97" s="692" t="s">
        <v>664</v>
      </c>
      <c r="M97" s="692" t="s">
        <v>536</v>
      </c>
    </row>
    <row r="98" spans="1:13" ht="18.95" customHeight="1" x14ac:dyDescent="0.25">
      <c r="A98" s="691">
        <v>2024</v>
      </c>
      <c r="B98" s="691">
        <v>2024</v>
      </c>
      <c r="C98" s="692" t="s">
        <v>541</v>
      </c>
      <c r="D98" s="692" t="s">
        <v>530</v>
      </c>
      <c r="E98" s="692" t="s">
        <v>542</v>
      </c>
      <c r="F98" s="691">
        <v>0</v>
      </c>
      <c r="G98" s="692" t="s">
        <v>532</v>
      </c>
      <c r="H98" s="692" t="s">
        <v>533</v>
      </c>
      <c r="I98" s="692" t="s">
        <v>534</v>
      </c>
      <c r="J98" s="692" t="s">
        <v>535</v>
      </c>
      <c r="K98" s="692" t="s">
        <v>535</v>
      </c>
      <c r="L98" s="692" t="s">
        <v>664</v>
      </c>
      <c r="M98" s="692" t="s">
        <v>536</v>
      </c>
    </row>
    <row r="99" spans="1:13" ht="18.95" customHeight="1" x14ac:dyDescent="0.25">
      <c r="A99" s="691">
        <v>2024</v>
      </c>
      <c r="B99" s="691">
        <v>2024</v>
      </c>
      <c r="C99" s="692" t="s">
        <v>543</v>
      </c>
      <c r="D99" s="692" t="s">
        <v>530</v>
      </c>
      <c r="E99" s="692" t="s">
        <v>572</v>
      </c>
      <c r="F99" s="691">
        <v>0</v>
      </c>
      <c r="G99" s="692" t="s">
        <v>532</v>
      </c>
      <c r="H99" s="692" t="s">
        <v>533</v>
      </c>
      <c r="I99" s="692" t="s">
        <v>534</v>
      </c>
      <c r="J99" s="692" t="s">
        <v>535</v>
      </c>
      <c r="K99" s="692" t="s">
        <v>535</v>
      </c>
      <c r="L99" s="692" t="s">
        <v>664</v>
      </c>
      <c r="M99" s="692" t="s">
        <v>536</v>
      </c>
    </row>
    <row r="100" spans="1:13" ht="18.95" customHeight="1" x14ac:dyDescent="0.25">
      <c r="A100" s="691">
        <v>2024</v>
      </c>
      <c r="B100" s="691">
        <v>2024</v>
      </c>
      <c r="C100" s="692" t="s">
        <v>541</v>
      </c>
      <c r="D100" s="692" t="s">
        <v>552</v>
      </c>
      <c r="E100" s="692" t="s">
        <v>565</v>
      </c>
      <c r="F100" s="691">
        <v>0</v>
      </c>
      <c r="G100" s="692" t="s">
        <v>532</v>
      </c>
      <c r="H100" s="692" t="s">
        <v>533</v>
      </c>
      <c r="I100" s="692" t="s">
        <v>534</v>
      </c>
      <c r="J100" s="692" t="s">
        <v>535</v>
      </c>
      <c r="K100" s="692" t="s">
        <v>535</v>
      </c>
      <c r="L100" s="692" t="s">
        <v>664</v>
      </c>
      <c r="M100" s="692" t="s">
        <v>536</v>
      </c>
    </row>
    <row r="101" spans="1:13" ht="18.95" customHeight="1" x14ac:dyDescent="0.25">
      <c r="A101" s="691">
        <v>2024</v>
      </c>
      <c r="B101" s="691">
        <v>2024</v>
      </c>
      <c r="C101" s="692" t="s">
        <v>541</v>
      </c>
      <c r="D101" s="692" t="s">
        <v>530</v>
      </c>
      <c r="E101" s="692" t="s">
        <v>544</v>
      </c>
      <c r="F101" s="691">
        <v>75680.08</v>
      </c>
      <c r="G101" s="692" t="s">
        <v>532</v>
      </c>
      <c r="H101" s="692" t="s">
        <v>533</v>
      </c>
      <c r="I101" s="692" t="s">
        <v>534</v>
      </c>
      <c r="J101" s="692" t="s">
        <v>535</v>
      </c>
      <c r="K101" s="692" t="s">
        <v>535</v>
      </c>
      <c r="L101" s="692" t="s">
        <v>664</v>
      </c>
      <c r="M101" s="692" t="s">
        <v>536</v>
      </c>
    </row>
    <row r="102" spans="1:13" ht="18.95" customHeight="1" x14ac:dyDescent="0.25">
      <c r="A102" s="691">
        <v>2024</v>
      </c>
      <c r="B102" s="691">
        <v>2024</v>
      </c>
      <c r="C102" s="692" t="s">
        <v>538</v>
      </c>
      <c r="D102" s="692" t="s">
        <v>530</v>
      </c>
      <c r="E102" s="692" t="s">
        <v>573</v>
      </c>
      <c r="F102" s="691">
        <v>0</v>
      </c>
      <c r="G102" s="692" t="s">
        <v>532</v>
      </c>
      <c r="H102" s="692" t="s">
        <v>533</v>
      </c>
      <c r="I102" s="692" t="s">
        <v>540</v>
      </c>
      <c r="J102" s="692" t="s">
        <v>535</v>
      </c>
      <c r="K102" s="692" t="s">
        <v>535</v>
      </c>
      <c r="L102" s="692" t="s">
        <v>664</v>
      </c>
      <c r="M102" s="692" t="s">
        <v>536</v>
      </c>
    </row>
    <row r="103" spans="1:13" ht="18.95" customHeight="1" x14ac:dyDescent="0.25">
      <c r="A103" s="691">
        <v>2024</v>
      </c>
      <c r="B103" s="691">
        <v>2024</v>
      </c>
      <c r="C103" s="692" t="s">
        <v>529</v>
      </c>
      <c r="D103" s="692" t="s">
        <v>530</v>
      </c>
      <c r="E103" s="692" t="s">
        <v>576</v>
      </c>
      <c r="F103" s="691">
        <v>36180.160000000003</v>
      </c>
      <c r="G103" s="692" t="s">
        <v>532</v>
      </c>
      <c r="H103" s="692" t="s">
        <v>533</v>
      </c>
      <c r="I103" s="692" t="s">
        <v>534</v>
      </c>
      <c r="J103" s="692" t="s">
        <v>535</v>
      </c>
      <c r="K103" s="692" t="s">
        <v>535</v>
      </c>
      <c r="L103" s="692" t="s">
        <v>664</v>
      </c>
      <c r="M103" s="692" t="s">
        <v>536</v>
      </c>
    </row>
    <row r="104" spans="1:13" ht="18.95" customHeight="1" x14ac:dyDescent="0.25">
      <c r="A104" s="691">
        <v>2024</v>
      </c>
      <c r="B104" s="691">
        <v>2024</v>
      </c>
      <c r="C104" s="692" t="s">
        <v>546</v>
      </c>
      <c r="D104" s="692" t="s">
        <v>552</v>
      </c>
      <c r="E104" s="692" t="s">
        <v>554</v>
      </c>
      <c r="F104" s="691">
        <v>0</v>
      </c>
      <c r="G104" s="692" t="s">
        <v>532</v>
      </c>
      <c r="H104" s="692" t="s">
        <v>533</v>
      </c>
      <c r="I104" s="692" t="s">
        <v>548</v>
      </c>
      <c r="J104" s="692" t="s">
        <v>535</v>
      </c>
      <c r="K104" s="692" t="s">
        <v>535</v>
      </c>
      <c r="L104" s="692" t="s">
        <v>664</v>
      </c>
      <c r="M104" s="692" t="s">
        <v>536</v>
      </c>
    </row>
    <row r="105" spans="1:13" ht="18.95" customHeight="1" x14ac:dyDescent="0.25">
      <c r="A105" s="691">
        <v>2024</v>
      </c>
      <c r="B105" s="691">
        <v>2024</v>
      </c>
      <c r="C105" s="692" t="s">
        <v>546</v>
      </c>
      <c r="D105" s="692" t="s">
        <v>530</v>
      </c>
      <c r="E105" s="692" t="s">
        <v>547</v>
      </c>
      <c r="F105" s="691">
        <v>0</v>
      </c>
      <c r="G105" s="692" t="s">
        <v>532</v>
      </c>
      <c r="H105" s="692" t="s">
        <v>533</v>
      </c>
      <c r="I105" s="692" t="s">
        <v>548</v>
      </c>
      <c r="J105" s="692" t="s">
        <v>535</v>
      </c>
      <c r="K105" s="692" t="s">
        <v>535</v>
      </c>
      <c r="L105" s="692" t="s">
        <v>664</v>
      </c>
      <c r="M105" s="692" t="s">
        <v>536</v>
      </c>
    </row>
    <row r="106" spans="1:13" ht="18.95" customHeight="1" x14ac:dyDescent="0.25">
      <c r="A106" s="691">
        <v>2024</v>
      </c>
      <c r="B106" s="691">
        <v>2024</v>
      </c>
      <c r="C106" s="692" t="s">
        <v>538</v>
      </c>
      <c r="D106" s="692" t="s">
        <v>552</v>
      </c>
      <c r="E106" s="692" t="s">
        <v>581</v>
      </c>
      <c r="F106" s="691">
        <v>0</v>
      </c>
      <c r="G106" s="692" t="s">
        <v>532</v>
      </c>
      <c r="H106" s="692" t="s">
        <v>533</v>
      </c>
      <c r="I106" s="692" t="s">
        <v>540</v>
      </c>
      <c r="J106" s="692" t="s">
        <v>535</v>
      </c>
      <c r="K106" s="692" t="s">
        <v>535</v>
      </c>
      <c r="L106" s="692" t="s">
        <v>664</v>
      </c>
      <c r="M106" s="692" t="s">
        <v>536</v>
      </c>
    </row>
    <row r="107" spans="1:13" ht="18.95" customHeight="1" x14ac:dyDescent="0.25">
      <c r="A107" s="691">
        <v>2024</v>
      </c>
      <c r="B107" s="691">
        <v>2024</v>
      </c>
      <c r="C107" s="692" t="s">
        <v>538</v>
      </c>
      <c r="D107" s="692" t="s">
        <v>530</v>
      </c>
      <c r="E107" s="692" t="s">
        <v>549</v>
      </c>
      <c r="F107" s="691">
        <v>0</v>
      </c>
      <c r="G107" s="692" t="s">
        <v>532</v>
      </c>
      <c r="H107" s="692" t="s">
        <v>533</v>
      </c>
      <c r="I107" s="692" t="s">
        <v>540</v>
      </c>
      <c r="J107" s="692" t="s">
        <v>535</v>
      </c>
      <c r="K107" s="692" t="s">
        <v>535</v>
      </c>
      <c r="L107" s="692" t="s">
        <v>664</v>
      </c>
      <c r="M107" s="692" t="s">
        <v>536</v>
      </c>
    </row>
    <row r="108" spans="1:13" ht="18.95" customHeight="1" x14ac:dyDescent="0.25">
      <c r="A108" s="691">
        <v>2024</v>
      </c>
      <c r="B108" s="691">
        <v>2024</v>
      </c>
      <c r="C108" s="692" t="s">
        <v>541</v>
      </c>
      <c r="D108" s="692" t="s">
        <v>530</v>
      </c>
      <c r="E108" s="692" t="s">
        <v>611</v>
      </c>
      <c r="F108" s="691">
        <v>80606.820000000007</v>
      </c>
      <c r="G108" s="692" t="s">
        <v>532</v>
      </c>
      <c r="H108" s="692" t="s">
        <v>533</v>
      </c>
      <c r="I108" s="692" t="s">
        <v>534</v>
      </c>
      <c r="J108" s="692" t="s">
        <v>535</v>
      </c>
      <c r="K108" s="692" t="s">
        <v>535</v>
      </c>
      <c r="L108" s="692" t="s">
        <v>664</v>
      </c>
      <c r="M108" s="692" t="s">
        <v>536</v>
      </c>
    </row>
    <row r="109" spans="1:13" ht="18.95" customHeight="1" x14ac:dyDescent="0.25">
      <c r="A109" s="691">
        <v>2024</v>
      </c>
      <c r="B109" s="691">
        <v>2024</v>
      </c>
      <c r="C109" s="692" t="s">
        <v>529</v>
      </c>
      <c r="D109" s="692" t="s">
        <v>530</v>
      </c>
      <c r="E109" s="692" t="s">
        <v>592</v>
      </c>
      <c r="F109" s="691">
        <v>31352.6</v>
      </c>
      <c r="G109" s="692" t="s">
        <v>532</v>
      </c>
      <c r="H109" s="692" t="s">
        <v>533</v>
      </c>
      <c r="I109" s="692" t="s">
        <v>534</v>
      </c>
      <c r="J109" s="692" t="s">
        <v>535</v>
      </c>
      <c r="K109" s="692" t="s">
        <v>535</v>
      </c>
      <c r="L109" s="692" t="s">
        <v>664</v>
      </c>
      <c r="M109" s="692" t="s">
        <v>536</v>
      </c>
    </row>
    <row r="110" spans="1:13" ht="18.95" customHeight="1" x14ac:dyDescent="0.25">
      <c r="A110" s="691">
        <v>2024</v>
      </c>
      <c r="B110" s="691">
        <v>2024</v>
      </c>
      <c r="C110" s="692" t="s">
        <v>538</v>
      </c>
      <c r="D110" s="692" t="s">
        <v>530</v>
      </c>
      <c r="E110" s="692" t="s">
        <v>593</v>
      </c>
      <c r="F110" s="691">
        <v>0</v>
      </c>
      <c r="G110" s="692" t="s">
        <v>532</v>
      </c>
      <c r="H110" s="692" t="s">
        <v>533</v>
      </c>
      <c r="I110" s="692" t="s">
        <v>540</v>
      </c>
      <c r="J110" s="692" t="s">
        <v>535</v>
      </c>
      <c r="K110" s="692" t="s">
        <v>535</v>
      </c>
      <c r="L110" s="692" t="s">
        <v>664</v>
      </c>
      <c r="M110" s="692" t="s">
        <v>536</v>
      </c>
    </row>
    <row r="111" spans="1:13" ht="18.95" customHeight="1" x14ac:dyDescent="0.25">
      <c r="A111" s="691">
        <v>2024</v>
      </c>
      <c r="B111" s="691">
        <v>2024</v>
      </c>
      <c r="C111" s="692" t="s">
        <v>538</v>
      </c>
      <c r="D111" s="692" t="s">
        <v>530</v>
      </c>
      <c r="E111" s="692" t="s">
        <v>593</v>
      </c>
      <c r="F111" s="691">
        <v>0</v>
      </c>
      <c r="G111" s="692" t="s">
        <v>532</v>
      </c>
      <c r="H111" s="692" t="s">
        <v>533</v>
      </c>
      <c r="I111" s="692" t="s">
        <v>540</v>
      </c>
      <c r="J111" s="692" t="s">
        <v>535</v>
      </c>
      <c r="K111" s="692" t="s">
        <v>535</v>
      </c>
      <c r="L111" s="692" t="s">
        <v>664</v>
      </c>
      <c r="M111" s="692" t="s">
        <v>536</v>
      </c>
    </row>
    <row r="112" spans="1:13" ht="18.95" customHeight="1" x14ac:dyDescent="0.25">
      <c r="A112" s="691">
        <v>2024</v>
      </c>
      <c r="B112" s="691">
        <v>2024</v>
      </c>
      <c r="C112" s="692" t="s">
        <v>529</v>
      </c>
      <c r="D112" s="692" t="s">
        <v>552</v>
      </c>
      <c r="E112" s="692" t="s">
        <v>559</v>
      </c>
      <c r="F112" s="691">
        <v>0</v>
      </c>
      <c r="G112" s="692" t="s">
        <v>532</v>
      </c>
      <c r="H112" s="692" t="s">
        <v>533</v>
      </c>
      <c r="I112" s="692" t="s">
        <v>534</v>
      </c>
      <c r="J112" s="692" t="s">
        <v>535</v>
      </c>
      <c r="K112" s="692" t="s">
        <v>535</v>
      </c>
      <c r="L112" s="692" t="s">
        <v>664</v>
      </c>
      <c r="M112" s="692" t="s">
        <v>536</v>
      </c>
    </row>
    <row r="113" spans="1:13" ht="18.95" customHeight="1" x14ac:dyDescent="0.25">
      <c r="A113" s="691">
        <v>2024</v>
      </c>
      <c r="B113" s="691">
        <v>2024</v>
      </c>
      <c r="C113" s="692" t="s">
        <v>541</v>
      </c>
      <c r="D113" s="692" t="s">
        <v>530</v>
      </c>
      <c r="E113" s="692" t="s">
        <v>594</v>
      </c>
      <c r="F113" s="691">
        <v>121536.1</v>
      </c>
      <c r="G113" s="692" t="s">
        <v>532</v>
      </c>
      <c r="H113" s="692" t="s">
        <v>533</v>
      </c>
      <c r="I113" s="692" t="s">
        <v>534</v>
      </c>
      <c r="J113" s="692" t="s">
        <v>535</v>
      </c>
      <c r="K113" s="692" t="s">
        <v>535</v>
      </c>
      <c r="L113" s="692" t="s">
        <v>664</v>
      </c>
      <c r="M113" s="692" t="s">
        <v>536</v>
      </c>
    </row>
    <row r="114" spans="1:13" ht="18.95" customHeight="1" x14ac:dyDescent="0.25">
      <c r="A114" s="691">
        <v>2024</v>
      </c>
      <c r="B114" s="691">
        <v>2024</v>
      </c>
      <c r="C114" s="692" t="s">
        <v>546</v>
      </c>
      <c r="D114" s="692" t="s">
        <v>530</v>
      </c>
      <c r="E114" s="692" t="s">
        <v>551</v>
      </c>
      <c r="F114" s="691">
        <v>0</v>
      </c>
      <c r="G114" s="692" t="s">
        <v>532</v>
      </c>
      <c r="H114" s="692" t="s">
        <v>533</v>
      </c>
      <c r="I114" s="692" t="s">
        <v>548</v>
      </c>
      <c r="J114" s="692" t="s">
        <v>535</v>
      </c>
      <c r="K114" s="692" t="s">
        <v>535</v>
      </c>
      <c r="L114" s="692" t="s">
        <v>664</v>
      </c>
      <c r="M114" s="692" t="s">
        <v>536</v>
      </c>
    </row>
    <row r="115" spans="1:13" ht="18.95" customHeight="1" x14ac:dyDescent="0.25">
      <c r="A115" s="691">
        <v>2024</v>
      </c>
      <c r="B115" s="691">
        <v>2024</v>
      </c>
      <c r="C115" s="692" t="s">
        <v>541</v>
      </c>
      <c r="D115" s="692" t="s">
        <v>552</v>
      </c>
      <c r="E115" s="692" t="s">
        <v>618</v>
      </c>
      <c r="F115" s="691">
        <v>0</v>
      </c>
      <c r="G115" s="692" t="s">
        <v>532</v>
      </c>
      <c r="H115" s="692" t="s">
        <v>533</v>
      </c>
      <c r="I115" s="692" t="s">
        <v>534</v>
      </c>
      <c r="J115" s="692" t="s">
        <v>535</v>
      </c>
      <c r="K115" s="692" t="s">
        <v>535</v>
      </c>
      <c r="L115" s="692" t="s">
        <v>664</v>
      </c>
      <c r="M115" s="692" t="s">
        <v>536</v>
      </c>
    </row>
    <row r="116" spans="1:13" ht="18.95" customHeight="1" x14ac:dyDescent="0.25">
      <c r="A116" s="691">
        <v>2024</v>
      </c>
      <c r="B116" s="691">
        <v>2024</v>
      </c>
      <c r="C116" s="692" t="s">
        <v>543</v>
      </c>
      <c r="D116" s="692" t="s">
        <v>552</v>
      </c>
      <c r="E116" s="692" t="s">
        <v>562</v>
      </c>
      <c r="F116" s="691">
        <v>0</v>
      </c>
      <c r="G116" s="692" t="s">
        <v>532</v>
      </c>
      <c r="H116" s="692" t="s">
        <v>533</v>
      </c>
      <c r="I116" s="692" t="s">
        <v>534</v>
      </c>
      <c r="J116" s="692" t="s">
        <v>535</v>
      </c>
      <c r="K116" s="692" t="s">
        <v>535</v>
      </c>
      <c r="L116" s="692" t="s">
        <v>664</v>
      </c>
      <c r="M116" s="692" t="s">
        <v>536</v>
      </c>
    </row>
    <row r="117" spans="1:13" ht="18.95" customHeight="1" x14ac:dyDescent="0.25">
      <c r="A117" s="691">
        <v>2024</v>
      </c>
      <c r="B117" s="691">
        <v>2024</v>
      </c>
      <c r="C117" s="692" t="s">
        <v>541</v>
      </c>
      <c r="D117" s="692" t="s">
        <v>530</v>
      </c>
      <c r="E117" s="692" t="s">
        <v>570</v>
      </c>
      <c r="F117" s="691">
        <v>77758.600000000006</v>
      </c>
      <c r="G117" s="692" t="s">
        <v>532</v>
      </c>
      <c r="H117" s="692" t="s">
        <v>533</v>
      </c>
      <c r="I117" s="692" t="s">
        <v>534</v>
      </c>
      <c r="J117" s="692" t="s">
        <v>535</v>
      </c>
      <c r="K117" s="692" t="s">
        <v>535</v>
      </c>
      <c r="L117" s="692" t="s">
        <v>664</v>
      </c>
      <c r="M117" s="692" t="s">
        <v>536</v>
      </c>
    </row>
    <row r="118" spans="1:13" ht="18.95" customHeight="1" x14ac:dyDescent="0.25">
      <c r="A118" s="691">
        <v>2024</v>
      </c>
      <c r="B118" s="691">
        <v>2024</v>
      </c>
      <c r="C118" s="692" t="s">
        <v>541</v>
      </c>
      <c r="D118" s="692" t="s">
        <v>530</v>
      </c>
      <c r="E118" s="692" t="s">
        <v>570</v>
      </c>
      <c r="F118" s="691">
        <v>0</v>
      </c>
      <c r="G118" s="692" t="s">
        <v>532</v>
      </c>
      <c r="H118" s="692" t="s">
        <v>533</v>
      </c>
      <c r="I118" s="692" t="s">
        <v>534</v>
      </c>
      <c r="J118" s="692" t="s">
        <v>535</v>
      </c>
      <c r="K118" s="692" t="s">
        <v>535</v>
      </c>
      <c r="L118" s="692" t="s">
        <v>664</v>
      </c>
      <c r="M118" s="692" t="s">
        <v>536</v>
      </c>
    </row>
    <row r="119" spans="1:13" ht="18.95" customHeight="1" x14ac:dyDescent="0.25">
      <c r="A119" s="691">
        <v>2024</v>
      </c>
      <c r="B119" s="691">
        <v>2024</v>
      </c>
      <c r="C119" s="692" t="s">
        <v>529</v>
      </c>
      <c r="D119" s="692" t="s">
        <v>552</v>
      </c>
      <c r="E119" s="692" t="s">
        <v>557</v>
      </c>
      <c r="F119" s="691">
        <v>0</v>
      </c>
      <c r="G119" s="692" t="s">
        <v>532</v>
      </c>
      <c r="H119" s="692" t="s">
        <v>533</v>
      </c>
      <c r="I119" s="692" t="s">
        <v>534</v>
      </c>
      <c r="J119" s="692" t="s">
        <v>535</v>
      </c>
      <c r="K119" s="692" t="s">
        <v>535</v>
      </c>
      <c r="L119" s="692" t="s">
        <v>664</v>
      </c>
      <c r="M119" s="692" t="s">
        <v>536</v>
      </c>
    </row>
    <row r="120" spans="1:13" ht="18.95" customHeight="1" x14ac:dyDescent="0.25">
      <c r="A120" s="691">
        <v>2024</v>
      </c>
      <c r="B120" s="691">
        <v>2024</v>
      </c>
      <c r="C120" s="692" t="s">
        <v>529</v>
      </c>
      <c r="D120" s="692" t="s">
        <v>530</v>
      </c>
      <c r="E120" s="692" t="s">
        <v>571</v>
      </c>
      <c r="F120" s="691">
        <v>34943.65</v>
      </c>
      <c r="G120" s="692" t="s">
        <v>532</v>
      </c>
      <c r="H120" s="692" t="s">
        <v>533</v>
      </c>
      <c r="I120" s="692" t="s">
        <v>534</v>
      </c>
      <c r="J120" s="692" t="s">
        <v>535</v>
      </c>
      <c r="K120" s="692" t="s">
        <v>535</v>
      </c>
      <c r="L120" s="692" t="s">
        <v>664</v>
      </c>
      <c r="M120" s="692" t="s">
        <v>536</v>
      </c>
    </row>
    <row r="121" spans="1:13" ht="18.95" customHeight="1" x14ac:dyDescent="0.25">
      <c r="A121" s="691">
        <v>2024</v>
      </c>
      <c r="B121" s="691">
        <v>2024</v>
      </c>
      <c r="C121" s="692" t="s">
        <v>538</v>
      </c>
      <c r="D121" s="692" t="s">
        <v>552</v>
      </c>
      <c r="E121" s="692" t="s">
        <v>612</v>
      </c>
      <c r="F121" s="691">
        <v>0</v>
      </c>
      <c r="G121" s="692" t="s">
        <v>532</v>
      </c>
      <c r="H121" s="692" t="s">
        <v>533</v>
      </c>
      <c r="I121" s="692" t="s">
        <v>540</v>
      </c>
      <c r="J121" s="692" t="s">
        <v>535</v>
      </c>
      <c r="K121" s="692" t="s">
        <v>535</v>
      </c>
      <c r="L121" s="692" t="s">
        <v>664</v>
      </c>
      <c r="M121" s="692" t="s">
        <v>536</v>
      </c>
    </row>
    <row r="122" spans="1:13" ht="18.95" customHeight="1" x14ac:dyDescent="0.25">
      <c r="A122" s="691">
        <v>2024</v>
      </c>
      <c r="B122" s="691">
        <v>2024</v>
      </c>
      <c r="C122" s="692" t="s">
        <v>541</v>
      </c>
      <c r="D122" s="692" t="s">
        <v>530</v>
      </c>
      <c r="E122" s="692" t="s">
        <v>606</v>
      </c>
      <c r="F122" s="691">
        <v>0</v>
      </c>
      <c r="G122" s="692" t="s">
        <v>532</v>
      </c>
      <c r="H122" s="692" t="s">
        <v>533</v>
      </c>
      <c r="I122" s="692" t="s">
        <v>534</v>
      </c>
      <c r="J122" s="692" t="s">
        <v>535</v>
      </c>
      <c r="K122" s="692" t="s">
        <v>535</v>
      </c>
      <c r="L122" s="692" t="s">
        <v>664</v>
      </c>
      <c r="M122" s="692" t="s">
        <v>536</v>
      </c>
    </row>
    <row r="123" spans="1:13" ht="18.95" customHeight="1" x14ac:dyDescent="0.25">
      <c r="A123" s="691">
        <v>2024</v>
      </c>
      <c r="B123" s="691">
        <v>2024</v>
      </c>
      <c r="C123" s="692" t="s">
        <v>543</v>
      </c>
      <c r="D123" s="692" t="s">
        <v>530</v>
      </c>
      <c r="E123" s="692" t="s">
        <v>607</v>
      </c>
      <c r="F123" s="691">
        <v>0</v>
      </c>
      <c r="G123" s="692" t="s">
        <v>532</v>
      </c>
      <c r="H123" s="692" t="s">
        <v>533</v>
      </c>
      <c r="I123" s="692" t="s">
        <v>534</v>
      </c>
      <c r="J123" s="692" t="s">
        <v>535</v>
      </c>
      <c r="K123" s="692" t="s">
        <v>535</v>
      </c>
      <c r="L123" s="692" t="s">
        <v>664</v>
      </c>
      <c r="M123" s="692" t="s">
        <v>536</v>
      </c>
    </row>
    <row r="124" spans="1:13" ht="18.95" customHeight="1" x14ac:dyDescent="0.25">
      <c r="A124" s="691">
        <v>2024</v>
      </c>
      <c r="B124" s="691">
        <v>2024</v>
      </c>
      <c r="C124" s="692" t="s">
        <v>529</v>
      </c>
      <c r="D124" s="692" t="s">
        <v>552</v>
      </c>
      <c r="E124" s="692" t="s">
        <v>578</v>
      </c>
      <c r="F124" s="691">
        <v>0</v>
      </c>
      <c r="G124" s="692" t="s">
        <v>532</v>
      </c>
      <c r="H124" s="692" t="s">
        <v>533</v>
      </c>
      <c r="I124" s="692" t="s">
        <v>534</v>
      </c>
      <c r="J124" s="692" t="s">
        <v>535</v>
      </c>
      <c r="K124" s="692" t="s">
        <v>535</v>
      </c>
      <c r="L124" s="692" t="s">
        <v>664</v>
      </c>
      <c r="M124" s="692" t="s">
        <v>536</v>
      </c>
    </row>
    <row r="125" spans="1:13" ht="18.95" customHeight="1" x14ac:dyDescent="0.25">
      <c r="A125" s="691">
        <v>2024</v>
      </c>
      <c r="B125" s="691">
        <v>2024</v>
      </c>
      <c r="C125" s="692" t="s">
        <v>541</v>
      </c>
      <c r="D125" s="692" t="s">
        <v>552</v>
      </c>
      <c r="E125" s="692" t="s">
        <v>566</v>
      </c>
      <c r="F125" s="691">
        <v>0</v>
      </c>
      <c r="G125" s="692" t="s">
        <v>532</v>
      </c>
      <c r="H125" s="692" t="s">
        <v>533</v>
      </c>
      <c r="I125" s="692" t="s">
        <v>534</v>
      </c>
      <c r="J125" s="692" t="s">
        <v>535</v>
      </c>
      <c r="K125" s="692" t="s">
        <v>535</v>
      </c>
      <c r="L125" s="692" t="s">
        <v>664</v>
      </c>
      <c r="M125" s="692" t="s">
        <v>536</v>
      </c>
    </row>
    <row r="126" spans="1:13" ht="18.95" customHeight="1" x14ac:dyDescent="0.25">
      <c r="A126" s="691">
        <v>2024</v>
      </c>
      <c r="B126" s="691">
        <v>2024</v>
      </c>
      <c r="C126" s="692" t="s">
        <v>541</v>
      </c>
      <c r="D126" s="692" t="s">
        <v>530</v>
      </c>
      <c r="E126" s="692" t="s">
        <v>608</v>
      </c>
      <c r="F126" s="691">
        <v>0</v>
      </c>
      <c r="G126" s="692" t="s">
        <v>532</v>
      </c>
      <c r="H126" s="692" t="s">
        <v>533</v>
      </c>
      <c r="I126" s="692" t="s">
        <v>534</v>
      </c>
      <c r="J126" s="692" t="s">
        <v>535</v>
      </c>
      <c r="K126" s="692" t="s">
        <v>535</v>
      </c>
      <c r="L126" s="692" t="s">
        <v>664</v>
      </c>
      <c r="M126" s="692" t="s">
        <v>536</v>
      </c>
    </row>
    <row r="127" spans="1:13" ht="18.95" customHeight="1" x14ac:dyDescent="0.25">
      <c r="A127" s="691">
        <v>2024</v>
      </c>
      <c r="B127" s="691">
        <v>2024</v>
      </c>
      <c r="C127" s="692" t="s">
        <v>543</v>
      </c>
      <c r="D127" s="692" t="s">
        <v>552</v>
      </c>
      <c r="E127" s="692" t="s">
        <v>563</v>
      </c>
      <c r="F127" s="691">
        <v>0</v>
      </c>
      <c r="G127" s="692" t="s">
        <v>532</v>
      </c>
      <c r="H127" s="692" t="s">
        <v>533</v>
      </c>
      <c r="I127" s="692" t="s">
        <v>534</v>
      </c>
      <c r="J127" s="692" t="s">
        <v>535</v>
      </c>
      <c r="K127" s="692" t="s">
        <v>535</v>
      </c>
      <c r="L127" s="692" t="s">
        <v>664</v>
      </c>
      <c r="M127" s="692" t="s">
        <v>536</v>
      </c>
    </row>
    <row r="128" spans="1:13" ht="18.95" customHeight="1" x14ac:dyDescent="0.25">
      <c r="A128" s="691">
        <v>2024</v>
      </c>
      <c r="B128" s="691">
        <v>2024</v>
      </c>
      <c r="C128" s="692" t="s">
        <v>529</v>
      </c>
      <c r="D128" s="692" t="s">
        <v>552</v>
      </c>
      <c r="E128" s="692" t="s">
        <v>558</v>
      </c>
      <c r="F128" s="691">
        <v>0</v>
      </c>
      <c r="G128" s="692" t="s">
        <v>532</v>
      </c>
      <c r="H128" s="692" t="s">
        <v>533</v>
      </c>
      <c r="I128" s="692" t="s">
        <v>534</v>
      </c>
      <c r="J128" s="692" t="s">
        <v>535</v>
      </c>
      <c r="K128" s="692" t="s">
        <v>535</v>
      </c>
      <c r="L128" s="692" t="s">
        <v>664</v>
      </c>
      <c r="M128" s="692" t="s">
        <v>536</v>
      </c>
    </row>
    <row r="129" spans="1:13" ht="18.95" customHeight="1" x14ac:dyDescent="0.25">
      <c r="A129" s="691">
        <v>2024</v>
      </c>
      <c r="B129" s="691">
        <v>2024</v>
      </c>
      <c r="C129" s="692" t="s">
        <v>529</v>
      </c>
      <c r="D129" s="692" t="s">
        <v>530</v>
      </c>
      <c r="E129" s="692" t="s">
        <v>537</v>
      </c>
      <c r="F129" s="691">
        <v>37768.81</v>
      </c>
      <c r="G129" s="692" t="s">
        <v>532</v>
      </c>
      <c r="H129" s="692" t="s">
        <v>533</v>
      </c>
      <c r="I129" s="692" t="s">
        <v>534</v>
      </c>
      <c r="J129" s="692" t="s">
        <v>535</v>
      </c>
      <c r="K129" s="692" t="s">
        <v>535</v>
      </c>
      <c r="L129" s="692" t="s">
        <v>664</v>
      </c>
      <c r="M129" s="692" t="s">
        <v>536</v>
      </c>
    </row>
    <row r="130" spans="1:13" ht="18.95" customHeight="1" x14ac:dyDescent="0.25">
      <c r="A130" s="691">
        <v>2024</v>
      </c>
      <c r="B130" s="691">
        <v>2024</v>
      </c>
      <c r="C130" s="692" t="s">
        <v>538</v>
      </c>
      <c r="D130" s="692" t="s">
        <v>530</v>
      </c>
      <c r="E130" s="692" t="s">
        <v>539</v>
      </c>
      <c r="F130" s="691">
        <v>0</v>
      </c>
      <c r="G130" s="692" t="s">
        <v>532</v>
      </c>
      <c r="H130" s="692" t="s">
        <v>533</v>
      </c>
      <c r="I130" s="692" t="s">
        <v>540</v>
      </c>
      <c r="J130" s="692" t="s">
        <v>535</v>
      </c>
      <c r="K130" s="692" t="s">
        <v>535</v>
      </c>
      <c r="L130" s="692" t="s">
        <v>664</v>
      </c>
      <c r="M130" s="692" t="s">
        <v>536</v>
      </c>
    </row>
    <row r="131" spans="1:13" ht="18.95" customHeight="1" x14ac:dyDescent="0.25">
      <c r="A131" s="691">
        <v>2024</v>
      </c>
      <c r="B131" s="691">
        <v>2024</v>
      </c>
      <c r="C131" s="692" t="s">
        <v>546</v>
      </c>
      <c r="D131" s="692" t="s">
        <v>530</v>
      </c>
      <c r="E131" s="692" t="s">
        <v>583</v>
      </c>
      <c r="F131" s="691">
        <v>0</v>
      </c>
      <c r="G131" s="692" t="s">
        <v>532</v>
      </c>
      <c r="H131" s="692" t="s">
        <v>533</v>
      </c>
      <c r="I131" s="692" t="s">
        <v>584</v>
      </c>
      <c r="J131" s="692" t="s">
        <v>535</v>
      </c>
      <c r="K131" s="692" t="s">
        <v>535</v>
      </c>
      <c r="L131" s="692" t="s">
        <v>664</v>
      </c>
      <c r="M131" s="692" t="s">
        <v>536</v>
      </c>
    </row>
    <row r="132" spans="1:13" ht="18.95" customHeight="1" x14ac:dyDescent="0.25">
      <c r="A132" s="691">
        <v>2024</v>
      </c>
      <c r="B132" s="691">
        <v>2024</v>
      </c>
      <c r="C132" s="692" t="s">
        <v>529</v>
      </c>
      <c r="D132" s="692" t="s">
        <v>530</v>
      </c>
      <c r="E132" s="692" t="s">
        <v>605</v>
      </c>
      <c r="F132" s="691">
        <v>38732.79</v>
      </c>
      <c r="G132" s="692" t="s">
        <v>532</v>
      </c>
      <c r="H132" s="692" t="s">
        <v>533</v>
      </c>
      <c r="I132" s="692" t="s">
        <v>534</v>
      </c>
      <c r="J132" s="692" t="s">
        <v>535</v>
      </c>
      <c r="K132" s="692" t="s">
        <v>535</v>
      </c>
      <c r="L132" s="692" t="s">
        <v>664</v>
      </c>
      <c r="M132" s="692" t="s">
        <v>536</v>
      </c>
    </row>
    <row r="133" spans="1:13" ht="18.95" customHeight="1" x14ac:dyDescent="0.25">
      <c r="A133" s="691">
        <v>2024</v>
      </c>
      <c r="B133" s="691">
        <v>2024</v>
      </c>
      <c r="C133" s="692" t="s">
        <v>538</v>
      </c>
      <c r="D133" s="692" t="s">
        <v>530</v>
      </c>
      <c r="E133" s="692" t="s">
        <v>665</v>
      </c>
      <c r="F133" s="691">
        <v>135943.04000000001</v>
      </c>
      <c r="G133" s="692" t="s">
        <v>532</v>
      </c>
      <c r="H133" s="692" t="s">
        <v>533</v>
      </c>
      <c r="I133" s="692" t="s">
        <v>540</v>
      </c>
      <c r="J133" s="692" t="s">
        <v>535</v>
      </c>
      <c r="K133" s="692" t="s">
        <v>535</v>
      </c>
      <c r="L133" s="692" t="s">
        <v>664</v>
      </c>
      <c r="M133" s="692" t="s">
        <v>536</v>
      </c>
    </row>
    <row r="134" spans="1:13" ht="18.95" customHeight="1" x14ac:dyDescent="0.25">
      <c r="A134" s="691">
        <v>2024</v>
      </c>
      <c r="B134" s="691">
        <v>2024</v>
      </c>
      <c r="C134" s="692" t="s">
        <v>543</v>
      </c>
      <c r="D134" s="692" t="s">
        <v>552</v>
      </c>
      <c r="E134" s="692" t="s">
        <v>686</v>
      </c>
      <c r="F134" s="691">
        <v>0</v>
      </c>
      <c r="G134" s="692" t="s">
        <v>532</v>
      </c>
      <c r="H134" s="692" t="s">
        <v>533</v>
      </c>
      <c r="I134" s="692" t="s">
        <v>534</v>
      </c>
      <c r="J134" s="692" t="s">
        <v>535</v>
      </c>
      <c r="K134" s="692" t="s">
        <v>535</v>
      </c>
      <c r="L134" s="692" t="s">
        <v>664</v>
      </c>
      <c r="M134" s="692" t="s">
        <v>536</v>
      </c>
    </row>
    <row r="135" spans="1:13" ht="18.95" customHeight="1" x14ac:dyDescent="0.25">
      <c r="A135" s="691">
        <v>2024</v>
      </c>
      <c r="B135" s="691">
        <v>2024</v>
      </c>
      <c r="C135" s="692" t="s">
        <v>546</v>
      </c>
      <c r="D135" s="692" t="s">
        <v>552</v>
      </c>
      <c r="E135" s="692" t="s">
        <v>687</v>
      </c>
      <c r="F135" s="691">
        <v>0</v>
      </c>
      <c r="G135" s="692" t="s">
        <v>532</v>
      </c>
      <c r="H135" s="692" t="s">
        <v>533</v>
      </c>
      <c r="I135" s="692" t="s">
        <v>584</v>
      </c>
      <c r="J135" s="692" t="s">
        <v>535</v>
      </c>
      <c r="K135" s="692" t="s">
        <v>535</v>
      </c>
      <c r="L135" s="692" t="s">
        <v>664</v>
      </c>
      <c r="M135" s="692" t="s">
        <v>536</v>
      </c>
    </row>
    <row r="136" spans="1:13" ht="18.95" customHeight="1" x14ac:dyDescent="0.25">
      <c r="A136" s="691">
        <v>2024</v>
      </c>
      <c r="B136" s="691">
        <v>2024</v>
      </c>
      <c r="C136" s="692" t="s">
        <v>538</v>
      </c>
      <c r="D136" s="692" t="s">
        <v>552</v>
      </c>
      <c r="E136" s="692" t="s">
        <v>688</v>
      </c>
      <c r="F136" s="691">
        <v>0</v>
      </c>
      <c r="G136" s="692" t="s">
        <v>532</v>
      </c>
      <c r="H136" s="692" t="s">
        <v>533</v>
      </c>
      <c r="I136" s="692" t="s">
        <v>540</v>
      </c>
      <c r="J136" s="692" t="s">
        <v>535</v>
      </c>
      <c r="K136" s="692" t="s">
        <v>535</v>
      </c>
      <c r="L136" s="692" t="s">
        <v>664</v>
      </c>
      <c r="M136" s="692" t="s">
        <v>536</v>
      </c>
    </row>
    <row r="137" spans="1:13" ht="18.95" customHeight="1" x14ac:dyDescent="0.25">
      <c r="A137" s="691">
        <v>2024</v>
      </c>
      <c r="B137" s="691">
        <v>2024</v>
      </c>
      <c r="C137" s="692" t="s">
        <v>538</v>
      </c>
      <c r="D137" s="692" t="s">
        <v>530</v>
      </c>
      <c r="E137" s="692" t="s">
        <v>675</v>
      </c>
      <c r="F137" s="691">
        <v>0</v>
      </c>
      <c r="G137" s="692" t="s">
        <v>532</v>
      </c>
      <c r="H137" s="692" t="s">
        <v>533</v>
      </c>
      <c r="I137" s="692" t="s">
        <v>540</v>
      </c>
      <c r="J137" s="692" t="s">
        <v>535</v>
      </c>
      <c r="K137" s="692" t="s">
        <v>535</v>
      </c>
      <c r="L137" s="692" t="s">
        <v>664</v>
      </c>
      <c r="M137" s="692" t="s">
        <v>536</v>
      </c>
    </row>
    <row r="138" spans="1:13" ht="18.95" customHeight="1" x14ac:dyDescent="0.25">
      <c r="A138" s="691">
        <v>2024</v>
      </c>
      <c r="B138" s="691">
        <v>2024</v>
      </c>
      <c r="C138" s="692" t="s">
        <v>541</v>
      </c>
      <c r="D138" s="692" t="s">
        <v>530</v>
      </c>
      <c r="E138" s="692" t="s">
        <v>689</v>
      </c>
      <c r="F138" s="691">
        <v>79542.5</v>
      </c>
      <c r="G138" s="692" t="s">
        <v>532</v>
      </c>
      <c r="H138" s="692" t="s">
        <v>533</v>
      </c>
      <c r="I138" s="692" t="s">
        <v>534</v>
      </c>
      <c r="J138" s="692" t="s">
        <v>535</v>
      </c>
      <c r="K138" s="692" t="s">
        <v>535</v>
      </c>
      <c r="L138" s="692" t="s">
        <v>664</v>
      </c>
      <c r="M138" s="692" t="s">
        <v>536</v>
      </c>
    </row>
    <row r="139" spans="1:13" ht="18.95" customHeight="1" x14ac:dyDescent="0.25">
      <c r="A139" s="691">
        <v>2024</v>
      </c>
      <c r="B139" s="691">
        <v>2024</v>
      </c>
      <c r="C139" s="692" t="s">
        <v>541</v>
      </c>
      <c r="D139" s="692" t="s">
        <v>530</v>
      </c>
      <c r="E139" s="692" t="s">
        <v>689</v>
      </c>
      <c r="F139" s="691">
        <v>0</v>
      </c>
      <c r="G139" s="692" t="s">
        <v>532</v>
      </c>
      <c r="H139" s="692" t="s">
        <v>533</v>
      </c>
      <c r="I139" s="692" t="s">
        <v>534</v>
      </c>
      <c r="J139" s="692" t="s">
        <v>535</v>
      </c>
      <c r="K139" s="692" t="s">
        <v>535</v>
      </c>
      <c r="L139" s="692" t="s">
        <v>664</v>
      </c>
      <c r="M139" s="692" t="s">
        <v>536</v>
      </c>
    </row>
    <row r="140" spans="1:13" ht="18.95" customHeight="1" x14ac:dyDescent="0.25">
      <c r="A140" s="691">
        <v>2024</v>
      </c>
      <c r="B140" s="691">
        <v>2024</v>
      </c>
      <c r="C140" s="692" t="s">
        <v>529</v>
      </c>
      <c r="D140" s="692" t="s">
        <v>530</v>
      </c>
      <c r="E140" s="692" t="s">
        <v>670</v>
      </c>
      <c r="F140" s="691">
        <v>0</v>
      </c>
      <c r="G140" s="692" t="s">
        <v>532</v>
      </c>
      <c r="H140" s="692" t="s">
        <v>533</v>
      </c>
      <c r="I140" s="692" t="s">
        <v>534</v>
      </c>
      <c r="J140" s="692" t="s">
        <v>535</v>
      </c>
      <c r="K140" s="692" t="s">
        <v>535</v>
      </c>
      <c r="L140" s="692" t="s">
        <v>664</v>
      </c>
      <c r="M140" s="692" t="s">
        <v>536</v>
      </c>
    </row>
    <row r="141" spans="1:13" ht="18.95" customHeight="1" x14ac:dyDescent="0.25">
      <c r="A141" s="691">
        <v>2024</v>
      </c>
      <c r="B141" s="691">
        <v>2024</v>
      </c>
      <c r="C141" s="692" t="s">
        <v>538</v>
      </c>
      <c r="D141" s="692" t="s">
        <v>530</v>
      </c>
      <c r="E141" s="692" t="s">
        <v>690</v>
      </c>
      <c r="F141" s="691">
        <v>195031.87</v>
      </c>
      <c r="G141" s="692" t="s">
        <v>532</v>
      </c>
      <c r="H141" s="692" t="s">
        <v>533</v>
      </c>
      <c r="I141" s="692" t="s">
        <v>540</v>
      </c>
      <c r="J141" s="692" t="s">
        <v>535</v>
      </c>
      <c r="K141" s="692" t="s">
        <v>535</v>
      </c>
      <c r="L141" s="692" t="s">
        <v>664</v>
      </c>
      <c r="M141" s="692" t="s">
        <v>536</v>
      </c>
    </row>
    <row r="142" spans="1:13" ht="18.95" customHeight="1" x14ac:dyDescent="0.25">
      <c r="A142" s="691">
        <v>2024</v>
      </c>
      <c r="B142" s="691">
        <v>2025</v>
      </c>
      <c r="C142" s="692" t="s">
        <v>546</v>
      </c>
      <c r="D142" s="692" t="s">
        <v>530</v>
      </c>
      <c r="E142" s="692" t="s">
        <v>691</v>
      </c>
      <c r="F142" s="691">
        <v>52738.65</v>
      </c>
      <c r="G142" s="692" t="s">
        <v>532</v>
      </c>
      <c r="H142" s="692" t="s">
        <v>533</v>
      </c>
      <c r="I142" s="692" t="s">
        <v>584</v>
      </c>
      <c r="J142" s="692" t="s">
        <v>535</v>
      </c>
      <c r="K142" s="692" t="s">
        <v>535</v>
      </c>
      <c r="L142" s="692" t="s">
        <v>664</v>
      </c>
      <c r="M142" s="692" t="s">
        <v>536</v>
      </c>
    </row>
    <row r="143" spans="1:13" ht="18.95" customHeight="1" x14ac:dyDescent="0.25">
      <c r="A143" s="691">
        <v>2024</v>
      </c>
      <c r="B143" s="691">
        <v>2024</v>
      </c>
      <c r="C143" s="692" t="s">
        <v>541</v>
      </c>
      <c r="D143" s="692" t="s">
        <v>552</v>
      </c>
      <c r="E143" s="692" t="s">
        <v>692</v>
      </c>
      <c r="F143" s="691">
        <v>0</v>
      </c>
      <c r="G143" s="692" t="s">
        <v>532</v>
      </c>
      <c r="H143" s="692" t="s">
        <v>533</v>
      </c>
      <c r="I143" s="692" t="s">
        <v>534</v>
      </c>
      <c r="J143" s="692" t="s">
        <v>535</v>
      </c>
      <c r="K143" s="692" t="s">
        <v>535</v>
      </c>
      <c r="L143" s="692" t="s">
        <v>664</v>
      </c>
      <c r="M143" s="692" t="s">
        <v>536</v>
      </c>
    </row>
    <row r="144" spans="1:13" ht="18.95" customHeight="1" x14ac:dyDescent="0.25">
      <c r="A144" s="691">
        <v>2024</v>
      </c>
      <c r="B144" s="691">
        <v>2025</v>
      </c>
      <c r="C144" s="692" t="s">
        <v>541</v>
      </c>
      <c r="D144" s="692" t="s">
        <v>530</v>
      </c>
      <c r="E144" s="692" t="s">
        <v>681</v>
      </c>
      <c r="F144" s="691">
        <v>0</v>
      </c>
      <c r="G144" s="692" t="s">
        <v>532</v>
      </c>
      <c r="H144" s="692" t="s">
        <v>533</v>
      </c>
      <c r="I144" s="692" t="s">
        <v>534</v>
      </c>
      <c r="J144" s="692" t="s">
        <v>535</v>
      </c>
      <c r="K144" s="692" t="s">
        <v>535</v>
      </c>
      <c r="L144" s="692" t="s">
        <v>664</v>
      </c>
      <c r="M144" s="692" t="s">
        <v>536</v>
      </c>
    </row>
    <row r="145" spans="1:13" ht="18.95" customHeight="1" x14ac:dyDescent="0.25">
      <c r="A145" s="691">
        <v>2024</v>
      </c>
      <c r="B145" s="691">
        <v>2025</v>
      </c>
      <c r="C145" s="692" t="s">
        <v>538</v>
      </c>
      <c r="D145" s="692" t="s">
        <v>530</v>
      </c>
      <c r="E145" s="692" t="s">
        <v>685</v>
      </c>
      <c r="F145" s="691">
        <v>0</v>
      </c>
      <c r="G145" s="692" t="s">
        <v>532</v>
      </c>
      <c r="H145" s="692" t="s">
        <v>533</v>
      </c>
      <c r="I145" s="692" t="s">
        <v>540</v>
      </c>
      <c r="J145" s="692" t="s">
        <v>535</v>
      </c>
      <c r="K145" s="692" t="s">
        <v>535</v>
      </c>
      <c r="L145" s="692" t="s">
        <v>664</v>
      </c>
      <c r="M145" s="692" t="s">
        <v>536</v>
      </c>
    </row>
    <row r="146" spans="1:13" ht="18.95" customHeight="1" x14ac:dyDescent="0.25">
      <c r="A146" s="691">
        <v>2024</v>
      </c>
      <c r="B146" s="691">
        <v>2024</v>
      </c>
      <c r="C146" s="692" t="s">
        <v>543</v>
      </c>
      <c r="D146" s="692" t="s">
        <v>530</v>
      </c>
      <c r="E146" s="692" t="s">
        <v>572</v>
      </c>
      <c r="F146" s="691">
        <v>121716.37</v>
      </c>
      <c r="G146" s="692" t="s">
        <v>532</v>
      </c>
      <c r="H146" s="692" t="s">
        <v>533</v>
      </c>
      <c r="I146" s="692" t="s">
        <v>534</v>
      </c>
      <c r="J146" s="692" t="s">
        <v>535</v>
      </c>
      <c r="K146" s="692" t="s">
        <v>535</v>
      </c>
      <c r="L146" s="692" t="s">
        <v>664</v>
      </c>
      <c r="M146" s="692" t="s">
        <v>536</v>
      </c>
    </row>
    <row r="147" spans="1:13" ht="18.95" customHeight="1" x14ac:dyDescent="0.25">
      <c r="A147" s="691">
        <v>2024</v>
      </c>
      <c r="B147" s="691">
        <v>2024</v>
      </c>
      <c r="C147" s="692" t="s">
        <v>543</v>
      </c>
      <c r="D147" s="692" t="s">
        <v>530</v>
      </c>
      <c r="E147" s="692" t="s">
        <v>544</v>
      </c>
      <c r="F147" s="691">
        <v>0</v>
      </c>
      <c r="G147" s="692" t="s">
        <v>532</v>
      </c>
      <c r="H147" s="692" t="s">
        <v>533</v>
      </c>
      <c r="I147" s="692" t="s">
        <v>534</v>
      </c>
      <c r="J147" s="692" t="s">
        <v>535</v>
      </c>
      <c r="K147" s="692" t="s">
        <v>535</v>
      </c>
      <c r="L147" s="692" t="s">
        <v>664</v>
      </c>
      <c r="M147" s="692" t="s">
        <v>536</v>
      </c>
    </row>
    <row r="148" spans="1:13" ht="18.95" customHeight="1" x14ac:dyDescent="0.25">
      <c r="A148" s="691">
        <v>2024</v>
      </c>
      <c r="B148" s="691">
        <v>2024</v>
      </c>
      <c r="C148" s="692" t="s">
        <v>538</v>
      </c>
      <c r="D148" s="692" t="s">
        <v>552</v>
      </c>
      <c r="E148" s="692" t="s">
        <v>560</v>
      </c>
      <c r="F148" s="691">
        <v>0</v>
      </c>
      <c r="G148" s="692" t="s">
        <v>532</v>
      </c>
      <c r="H148" s="692" t="s">
        <v>533</v>
      </c>
      <c r="I148" s="692" t="s">
        <v>540</v>
      </c>
      <c r="J148" s="692" t="s">
        <v>535</v>
      </c>
      <c r="K148" s="692" t="s">
        <v>535</v>
      </c>
      <c r="L148" s="692" t="s">
        <v>664</v>
      </c>
      <c r="M148" s="692" t="s">
        <v>536</v>
      </c>
    </row>
    <row r="149" spans="1:13" ht="18.95" customHeight="1" x14ac:dyDescent="0.25">
      <c r="A149" s="691">
        <v>2024</v>
      </c>
      <c r="B149" s="691">
        <v>2024</v>
      </c>
      <c r="C149" s="692" t="s">
        <v>529</v>
      </c>
      <c r="D149" s="692" t="s">
        <v>530</v>
      </c>
      <c r="E149" s="692" t="s">
        <v>574</v>
      </c>
      <c r="F149" s="691">
        <v>0</v>
      </c>
      <c r="G149" s="692" t="s">
        <v>532</v>
      </c>
      <c r="H149" s="692" t="s">
        <v>533</v>
      </c>
      <c r="I149" s="692" t="s">
        <v>534</v>
      </c>
      <c r="J149" s="692" t="s">
        <v>535</v>
      </c>
      <c r="K149" s="692" t="s">
        <v>535</v>
      </c>
      <c r="L149" s="692" t="s">
        <v>664</v>
      </c>
      <c r="M149" s="692" t="s">
        <v>536</v>
      </c>
    </row>
    <row r="150" spans="1:13" ht="18.95" customHeight="1" x14ac:dyDescent="0.25">
      <c r="A150" s="691">
        <v>2024</v>
      </c>
      <c r="B150" s="691">
        <v>2024</v>
      </c>
      <c r="C150" s="692" t="s">
        <v>543</v>
      </c>
      <c r="D150" s="692" t="s">
        <v>552</v>
      </c>
      <c r="E150" s="692" t="s">
        <v>564</v>
      </c>
      <c r="F150" s="691">
        <v>0</v>
      </c>
      <c r="G150" s="692" t="s">
        <v>532</v>
      </c>
      <c r="H150" s="692" t="s">
        <v>533</v>
      </c>
      <c r="I150" s="692" t="s">
        <v>534</v>
      </c>
      <c r="J150" s="692" t="s">
        <v>535</v>
      </c>
      <c r="K150" s="692" t="s">
        <v>535</v>
      </c>
      <c r="L150" s="692" t="s">
        <v>664</v>
      </c>
      <c r="M150" s="692" t="s">
        <v>536</v>
      </c>
    </row>
    <row r="151" spans="1:13" ht="18.95" customHeight="1" x14ac:dyDescent="0.25">
      <c r="A151" s="691">
        <v>2024</v>
      </c>
      <c r="B151" s="691">
        <v>2024</v>
      </c>
      <c r="C151" s="692" t="s">
        <v>538</v>
      </c>
      <c r="D151" s="692" t="s">
        <v>552</v>
      </c>
      <c r="E151" s="692" t="s">
        <v>614</v>
      </c>
      <c r="F151" s="691">
        <v>0</v>
      </c>
      <c r="G151" s="692" t="s">
        <v>532</v>
      </c>
      <c r="H151" s="692" t="s">
        <v>533</v>
      </c>
      <c r="I151" s="692" t="s">
        <v>540</v>
      </c>
      <c r="J151" s="692" t="s">
        <v>535</v>
      </c>
      <c r="K151" s="692" t="s">
        <v>535</v>
      </c>
      <c r="L151" s="692" t="s">
        <v>664</v>
      </c>
      <c r="M151" s="692" t="s">
        <v>536</v>
      </c>
    </row>
    <row r="152" spans="1:13" ht="18.95" customHeight="1" x14ac:dyDescent="0.25">
      <c r="A152" s="691">
        <v>2024</v>
      </c>
      <c r="B152" s="691">
        <v>2024</v>
      </c>
      <c r="C152" s="692" t="s">
        <v>541</v>
      </c>
      <c r="D152" s="692" t="s">
        <v>530</v>
      </c>
      <c r="E152" s="692" t="s">
        <v>545</v>
      </c>
      <c r="F152" s="691">
        <v>83550.98</v>
      </c>
      <c r="G152" s="692" t="s">
        <v>532</v>
      </c>
      <c r="H152" s="692" t="s">
        <v>533</v>
      </c>
      <c r="I152" s="692" t="s">
        <v>534</v>
      </c>
      <c r="J152" s="692" t="s">
        <v>535</v>
      </c>
      <c r="K152" s="692" t="s">
        <v>535</v>
      </c>
      <c r="L152" s="692" t="s">
        <v>664</v>
      </c>
      <c r="M152" s="692" t="s">
        <v>536</v>
      </c>
    </row>
    <row r="153" spans="1:13" ht="18.95" customHeight="1" x14ac:dyDescent="0.25">
      <c r="A153" s="691">
        <v>2024</v>
      </c>
      <c r="B153" s="691">
        <v>2024</v>
      </c>
      <c r="C153" s="692" t="s">
        <v>546</v>
      </c>
      <c r="D153" s="692" t="s">
        <v>530</v>
      </c>
      <c r="E153" s="692" t="s">
        <v>547</v>
      </c>
      <c r="F153" s="691">
        <v>0</v>
      </c>
      <c r="G153" s="692" t="s">
        <v>532</v>
      </c>
      <c r="H153" s="692" t="s">
        <v>533</v>
      </c>
      <c r="I153" s="692" t="s">
        <v>548</v>
      </c>
      <c r="J153" s="692" t="s">
        <v>535</v>
      </c>
      <c r="K153" s="692" t="s">
        <v>535</v>
      </c>
      <c r="L153" s="692" t="s">
        <v>664</v>
      </c>
      <c r="M153" s="692" t="s">
        <v>536</v>
      </c>
    </row>
    <row r="154" spans="1:13" ht="18.95" customHeight="1" x14ac:dyDescent="0.25">
      <c r="A154" s="691">
        <v>2024</v>
      </c>
      <c r="B154" s="691">
        <v>2024</v>
      </c>
      <c r="C154" s="692" t="s">
        <v>543</v>
      </c>
      <c r="D154" s="692" t="s">
        <v>530</v>
      </c>
      <c r="E154" s="692" t="s">
        <v>591</v>
      </c>
      <c r="F154" s="691">
        <v>88127.63</v>
      </c>
      <c r="G154" s="692" t="s">
        <v>532</v>
      </c>
      <c r="H154" s="692" t="s">
        <v>533</v>
      </c>
      <c r="I154" s="692" t="s">
        <v>534</v>
      </c>
      <c r="J154" s="692" t="s">
        <v>535</v>
      </c>
      <c r="K154" s="692" t="s">
        <v>535</v>
      </c>
      <c r="L154" s="692" t="s">
        <v>664</v>
      </c>
      <c r="M154" s="692" t="s">
        <v>536</v>
      </c>
    </row>
    <row r="155" spans="1:13" ht="18.95" customHeight="1" x14ac:dyDescent="0.25">
      <c r="A155" s="691">
        <v>2024</v>
      </c>
      <c r="B155" s="691">
        <v>2024</v>
      </c>
      <c r="C155" s="692" t="s">
        <v>543</v>
      </c>
      <c r="D155" s="692" t="s">
        <v>530</v>
      </c>
      <c r="E155" s="692" t="s">
        <v>591</v>
      </c>
      <c r="F155" s="691">
        <v>0</v>
      </c>
      <c r="G155" s="692" t="s">
        <v>532</v>
      </c>
      <c r="H155" s="692" t="s">
        <v>533</v>
      </c>
      <c r="I155" s="692" t="s">
        <v>534</v>
      </c>
      <c r="J155" s="692" t="s">
        <v>535</v>
      </c>
      <c r="K155" s="692" t="s">
        <v>535</v>
      </c>
      <c r="L155" s="692" t="s">
        <v>664</v>
      </c>
      <c r="M155" s="692" t="s">
        <v>536</v>
      </c>
    </row>
    <row r="156" spans="1:13" ht="18.95" customHeight="1" x14ac:dyDescent="0.25">
      <c r="A156" s="691">
        <v>2024</v>
      </c>
      <c r="B156" s="691">
        <v>2024</v>
      </c>
      <c r="C156" s="692" t="s">
        <v>538</v>
      </c>
      <c r="D156" s="692" t="s">
        <v>552</v>
      </c>
      <c r="E156" s="692" t="s">
        <v>580</v>
      </c>
      <c r="F156" s="691">
        <v>0</v>
      </c>
      <c r="G156" s="692" t="s">
        <v>532</v>
      </c>
      <c r="H156" s="692" t="s">
        <v>533</v>
      </c>
      <c r="I156" s="692" t="s">
        <v>540</v>
      </c>
      <c r="J156" s="692" t="s">
        <v>535</v>
      </c>
      <c r="K156" s="692" t="s">
        <v>535</v>
      </c>
      <c r="L156" s="692" t="s">
        <v>664</v>
      </c>
      <c r="M156" s="692" t="s">
        <v>536</v>
      </c>
    </row>
    <row r="157" spans="1:13" ht="18.95" customHeight="1" x14ac:dyDescent="0.25">
      <c r="A157" s="691">
        <v>2024</v>
      </c>
      <c r="B157" s="691">
        <v>2024</v>
      </c>
      <c r="C157" s="692" t="s">
        <v>529</v>
      </c>
      <c r="D157" s="692" t="s">
        <v>530</v>
      </c>
      <c r="E157" s="692" t="s">
        <v>550</v>
      </c>
      <c r="F157" s="691">
        <v>0</v>
      </c>
      <c r="G157" s="692" t="s">
        <v>532</v>
      </c>
      <c r="H157" s="692" t="s">
        <v>533</v>
      </c>
      <c r="I157" s="692" t="s">
        <v>534</v>
      </c>
      <c r="J157" s="692" t="s">
        <v>535</v>
      </c>
      <c r="K157" s="692" t="s">
        <v>535</v>
      </c>
      <c r="L157" s="692" t="s">
        <v>664</v>
      </c>
      <c r="M157" s="692" t="s">
        <v>536</v>
      </c>
    </row>
    <row r="158" spans="1:13" ht="18.95" customHeight="1" x14ac:dyDescent="0.25">
      <c r="A158" s="691">
        <v>2024</v>
      </c>
      <c r="B158" s="691">
        <v>2024</v>
      </c>
      <c r="C158" s="692" t="s">
        <v>541</v>
      </c>
      <c r="D158" s="692" t="s">
        <v>552</v>
      </c>
      <c r="E158" s="692" t="s">
        <v>568</v>
      </c>
      <c r="F158" s="691">
        <v>0</v>
      </c>
      <c r="G158" s="692" t="s">
        <v>532</v>
      </c>
      <c r="H158" s="692" t="s">
        <v>533</v>
      </c>
      <c r="I158" s="692" t="s">
        <v>534</v>
      </c>
      <c r="J158" s="692" t="s">
        <v>535</v>
      </c>
      <c r="K158" s="692" t="s">
        <v>535</v>
      </c>
      <c r="L158" s="692" t="s">
        <v>664</v>
      </c>
      <c r="M158" s="692" t="s">
        <v>536</v>
      </c>
    </row>
    <row r="159" spans="1:13" ht="18.95" customHeight="1" x14ac:dyDescent="0.25">
      <c r="A159" s="691">
        <v>2024</v>
      </c>
      <c r="B159" s="691">
        <v>2024</v>
      </c>
      <c r="C159" s="692" t="s">
        <v>546</v>
      </c>
      <c r="D159" s="692" t="s">
        <v>530</v>
      </c>
      <c r="E159" s="692" t="s">
        <v>551</v>
      </c>
      <c r="F159" s="691">
        <v>88710.46</v>
      </c>
      <c r="G159" s="692" t="s">
        <v>532</v>
      </c>
      <c r="H159" s="692" t="s">
        <v>533</v>
      </c>
      <c r="I159" s="692" t="s">
        <v>548</v>
      </c>
      <c r="J159" s="692" t="s">
        <v>535</v>
      </c>
      <c r="K159" s="692" t="s">
        <v>535</v>
      </c>
      <c r="L159" s="692" t="s">
        <v>664</v>
      </c>
      <c r="M159" s="692" t="s">
        <v>536</v>
      </c>
    </row>
    <row r="160" spans="1:13" ht="18.95" customHeight="1" x14ac:dyDescent="0.25">
      <c r="A160" s="691">
        <v>2024</v>
      </c>
      <c r="B160" s="691">
        <v>2024</v>
      </c>
      <c r="C160" s="692" t="s">
        <v>529</v>
      </c>
      <c r="D160" s="692" t="s">
        <v>530</v>
      </c>
      <c r="E160" s="692" t="s">
        <v>571</v>
      </c>
      <c r="F160" s="691">
        <v>0</v>
      </c>
      <c r="G160" s="692" t="s">
        <v>532</v>
      </c>
      <c r="H160" s="692" t="s">
        <v>533</v>
      </c>
      <c r="I160" s="692" t="s">
        <v>534</v>
      </c>
      <c r="J160" s="692" t="s">
        <v>535</v>
      </c>
      <c r="K160" s="692" t="s">
        <v>535</v>
      </c>
      <c r="L160" s="692" t="s">
        <v>664</v>
      </c>
      <c r="M160" s="692" t="s">
        <v>536</v>
      </c>
    </row>
    <row r="161" spans="1:13" ht="18.95" customHeight="1" x14ac:dyDescent="0.25">
      <c r="A161" s="691">
        <v>2024</v>
      </c>
      <c r="B161" s="691">
        <v>2024</v>
      </c>
      <c r="C161" s="692" t="s">
        <v>543</v>
      </c>
      <c r="D161" s="692" t="s">
        <v>530</v>
      </c>
      <c r="E161" s="692" t="s">
        <v>607</v>
      </c>
      <c r="F161" s="691">
        <v>95359.25</v>
      </c>
      <c r="G161" s="692" t="s">
        <v>532</v>
      </c>
      <c r="H161" s="692" t="s">
        <v>533</v>
      </c>
      <c r="I161" s="692" t="s">
        <v>534</v>
      </c>
      <c r="J161" s="692" t="s">
        <v>535</v>
      </c>
      <c r="K161" s="692" t="s">
        <v>535</v>
      </c>
      <c r="L161" s="692" t="s">
        <v>664</v>
      </c>
      <c r="M161" s="692" t="s">
        <v>536</v>
      </c>
    </row>
    <row r="162" spans="1:13" ht="18.95" customHeight="1" x14ac:dyDescent="0.25">
      <c r="A162" s="691">
        <v>2024</v>
      </c>
      <c r="B162" s="691">
        <v>2024</v>
      </c>
      <c r="C162" s="692" t="s">
        <v>529</v>
      </c>
      <c r="D162" s="692" t="s">
        <v>530</v>
      </c>
      <c r="E162" s="692" t="s">
        <v>531</v>
      </c>
      <c r="F162" s="691">
        <v>0</v>
      </c>
      <c r="G162" s="692" t="s">
        <v>532</v>
      </c>
      <c r="H162" s="692" t="s">
        <v>533</v>
      </c>
      <c r="I162" s="692" t="s">
        <v>534</v>
      </c>
      <c r="J162" s="692" t="s">
        <v>535</v>
      </c>
      <c r="K162" s="692" t="s">
        <v>535</v>
      </c>
      <c r="L162" s="692" t="s">
        <v>664</v>
      </c>
      <c r="M162" s="692" t="s">
        <v>536</v>
      </c>
    </row>
    <row r="163" spans="1:13" ht="18.95" customHeight="1" x14ac:dyDescent="0.25">
      <c r="A163" s="691">
        <v>2024</v>
      </c>
      <c r="B163" s="691">
        <v>2024</v>
      </c>
      <c r="C163" s="692" t="s">
        <v>541</v>
      </c>
      <c r="D163" s="692" t="s">
        <v>530</v>
      </c>
      <c r="E163" s="692" t="s">
        <v>608</v>
      </c>
      <c r="F163" s="691">
        <v>0</v>
      </c>
      <c r="G163" s="692" t="s">
        <v>532</v>
      </c>
      <c r="H163" s="692" t="s">
        <v>533</v>
      </c>
      <c r="I163" s="692" t="s">
        <v>534</v>
      </c>
      <c r="J163" s="692" t="s">
        <v>535</v>
      </c>
      <c r="K163" s="692" t="s">
        <v>535</v>
      </c>
      <c r="L163" s="692" t="s">
        <v>664</v>
      </c>
      <c r="M163" s="692" t="s">
        <v>536</v>
      </c>
    </row>
    <row r="164" spans="1:13" ht="18.95" customHeight="1" x14ac:dyDescent="0.25">
      <c r="A164" s="691">
        <v>2024</v>
      </c>
      <c r="B164" s="691">
        <v>2024</v>
      </c>
      <c r="C164" s="692" t="s">
        <v>529</v>
      </c>
      <c r="D164" s="692" t="s">
        <v>530</v>
      </c>
      <c r="E164" s="692" t="s">
        <v>537</v>
      </c>
      <c r="F164" s="691">
        <v>0</v>
      </c>
      <c r="G164" s="692" t="s">
        <v>532</v>
      </c>
      <c r="H164" s="692" t="s">
        <v>533</v>
      </c>
      <c r="I164" s="692" t="s">
        <v>534</v>
      </c>
      <c r="J164" s="692" t="s">
        <v>535</v>
      </c>
      <c r="K164" s="692" t="s">
        <v>535</v>
      </c>
      <c r="L164" s="692" t="s">
        <v>664</v>
      </c>
      <c r="M164" s="692" t="s">
        <v>536</v>
      </c>
    </row>
    <row r="165" spans="1:13" ht="18.95" customHeight="1" x14ac:dyDescent="0.25">
      <c r="A165" s="691">
        <v>2024</v>
      </c>
      <c r="B165" s="691">
        <v>2024</v>
      </c>
      <c r="C165" s="692" t="s">
        <v>538</v>
      </c>
      <c r="D165" s="692" t="s">
        <v>552</v>
      </c>
      <c r="E165" s="692" t="s">
        <v>598</v>
      </c>
      <c r="F165" s="691">
        <v>0</v>
      </c>
      <c r="G165" s="692" t="s">
        <v>532</v>
      </c>
      <c r="H165" s="692" t="s">
        <v>533</v>
      </c>
      <c r="I165" s="692" t="s">
        <v>540</v>
      </c>
      <c r="J165" s="692" t="s">
        <v>535</v>
      </c>
      <c r="K165" s="692" t="s">
        <v>535</v>
      </c>
      <c r="L165" s="692" t="s">
        <v>664</v>
      </c>
      <c r="M165" s="692" t="s">
        <v>536</v>
      </c>
    </row>
    <row r="166" spans="1:13" ht="18.95" customHeight="1" x14ac:dyDescent="0.25">
      <c r="A166" s="691">
        <v>2024</v>
      </c>
      <c r="B166" s="691">
        <v>2024</v>
      </c>
      <c r="C166" s="692" t="s">
        <v>546</v>
      </c>
      <c r="D166" s="692" t="s">
        <v>552</v>
      </c>
      <c r="E166" s="692" t="s">
        <v>587</v>
      </c>
      <c r="F166" s="691">
        <v>0</v>
      </c>
      <c r="G166" s="692" t="s">
        <v>532</v>
      </c>
      <c r="H166" s="692" t="s">
        <v>533</v>
      </c>
      <c r="I166" s="692" t="s">
        <v>584</v>
      </c>
      <c r="J166" s="692" t="s">
        <v>535</v>
      </c>
      <c r="K166" s="692" t="s">
        <v>535</v>
      </c>
      <c r="L166" s="692" t="s">
        <v>664</v>
      </c>
      <c r="M166" s="692" t="s">
        <v>536</v>
      </c>
    </row>
    <row r="167" spans="1:13" ht="18.95" customHeight="1" x14ac:dyDescent="0.25">
      <c r="A167" s="691">
        <v>2024</v>
      </c>
      <c r="B167" s="691">
        <v>2024</v>
      </c>
      <c r="C167" s="692" t="s">
        <v>546</v>
      </c>
      <c r="D167" s="692" t="s">
        <v>530</v>
      </c>
      <c r="E167" s="692" t="s">
        <v>583</v>
      </c>
      <c r="F167" s="691">
        <v>89294.14</v>
      </c>
      <c r="G167" s="692" t="s">
        <v>532</v>
      </c>
      <c r="H167" s="692" t="s">
        <v>533</v>
      </c>
      <c r="I167" s="692" t="s">
        <v>584</v>
      </c>
      <c r="J167" s="692" t="s">
        <v>535</v>
      </c>
      <c r="K167" s="692" t="s">
        <v>535</v>
      </c>
      <c r="L167" s="692" t="s">
        <v>664</v>
      </c>
      <c r="M167" s="692" t="s">
        <v>536</v>
      </c>
    </row>
    <row r="168" spans="1:13" ht="18.95" customHeight="1" x14ac:dyDescent="0.25">
      <c r="A168" s="691">
        <v>2024</v>
      </c>
      <c r="B168" s="691">
        <v>2024</v>
      </c>
      <c r="C168" s="692" t="s">
        <v>529</v>
      </c>
      <c r="D168" s="692" t="s">
        <v>530</v>
      </c>
      <c r="E168" s="692" t="s">
        <v>605</v>
      </c>
      <c r="F168" s="691">
        <v>0</v>
      </c>
      <c r="G168" s="692" t="s">
        <v>532</v>
      </c>
      <c r="H168" s="692" t="s">
        <v>533</v>
      </c>
      <c r="I168" s="692" t="s">
        <v>534</v>
      </c>
      <c r="J168" s="692" t="s">
        <v>535</v>
      </c>
      <c r="K168" s="692" t="s">
        <v>535</v>
      </c>
      <c r="L168" s="692" t="s">
        <v>664</v>
      </c>
      <c r="M168" s="692" t="s">
        <v>536</v>
      </c>
    </row>
    <row r="169" spans="1:13" ht="18.95" customHeight="1" x14ac:dyDescent="0.25">
      <c r="A169" s="691">
        <v>2024</v>
      </c>
      <c r="B169" s="691">
        <v>2024</v>
      </c>
      <c r="C169" s="692" t="s">
        <v>541</v>
      </c>
      <c r="D169" s="692" t="s">
        <v>552</v>
      </c>
      <c r="E169" s="692" t="s">
        <v>693</v>
      </c>
      <c r="F169" s="691">
        <v>0</v>
      </c>
      <c r="G169" s="692" t="s">
        <v>532</v>
      </c>
      <c r="H169" s="692" t="s">
        <v>533</v>
      </c>
      <c r="I169" s="692" t="s">
        <v>534</v>
      </c>
      <c r="J169" s="692" t="s">
        <v>535</v>
      </c>
      <c r="K169" s="692" t="s">
        <v>535</v>
      </c>
      <c r="L169" s="692" t="s">
        <v>664</v>
      </c>
      <c r="M169" s="692" t="s">
        <v>536</v>
      </c>
    </row>
    <row r="170" spans="1:13" ht="18.95" customHeight="1" x14ac:dyDescent="0.25">
      <c r="A170" s="691">
        <v>2024</v>
      </c>
      <c r="B170" s="691">
        <v>2024</v>
      </c>
      <c r="C170" s="692" t="s">
        <v>543</v>
      </c>
      <c r="D170" s="692" t="s">
        <v>530</v>
      </c>
      <c r="E170" s="692" t="s">
        <v>666</v>
      </c>
      <c r="F170" s="691">
        <v>95929.77</v>
      </c>
      <c r="G170" s="692" t="s">
        <v>532</v>
      </c>
      <c r="H170" s="692" t="s">
        <v>533</v>
      </c>
      <c r="I170" s="692" t="s">
        <v>534</v>
      </c>
      <c r="J170" s="692" t="s">
        <v>535</v>
      </c>
      <c r="K170" s="692" t="s">
        <v>535</v>
      </c>
      <c r="L170" s="692" t="s">
        <v>664</v>
      </c>
      <c r="M170" s="692" t="s">
        <v>536</v>
      </c>
    </row>
    <row r="171" spans="1:13" ht="18.95" customHeight="1" x14ac:dyDescent="0.25">
      <c r="A171" s="691">
        <v>2024</v>
      </c>
      <c r="B171" s="691">
        <v>2024</v>
      </c>
      <c r="C171" s="692" t="s">
        <v>546</v>
      </c>
      <c r="D171" s="692" t="s">
        <v>530</v>
      </c>
      <c r="E171" s="692" t="s">
        <v>674</v>
      </c>
      <c r="F171" s="691">
        <v>0</v>
      </c>
      <c r="G171" s="692" t="s">
        <v>532</v>
      </c>
      <c r="H171" s="692" t="s">
        <v>533</v>
      </c>
      <c r="I171" s="692" t="s">
        <v>584</v>
      </c>
      <c r="J171" s="692" t="s">
        <v>535</v>
      </c>
      <c r="K171" s="692" t="s">
        <v>535</v>
      </c>
      <c r="L171" s="692" t="s">
        <v>664</v>
      </c>
      <c r="M171" s="692" t="s">
        <v>536</v>
      </c>
    </row>
    <row r="172" spans="1:13" ht="18.95" customHeight="1" x14ac:dyDescent="0.25">
      <c r="A172" s="691">
        <v>2024</v>
      </c>
      <c r="B172" s="691">
        <v>2024</v>
      </c>
      <c r="C172" s="692" t="s">
        <v>546</v>
      </c>
      <c r="D172" s="692" t="s">
        <v>552</v>
      </c>
      <c r="E172" s="692" t="s">
        <v>694</v>
      </c>
      <c r="F172" s="691">
        <v>0</v>
      </c>
      <c r="G172" s="692" t="s">
        <v>532</v>
      </c>
      <c r="H172" s="692" t="s">
        <v>533</v>
      </c>
      <c r="I172" s="692" t="s">
        <v>584</v>
      </c>
      <c r="J172" s="692" t="s">
        <v>535</v>
      </c>
      <c r="K172" s="692" t="s">
        <v>535</v>
      </c>
      <c r="L172" s="692" t="s">
        <v>664</v>
      </c>
      <c r="M172" s="692" t="s">
        <v>536</v>
      </c>
    </row>
    <row r="173" spans="1:13" ht="18.95" customHeight="1" x14ac:dyDescent="0.25">
      <c r="A173" s="691">
        <v>2024</v>
      </c>
      <c r="B173" s="691">
        <v>2024</v>
      </c>
      <c r="C173" s="692" t="s">
        <v>529</v>
      </c>
      <c r="D173" s="692" t="s">
        <v>552</v>
      </c>
      <c r="E173" s="692" t="s">
        <v>695</v>
      </c>
      <c r="F173" s="691">
        <v>0</v>
      </c>
      <c r="G173" s="692" t="s">
        <v>532</v>
      </c>
      <c r="H173" s="692" t="s">
        <v>533</v>
      </c>
      <c r="I173" s="692" t="s">
        <v>534</v>
      </c>
      <c r="J173" s="692" t="s">
        <v>535</v>
      </c>
      <c r="K173" s="692" t="s">
        <v>535</v>
      </c>
      <c r="L173" s="692" t="s">
        <v>664</v>
      </c>
      <c r="M173" s="692" t="s">
        <v>536</v>
      </c>
    </row>
    <row r="174" spans="1:13" ht="18.95" customHeight="1" x14ac:dyDescent="0.25">
      <c r="A174" s="691">
        <v>2024</v>
      </c>
      <c r="B174" s="691">
        <v>2024</v>
      </c>
      <c r="C174" s="692" t="s">
        <v>529</v>
      </c>
      <c r="D174" s="692" t="s">
        <v>530</v>
      </c>
      <c r="E174" s="692" t="s">
        <v>668</v>
      </c>
      <c r="F174" s="691">
        <v>0</v>
      </c>
      <c r="G174" s="692" t="s">
        <v>532</v>
      </c>
      <c r="H174" s="692" t="s">
        <v>533</v>
      </c>
      <c r="I174" s="692" t="s">
        <v>534</v>
      </c>
      <c r="J174" s="692" t="s">
        <v>535</v>
      </c>
      <c r="K174" s="692" t="s">
        <v>535</v>
      </c>
      <c r="L174" s="692" t="s">
        <v>664</v>
      </c>
      <c r="M174" s="692" t="s">
        <v>536</v>
      </c>
    </row>
    <row r="175" spans="1:13" ht="18.95" customHeight="1" x14ac:dyDescent="0.25">
      <c r="A175" s="691">
        <v>2024</v>
      </c>
      <c r="B175" s="691">
        <v>2024</v>
      </c>
      <c r="C175" s="692" t="s">
        <v>538</v>
      </c>
      <c r="D175" s="692" t="s">
        <v>530</v>
      </c>
      <c r="E175" s="692" t="s">
        <v>690</v>
      </c>
      <c r="F175" s="691">
        <v>0</v>
      </c>
      <c r="G175" s="692" t="s">
        <v>532</v>
      </c>
      <c r="H175" s="692" t="s">
        <v>533</v>
      </c>
      <c r="I175" s="692" t="s">
        <v>540</v>
      </c>
      <c r="J175" s="692" t="s">
        <v>535</v>
      </c>
      <c r="K175" s="692" t="s">
        <v>535</v>
      </c>
      <c r="L175" s="692" t="s">
        <v>664</v>
      </c>
      <c r="M175" s="692" t="s">
        <v>536</v>
      </c>
    </row>
    <row r="176" spans="1:13" ht="18.95" customHeight="1" x14ac:dyDescent="0.25">
      <c r="A176" s="691">
        <v>2024</v>
      </c>
      <c r="B176" s="691">
        <v>2025</v>
      </c>
      <c r="C176" s="692" t="s">
        <v>546</v>
      </c>
      <c r="D176" s="692" t="s">
        <v>530</v>
      </c>
      <c r="E176" s="692" t="s">
        <v>691</v>
      </c>
      <c r="F176" s="691">
        <v>0</v>
      </c>
      <c r="G176" s="692" t="s">
        <v>532</v>
      </c>
      <c r="H176" s="692" t="s">
        <v>533</v>
      </c>
      <c r="I176" s="692" t="s">
        <v>584</v>
      </c>
      <c r="J176" s="692" t="s">
        <v>535</v>
      </c>
      <c r="K176" s="692" t="s">
        <v>535</v>
      </c>
      <c r="L176" s="692" t="s">
        <v>664</v>
      </c>
      <c r="M176" s="692" t="s">
        <v>536</v>
      </c>
    </row>
    <row r="177" spans="1:13" ht="18.95" customHeight="1" x14ac:dyDescent="0.25">
      <c r="A177" s="691">
        <v>2024</v>
      </c>
      <c r="B177" s="691">
        <v>2025</v>
      </c>
      <c r="C177" s="692" t="s">
        <v>543</v>
      </c>
      <c r="D177" s="692" t="s">
        <v>530</v>
      </c>
      <c r="E177" s="692" t="s">
        <v>680</v>
      </c>
      <c r="F177" s="691">
        <v>122591.25</v>
      </c>
      <c r="G177" s="692" t="s">
        <v>532</v>
      </c>
      <c r="H177" s="692" t="s">
        <v>533</v>
      </c>
      <c r="I177" s="692" t="s">
        <v>534</v>
      </c>
      <c r="J177" s="692" t="s">
        <v>535</v>
      </c>
      <c r="K177" s="692" t="s">
        <v>535</v>
      </c>
      <c r="L177" s="692" t="s">
        <v>664</v>
      </c>
      <c r="M177" s="692" t="s">
        <v>536</v>
      </c>
    </row>
    <row r="178" spans="1:13" ht="18.95" customHeight="1" x14ac:dyDescent="0.25">
      <c r="A178" s="691">
        <v>2024</v>
      </c>
      <c r="B178" s="691">
        <v>2025</v>
      </c>
      <c r="C178" s="692" t="s">
        <v>529</v>
      </c>
      <c r="D178" s="692" t="s">
        <v>530</v>
      </c>
      <c r="E178" s="692" t="s">
        <v>680</v>
      </c>
      <c r="F178" s="691">
        <v>64381.2</v>
      </c>
      <c r="G178" s="692" t="s">
        <v>532</v>
      </c>
      <c r="H178" s="692" t="s">
        <v>533</v>
      </c>
      <c r="I178" s="692" t="s">
        <v>534</v>
      </c>
      <c r="J178" s="692" t="s">
        <v>535</v>
      </c>
      <c r="K178" s="692" t="s">
        <v>535</v>
      </c>
      <c r="L178" s="692" t="s">
        <v>664</v>
      </c>
      <c r="M178" s="692" t="s">
        <v>536</v>
      </c>
    </row>
    <row r="179" spans="1:13" ht="18.95" customHeight="1" x14ac:dyDescent="0.25">
      <c r="F179" s="53">
        <f>SUM(F2:F178)</f>
        <v>5267226.3500000006</v>
      </c>
    </row>
    <row r="180" spans="1:13" ht="18.95" customHeight="1" x14ac:dyDescent="0.25">
      <c r="F180" s="89">
        <f>'2.  Staffing Supports RR202 (2)'!I29</f>
        <v>0.11363925529525859</v>
      </c>
    </row>
    <row r="181" spans="1:13" ht="18.95" customHeight="1" x14ac:dyDescent="0.25">
      <c r="F181" s="57">
        <f>F179*F180</f>
        <v>598563.67988556309</v>
      </c>
    </row>
    <row r="182" spans="1:13" ht="18.95" customHeight="1" x14ac:dyDescent="0.25">
      <c r="F182" s="57">
        <f>F179+F181</f>
        <v>5865790.029885564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80F4-A094-4BE3-AF29-F5080A942081}">
  <dimension ref="F8:R34"/>
  <sheetViews>
    <sheetView topLeftCell="A4" workbookViewId="0">
      <selection activeCell="F180" sqref="F180"/>
    </sheetView>
  </sheetViews>
  <sheetFormatPr defaultRowHeight="15" x14ac:dyDescent="0.25"/>
  <cols>
    <col min="6" max="6" width="16.28515625" bestFit="1" customWidth="1"/>
    <col min="7" max="7" width="9.5703125" bestFit="1" customWidth="1"/>
    <col min="10" max="10" width="23.140625" bestFit="1" customWidth="1"/>
    <col min="12" max="12" width="14.7109375" bestFit="1" customWidth="1"/>
    <col min="18" max="18" width="18" bestFit="1" customWidth="1"/>
  </cols>
  <sheetData>
    <row r="8" spans="6:18" x14ac:dyDescent="0.25">
      <c r="R8" s="53"/>
    </row>
    <row r="9" spans="6:18" x14ac:dyDescent="0.25">
      <c r="G9" s="786" t="s">
        <v>661</v>
      </c>
      <c r="H9" s="786"/>
      <c r="R9" s="54"/>
    </row>
    <row r="10" spans="6:18" ht="15.75" thickBot="1" x14ac:dyDescent="0.3">
      <c r="R10" s="57"/>
    </row>
    <row r="11" spans="6:18" x14ac:dyDescent="0.25">
      <c r="F11" s="662"/>
      <c r="G11" s="663"/>
      <c r="H11" s="663"/>
      <c r="I11" s="664" t="s">
        <v>634</v>
      </c>
      <c r="J11" s="665"/>
      <c r="K11" s="787"/>
      <c r="L11" s="787"/>
      <c r="M11" s="654"/>
      <c r="N11" s="654"/>
    </row>
    <row r="12" spans="6:18" x14ac:dyDescent="0.25">
      <c r="F12" s="666" t="s">
        <v>635</v>
      </c>
      <c r="G12" s="655" t="s">
        <v>636</v>
      </c>
      <c r="H12" s="656" t="s">
        <v>637</v>
      </c>
      <c r="I12" s="656" t="s">
        <v>638</v>
      </c>
      <c r="J12" s="667" t="s">
        <v>639</v>
      </c>
      <c r="K12" s="654"/>
      <c r="M12" s="654"/>
    </row>
    <row r="13" spans="6:18" x14ac:dyDescent="0.25">
      <c r="F13" s="668" t="s">
        <v>640</v>
      </c>
      <c r="G13" s="655">
        <v>2024</v>
      </c>
      <c r="H13" s="655" t="s">
        <v>641</v>
      </c>
      <c r="I13" s="655">
        <v>20</v>
      </c>
      <c r="J13" s="669">
        <v>13617.4</v>
      </c>
      <c r="K13" s="787"/>
      <c r="L13" s="787"/>
      <c r="M13" s="654"/>
      <c r="N13" s="654"/>
    </row>
    <row r="14" spans="6:18" x14ac:dyDescent="0.25">
      <c r="F14" s="670"/>
      <c r="G14" s="657"/>
      <c r="H14" s="658" t="s">
        <v>642</v>
      </c>
      <c r="I14" s="658">
        <v>3</v>
      </c>
      <c r="J14" s="671">
        <v>2042.61</v>
      </c>
      <c r="K14" s="787"/>
      <c r="L14" s="787"/>
      <c r="M14" s="654"/>
      <c r="N14" s="654"/>
    </row>
    <row r="15" spans="6:18" x14ac:dyDescent="0.25">
      <c r="F15" s="670"/>
      <c r="G15" s="657"/>
      <c r="H15" s="658" t="s">
        <v>643</v>
      </c>
      <c r="I15" s="658">
        <v>12</v>
      </c>
      <c r="J15" s="671">
        <v>8170.44</v>
      </c>
      <c r="K15" s="787"/>
      <c r="L15" s="787"/>
      <c r="M15" s="654"/>
      <c r="N15" s="654"/>
    </row>
    <row r="16" spans="6:18" x14ac:dyDescent="0.25">
      <c r="F16" s="670"/>
      <c r="G16" s="657"/>
      <c r="H16" s="658" t="s">
        <v>644</v>
      </c>
      <c r="I16" s="658">
        <v>7</v>
      </c>
      <c r="J16" s="671">
        <v>4766.09</v>
      </c>
      <c r="K16" s="787"/>
      <c r="L16" s="787"/>
      <c r="M16" s="654"/>
      <c r="N16" s="654"/>
    </row>
    <row r="17" spans="6:14" x14ac:dyDescent="0.25">
      <c r="F17" s="670"/>
      <c r="G17" s="657"/>
      <c r="H17" s="658" t="s">
        <v>645</v>
      </c>
      <c r="I17" s="658">
        <v>32</v>
      </c>
      <c r="J17" s="671">
        <v>21787.84</v>
      </c>
      <c r="K17" s="787"/>
      <c r="L17" s="787"/>
      <c r="M17" s="654"/>
      <c r="N17" s="654"/>
    </row>
    <row r="18" spans="6:14" x14ac:dyDescent="0.25">
      <c r="F18" s="670"/>
      <c r="G18" s="657"/>
      <c r="H18" s="658" t="s">
        <v>646</v>
      </c>
      <c r="I18" s="658"/>
      <c r="J18" s="672"/>
      <c r="K18" s="787"/>
      <c r="L18" s="787"/>
      <c r="M18" s="654"/>
      <c r="N18" s="654"/>
    </row>
    <row r="19" spans="6:14" x14ac:dyDescent="0.25">
      <c r="F19" s="670"/>
      <c r="G19" s="657"/>
      <c r="H19" s="658" t="s">
        <v>647</v>
      </c>
      <c r="I19" s="658">
        <v>22</v>
      </c>
      <c r="J19" s="671">
        <v>14979.14</v>
      </c>
      <c r="K19" s="787"/>
      <c r="L19" s="787"/>
      <c r="M19" s="654"/>
      <c r="N19" s="654"/>
    </row>
    <row r="20" spans="6:14" x14ac:dyDescent="0.25">
      <c r="F20" s="670"/>
      <c r="G20" s="657"/>
      <c r="H20" s="658" t="s">
        <v>648</v>
      </c>
      <c r="I20" s="658">
        <v>16</v>
      </c>
      <c r="J20" s="671">
        <v>10893.92</v>
      </c>
      <c r="K20" s="787"/>
      <c r="L20" s="787"/>
      <c r="M20" s="654"/>
      <c r="N20" s="654"/>
    </row>
    <row r="21" spans="6:14" x14ac:dyDescent="0.25">
      <c r="F21" s="670"/>
      <c r="G21" s="657"/>
      <c r="H21" s="658" t="s">
        <v>649</v>
      </c>
      <c r="I21" s="658">
        <v>14</v>
      </c>
      <c r="J21" s="671">
        <v>9532.18</v>
      </c>
      <c r="K21" s="787"/>
      <c r="L21" s="787"/>
      <c r="M21" s="654"/>
      <c r="N21" s="654"/>
    </row>
    <row r="22" spans="6:14" x14ac:dyDescent="0.25">
      <c r="F22" s="673" t="s">
        <v>360</v>
      </c>
      <c r="G22" s="659"/>
      <c r="H22" s="659"/>
      <c r="I22" s="661">
        <v>126</v>
      </c>
      <c r="J22" s="674">
        <v>85789.62</v>
      </c>
      <c r="K22" s="787"/>
      <c r="L22" s="787"/>
      <c r="M22" s="654"/>
      <c r="N22" s="654"/>
    </row>
    <row r="23" spans="6:14" x14ac:dyDescent="0.25">
      <c r="F23" s="675"/>
      <c r="G23" s="654"/>
      <c r="H23" s="654"/>
      <c r="I23" s="654"/>
      <c r="J23" s="672"/>
      <c r="K23" s="787"/>
      <c r="L23" s="787"/>
      <c r="M23" s="654"/>
      <c r="N23" s="654"/>
    </row>
    <row r="24" spans="6:14" x14ac:dyDescent="0.25">
      <c r="F24" s="675" t="s">
        <v>650</v>
      </c>
      <c r="G24" s="654"/>
      <c r="H24" s="654" t="s">
        <v>651</v>
      </c>
      <c r="I24" s="654">
        <v>17</v>
      </c>
      <c r="J24" s="671">
        <v>11574.79</v>
      </c>
      <c r="K24" s="787"/>
      <c r="L24" s="787"/>
      <c r="M24" s="654"/>
      <c r="N24" s="654"/>
    </row>
    <row r="25" spans="6:14" x14ac:dyDescent="0.25">
      <c r="F25" s="675"/>
      <c r="G25" s="654"/>
      <c r="H25" s="654" t="s">
        <v>652</v>
      </c>
      <c r="I25" s="654">
        <v>17</v>
      </c>
      <c r="J25" s="671">
        <v>11574.79</v>
      </c>
      <c r="K25" s="787"/>
      <c r="L25" s="787"/>
      <c r="M25" s="654"/>
      <c r="N25" s="654"/>
    </row>
    <row r="26" spans="6:14" x14ac:dyDescent="0.25">
      <c r="F26" s="675"/>
      <c r="G26" s="654"/>
      <c r="H26" s="654" t="s">
        <v>653</v>
      </c>
      <c r="I26" s="654">
        <v>17</v>
      </c>
      <c r="J26" s="671">
        <v>11574.79</v>
      </c>
      <c r="K26" s="787"/>
      <c r="L26" s="787"/>
      <c r="M26" s="654"/>
      <c r="N26" s="654"/>
    </row>
    <row r="27" spans="6:14" x14ac:dyDescent="0.25">
      <c r="F27" s="675" t="s">
        <v>360</v>
      </c>
      <c r="G27" s="654"/>
      <c r="H27" s="654"/>
      <c r="I27" s="676">
        <f>SUM(I24:I26)</f>
        <v>51</v>
      </c>
      <c r="J27" s="677">
        <f>SUM(J24:J26)</f>
        <v>34724.370000000003</v>
      </c>
    </row>
    <row r="28" spans="6:14" ht="15.75" thickBot="1" x14ac:dyDescent="0.3">
      <c r="F28" s="675"/>
      <c r="G28" s="654"/>
      <c r="H28" s="654"/>
      <c r="J28" s="678"/>
    </row>
    <row r="29" spans="6:14" x14ac:dyDescent="0.25">
      <c r="F29" s="685" t="s">
        <v>654</v>
      </c>
      <c r="G29" s="686"/>
      <c r="H29" s="686"/>
      <c r="I29" s="687"/>
      <c r="J29" s="688">
        <f>J27+J22</f>
        <v>120513.98999999999</v>
      </c>
    </row>
    <row r="30" spans="6:14" x14ac:dyDescent="0.25">
      <c r="F30" s="679" t="s">
        <v>657</v>
      </c>
      <c r="J30" s="682">
        <f>I27+I22</f>
        <v>177</v>
      </c>
    </row>
    <row r="31" spans="6:14" x14ac:dyDescent="0.25">
      <c r="F31" s="679" t="s">
        <v>658</v>
      </c>
      <c r="J31" s="698">
        <f>'1. Youth Stabilization 12 BED'!E26</f>
        <v>775.85441983579869</v>
      </c>
      <c r="K31" s="787"/>
      <c r="L31" s="787"/>
      <c r="M31" s="654"/>
      <c r="N31" s="654"/>
    </row>
    <row r="32" spans="6:14" x14ac:dyDescent="0.25">
      <c r="F32" s="679" t="s">
        <v>655</v>
      </c>
      <c r="G32" s="680"/>
      <c r="H32" s="680"/>
      <c r="I32" s="76"/>
      <c r="J32" s="681">
        <f>J30*J31</f>
        <v>137326.23231093638</v>
      </c>
      <c r="K32" s="654"/>
      <c r="L32" s="660"/>
      <c r="M32" s="654"/>
      <c r="N32" s="654"/>
    </row>
    <row r="33" spans="6:14" ht="15.75" thickBot="1" x14ac:dyDescent="0.3">
      <c r="F33" s="683" t="s">
        <v>656</v>
      </c>
      <c r="G33" s="684"/>
      <c r="H33" s="684"/>
      <c r="I33" s="684"/>
      <c r="J33" s="689">
        <f>J32-J29</f>
        <v>16812.242310936388</v>
      </c>
      <c r="K33" s="787" t="s">
        <v>662</v>
      </c>
      <c r="L33" s="787"/>
      <c r="M33" s="654"/>
      <c r="N33" s="654"/>
    </row>
    <row r="34" spans="6:14" x14ac:dyDescent="0.25">
      <c r="I34" s="654"/>
      <c r="J34" s="654"/>
      <c r="K34" s="654"/>
      <c r="L34" s="660"/>
      <c r="M34" s="654"/>
      <c r="N34" s="654"/>
    </row>
  </sheetData>
  <mergeCells count="18">
    <mergeCell ref="K24:L24"/>
    <mergeCell ref="K25:L25"/>
    <mergeCell ref="K26:L26"/>
    <mergeCell ref="K31:L31"/>
    <mergeCell ref="K33:L33"/>
    <mergeCell ref="G9:H9"/>
    <mergeCell ref="K23:L23"/>
    <mergeCell ref="K11:L11"/>
    <mergeCell ref="K13:L13"/>
    <mergeCell ref="K14:L14"/>
    <mergeCell ref="K15:L15"/>
    <mergeCell ref="K16:L16"/>
    <mergeCell ref="K17:L17"/>
    <mergeCell ref="K18:L18"/>
    <mergeCell ref="K19:L19"/>
    <mergeCell ref="K20:L20"/>
    <mergeCell ref="K21:L21"/>
    <mergeCell ref="K22:L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4B00-A2CF-4CFA-BE45-7EBDBECC2A55}">
  <sheetPr>
    <pageSetUpPr fitToPage="1"/>
  </sheetPr>
  <dimension ref="C1:P23"/>
  <sheetViews>
    <sheetView topLeftCell="A8" workbookViewId="0">
      <selection activeCell="F180" sqref="F180"/>
    </sheetView>
  </sheetViews>
  <sheetFormatPr defaultRowHeight="15" x14ac:dyDescent="0.25"/>
  <cols>
    <col min="1" max="1" width="11.42578125" customWidth="1"/>
    <col min="4" max="4" width="7.7109375" bestFit="1" customWidth="1"/>
    <col min="5" max="5" width="33.28515625" bestFit="1" customWidth="1"/>
    <col min="6" max="6" width="11.28515625" hidden="1" customWidth="1"/>
    <col min="7" max="9" width="14" customWidth="1"/>
    <col min="10" max="10" width="15.42578125" customWidth="1"/>
    <col min="11" max="11" width="12.140625" customWidth="1"/>
  </cols>
  <sheetData>
    <row r="1" spans="3:16" x14ac:dyDescent="0.25">
      <c r="J1" s="87"/>
      <c r="K1" s="88"/>
      <c r="P1" s="89"/>
    </row>
    <row r="2" spans="3:16" x14ac:dyDescent="0.25">
      <c r="C2" s="83"/>
      <c r="D2" s="83"/>
      <c r="E2" s="788"/>
      <c r="F2" s="788"/>
      <c r="G2" s="94"/>
      <c r="H2" s="94"/>
      <c r="I2" s="94"/>
      <c r="J2" s="94"/>
    </row>
    <row r="7" spans="3:16" x14ac:dyDescent="0.25">
      <c r="G7" s="92"/>
      <c r="H7" s="92"/>
      <c r="I7" s="92"/>
      <c r="J7" s="92"/>
      <c r="K7" s="54"/>
    </row>
    <row r="8" spans="3:16" x14ac:dyDescent="0.25">
      <c r="J8" s="92"/>
    </row>
    <row r="9" spans="3:16" ht="45" x14ac:dyDescent="0.25">
      <c r="C9" s="693" t="s">
        <v>698</v>
      </c>
      <c r="D9" s="693" t="s">
        <v>79</v>
      </c>
      <c r="E9" s="693" t="s">
        <v>80</v>
      </c>
      <c r="F9" s="693" t="s">
        <v>433</v>
      </c>
      <c r="G9" s="693" t="s">
        <v>696</v>
      </c>
      <c r="H9" s="693" t="s">
        <v>697</v>
      </c>
      <c r="I9" s="693" t="s">
        <v>81</v>
      </c>
      <c r="J9" s="693" t="s">
        <v>700</v>
      </c>
      <c r="K9" s="693" t="s">
        <v>82</v>
      </c>
    </row>
    <row r="10" spans="3:16" x14ac:dyDescent="0.25">
      <c r="C10" s="694" t="s">
        <v>661</v>
      </c>
      <c r="D10" s="694">
        <v>4928</v>
      </c>
      <c r="E10" t="s">
        <v>83</v>
      </c>
      <c r="F10" s="91"/>
      <c r="G10" s="92">
        <v>120513.98999999999</v>
      </c>
      <c r="H10" s="92">
        <f>'DPH FY24'!J32</f>
        <v>137326.23231093638</v>
      </c>
      <c r="I10" s="92">
        <f>H10-G10</f>
        <v>16812.242310936388</v>
      </c>
      <c r="J10" s="92">
        <f>I10*0.75</f>
        <v>12609.181733202291</v>
      </c>
      <c r="K10" s="54">
        <f>(H10-G10)/G10</f>
        <v>0.13950448666529414</v>
      </c>
    </row>
    <row r="11" spans="3:16" ht="15.75" thickBot="1" x14ac:dyDescent="0.3">
      <c r="C11" s="694" t="s">
        <v>664</v>
      </c>
      <c r="D11" s="694">
        <v>2517</v>
      </c>
      <c r="E11" t="s">
        <v>699</v>
      </c>
      <c r="F11" s="91"/>
      <c r="G11" s="695">
        <f>'DYS FY24'!F179</f>
        <v>5267226.3500000006</v>
      </c>
      <c r="H11" s="695">
        <f>'DYS FY24'!F182</f>
        <v>5865790.029885564</v>
      </c>
      <c r="I11" s="93">
        <f>H11-G11</f>
        <v>598563.67988556344</v>
      </c>
      <c r="J11" s="93">
        <f>I11*0.75</f>
        <v>448922.75991417258</v>
      </c>
      <c r="K11" s="95">
        <f>(H11-G11)/G11</f>
        <v>0.11363925529525865</v>
      </c>
    </row>
    <row r="12" spans="3:16" ht="15.75" thickTop="1" x14ac:dyDescent="0.25">
      <c r="G12" s="92">
        <f>SUM(G10:G11)</f>
        <v>5387740.3400000008</v>
      </c>
      <c r="H12" s="92">
        <f>SUM(H10:H11)</f>
        <v>6003116.2621965008</v>
      </c>
      <c r="I12" s="92">
        <f>H12-G12</f>
        <v>615375.9221965</v>
      </c>
      <c r="J12" s="92">
        <f>I12*0.75</f>
        <v>461531.941647375</v>
      </c>
      <c r="K12" s="54">
        <f>(H12-G12)/G12</f>
        <v>0.11421781365887056</v>
      </c>
    </row>
    <row r="13" spans="3:16" x14ac:dyDescent="0.25">
      <c r="I13" s="696">
        <v>620156</v>
      </c>
      <c r="J13" s="697">
        <f>I13*0.75</f>
        <v>465117</v>
      </c>
      <c r="K13" s="54"/>
    </row>
    <row r="14" spans="3:16" x14ac:dyDescent="0.25">
      <c r="J14" s="92">
        <f>J12-J13</f>
        <v>-3585.0583526249975</v>
      </c>
    </row>
    <row r="18" spans="4:11" x14ac:dyDescent="0.25">
      <c r="D18" s="90"/>
      <c r="E18" s="90"/>
      <c r="F18" s="90"/>
      <c r="G18" s="90" t="s">
        <v>701</v>
      </c>
      <c r="H18" s="90"/>
      <c r="I18" s="90"/>
      <c r="J18" s="90"/>
      <c r="K18" s="90"/>
    </row>
    <row r="20" spans="4:11" x14ac:dyDescent="0.25">
      <c r="G20" s="92">
        <v>5387740.3400000008</v>
      </c>
      <c r="H20" s="57">
        <f>I20+G20</f>
        <v>6001993.3400000008</v>
      </c>
      <c r="I20" s="53">
        <v>614253</v>
      </c>
      <c r="J20" s="54">
        <v>0.114</v>
      </c>
    </row>
    <row r="23" spans="4:11" x14ac:dyDescent="0.25">
      <c r="I23" s="57">
        <f>I20-I12</f>
        <v>-1122.9221965000033</v>
      </c>
    </row>
  </sheetData>
  <mergeCells count="1">
    <mergeCell ref="E2:F2"/>
  </mergeCells>
  <pageMargins left="0.7" right="0.7" top="0.75" bottom="0.75" header="0.3" footer="0.3"/>
  <pageSetup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A4F7-A79D-4C69-BE0E-F249B0C77D03}">
  <sheetPr>
    <pageSetUpPr fitToPage="1"/>
  </sheetPr>
  <dimension ref="B1:H52"/>
  <sheetViews>
    <sheetView showGridLines="0" topLeftCell="A18" zoomScale="60" zoomScaleNormal="60" workbookViewId="0">
      <selection activeCell="C42" sqref="C42"/>
    </sheetView>
  </sheetViews>
  <sheetFormatPr defaultRowHeight="26.25" x14ac:dyDescent="0.4"/>
  <cols>
    <col min="1" max="1" width="5.5703125" style="276" customWidth="1"/>
    <col min="2" max="2" width="75.140625" style="276" customWidth="1"/>
    <col min="3" max="3" width="49.140625" style="276" customWidth="1"/>
    <col min="4" max="4" width="69.140625" style="276" customWidth="1"/>
    <col min="5" max="5" width="69.140625" style="278" customWidth="1"/>
    <col min="6" max="6" width="14.85546875" style="276" hidden="1" customWidth="1"/>
    <col min="7" max="7" width="0" style="276" hidden="1" customWidth="1"/>
    <col min="8" max="8" width="49.140625" style="278" customWidth="1"/>
    <col min="9" max="250" width="8.7109375" style="276"/>
    <col min="251" max="251" width="5.5703125" style="276" customWidth="1"/>
    <col min="252" max="252" width="58" style="276" customWidth="1"/>
    <col min="253" max="253" width="24.140625" style="276" customWidth="1"/>
    <col min="254" max="255" width="0" style="276" hidden="1" customWidth="1"/>
    <col min="256" max="256" width="61.42578125" style="276" customWidth="1"/>
    <col min="257" max="257" width="62.140625" style="276" customWidth="1"/>
    <col min="258" max="261" width="0" style="276" hidden="1" customWidth="1"/>
    <col min="262" max="506" width="8.7109375" style="276"/>
    <col min="507" max="507" width="5.5703125" style="276" customWidth="1"/>
    <col min="508" max="508" width="58" style="276" customWidth="1"/>
    <col min="509" max="509" width="24.140625" style="276" customWidth="1"/>
    <col min="510" max="511" width="0" style="276" hidden="1" customWidth="1"/>
    <col min="512" max="512" width="61.42578125" style="276" customWidth="1"/>
    <col min="513" max="513" width="62.140625" style="276" customWidth="1"/>
    <col min="514" max="517" width="0" style="276" hidden="1" customWidth="1"/>
    <col min="518" max="762" width="8.7109375" style="276"/>
    <col min="763" max="763" width="5.5703125" style="276" customWidth="1"/>
    <col min="764" max="764" width="58" style="276" customWidth="1"/>
    <col min="765" max="765" width="24.140625" style="276" customWidth="1"/>
    <col min="766" max="767" width="0" style="276" hidden="1" customWidth="1"/>
    <col min="768" max="768" width="61.42578125" style="276" customWidth="1"/>
    <col min="769" max="769" width="62.140625" style="276" customWidth="1"/>
    <col min="770" max="773" width="0" style="276" hidden="1" customWidth="1"/>
    <col min="774" max="1018" width="8.7109375" style="276"/>
    <col min="1019" max="1019" width="5.5703125" style="276" customWidth="1"/>
    <col min="1020" max="1020" width="58" style="276" customWidth="1"/>
    <col min="1021" max="1021" width="24.140625" style="276" customWidth="1"/>
    <col min="1022" max="1023" width="0" style="276" hidden="1" customWidth="1"/>
    <col min="1024" max="1024" width="61.42578125" style="276" customWidth="1"/>
    <col min="1025" max="1025" width="62.140625" style="276" customWidth="1"/>
    <col min="1026" max="1029" width="0" style="276" hidden="1" customWidth="1"/>
    <col min="1030" max="1274" width="8.7109375" style="276"/>
    <col min="1275" max="1275" width="5.5703125" style="276" customWidth="1"/>
    <col min="1276" max="1276" width="58" style="276" customWidth="1"/>
    <col min="1277" max="1277" width="24.140625" style="276" customWidth="1"/>
    <col min="1278" max="1279" width="0" style="276" hidden="1" customWidth="1"/>
    <col min="1280" max="1280" width="61.42578125" style="276" customWidth="1"/>
    <col min="1281" max="1281" width="62.140625" style="276" customWidth="1"/>
    <col min="1282" max="1285" width="0" style="276" hidden="1" customWidth="1"/>
    <col min="1286" max="1530" width="8.7109375" style="276"/>
    <col min="1531" max="1531" width="5.5703125" style="276" customWidth="1"/>
    <col min="1532" max="1532" width="58" style="276" customWidth="1"/>
    <col min="1533" max="1533" width="24.140625" style="276" customWidth="1"/>
    <col min="1534" max="1535" width="0" style="276" hidden="1" customWidth="1"/>
    <col min="1536" max="1536" width="61.42578125" style="276" customWidth="1"/>
    <col min="1537" max="1537" width="62.140625" style="276" customWidth="1"/>
    <col min="1538" max="1541" width="0" style="276" hidden="1" customWidth="1"/>
    <col min="1542" max="1786" width="8.7109375" style="276"/>
    <col min="1787" max="1787" width="5.5703125" style="276" customWidth="1"/>
    <col min="1788" max="1788" width="58" style="276" customWidth="1"/>
    <col min="1789" max="1789" width="24.140625" style="276" customWidth="1"/>
    <col min="1790" max="1791" width="0" style="276" hidden="1" customWidth="1"/>
    <col min="1792" max="1792" width="61.42578125" style="276" customWidth="1"/>
    <col min="1793" max="1793" width="62.140625" style="276" customWidth="1"/>
    <col min="1794" max="1797" width="0" style="276" hidden="1" customWidth="1"/>
    <col min="1798" max="2042" width="8.7109375" style="276"/>
    <col min="2043" max="2043" width="5.5703125" style="276" customWidth="1"/>
    <col min="2044" max="2044" width="58" style="276" customWidth="1"/>
    <col min="2045" max="2045" width="24.140625" style="276" customWidth="1"/>
    <col min="2046" max="2047" width="0" style="276" hidden="1" customWidth="1"/>
    <col min="2048" max="2048" width="61.42578125" style="276" customWidth="1"/>
    <col min="2049" max="2049" width="62.140625" style="276" customWidth="1"/>
    <col min="2050" max="2053" width="0" style="276" hidden="1" customWidth="1"/>
    <col min="2054" max="2298" width="8.7109375" style="276"/>
    <col min="2299" max="2299" width="5.5703125" style="276" customWidth="1"/>
    <col min="2300" max="2300" width="58" style="276" customWidth="1"/>
    <col min="2301" max="2301" width="24.140625" style="276" customWidth="1"/>
    <col min="2302" max="2303" width="0" style="276" hidden="1" customWidth="1"/>
    <col min="2304" max="2304" width="61.42578125" style="276" customWidth="1"/>
    <col min="2305" max="2305" width="62.140625" style="276" customWidth="1"/>
    <col min="2306" max="2309" width="0" style="276" hidden="1" customWidth="1"/>
    <col min="2310" max="2554" width="8.7109375" style="276"/>
    <col min="2555" max="2555" width="5.5703125" style="276" customWidth="1"/>
    <col min="2556" max="2556" width="58" style="276" customWidth="1"/>
    <col min="2557" max="2557" width="24.140625" style="276" customWidth="1"/>
    <col min="2558" max="2559" width="0" style="276" hidden="1" customWidth="1"/>
    <col min="2560" max="2560" width="61.42578125" style="276" customWidth="1"/>
    <col min="2561" max="2561" width="62.140625" style="276" customWidth="1"/>
    <col min="2562" max="2565" width="0" style="276" hidden="1" customWidth="1"/>
    <col min="2566" max="2810" width="8.7109375" style="276"/>
    <col min="2811" max="2811" width="5.5703125" style="276" customWidth="1"/>
    <col min="2812" max="2812" width="58" style="276" customWidth="1"/>
    <col min="2813" max="2813" width="24.140625" style="276" customWidth="1"/>
    <col min="2814" max="2815" width="0" style="276" hidden="1" customWidth="1"/>
    <col min="2816" max="2816" width="61.42578125" style="276" customWidth="1"/>
    <col min="2817" max="2817" width="62.140625" style="276" customWidth="1"/>
    <col min="2818" max="2821" width="0" style="276" hidden="1" customWidth="1"/>
    <col min="2822" max="3066" width="8.7109375" style="276"/>
    <col min="3067" max="3067" width="5.5703125" style="276" customWidth="1"/>
    <col min="3068" max="3068" width="58" style="276" customWidth="1"/>
    <col min="3069" max="3069" width="24.140625" style="276" customWidth="1"/>
    <col min="3070" max="3071" width="0" style="276" hidden="1" customWidth="1"/>
    <col min="3072" max="3072" width="61.42578125" style="276" customWidth="1"/>
    <col min="3073" max="3073" width="62.140625" style="276" customWidth="1"/>
    <col min="3074" max="3077" width="0" style="276" hidden="1" customWidth="1"/>
    <col min="3078" max="3322" width="8.7109375" style="276"/>
    <col min="3323" max="3323" width="5.5703125" style="276" customWidth="1"/>
    <col min="3324" max="3324" width="58" style="276" customWidth="1"/>
    <col min="3325" max="3325" width="24.140625" style="276" customWidth="1"/>
    <col min="3326" max="3327" width="0" style="276" hidden="1" customWidth="1"/>
    <col min="3328" max="3328" width="61.42578125" style="276" customWidth="1"/>
    <col min="3329" max="3329" width="62.140625" style="276" customWidth="1"/>
    <col min="3330" max="3333" width="0" style="276" hidden="1" customWidth="1"/>
    <col min="3334" max="3578" width="8.7109375" style="276"/>
    <col min="3579" max="3579" width="5.5703125" style="276" customWidth="1"/>
    <col min="3580" max="3580" width="58" style="276" customWidth="1"/>
    <col min="3581" max="3581" width="24.140625" style="276" customWidth="1"/>
    <col min="3582" max="3583" width="0" style="276" hidden="1" customWidth="1"/>
    <col min="3584" max="3584" width="61.42578125" style="276" customWidth="1"/>
    <col min="3585" max="3585" width="62.140625" style="276" customWidth="1"/>
    <col min="3586" max="3589" width="0" style="276" hidden="1" customWidth="1"/>
    <col min="3590" max="3834" width="8.7109375" style="276"/>
    <col min="3835" max="3835" width="5.5703125" style="276" customWidth="1"/>
    <col min="3836" max="3836" width="58" style="276" customWidth="1"/>
    <col min="3837" max="3837" width="24.140625" style="276" customWidth="1"/>
    <col min="3838" max="3839" width="0" style="276" hidden="1" customWidth="1"/>
    <col min="3840" max="3840" width="61.42578125" style="276" customWidth="1"/>
    <col min="3841" max="3841" width="62.140625" style="276" customWidth="1"/>
    <col min="3842" max="3845" width="0" style="276" hidden="1" customWidth="1"/>
    <col min="3846" max="4090" width="8.7109375" style="276"/>
    <col min="4091" max="4091" width="5.5703125" style="276" customWidth="1"/>
    <col min="4092" max="4092" width="58" style="276" customWidth="1"/>
    <col min="4093" max="4093" width="24.140625" style="276" customWidth="1"/>
    <col min="4094" max="4095" width="0" style="276" hidden="1" customWidth="1"/>
    <col min="4096" max="4096" width="61.42578125" style="276" customWidth="1"/>
    <col min="4097" max="4097" width="62.140625" style="276" customWidth="1"/>
    <col min="4098" max="4101" width="0" style="276" hidden="1" customWidth="1"/>
    <col min="4102" max="4346" width="8.7109375" style="276"/>
    <col min="4347" max="4347" width="5.5703125" style="276" customWidth="1"/>
    <col min="4348" max="4348" width="58" style="276" customWidth="1"/>
    <col min="4349" max="4349" width="24.140625" style="276" customWidth="1"/>
    <col min="4350" max="4351" width="0" style="276" hidden="1" customWidth="1"/>
    <col min="4352" max="4352" width="61.42578125" style="276" customWidth="1"/>
    <col min="4353" max="4353" width="62.140625" style="276" customWidth="1"/>
    <col min="4354" max="4357" width="0" style="276" hidden="1" customWidth="1"/>
    <col min="4358" max="4602" width="8.7109375" style="276"/>
    <col min="4603" max="4603" width="5.5703125" style="276" customWidth="1"/>
    <col min="4604" max="4604" width="58" style="276" customWidth="1"/>
    <col min="4605" max="4605" width="24.140625" style="276" customWidth="1"/>
    <col min="4606" max="4607" width="0" style="276" hidden="1" customWidth="1"/>
    <col min="4608" max="4608" width="61.42578125" style="276" customWidth="1"/>
    <col min="4609" max="4609" width="62.140625" style="276" customWidth="1"/>
    <col min="4610" max="4613" width="0" style="276" hidden="1" customWidth="1"/>
    <col min="4614" max="4858" width="8.7109375" style="276"/>
    <col min="4859" max="4859" width="5.5703125" style="276" customWidth="1"/>
    <col min="4860" max="4860" width="58" style="276" customWidth="1"/>
    <col min="4861" max="4861" width="24.140625" style="276" customWidth="1"/>
    <col min="4862" max="4863" width="0" style="276" hidden="1" customWidth="1"/>
    <col min="4864" max="4864" width="61.42578125" style="276" customWidth="1"/>
    <col min="4865" max="4865" width="62.140625" style="276" customWidth="1"/>
    <col min="4866" max="4869" width="0" style="276" hidden="1" customWidth="1"/>
    <col min="4870" max="5114" width="8.7109375" style="276"/>
    <col min="5115" max="5115" width="5.5703125" style="276" customWidth="1"/>
    <col min="5116" max="5116" width="58" style="276" customWidth="1"/>
    <col min="5117" max="5117" width="24.140625" style="276" customWidth="1"/>
    <col min="5118" max="5119" width="0" style="276" hidden="1" customWidth="1"/>
    <col min="5120" max="5120" width="61.42578125" style="276" customWidth="1"/>
    <col min="5121" max="5121" width="62.140625" style="276" customWidth="1"/>
    <col min="5122" max="5125" width="0" style="276" hidden="1" customWidth="1"/>
    <col min="5126" max="5370" width="8.7109375" style="276"/>
    <col min="5371" max="5371" width="5.5703125" style="276" customWidth="1"/>
    <col min="5372" max="5372" width="58" style="276" customWidth="1"/>
    <col min="5373" max="5373" width="24.140625" style="276" customWidth="1"/>
    <col min="5374" max="5375" width="0" style="276" hidden="1" customWidth="1"/>
    <col min="5376" max="5376" width="61.42578125" style="276" customWidth="1"/>
    <col min="5377" max="5377" width="62.140625" style="276" customWidth="1"/>
    <col min="5378" max="5381" width="0" style="276" hidden="1" customWidth="1"/>
    <col min="5382" max="5626" width="8.7109375" style="276"/>
    <col min="5627" max="5627" width="5.5703125" style="276" customWidth="1"/>
    <col min="5628" max="5628" width="58" style="276" customWidth="1"/>
    <col min="5629" max="5629" width="24.140625" style="276" customWidth="1"/>
    <col min="5630" max="5631" width="0" style="276" hidden="1" customWidth="1"/>
    <col min="5632" max="5632" width="61.42578125" style="276" customWidth="1"/>
    <col min="5633" max="5633" width="62.140625" style="276" customWidth="1"/>
    <col min="5634" max="5637" width="0" style="276" hidden="1" customWidth="1"/>
    <col min="5638" max="5882" width="8.7109375" style="276"/>
    <col min="5883" max="5883" width="5.5703125" style="276" customWidth="1"/>
    <col min="5884" max="5884" width="58" style="276" customWidth="1"/>
    <col min="5885" max="5885" width="24.140625" style="276" customWidth="1"/>
    <col min="5886" max="5887" width="0" style="276" hidden="1" customWidth="1"/>
    <col min="5888" max="5888" width="61.42578125" style="276" customWidth="1"/>
    <col min="5889" max="5889" width="62.140625" style="276" customWidth="1"/>
    <col min="5890" max="5893" width="0" style="276" hidden="1" customWidth="1"/>
    <col min="5894" max="6138" width="8.7109375" style="276"/>
    <col min="6139" max="6139" width="5.5703125" style="276" customWidth="1"/>
    <col min="6140" max="6140" width="58" style="276" customWidth="1"/>
    <col min="6141" max="6141" width="24.140625" style="276" customWidth="1"/>
    <col min="6142" max="6143" width="0" style="276" hidden="1" customWidth="1"/>
    <col min="6144" max="6144" width="61.42578125" style="276" customWidth="1"/>
    <col min="6145" max="6145" width="62.140625" style="276" customWidth="1"/>
    <col min="6146" max="6149" width="0" style="276" hidden="1" customWidth="1"/>
    <col min="6150" max="6394" width="8.7109375" style="276"/>
    <col min="6395" max="6395" width="5.5703125" style="276" customWidth="1"/>
    <col min="6396" max="6396" width="58" style="276" customWidth="1"/>
    <col min="6397" max="6397" width="24.140625" style="276" customWidth="1"/>
    <col min="6398" max="6399" width="0" style="276" hidden="1" customWidth="1"/>
    <col min="6400" max="6400" width="61.42578125" style="276" customWidth="1"/>
    <col min="6401" max="6401" width="62.140625" style="276" customWidth="1"/>
    <col min="6402" max="6405" width="0" style="276" hidden="1" customWidth="1"/>
    <col min="6406" max="6650" width="8.7109375" style="276"/>
    <col min="6651" max="6651" width="5.5703125" style="276" customWidth="1"/>
    <col min="6652" max="6652" width="58" style="276" customWidth="1"/>
    <col min="6653" max="6653" width="24.140625" style="276" customWidth="1"/>
    <col min="6654" max="6655" width="0" style="276" hidden="1" customWidth="1"/>
    <col min="6656" max="6656" width="61.42578125" style="276" customWidth="1"/>
    <col min="6657" max="6657" width="62.140625" style="276" customWidth="1"/>
    <col min="6658" max="6661" width="0" style="276" hidden="1" customWidth="1"/>
    <col min="6662" max="6906" width="8.7109375" style="276"/>
    <col min="6907" max="6907" width="5.5703125" style="276" customWidth="1"/>
    <col min="6908" max="6908" width="58" style="276" customWidth="1"/>
    <col min="6909" max="6909" width="24.140625" style="276" customWidth="1"/>
    <col min="6910" max="6911" width="0" style="276" hidden="1" customWidth="1"/>
    <col min="6912" max="6912" width="61.42578125" style="276" customWidth="1"/>
    <col min="6913" max="6913" width="62.140625" style="276" customWidth="1"/>
    <col min="6914" max="6917" width="0" style="276" hidden="1" customWidth="1"/>
    <col min="6918" max="7162" width="8.7109375" style="276"/>
    <col min="7163" max="7163" width="5.5703125" style="276" customWidth="1"/>
    <col min="7164" max="7164" width="58" style="276" customWidth="1"/>
    <col min="7165" max="7165" width="24.140625" style="276" customWidth="1"/>
    <col min="7166" max="7167" width="0" style="276" hidden="1" customWidth="1"/>
    <col min="7168" max="7168" width="61.42578125" style="276" customWidth="1"/>
    <col min="7169" max="7169" width="62.140625" style="276" customWidth="1"/>
    <col min="7170" max="7173" width="0" style="276" hidden="1" customWidth="1"/>
    <col min="7174" max="7418" width="8.7109375" style="276"/>
    <col min="7419" max="7419" width="5.5703125" style="276" customWidth="1"/>
    <col min="7420" max="7420" width="58" style="276" customWidth="1"/>
    <col min="7421" max="7421" width="24.140625" style="276" customWidth="1"/>
    <col min="7422" max="7423" width="0" style="276" hidden="1" customWidth="1"/>
    <col min="7424" max="7424" width="61.42578125" style="276" customWidth="1"/>
    <col min="7425" max="7425" width="62.140625" style="276" customWidth="1"/>
    <col min="7426" max="7429" width="0" style="276" hidden="1" customWidth="1"/>
    <col min="7430" max="7674" width="8.7109375" style="276"/>
    <col min="7675" max="7675" width="5.5703125" style="276" customWidth="1"/>
    <col min="7676" max="7676" width="58" style="276" customWidth="1"/>
    <col min="7677" max="7677" width="24.140625" style="276" customWidth="1"/>
    <col min="7678" max="7679" width="0" style="276" hidden="1" customWidth="1"/>
    <col min="7680" max="7680" width="61.42578125" style="276" customWidth="1"/>
    <col min="7681" max="7681" width="62.140625" style="276" customWidth="1"/>
    <col min="7682" max="7685" width="0" style="276" hidden="1" customWidth="1"/>
    <col min="7686" max="7930" width="8.7109375" style="276"/>
    <col min="7931" max="7931" width="5.5703125" style="276" customWidth="1"/>
    <col min="7932" max="7932" width="58" style="276" customWidth="1"/>
    <col min="7933" max="7933" width="24.140625" style="276" customWidth="1"/>
    <col min="7934" max="7935" width="0" style="276" hidden="1" customWidth="1"/>
    <col min="7936" max="7936" width="61.42578125" style="276" customWidth="1"/>
    <col min="7937" max="7937" width="62.140625" style="276" customWidth="1"/>
    <col min="7938" max="7941" width="0" style="276" hidden="1" customWidth="1"/>
    <col min="7942" max="8186" width="8.7109375" style="276"/>
    <col min="8187" max="8187" width="5.5703125" style="276" customWidth="1"/>
    <col min="8188" max="8188" width="58" style="276" customWidth="1"/>
    <col min="8189" max="8189" width="24.140625" style="276" customWidth="1"/>
    <col min="8190" max="8191" width="0" style="276" hidden="1" customWidth="1"/>
    <col min="8192" max="8192" width="61.42578125" style="276" customWidth="1"/>
    <col min="8193" max="8193" width="62.140625" style="276" customWidth="1"/>
    <col min="8194" max="8197" width="0" style="276" hidden="1" customWidth="1"/>
    <col min="8198" max="8442" width="8.7109375" style="276"/>
    <col min="8443" max="8443" width="5.5703125" style="276" customWidth="1"/>
    <col min="8444" max="8444" width="58" style="276" customWidth="1"/>
    <col min="8445" max="8445" width="24.140625" style="276" customWidth="1"/>
    <col min="8446" max="8447" width="0" style="276" hidden="1" customWidth="1"/>
    <col min="8448" max="8448" width="61.42578125" style="276" customWidth="1"/>
    <col min="8449" max="8449" width="62.140625" style="276" customWidth="1"/>
    <col min="8450" max="8453" width="0" style="276" hidden="1" customWidth="1"/>
    <col min="8454" max="8698" width="8.7109375" style="276"/>
    <col min="8699" max="8699" width="5.5703125" style="276" customWidth="1"/>
    <col min="8700" max="8700" width="58" style="276" customWidth="1"/>
    <col min="8701" max="8701" width="24.140625" style="276" customWidth="1"/>
    <col min="8702" max="8703" width="0" style="276" hidden="1" customWidth="1"/>
    <col min="8704" max="8704" width="61.42578125" style="276" customWidth="1"/>
    <col min="8705" max="8705" width="62.140625" style="276" customWidth="1"/>
    <col min="8706" max="8709" width="0" style="276" hidden="1" customWidth="1"/>
    <col min="8710" max="8954" width="8.7109375" style="276"/>
    <col min="8955" max="8955" width="5.5703125" style="276" customWidth="1"/>
    <col min="8956" max="8956" width="58" style="276" customWidth="1"/>
    <col min="8957" max="8957" width="24.140625" style="276" customWidth="1"/>
    <col min="8958" max="8959" width="0" style="276" hidden="1" customWidth="1"/>
    <col min="8960" max="8960" width="61.42578125" style="276" customWidth="1"/>
    <col min="8961" max="8961" width="62.140625" style="276" customWidth="1"/>
    <col min="8962" max="8965" width="0" style="276" hidden="1" customWidth="1"/>
    <col min="8966" max="9210" width="8.7109375" style="276"/>
    <col min="9211" max="9211" width="5.5703125" style="276" customWidth="1"/>
    <col min="9212" max="9212" width="58" style="276" customWidth="1"/>
    <col min="9213" max="9213" width="24.140625" style="276" customWidth="1"/>
    <col min="9214" max="9215" width="0" style="276" hidden="1" customWidth="1"/>
    <col min="9216" max="9216" width="61.42578125" style="276" customWidth="1"/>
    <col min="9217" max="9217" width="62.140625" style="276" customWidth="1"/>
    <col min="9218" max="9221" width="0" style="276" hidden="1" customWidth="1"/>
    <col min="9222" max="9466" width="8.7109375" style="276"/>
    <col min="9467" max="9467" width="5.5703125" style="276" customWidth="1"/>
    <col min="9468" max="9468" width="58" style="276" customWidth="1"/>
    <col min="9469" max="9469" width="24.140625" style="276" customWidth="1"/>
    <col min="9470" max="9471" width="0" style="276" hidden="1" customWidth="1"/>
    <col min="9472" max="9472" width="61.42578125" style="276" customWidth="1"/>
    <col min="9473" max="9473" width="62.140625" style="276" customWidth="1"/>
    <col min="9474" max="9477" width="0" style="276" hidden="1" customWidth="1"/>
    <col min="9478" max="9722" width="8.7109375" style="276"/>
    <col min="9723" max="9723" width="5.5703125" style="276" customWidth="1"/>
    <col min="9724" max="9724" width="58" style="276" customWidth="1"/>
    <col min="9725" max="9725" width="24.140625" style="276" customWidth="1"/>
    <col min="9726" max="9727" width="0" style="276" hidden="1" customWidth="1"/>
    <col min="9728" max="9728" width="61.42578125" style="276" customWidth="1"/>
    <col min="9729" max="9729" width="62.140625" style="276" customWidth="1"/>
    <col min="9730" max="9733" width="0" style="276" hidden="1" customWidth="1"/>
    <col min="9734" max="9978" width="8.7109375" style="276"/>
    <col min="9979" max="9979" width="5.5703125" style="276" customWidth="1"/>
    <col min="9980" max="9980" width="58" style="276" customWidth="1"/>
    <col min="9981" max="9981" width="24.140625" style="276" customWidth="1"/>
    <col min="9982" max="9983" width="0" style="276" hidden="1" customWidth="1"/>
    <col min="9984" max="9984" width="61.42578125" style="276" customWidth="1"/>
    <col min="9985" max="9985" width="62.140625" style="276" customWidth="1"/>
    <col min="9986" max="9989" width="0" style="276" hidden="1" customWidth="1"/>
    <col min="9990" max="10234" width="8.7109375" style="276"/>
    <col min="10235" max="10235" width="5.5703125" style="276" customWidth="1"/>
    <col min="10236" max="10236" width="58" style="276" customWidth="1"/>
    <col min="10237" max="10237" width="24.140625" style="276" customWidth="1"/>
    <col min="10238" max="10239" width="0" style="276" hidden="1" customWidth="1"/>
    <col min="10240" max="10240" width="61.42578125" style="276" customWidth="1"/>
    <col min="10241" max="10241" width="62.140625" style="276" customWidth="1"/>
    <col min="10242" max="10245" width="0" style="276" hidden="1" customWidth="1"/>
    <col min="10246" max="10490" width="8.7109375" style="276"/>
    <col min="10491" max="10491" width="5.5703125" style="276" customWidth="1"/>
    <col min="10492" max="10492" width="58" style="276" customWidth="1"/>
    <col min="10493" max="10493" width="24.140625" style="276" customWidth="1"/>
    <col min="10494" max="10495" width="0" style="276" hidden="1" customWidth="1"/>
    <col min="10496" max="10496" width="61.42578125" style="276" customWidth="1"/>
    <col min="10497" max="10497" width="62.140625" style="276" customWidth="1"/>
    <col min="10498" max="10501" width="0" style="276" hidden="1" customWidth="1"/>
    <col min="10502" max="10746" width="8.7109375" style="276"/>
    <col min="10747" max="10747" width="5.5703125" style="276" customWidth="1"/>
    <col min="10748" max="10748" width="58" style="276" customWidth="1"/>
    <col min="10749" max="10749" width="24.140625" style="276" customWidth="1"/>
    <col min="10750" max="10751" width="0" style="276" hidden="1" customWidth="1"/>
    <col min="10752" max="10752" width="61.42578125" style="276" customWidth="1"/>
    <col min="10753" max="10753" width="62.140625" style="276" customWidth="1"/>
    <col min="10754" max="10757" width="0" style="276" hidden="1" customWidth="1"/>
    <col min="10758" max="11002" width="8.7109375" style="276"/>
    <col min="11003" max="11003" width="5.5703125" style="276" customWidth="1"/>
    <col min="11004" max="11004" width="58" style="276" customWidth="1"/>
    <col min="11005" max="11005" width="24.140625" style="276" customWidth="1"/>
    <col min="11006" max="11007" width="0" style="276" hidden="1" customWidth="1"/>
    <col min="11008" max="11008" width="61.42578125" style="276" customWidth="1"/>
    <col min="11009" max="11009" width="62.140625" style="276" customWidth="1"/>
    <col min="11010" max="11013" width="0" style="276" hidden="1" customWidth="1"/>
    <col min="11014" max="11258" width="8.7109375" style="276"/>
    <col min="11259" max="11259" width="5.5703125" style="276" customWidth="1"/>
    <col min="11260" max="11260" width="58" style="276" customWidth="1"/>
    <col min="11261" max="11261" width="24.140625" style="276" customWidth="1"/>
    <col min="11262" max="11263" width="0" style="276" hidden="1" customWidth="1"/>
    <col min="11264" max="11264" width="61.42578125" style="276" customWidth="1"/>
    <col min="11265" max="11265" width="62.140625" style="276" customWidth="1"/>
    <col min="11266" max="11269" width="0" style="276" hidden="1" customWidth="1"/>
    <col min="11270" max="11514" width="8.7109375" style="276"/>
    <col min="11515" max="11515" width="5.5703125" style="276" customWidth="1"/>
    <col min="11516" max="11516" width="58" style="276" customWidth="1"/>
    <col min="11517" max="11517" width="24.140625" style="276" customWidth="1"/>
    <col min="11518" max="11519" width="0" style="276" hidden="1" customWidth="1"/>
    <col min="11520" max="11520" width="61.42578125" style="276" customWidth="1"/>
    <col min="11521" max="11521" width="62.140625" style="276" customWidth="1"/>
    <col min="11522" max="11525" width="0" style="276" hidden="1" customWidth="1"/>
    <col min="11526" max="11770" width="8.7109375" style="276"/>
    <col min="11771" max="11771" width="5.5703125" style="276" customWidth="1"/>
    <col min="11772" max="11772" width="58" style="276" customWidth="1"/>
    <col min="11773" max="11773" width="24.140625" style="276" customWidth="1"/>
    <col min="11774" max="11775" width="0" style="276" hidden="1" customWidth="1"/>
    <col min="11776" max="11776" width="61.42578125" style="276" customWidth="1"/>
    <col min="11777" max="11777" width="62.140625" style="276" customWidth="1"/>
    <col min="11778" max="11781" width="0" style="276" hidden="1" customWidth="1"/>
    <col min="11782" max="12026" width="8.7109375" style="276"/>
    <col min="12027" max="12027" width="5.5703125" style="276" customWidth="1"/>
    <col min="12028" max="12028" width="58" style="276" customWidth="1"/>
    <col min="12029" max="12029" width="24.140625" style="276" customWidth="1"/>
    <col min="12030" max="12031" width="0" style="276" hidden="1" customWidth="1"/>
    <col min="12032" max="12032" width="61.42578125" style="276" customWidth="1"/>
    <col min="12033" max="12033" width="62.140625" style="276" customWidth="1"/>
    <col min="12034" max="12037" width="0" style="276" hidden="1" customWidth="1"/>
    <col min="12038" max="12282" width="8.7109375" style="276"/>
    <col min="12283" max="12283" width="5.5703125" style="276" customWidth="1"/>
    <col min="12284" max="12284" width="58" style="276" customWidth="1"/>
    <col min="12285" max="12285" width="24.140625" style="276" customWidth="1"/>
    <col min="12286" max="12287" width="0" style="276" hidden="1" customWidth="1"/>
    <col min="12288" max="12288" width="61.42578125" style="276" customWidth="1"/>
    <col min="12289" max="12289" width="62.140625" style="276" customWidth="1"/>
    <col min="12290" max="12293" width="0" style="276" hidden="1" customWidth="1"/>
    <col min="12294" max="12538" width="8.7109375" style="276"/>
    <col min="12539" max="12539" width="5.5703125" style="276" customWidth="1"/>
    <col min="12540" max="12540" width="58" style="276" customWidth="1"/>
    <col min="12541" max="12541" width="24.140625" style="276" customWidth="1"/>
    <col min="12542" max="12543" width="0" style="276" hidden="1" customWidth="1"/>
    <col min="12544" max="12544" width="61.42578125" style="276" customWidth="1"/>
    <col min="12545" max="12545" width="62.140625" style="276" customWidth="1"/>
    <col min="12546" max="12549" width="0" style="276" hidden="1" customWidth="1"/>
    <col min="12550" max="12794" width="8.7109375" style="276"/>
    <col min="12795" max="12795" width="5.5703125" style="276" customWidth="1"/>
    <col min="12796" max="12796" width="58" style="276" customWidth="1"/>
    <col min="12797" max="12797" width="24.140625" style="276" customWidth="1"/>
    <col min="12798" max="12799" width="0" style="276" hidden="1" customWidth="1"/>
    <col min="12800" max="12800" width="61.42578125" style="276" customWidth="1"/>
    <col min="12801" max="12801" width="62.140625" style="276" customWidth="1"/>
    <col min="12802" max="12805" width="0" style="276" hidden="1" customWidth="1"/>
    <col min="12806" max="13050" width="8.7109375" style="276"/>
    <col min="13051" max="13051" width="5.5703125" style="276" customWidth="1"/>
    <col min="13052" max="13052" width="58" style="276" customWidth="1"/>
    <col min="13053" max="13053" width="24.140625" style="276" customWidth="1"/>
    <col min="13054" max="13055" width="0" style="276" hidden="1" customWidth="1"/>
    <col min="13056" max="13056" width="61.42578125" style="276" customWidth="1"/>
    <col min="13057" max="13057" width="62.140625" style="276" customWidth="1"/>
    <col min="13058" max="13061" width="0" style="276" hidden="1" customWidth="1"/>
    <col min="13062" max="13306" width="8.7109375" style="276"/>
    <col min="13307" max="13307" width="5.5703125" style="276" customWidth="1"/>
    <col min="13308" max="13308" width="58" style="276" customWidth="1"/>
    <col min="13309" max="13309" width="24.140625" style="276" customWidth="1"/>
    <col min="13310" max="13311" width="0" style="276" hidden="1" customWidth="1"/>
    <col min="13312" max="13312" width="61.42578125" style="276" customWidth="1"/>
    <col min="13313" max="13313" width="62.140625" style="276" customWidth="1"/>
    <col min="13314" max="13317" width="0" style="276" hidden="1" customWidth="1"/>
    <col min="13318" max="13562" width="8.7109375" style="276"/>
    <col min="13563" max="13563" width="5.5703125" style="276" customWidth="1"/>
    <col min="13564" max="13564" width="58" style="276" customWidth="1"/>
    <col min="13565" max="13565" width="24.140625" style="276" customWidth="1"/>
    <col min="13566" max="13567" width="0" style="276" hidden="1" customWidth="1"/>
    <col min="13568" max="13568" width="61.42578125" style="276" customWidth="1"/>
    <col min="13569" max="13569" width="62.140625" style="276" customWidth="1"/>
    <col min="13570" max="13573" width="0" style="276" hidden="1" customWidth="1"/>
    <col min="13574" max="13818" width="8.7109375" style="276"/>
    <col min="13819" max="13819" width="5.5703125" style="276" customWidth="1"/>
    <col min="13820" max="13820" width="58" style="276" customWidth="1"/>
    <col min="13821" max="13821" width="24.140625" style="276" customWidth="1"/>
    <col min="13822" max="13823" width="0" style="276" hidden="1" customWidth="1"/>
    <col min="13824" max="13824" width="61.42578125" style="276" customWidth="1"/>
    <col min="13825" max="13825" width="62.140625" style="276" customWidth="1"/>
    <col min="13826" max="13829" width="0" style="276" hidden="1" customWidth="1"/>
    <col min="13830" max="14074" width="8.7109375" style="276"/>
    <col min="14075" max="14075" width="5.5703125" style="276" customWidth="1"/>
    <col min="14076" max="14076" width="58" style="276" customWidth="1"/>
    <col min="14077" max="14077" width="24.140625" style="276" customWidth="1"/>
    <col min="14078" max="14079" width="0" style="276" hidden="1" customWidth="1"/>
    <col min="14080" max="14080" width="61.42578125" style="276" customWidth="1"/>
    <col min="14081" max="14081" width="62.140625" style="276" customWidth="1"/>
    <col min="14082" max="14085" width="0" style="276" hidden="1" customWidth="1"/>
    <col min="14086" max="14330" width="8.7109375" style="276"/>
    <col min="14331" max="14331" width="5.5703125" style="276" customWidth="1"/>
    <col min="14332" max="14332" width="58" style="276" customWidth="1"/>
    <col min="14333" max="14333" width="24.140625" style="276" customWidth="1"/>
    <col min="14334" max="14335" width="0" style="276" hidden="1" customWidth="1"/>
    <col min="14336" max="14336" width="61.42578125" style="276" customWidth="1"/>
    <col min="14337" max="14337" width="62.140625" style="276" customWidth="1"/>
    <col min="14338" max="14341" width="0" style="276" hidden="1" customWidth="1"/>
    <col min="14342" max="14586" width="8.7109375" style="276"/>
    <col min="14587" max="14587" width="5.5703125" style="276" customWidth="1"/>
    <col min="14588" max="14588" width="58" style="276" customWidth="1"/>
    <col min="14589" max="14589" width="24.140625" style="276" customWidth="1"/>
    <col min="14590" max="14591" width="0" style="276" hidden="1" customWidth="1"/>
    <col min="14592" max="14592" width="61.42578125" style="276" customWidth="1"/>
    <col min="14593" max="14593" width="62.140625" style="276" customWidth="1"/>
    <col min="14594" max="14597" width="0" style="276" hidden="1" customWidth="1"/>
    <col min="14598" max="14842" width="8.7109375" style="276"/>
    <col min="14843" max="14843" width="5.5703125" style="276" customWidth="1"/>
    <col min="14844" max="14844" width="58" style="276" customWidth="1"/>
    <col min="14845" max="14845" width="24.140625" style="276" customWidth="1"/>
    <col min="14846" max="14847" width="0" style="276" hidden="1" customWidth="1"/>
    <col min="14848" max="14848" width="61.42578125" style="276" customWidth="1"/>
    <col min="14849" max="14849" width="62.140625" style="276" customWidth="1"/>
    <col min="14850" max="14853" width="0" style="276" hidden="1" customWidth="1"/>
    <col min="14854" max="15098" width="8.7109375" style="276"/>
    <col min="15099" max="15099" width="5.5703125" style="276" customWidth="1"/>
    <col min="15100" max="15100" width="58" style="276" customWidth="1"/>
    <col min="15101" max="15101" width="24.140625" style="276" customWidth="1"/>
    <col min="15102" max="15103" width="0" style="276" hidden="1" customWidth="1"/>
    <col min="15104" max="15104" width="61.42578125" style="276" customWidth="1"/>
    <col min="15105" max="15105" width="62.140625" style="276" customWidth="1"/>
    <col min="15106" max="15109" width="0" style="276" hidden="1" customWidth="1"/>
    <col min="15110" max="15354" width="8.7109375" style="276"/>
    <col min="15355" max="15355" width="5.5703125" style="276" customWidth="1"/>
    <col min="15356" max="15356" width="58" style="276" customWidth="1"/>
    <col min="15357" max="15357" width="24.140625" style="276" customWidth="1"/>
    <col min="15358" max="15359" width="0" style="276" hidden="1" customWidth="1"/>
    <col min="15360" max="15360" width="61.42578125" style="276" customWidth="1"/>
    <col min="15361" max="15361" width="62.140625" style="276" customWidth="1"/>
    <col min="15362" max="15365" width="0" style="276" hidden="1" customWidth="1"/>
    <col min="15366" max="15610" width="8.7109375" style="276"/>
    <col min="15611" max="15611" width="5.5703125" style="276" customWidth="1"/>
    <col min="15612" max="15612" width="58" style="276" customWidth="1"/>
    <col min="15613" max="15613" width="24.140625" style="276" customWidth="1"/>
    <col min="15614" max="15615" width="0" style="276" hidden="1" customWidth="1"/>
    <col min="15616" max="15616" width="61.42578125" style="276" customWidth="1"/>
    <col min="15617" max="15617" width="62.140625" style="276" customWidth="1"/>
    <col min="15618" max="15621" width="0" style="276" hidden="1" customWidth="1"/>
    <col min="15622" max="15866" width="8.7109375" style="276"/>
    <col min="15867" max="15867" width="5.5703125" style="276" customWidth="1"/>
    <col min="15868" max="15868" width="58" style="276" customWidth="1"/>
    <col min="15869" max="15869" width="24.140625" style="276" customWidth="1"/>
    <col min="15870" max="15871" width="0" style="276" hidden="1" customWidth="1"/>
    <col min="15872" max="15872" width="61.42578125" style="276" customWidth="1"/>
    <col min="15873" max="15873" width="62.140625" style="276" customWidth="1"/>
    <col min="15874" max="15877" width="0" style="276" hidden="1" customWidth="1"/>
    <col min="15878" max="16122" width="8.7109375" style="276"/>
    <col min="16123" max="16123" width="5.5703125" style="276" customWidth="1"/>
    <col min="16124" max="16124" width="58" style="276" customWidth="1"/>
    <col min="16125" max="16125" width="24.140625" style="276" customWidth="1"/>
    <col min="16126" max="16127" width="0" style="276" hidden="1" customWidth="1"/>
    <col min="16128" max="16128" width="61.42578125" style="276" customWidth="1"/>
    <col min="16129" max="16129" width="62.140625" style="276" customWidth="1"/>
    <col min="16130" max="16133" width="0" style="276" hidden="1" customWidth="1"/>
    <col min="16134" max="16384" width="8.7109375" style="276"/>
  </cols>
  <sheetData>
    <row r="1" spans="2:8" x14ac:dyDescent="0.4">
      <c r="C1" s="277" t="s">
        <v>267</v>
      </c>
    </row>
    <row r="2" spans="2:8" x14ac:dyDescent="0.4">
      <c r="C2" s="279">
        <v>44317</v>
      </c>
    </row>
    <row r="3" spans="2:8" x14ac:dyDescent="0.4">
      <c r="B3" s="281"/>
      <c r="C3" s="280" t="s">
        <v>268</v>
      </c>
    </row>
    <row r="4" spans="2:8" ht="19.350000000000001" customHeight="1" thickBot="1" x14ac:dyDescent="0.45">
      <c r="B4" s="282" t="s">
        <v>269</v>
      </c>
      <c r="C4" s="283" t="s">
        <v>270</v>
      </c>
      <c r="D4" s="282" t="s">
        <v>271</v>
      </c>
      <c r="E4" s="284" t="s">
        <v>272</v>
      </c>
      <c r="F4" s="280" t="s">
        <v>273</v>
      </c>
      <c r="H4" s="284" t="s">
        <v>274</v>
      </c>
    </row>
    <row r="5" spans="2:8" ht="39.950000000000003" customHeight="1" x14ac:dyDescent="0.4">
      <c r="B5" s="285" t="s">
        <v>275</v>
      </c>
      <c r="C5" s="287">
        <f>'[21]DC  CNA  DC III'!G6</f>
        <v>18.72</v>
      </c>
      <c r="D5" s="705" t="s">
        <v>380</v>
      </c>
      <c r="E5" s="703" t="s">
        <v>276</v>
      </c>
      <c r="F5" s="288">
        <f>F6/2080</f>
        <v>15.480288461538462</v>
      </c>
      <c r="H5" s="703" t="s">
        <v>277</v>
      </c>
    </row>
    <row r="6" spans="2:8" ht="42.6" customHeight="1" thickBot="1" x14ac:dyDescent="0.45">
      <c r="B6" s="289" t="s">
        <v>278</v>
      </c>
      <c r="C6" s="290">
        <f>C5*2080</f>
        <v>38937.599999999999</v>
      </c>
      <c r="D6" s="706"/>
      <c r="E6" s="704"/>
      <c r="F6" s="291">
        <v>32199</v>
      </c>
      <c r="H6" s="704"/>
    </row>
    <row r="7" spans="2:8" x14ac:dyDescent="0.4">
      <c r="B7" s="285" t="s">
        <v>279</v>
      </c>
      <c r="C7" s="287">
        <f>'[21]DC  CNA  DC III'!G19</f>
        <v>23.416</v>
      </c>
      <c r="D7" s="292" t="s">
        <v>280</v>
      </c>
      <c r="E7" s="703" t="s">
        <v>281</v>
      </c>
      <c r="F7" s="288">
        <f>F8/2080</f>
        <v>18.400480769230768</v>
      </c>
      <c r="H7" s="703" t="s">
        <v>282</v>
      </c>
    </row>
    <row r="8" spans="2:8" ht="27" thickBot="1" x14ac:dyDescent="0.45">
      <c r="B8" s="293" t="s">
        <v>283</v>
      </c>
      <c r="C8" s="294">
        <f>C7*2080</f>
        <v>48705.279999999999</v>
      </c>
      <c r="D8" s="276" t="s">
        <v>284</v>
      </c>
      <c r="E8" s="707"/>
      <c r="F8" s="291">
        <v>38273</v>
      </c>
      <c r="H8" s="707"/>
    </row>
    <row r="9" spans="2:8" x14ac:dyDescent="0.4">
      <c r="B9" s="285" t="s">
        <v>285</v>
      </c>
      <c r="C9" s="287">
        <f>'[21]DC  CNA  DC III'!G10</f>
        <v>17.97</v>
      </c>
      <c r="D9" s="292"/>
      <c r="E9" s="703" t="s">
        <v>286</v>
      </c>
      <c r="F9" s="288">
        <f>F10/2080</f>
        <v>20.43028846153846</v>
      </c>
      <c r="H9" s="703" t="s">
        <v>287</v>
      </c>
    </row>
    <row r="10" spans="2:8" ht="27" thickBot="1" x14ac:dyDescent="0.45">
      <c r="B10" s="289" t="s">
        <v>288</v>
      </c>
      <c r="C10" s="290">
        <f>C9*2080</f>
        <v>37377.599999999999</v>
      </c>
      <c r="D10" s="295"/>
      <c r="E10" s="704"/>
      <c r="F10" s="291">
        <v>42495</v>
      </c>
      <c r="H10" s="704"/>
    </row>
    <row r="11" spans="2:8" x14ac:dyDescent="0.4">
      <c r="B11" s="285" t="s">
        <v>289</v>
      </c>
      <c r="C11" s="287">
        <f>'[21]Case Social Worker.Manager'!G4</f>
        <v>23.67</v>
      </c>
      <c r="D11" s="292" t="s">
        <v>290</v>
      </c>
      <c r="E11" s="703" t="s">
        <v>291</v>
      </c>
      <c r="F11" s="790" t="s">
        <v>292</v>
      </c>
      <c r="H11" s="703" t="s">
        <v>293</v>
      </c>
    </row>
    <row r="12" spans="2:8" ht="27" thickBot="1" x14ac:dyDescent="0.45">
      <c r="B12" s="293" t="s">
        <v>294</v>
      </c>
      <c r="C12" s="294">
        <f>C11*2080</f>
        <v>49233.600000000006</v>
      </c>
      <c r="D12" s="276" t="s">
        <v>295</v>
      </c>
      <c r="E12" s="707"/>
      <c r="F12" s="791"/>
      <c r="H12" s="707"/>
    </row>
    <row r="13" spans="2:8" ht="52.5" x14ac:dyDescent="0.4">
      <c r="B13" s="296" t="s">
        <v>296</v>
      </c>
      <c r="C13" s="287">
        <f>'[21]Case Social Worker.Manager'!G11</f>
        <v>28.444999999999997</v>
      </c>
      <c r="D13" s="292" t="s">
        <v>297</v>
      </c>
      <c r="E13" s="703" t="s">
        <v>298</v>
      </c>
      <c r="F13" s="288">
        <f>F14/2080</f>
        <v>19.703365384615385</v>
      </c>
      <c r="H13" s="703" t="s">
        <v>299</v>
      </c>
    </row>
    <row r="14" spans="2:8" ht="53.25" thickBot="1" x14ac:dyDescent="0.45">
      <c r="B14" s="297" t="s">
        <v>300</v>
      </c>
      <c r="C14" s="290">
        <f>C13*2080</f>
        <v>59165.599999999991</v>
      </c>
      <c r="D14" s="295" t="s">
        <v>301</v>
      </c>
      <c r="E14" s="704"/>
      <c r="F14" s="291">
        <v>40983</v>
      </c>
      <c r="H14" s="704"/>
    </row>
    <row r="15" spans="2:8" x14ac:dyDescent="0.4">
      <c r="B15" s="285" t="s">
        <v>302</v>
      </c>
      <c r="C15" s="287">
        <f>[21]Nursing!G2</f>
        <v>28.94</v>
      </c>
      <c r="D15" s="292"/>
      <c r="E15" s="703" t="s">
        <v>303</v>
      </c>
      <c r="F15" s="298"/>
      <c r="H15" s="703" t="s">
        <v>304</v>
      </c>
    </row>
    <row r="16" spans="2:8" ht="27" thickBot="1" x14ac:dyDescent="0.45">
      <c r="B16" s="289" t="s">
        <v>305</v>
      </c>
      <c r="C16" s="290">
        <f>C15*2080</f>
        <v>60195.200000000004</v>
      </c>
      <c r="D16" s="295"/>
      <c r="E16" s="704"/>
      <c r="F16" s="298"/>
      <c r="H16" s="704"/>
    </row>
    <row r="17" spans="2:8" x14ac:dyDescent="0.4">
      <c r="B17" s="285" t="s">
        <v>306</v>
      </c>
      <c r="C17" s="287">
        <f>[21]Clinical!G6</f>
        <v>34.2425</v>
      </c>
      <c r="D17" s="292" t="s">
        <v>307</v>
      </c>
      <c r="E17" s="703" t="s">
        <v>308</v>
      </c>
      <c r="F17" s="288">
        <f>F18/2080</f>
        <v>27.190865384615385</v>
      </c>
      <c r="H17" s="703" t="s">
        <v>309</v>
      </c>
    </row>
    <row r="18" spans="2:8" ht="27" thickBot="1" x14ac:dyDescent="0.45">
      <c r="B18" s="289" t="s">
        <v>310</v>
      </c>
      <c r="C18" s="290">
        <f>C17*2080</f>
        <v>71224.399999999994</v>
      </c>
      <c r="D18" s="295"/>
      <c r="E18" s="704"/>
      <c r="F18" s="291">
        <v>56557</v>
      </c>
      <c r="H18" s="704"/>
    </row>
    <row r="19" spans="2:8" x14ac:dyDescent="0.4">
      <c r="B19" s="285" t="s">
        <v>311</v>
      </c>
      <c r="C19" s="286">
        <f>[21]Therapies!E2</f>
        <v>30</v>
      </c>
      <c r="D19" s="292"/>
      <c r="E19" s="703" t="s">
        <v>312</v>
      </c>
      <c r="F19" s="298"/>
      <c r="H19" s="703" t="s">
        <v>313</v>
      </c>
    </row>
    <row r="20" spans="2:8" ht="27" thickBot="1" x14ac:dyDescent="0.45">
      <c r="B20" s="289" t="s">
        <v>314</v>
      </c>
      <c r="C20" s="290">
        <f>C19*2080</f>
        <v>62400</v>
      </c>
      <c r="D20" s="295"/>
      <c r="E20" s="704"/>
      <c r="F20" s="298"/>
      <c r="H20" s="704"/>
    </row>
    <row r="21" spans="2:8" x14ac:dyDescent="0.4">
      <c r="B21" s="293" t="s">
        <v>315</v>
      </c>
      <c r="C21" s="299">
        <f>[21]Management!G2</f>
        <v>34.61</v>
      </c>
      <c r="D21" s="276" t="s">
        <v>316</v>
      </c>
      <c r="E21" s="703" t="s">
        <v>317</v>
      </c>
      <c r="F21" s="298"/>
      <c r="H21" s="708" t="s">
        <v>318</v>
      </c>
    </row>
    <row r="22" spans="2:8" ht="27" thickBot="1" x14ac:dyDescent="0.45">
      <c r="B22" s="289" t="s">
        <v>319</v>
      </c>
      <c r="C22" s="290">
        <f>[21]Management!H2</f>
        <v>72000</v>
      </c>
      <c r="D22" s="295" t="s">
        <v>320</v>
      </c>
      <c r="E22" s="704"/>
      <c r="F22" s="298"/>
      <c r="H22" s="709"/>
    </row>
    <row r="23" spans="2:8" x14ac:dyDescent="0.4">
      <c r="B23" s="293" t="s">
        <v>321</v>
      </c>
      <c r="C23" s="299">
        <f>[21]Therapies!E8</f>
        <v>37.730000000000004</v>
      </c>
      <c r="D23" s="276" t="s">
        <v>322</v>
      </c>
      <c r="E23" s="703" t="s">
        <v>298</v>
      </c>
      <c r="F23" s="298"/>
      <c r="H23" s="703" t="s">
        <v>323</v>
      </c>
    </row>
    <row r="24" spans="2:8" ht="27" thickBot="1" x14ac:dyDescent="0.45">
      <c r="B24" s="289" t="s">
        <v>324</v>
      </c>
      <c r="C24" s="290">
        <f>C23*2080</f>
        <v>78478.400000000009</v>
      </c>
      <c r="D24" s="295"/>
      <c r="E24" s="704"/>
      <c r="F24" s="298"/>
      <c r="H24" s="704"/>
    </row>
    <row r="25" spans="2:8" x14ac:dyDescent="0.4">
      <c r="B25" s="293" t="s">
        <v>325</v>
      </c>
      <c r="C25" s="299">
        <f>[21]Therapies!E14</f>
        <v>39.756</v>
      </c>
      <c r="D25" s="276" t="s">
        <v>326</v>
      </c>
      <c r="E25" s="703" t="s">
        <v>298</v>
      </c>
      <c r="F25" s="298"/>
      <c r="H25" s="703" t="s">
        <v>327</v>
      </c>
    </row>
    <row r="26" spans="2:8" ht="27" thickBot="1" x14ac:dyDescent="0.45">
      <c r="B26" s="289" t="s">
        <v>328</v>
      </c>
      <c r="C26" s="294">
        <f>C25*2080</f>
        <v>82692.479999999996</v>
      </c>
      <c r="E26" s="704"/>
      <c r="F26" s="298"/>
      <c r="H26" s="704"/>
    </row>
    <row r="27" spans="2:8" x14ac:dyDescent="0.4">
      <c r="B27" s="285" t="s">
        <v>329</v>
      </c>
      <c r="C27" s="287">
        <f>[21]Clinical!G12</f>
        <v>42.14</v>
      </c>
      <c r="D27" s="710" t="s">
        <v>330</v>
      </c>
      <c r="E27" s="703" t="s">
        <v>331</v>
      </c>
      <c r="F27" s="288">
        <f>F28/2080</f>
        <v>33.217788461538461</v>
      </c>
      <c r="H27" s="703" t="s">
        <v>332</v>
      </c>
    </row>
    <row r="28" spans="2:8" ht="34.5" customHeight="1" thickBot="1" x14ac:dyDescent="0.45">
      <c r="B28" s="289" t="s">
        <v>333</v>
      </c>
      <c r="C28" s="290">
        <f>C27*2080</f>
        <v>87651.199999999997</v>
      </c>
      <c r="D28" s="711"/>
      <c r="E28" s="704"/>
      <c r="F28" s="291">
        <v>69093</v>
      </c>
      <c r="H28" s="704"/>
    </row>
    <row r="29" spans="2:8" x14ac:dyDescent="0.4">
      <c r="B29" s="285" t="s">
        <v>334</v>
      </c>
      <c r="C29" s="287">
        <f>[21]Therapies!E18</f>
        <v>42.274000000000001</v>
      </c>
      <c r="D29" s="292"/>
      <c r="E29" s="703" t="s">
        <v>298</v>
      </c>
      <c r="F29" s="288">
        <f>F30/2080</f>
        <v>25.143750000000001</v>
      </c>
      <c r="H29" s="703" t="s">
        <v>335</v>
      </c>
    </row>
    <row r="30" spans="2:8" ht="27" thickBot="1" x14ac:dyDescent="0.45">
      <c r="B30" s="289" t="s">
        <v>336</v>
      </c>
      <c r="C30" s="290">
        <f>C29*2080</f>
        <v>87929.919999999998</v>
      </c>
      <c r="D30" s="295"/>
      <c r="E30" s="704"/>
      <c r="F30" s="291">
        <v>52299</v>
      </c>
      <c r="H30" s="704"/>
    </row>
    <row r="31" spans="2:8" x14ac:dyDescent="0.4">
      <c r="B31" s="285" t="s">
        <v>337</v>
      </c>
      <c r="C31" s="287">
        <f>[21]Nursing!G6</f>
        <v>45.65</v>
      </c>
      <c r="D31" s="292"/>
      <c r="E31" s="703" t="s">
        <v>338</v>
      </c>
      <c r="F31" s="300">
        <f>F32/2080</f>
        <v>33.460576923076921</v>
      </c>
      <c r="H31" s="703" t="s">
        <v>339</v>
      </c>
    </row>
    <row r="32" spans="2:8" ht="38.450000000000003" customHeight="1" thickBot="1" x14ac:dyDescent="0.45">
      <c r="B32" s="289" t="s">
        <v>340</v>
      </c>
      <c r="C32" s="290">
        <f>C31*2080</f>
        <v>94952</v>
      </c>
      <c r="D32" s="295"/>
      <c r="E32" s="704"/>
      <c r="F32" s="291">
        <v>69598</v>
      </c>
      <c r="H32" s="704"/>
    </row>
    <row r="33" spans="2:8" x14ac:dyDescent="0.4">
      <c r="B33" s="285" t="s">
        <v>341</v>
      </c>
      <c r="C33" s="287">
        <f>[21]Nursing!G11</f>
        <v>61.62</v>
      </c>
      <c r="D33" s="292"/>
      <c r="E33" s="703" t="s">
        <v>342</v>
      </c>
      <c r="F33" s="288">
        <f>F34/2080</f>
        <v>48.354326923076925</v>
      </c>
      <c r="H33" s="703" t="s">
        <v>343</v>
      </c>
    </row>
    <row r="34" spans="2:8" ht="27" thickBot="1" x14ac:dyDescent="0.45">
      <c r="B34" s="289" t="s">
        <v>344</v>
      </c>
      <c r="C34" s="290">
        <f>C33*2080</f>
        <v>128169.59999999999</v>
      </c>
      <c r="D34" s="295"/>
      <c r="E34" s="704"/>
      <c r="F34" s="291">
        <v>100577</v>
      </c>
      <c r="H34" s="704"/>
    </row>
    <row r="36" spans="2:8" ht="52.5" x14ac:dyDescent="0.4">
      <c r="B36" s="301" t="s">
        <v>345</v>
      </c>
      <c r="C36" s="294">
        <f>C6</f>
        <v>38937.599999999999</v>
      </c>
    </row>
    <row r="37" spans="2:8" x14ac:dyDescent="0.4">
      <c r="C37" s="302"/>
    </row>
    <row r="38" spans="2:8" x14ac:dyDescent="0.4">
      <c r="B38" s="303" t="s">
        <v>346</v>
      </c>
      <c r="C38" s="304">
        <v>0.2422</v>
      </c>
      <c r="D38" s="276" t="s">
        <v>347</v>
      </c>
    </row>
    <row r="39" spans="2:8" ht="85.5" customHeight="1" x14ac:dyDescent="0.4">
      <c r="B39" s="303"/>
      <c r="C39" s="302"/>
      <c r="D39" s="712" t="s">
        <v>348</v>
      </c>
      <c r="E39" s="712"/>
      <c r="H39" s="276"/>
    </row>
    <row r="40" spans="2:8" x14ac:dyDescent="0.4">
      <c r="C40" s="302"/>
    </row>
    <row r="41" spans="2:8" x14ac:dyDescent="0.4">
      <c r="B41" s="303" t="s">
        <v>349</v>
      </c>
      <c r="C41" s="305">
        <v>0.12</v>
      </c>
      <c r="D41" s="276" t="s">
        <v>61</v>
      </c>
    </row>
    <row r="42" spans="2:8" x14ac:dyDescent="0.4">
      <c r="B42" s="303" t="s">
        <v>152</v>
      </c>
      <c r="C42" s="304">
        <v>0.1462</v>
      </c>
    </row>
    <row r="43" spans="2:8" x14ac:dyDescent="0.4">
      <c r="B43" s="789" t="s">
        <v>350</v>
      </c>
      <c r="C43" s="789"/>
      <c r="D43" s="789"/>
    </row>
    <row r="44" spans="2:8" x14ac:dyDescent="0.4">
      <c r="B44" s="303" t="s">
        <v>351</v>
      </c>
      <c r="C44" s="294">
        <v>247150</v>
      </c>
      <c r="D44" s="276" t="s">
        <v>352</v>
      </c>
    </row>
    <row r="45" spans="2:8" x14ac:dyDescent="0.4">
      <c r="B45" s="303" t="s">
        <v>353</v>
      </c>
      <c r="C45" s="294">
        <v>206010</v>
      </c>
      <c r="D45" s="276" t="s">
        <v>354</v>
      </c>
    </row>
    <row r="46" spans="2:8" x14ac:dyDescent="0.4">
      <c r="B46" s="303" t="s">
        <v>355</v>
      </c>
      <c r="C46" s="294">
        <f>[21]Sheet1!G303</f>
        <v>129960</v>
      </c>
      <c r="D46" s="276" t="s">
        <v>356</v>
      </c>
    </row>
    <row r="47" spans="2:8" x14ac:dyDescent="0.4">
      <c r="B47" s="303" t="s">
        <v>90</v>
      </c>
      <c r="C47" s="294">
        <f>C6</f>
        <v>38937.599999999999</v>
      </c>
      <c r="D47" s="276" t="s">
        <v>379</v>
      </c>
    </row>
    <row r="48" spans="2:8" x14ac:dyDescent="0.4">
      <c r="B48" s="303" t="s">
        <v>120</v>
      </c>
      <c r="C48" s="294">
        <f>AVERAGE(C6,C8)</f>
        <v>43821.440000000002</v>
      </c>
      <c r="D48" s="276" t="s">
        <v>381</v>
      </c>
    </row>
    <row r="49" spans="2:4" x14ac:dyDescent="0.4">
      <c r="B49" s="303" t="s">
        <v>123</v>
      </c>
      <c r="C49" s="294">
        <f>C8</f>
        <v>48705.279999999999</v>
      </c>
      <c r="D49" s="276" t="s">
        <v>118</v>
      </c>
    </row>
    <row r="50" spans="2:4" x14ac:dyDescent="0.4">
      <c r="B50" s="303" t="s">
        <v>370</v>
      </c>
      <c r="C50" s="294">
        <v>38230</v>
      </c>
      <c r="D50" s="276" t="s">
        <v>377</v>
      </c>
    </row>
    <row r="51" spans="2:4" x14ac:dyDescent="0.4">
      <c r="B51" s="303" t="s">
        <v>371</v>
      </c>
      <c r="C51" s="294">
        <v>47990</v>
      </c>
      <c r="D51" s="276" t="s">
        <v>373</v>
      </c>
    </row>
    <row r="52" spans="2:4" x14ac:dyDescent="0.4">
      <c r="B52" s="303" t="s">
        <v>372</v>
      </c>
      <c r="C52" s="294">
        <v>54015</v>
      </c>
      <c r="D52" s="276" t="s">
        <v>378</v>
      </c>
    </row>
  </sheetData>
  <mergeCells count="35">
    <mergeCell ref="E15:E16"/>
    <mergeCell ref="H15:H16"/>
    <mergeCell ref="D5:D6"/>
    <mergeCell ref="E5:E6"/>
    <mergeCell ref="H5:H6"/>
    <mergeCell ref="E7:E8"/>
    <mergeCell ref="H7:H8"/>
    <mergeCell ref="E9:E10"/>
    <mergeCell ref="H9:H10"/>
    <mergeCell ref="E11:E12"/>
    <mergeCell ref="F11:F12"/>
    <mergeCell ref="H11:H12"/>
    <mergeCell ref="E13:E14"/>
    <mergeCell ref="H13:H14"/>
    <mergeCell ref="E17:E18"/>
    <mergeCell ref="H17:H18"/>
    <mergeCell ref="E19:E20"/>
    <mergeCell ref="H19:H20"/>
    <mergeCell ref="E21:E22"/>
    <mergeCell ref="H21:H22"/>
    <mergeCell ref="E23:E24"/>
    <mergeCell ref="H23:H24"/>
    <mergeCell ref="E25:E26"/>
    <mergeCell ref="H25:H26"/>
    <mergeCell ref="D27:D28"/>
    <mergeCell ref="E27:E28"/>
    <mergeCell ref="H27:H28"/>
    <mergeCell ref="D39:E39"/>
    <mergeCell ref="B43:D43"/>
    <mergeCell ref="E29:E30"/>
    <mergeCell ref="H29:H30"/>
    <mergeCell ref="E31:E32"/>
    <mergeCell ref="H31:H32"/>
    <mergeCell ref="E33:E34"/>
    <mergeCell ref="H33:H34"/>
  </mergeCells>
  <phoneticPr fontId="52" type="noConversion"/>
  <pageMargins left="0.7" right="0.7" top="0.75" bottom="0.75" header="0.3" footer="0.3"/>
  <pageSetup scale="59" fitToHeight="0" orientation="landscape" r:id="rId1"/>
  <ignoredErrors>
    <ignoredError sqref="C7:C34"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6488-C7DE-4CE6-8A95-23F341C64644}">
  <dimension ref="A1:R39"/>
  <sheetViews>
    <sheetView topLeftCell="A4" workbookViewId="0">
      <selection activeCell="F180" sqref="F180"/>
    </sheetView>
  </sheetViews>
  <sheetFormatPr defaultColWidth="9.140625" defaultRowHeight="15" x14ac:dyDescent="0.25"/>
  <cols>
    <col min="1" max="4" width="9.140625" style="341"/>
    <col min="5" max="5" width="19.42578125" style="341" customWidth="1"/>
    <col min="6" max="8" width="9.140625" style="341"/>
    <col min="9" max="9" width="11.28515625" style="341" customWidth="1"/>
    <col min="10" max="12" width="9.140625" style="341"/>
    <col min="13" max="13" width="10.140625" style="341" customWidth="1"/>
    <col min="14" max="16384" width="9.140625" style="341"/>
  </cols>
  <sheetData>
    <row r="1" spans="1:13" ht="15.75" x14ac:dyDescent="0.25">
      <c r="A1" s="340" t="s">
        <v>382</v>
      </c>
    </row>
    <row r="2" spans="1:13" x14ac:dyDescent="0.25">
      <c r="B2" s="342" t="s">
        <v>498</v>
      </c>
    </row>
    <row r="3" spans="1:13" ht="15.75" thickBot="1" x14ac:dyDescent="0.3"/>
    <row r="4" spans="1:13" ht="15.75" thickBot="1" x14ac:dyDescent="0.3">
      <c r="D4" s="343"/>
      <c r="E4" s="793" t="s">
        <v>384</v>
      </c>
      <c r="F4" s="794"/>
      <c r="G4" s="794"/>
      <c r="H4" s="794"/>
      <c r="I4" s="794"/>
      <c r="J4" s="795" t="s">
        <v>385</v>
      </c>
      <c r="K4" s="796"/>
      <c r="L4" s="796"/>
      <c r="M4" s="797"/>
    </row>
    <row r="5" spans="1:13" ht="54.75" customHeight="1" thickBot="1" x14ac:dyDescent="0.3">
      <c r="D5" s="343"/>
      <c r="E5" s="793" t="s">
        <v>386</v>
      </c>
      <c r="F5" s="794"/>
      <c r="G5" s="794"/>
      <c r="H5" s="794"/>
      <c r="I5" s="794"/>
      <c r="J5" s="798"/>
      <c r="K5" s="799"/>
      <c r="L5" s="799"/>
      <c r="M5" s="800"/>
    </row>
    <row r="6" spans="1:13" ht="45.75" thickBot="1" x14ac:dyDescent="0.3">
      <c r="D6" s="343"/>
      <c r="E6" s="344"/>
      <c r="F6" s="345"/>
      <c r="G6" s="345" t="s">
        <v>387</v>
      </c>
      <c r="H6" s="345" t="s">
        <v>388</v>
      </c>
      <c r="I6" s="346" t="s">
        <v>389</v>
      </c>
      <c r="J6" s="347"/>
      <c r="K6" s="348" t="s">
        <v>387</v>
      </c>
      <c r="L6" s="348" t="s">
        <v>388</v>
      </c>
      <c r="M6" s="349" t="s">
        <v>389</v>
      </c>
    </row>
    <row r="7" spans="1:13" ht="15.75" thickBot="1" x14ac:dyDescent="0.3">
      <c r="D7" s="801" t="s">
        <v>390</v>
      </c>
      <c r="E7" s="350" t="s">
        <v>391</v>
      </c>
      <c r="F7" s="351"/>
      <c r="G7" s="351">
        <v>69.099999999999994</v>
      </c>
      <c r="H7" s="351">
        <v>86.7</v>
      </c>
      <c r="I7" s="352">
        <v>105.3</v>
      </c>
      <c r="J7" s="353"/>
      <c r="K7" s="354">
        <f t="shared" ref="K7:M12" si="0">G7/7</f>
        <v>9.8714285714285701</v>
      </c>
      <c r="L7" s="355">
        <f t="shared" si="0"/>
        <v>12.385714285714286</v>
      </c>
      <c r="M7" s="356">
        <f t="shared" si="0"/>
        <v>15.042857142857143</v>
      </c>
    </row>
    <row r="8" spans="1:13" ht="15.75" thickBot="1" x14ac:dyDescent="0.3">
      <c r="D8" s="802"/>
      <c r="E8" s="350" t="s">
        <v>392</v>
      </c>
      <c r="F8" s="351"/>
      <c r="G8" s="351">
        <v>65.099999999999994</v>
      </c>
      <c r="H8" s="351">
        <v>81.8</v>
      </c>
      <c r="I8" s="352">
        <v>97.6</v>
      </c>
      <c r="J8" s="353"/>
      <c r="K8" s="357">
        <f t="shared" si="0"/>
        <v>9.2999999999999989</v>
      </c>
      <c r="L8" s="358">
        <f t="shared" si="0"/>
        <v>11.685714285714285</v>
      </c>
      <c r="M8" s="356">
        <f t="shared" si="0"/>
        <v>13.942857142857141</v>
      </c>
    </row>
    <row r="9" spans="1:13" ht="15.75" thickBot="1" x14ac:dyDescent="0.3">
      <c r="D9" s="803"/>
      <c r="E9" s="350" t="s">
        <v>393</v>
      </c>
      <c r="F9" s="351"/>
      <c r="G9" s="351">
        <v>64.400000000000006</v>
      </c>
      <c r="H9" s="351">
        <v>79.5</v>
      </c>
      <c r="I9" s="352">
        <v>97</v>
      </c>
      <c r="J9" s="353"/>
      <c r="K9" s="357">
        <f t="shared" si="0"/>
        <v>9.2000000000000011</v>
      </c>
      <c r="L9" s="358">
        <f t="shared" si="0"/>
        <v>11.357142857142858</v>
      </c>
      <c r="M9" s="356">
        <f t="shared" si="0"/>
        <v>13.857142857142858</v>
      </c>
    </row>
    <row r="10" spans="1:13" ht="15.75" thickBot="1" x14ac:dyDescent="0.3">
      <c r="D10" s="801" t="s">
        <v>394</v>
      </c>
      <c r="E10" s="350" t="s">
        <v>391</v>
      </c>
      <c r="F10" s="351"/>
      <c r="G10" s="351">
        <v>59.9</v>
      </c>
      <c r="H10" s="351">
        <v>73.099999999999994</v>
      </c>
      <c r="I10" s="352">
        <v>93.3</v>
      </c>
      <c r="J10" s="353"/>
      <c r="K10" s="357">
        <f t="shared" si="0"/>
        <v>8.5571428571428569</v>
      </c>
      <c r="L10" s="358">
        <f t="shared" si="0"/>
        <v>10.442857142857141</v>
      </c>
      <c r="M10" s="356">
        <f t="shared" si="0"/>
        <v>13.328571428571427</v>
      </c>
    </row>
    <row r="11" spans="1:13" ht="15.75" thickBot="1" x14ac:dyDescent="0.3">
      <c r="D11" s="802"/>
      <c r="E11" s="350" t="s">
        <v>392</v>
      </c>
      <c r="F11" s="351"/>
      <c r="G11" s="351">
        <v>58.5</v>
      </c>
      <c r="H11" s="351">
        <v>72.400000000000006</v>
      </c>
      <c r="I11" s="352">
        <v>86.9</v>
      </c>
      <c r="J11" s="353"/>
      <c r="K11" s="357">
        <f t="shared" si="0"/>
        <v>8.3571428571428577</v>
      </c>
      <c r="L11" s="358">
        <f t="shared" si="0"/>
        <v>10.342857142857143</v>
      </c>
      <c r="M11" s="356">
        <f t="shared" si="0"/>
        <v>12.414285714285715</v>
      </c>
    </row>
    <row r="12" spans="1:13" ht="15.75" thickBot="1" x14ac:dyDescent="0.3">
      <c r="D12" s="803"/>
      <c r="E12" s="359" t="s">
        <v>393</v>
      </c>
      <c r="F12" s="360"/>
      <c r="G12" s="360">
        <v>58.2</v>
      </c>
      <c r="H12" s="360">
        <v>71.7</v>
      </c>
      <c r="I12" s="361">
        <v>85.7</v>
      </c>
      <c r="J12" s="362"/>
      <c r="K12" s="363">
        <f t="shared" si="0"/>
        <v>8.3142857142857149</v>
      </c>
      <c r="L12" s="364">
        <f t="shared" si="0"/>
        <v>10.242857142857144</v>
      </c>
      <c r="M12" s="365">
        <f t="shared" si="0"/>
        <v>12.242857142857144</v>
      </c>
    </row>
    <row r="13" spans="1:13" ht="15.75" thickBot="1" x14ac:dyDescent="0.3">
      <c r="D13" s="366"/>
      <c r="E13" s="366"/>
      <c r="F13" s="366"/>
      <c r="G13" s="366"/>
      <c r="H13" s="367"/>
      <c r="I13" s="368" t="s">
        <v>395</v>
      </c>
      <c r="J13" s="369"/>
      <c r="K13" s="370">
        <f>AVERAGE(K7:K12)</f>
        <v>8.9333333333333353</v>
      </c>
      <c r="L13" s="370">
        <f>AVERAGE(L7:L12)</f>
        <v>11.076190476190476</v>
      </c>
      <c r="M13" s="369">
        <f>AVERAGE(M7:M12)</f>
        <v>13.471428571428573</v>
      </c>
    </row>
    <row r="14" spans="1:13" ht="15.75" thickTop="1" x14ac:dyDescent="0.25"/>
    <row r="16" spans="1:13" ht="15.75" thickBot="1" x14ac:dyDescent="0.3">
      <c r="F16" s="371"/>
    </row>
    <row r="17" spans="8:18" ht="15.75" thickBot="1" x14ac:dyDescent="0.3">
      <c r="H17" s="804" t="s">
        <v>132</v>
      </c>
      <c r="I17" s="805"/>
      <c r="J17" s="806"/>
      <c r="K17" s="372">
        <v>8.16</v>
      </c>
      <c r="L17" s="373" t="s">
        <v>396</v>
      </c>
      <c r="M17" s="373"/>
    </row>
    <row r="18" spans="8:18" ht="15.75" thickBot="1" x14ac:dyDescent="0.3">
      <c r="H18" s="792" t="s">
        <v>397</v>
      </c>
      <c r="I18" s="792"/>
      <c r="J18" s="792"/>
      <c r="K18" s="374">
        <f>AVERAGE(J13:M13)</f>
        <v>11.160317460317463</v>
      </c>
      <c r="L18" s="375">
        <f>$K$17-K18</f>
        <v>-3.0003174603174632</v>
      </c>
      <c r="M18" s="376"/>
    </row>
    <row r="19" spans="8:18" ht="15.75" thickBot="1" x14ac:dyDescent="0.3">
      <c r="H19" s="792" t="s">
        <v>398</v>
      </c>
      <c r="I19" s="792"/>
      <c r="J19" s="792"/>
      <c r="K19" s="377">
        <f>AVERAGE(K13:L13)</f>
        <v>10.004761904761907</v>
      </c>
      <c r="L19" s="375">
        <f t="shared" ref="L19:L21" si="1">$K$17-K19</f>
        <v>-1.8447619047619064</v>
      </c>
      <c r="M19" s="376"/>
    </row>
    <row r="20" spans="8:18" x14ac:dyDescent="0.25">
      <c r="H20" s="792" t="s">
        <v>399</v>
      </c>
      <c r="I20" s="792"/>
      <c r="J20" s="792"/>
      <c r="K20" s="378">
        <f>AVERAGE(K13:M13)</f>
        <v>11.160317460317463</v>
      </c>
      <c r="L20" s="375">
        <f t="shared" si="1"/>
        <v>-3.0003174603174632</v>
      </c>
      <c r="M20" s="376"/>
    </row>
    <row r="21" spans="8:18" x14ac:dyDescent="0.25">
      <c r="H21" s="792" t="s">
        <v>400</v>
      </c>
      <c r="I21" s="792"/>
      <c r="J21" s="792"/>
      <c r="K21" s="379">
        <f>AVERAGE(L13:M13)</f>
        <v>12.273809523809526</v>
      </c>
      <c r="L21" s="375">
        <f t="shared" si="1"/>
        <v>-4.1138095238095254</v>
      </c>
      <c r="M21" s="376"/>
    </row>
    <row r="22" spans="8:18" x14ac:dyDescent="0.25">
      <c r="I22" s="366"/>
      <c r="J22" s="366"/>
      <c r="K22" s="366"/>
      <c r="L22" s="366"/>
      <c r="M22" s="366"/>
    </row>
    <row r="24" spans="8:18" x14ac:dyDescent="0.25">
      <c r="R24" s="371"/>
    </row>
    <row r="25" spans="8:18" x14ac:dyDescent="0.25">
      <c r="R25" s="371"/>
    </row>
    <row r="26" spans="8:18" x14ac:dyDescent="0.25">
      <c r="R26" s="371"/>
    </row>
    <row r="27" spans="8:18" x14ac:dyDescent="0.25">
      <c r="R27" s="371"/>
    </row>
    <row r="28" spans="8:18" x14ac:dyDescent="0.25">
      <c r="R28" s="371"/>
    </row>
    <row r="30" spans="8:18" x14ac:dyDescent="0.25">
      <c r="R30" s="371"/>
    </row>
    <row r="31" spans="8:18" x14ac:dyDescent="0.25">
      <c r="R31" s="371"/>
    </row>
    <row r="32" spans="8:18" x14ac:dyDescent="0.25">
      <c r="R32" s="371"/>
    </row>
    <row r="33" spans="18:18" x14ac:dyDescent="0.25">
      <c r="R33" s="371"/>
    </row>
    <row r="34" spans="18:18" x14ac:dyDescent="0.25">
      <c r="R34" s="371"/>
    </row>
    <row r="35" spans="18:18" x14ac:dyDescent="0.25">
      <c r="R35" s="371"/>
    </row>
    <row r="37" spans="18:18" x14ac:dyDescent="0.25">
      <c r="R37" s="371"/>
    </row>
    <row r="38" spans="18:18" x14ac:dyDescent="0.25">
      <c r="R38" s="371"/>
    </row>
    <row r="39" spans="18:18" x14ac:dyDescent="0.25">
      <c r="R39" s="371"/>
    </row>
  </sheetData>
  <mergeCells count="10">
    <mergeCell ref="D7:D9"/>
    <mergeCell ref="D10:D12"/>
    <mergeCell ref="H17:J17"/>
    <mergeCell ref="H18:J18"/>
    <mergeCell ref="H19:J19"/>
    <mergeCell ref="H20:J20"/>
    <mergeCell ref="H21:J21"/>
    <mergeCell ref="E4:I4"/>
    <mergeCell ref="J4:M5"/>
    <mergeCell ref="E5:I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F1B6C-E970-4B1E-BDE2-924B2E3A18F6}">
  <dimension ref="C2:M30"/>
  <sheetViews>
    <sheetView tabSelected="1" topLeftCell="A4" workbookViewId="0">
      <selection activeCell="I33" sqref="I33"/>
    </sheetView>
  </sheetViews>
  <sheetFormatPr defaultRowHeight="15" x14ac:dyDescent="0.25"/>
  <cols>
    <col min="3" max="3" width="35" customWidth="1"/>
    <col min="4" max="4" width="8.28515625" bestFit="1" customWidth="1"/>
    <col min="5" max="5" width="7.42578125" bestFit="1" customWidth="1"/>
    <col min="6" max="6" width="11.42578125" bestFit="1" customWidth="1"/>
    <col min="9" max="9" width="23.140625" bestFit="1" customWidth="1"/>
  </cols>
  <sheetData>
    <row r="2" spans="3:13" x14ac:dyDescent="0.25">
      <c r="C2" s="652"/>
    </row>
    <row r="3" spans="3:13" x14ac:dyDescent="0.25">
      <c r="C3" s="807" t="s">
        <v>660</v>
      </c>
      <c r="D3" s="807"/>
      <c r="E3" s="807"/>
      <c r="F3" s="807"/>
      <c r="I3" s="807" t="s">
        <v>659</v>
      </c>
      <c r="J3" s="807"/>
      <c r="K3" s="807"/>
      <c r="L3" s="807"/>
    </row>
    <row r="4" spans="3:13" x14ac:dyDescent="0.25">
      <c r="C4" s="639" t="s">
        <v>621</v>
      </c>
      <c r="I4" s="651" t="s">
        <v>621</v>
      </c>
    </row>
    <row r="5" spans="3:13" ht="15.75" thickBot="1" x14ac:dyDescent="0.3">
      <c r="C5" s="640"/>
    </row>
    <row r="6" spans="3:13" ht="30" x14ac:dyDescent="0.25">
      <c r="C6" s="811" t="s">
        <v>622</v>
      </c>
      <c r="D6" s="641" t="s">
        <v>361</v>
      </c>
      <c r="E6" s="808" t="s">
        <v>624</v>
      </c>
      <c r="F6" s="808" t="s">
        <v>625</v>
      </c>
      <c r="I6" s="811" t="s">
        <v>622</v>
      </c>
      <c r="J6" s="641" t="s">
        <v>361</v>
      </c>
      <c r="K6" s="808" t="s">
        <v>624</v>
      </c>
      <c r="L6" s="808" t="s">
        <v>625</v>
      </c>
    </row>
    <row r="7" spans="3:13" ht="15.75" thickBot="1" x14ac:dyDescent="0.3">
      <c r="C7" s="812"/>
      <c r="D7" s="642" t="s">
        <v>623</v>
      </c>
      <c r="E7" s="809"/>
      <c r="F7" s="809"/>
      <c r="I7" s="812"/>
      <c r="J7" s="642" t="s">
        <v>623</v>
      </c>
      <c r="K7" s="809"/>
      <c r="L7" s="809"/>
    </row>
    <row r="8" spans="3:13" ht="15.75" thickBot="1" x14ac:dyDescent="0.3">
      <c r="C8" s="643" t="s">
        <v>89</v>
      </c>
      <c r="D8" s="644">
        <v>476.9</v>
      </c>
      <c r="E8" s="645" t="s">
        <v>292</v>
      </c>
      <c r="F8" s="645" t="s">
        <v>292</v>
      </c>
      <c r="I8" s="643" t="s">
        <v>89</v>
      </c>
      <c r="J8" s="644">
        <f>'2.  Staffing Supports RR202 (2)'!F8</f>
        <v>557.68331951393884</v>
      </c>
      <c r="K8" s="645" t="s">
        <v>292</v>
      </c>
      <c r="L8" s="645" t="s">
        <v>292</v>
      </c>
      <c r="M8" s="54">
        <f>(J8-D8)/D8</f>
        <v>0.16939257604097058</v>
      </c>
    </row>
    <row r="9" spans="3:13" ht="15.75" thickBot="1" x14ac:dyDescent="0.3">
      <c r="C9" s="643" t="s">
        <v>626</v>
      </c>
      <c r="D9" s="644">
        <v>387.52</v>
      </c>
      <c r="E9" s="645" t="s">
        <v>292</v>
      </c>
      <c r="F9" s="645" t="s">
        <v>292</v>
      </c>
      <c r="I9" s="643" t="s">
        <v>626</v>
      </c>
      <c r="J9" s="644">
        <f>'2.  Staffing Supports RR202 (2)'!G8</f>
        <v>441.5523716111345</v>
      </c>
      <c r="K9" s="645" t="s">
        <v>292</v>
      </c>
      <c r="L9" s="645" t="s">
        <v>292</v>
      </c>
      <c r="M9" s="54">
        <f t="shared" ref="M9:M22" si="0">(J9-D9)/D9</f>
        <v>0.13943118190321668</v>
      </c>
    </row>
    <row r="10" spans="3:13" ht="15.75" thickBot="1" x14ac:dyDescent="0.3">
      <c r="C10" s="643" t="s">
        <v>627</v>
      </c>
      <c r="D10" s="644">
        <v>321.91000000000003</v>
      </c>
      <c r="E10" s="645" t="s">
        <v>292</v>
      </c>
      <c r="F10" s="645" t="s">
        <v>292</v>
      </c>
      <c r="I10" s="643" t="s">
        <v>627</v>
      </c>
      <c r="J10" s="644">
        <f>'2.  Staffing Supports RR202 (2)'!H8</f>
        <v>352.39669122987976</v>
      </c>
      <c r="K10" s="645" t="s">
        <v>292</v>
      </c>
      <c r="L10" s="645" t="s">
        <v>292</v>
      </c>
      <c r="M10" s="54">
        <f t="shared" si="0"/>
        <v>9.4705635829516743E-2</v>
      </c>
    </row>
    <row r="11" spans="3:13" ht="15.75" thickBot="1" x14ac:dyDescent="0.3">
      <c r="C11" s="643" t="s">
        <v>427</v>
      </c>
      <c r="D11" s="644">
        <v>296.19</v>
      </c>
      <c r="E11" s="644">
        <v>33.119999999999997</v>
      </c>
      <c r="F11" s="644">
        <v>16.559999999999999</v>
      </c>
      <c r="I11" s="643" t="s">
        <v>427</v>
      </c>
      <c r="J11" s="644">
        <f>'2.  Staffing Supports RR202 (2)'!I8</f>
        <v>339.56263657638448</v>
      </c>
      <c r="K11" s="644">
        <f>'2.  Staffing Supports RR202 (2)'!I20</f>
        <v>38.493906148048055</v>
      </c>
      <c r="L11" s="644">
        <f>K11/2</f>
        <v>19.246953074024027</v>
      </c>
      <c r="M11" s="54">
        <f t="shared" si="0"/>
        <v>0.14643518206686409</v>
      </c>
    </row>
    <row r="12" spans="3:13" ht="15.75" thickBot="1" x14ac:dyDescent="0.3">
      <c r="C12" s="643" t="s">
        <v>628</v>
      </c>
      <c r="D12" s="644">
        <v>236.79</v>
      </c>
      <c r="E12" s="644">
        <v>26.48</v>
      </c>
      <c r="F12" s="644">
        <v>13.24</v>
      </c>
      <c r="I12" s="643" t="s">
        <v>628</v>
      </c>
      <c r="J12" s="644">
        <f>'2.  Staffing Supports RR202 (2)'!J8</f>
        <v>261.22338623594931</v>
      </c>
      <c r="K12" s="644">
        <f>'2.  Staffing Supports RR202 (2)'!J20</f>
        <v>29.61311825949366</v>
      </c>
      <c r="L12" s="644">
        <f t="shared" ref="L12:L22" si="1">K12/2</f>
        <v>14.80655912974683</v>
      </c>
      <c r="M12" s="54">
        <f t="shared" si="0"/>
        <v>0.10318588722475322</v>
      </c>
    </row>
    <row r="13" spans="3:13" ht="15.75" thickBot="1" x14ac:dyDescent="0.3">
      <c r="C13" s="646" t="s">
        <v>112</v>
      </c>
      <c r="D13" s="644">
        <v>232.49</v>
      </c>
      <c r="E13" s="644">
        <v>26</v>
      </c>
      <c r="F13" s="644">
        <v>13</v>
      </c>
      <c r="I13" s="646" t="s">
        <v>112</v>
      </c>
      <c r="J13" s="644">
        <f>'2.  Staffing Supports RR202 (2)'!K8</f>
        <v>246.98507150962524</v>
      </c>
      <c r="K13" s="644">
        <f>'2.  Staffing Supports RR202 (2)'!K20</f>
        <v>27.999017378703154</v>
      </c>
      <c r="L13" s="644">
        <f t="shared" si="1"/>
        <v>13.999508689351577</v>
      </c>
      <c r="M13" s="54">
        <f t="shared" si="0"/>
        <v>6.2347075184417539E-2</v>
      </c>
    </row>
    <row r="14" spans="3:13" ht="15.75" thickBot="1" x14ac:dyDescent="0.3">
      <c r="C14" s="646" t="s">
        <v>114</v>
      </c>
      <c r="D14" s="644">
        <v>291.83999999999997</v>
      </c>
      <c r="E14" s="644">
        <v>32.64</v>
      </c>
      <c r="F14" s="644">
        <v>16.32</v>
      </c>
      <c r="I14" s="646" t="s">
        <v>114</v>
      </c>
      <c r="J14" s="644">
        <f>'2.  Staffing Supports RR202 (2)'!L8</f>
        <v>305.94850455787719</v>
      </c>
      <c r="K14" s="644">
        <f>'2.  Staffing Supports RR202 (2)'!L20</f>
        <v>34.683300669734642</v>
      </c>
      <c r="L14" s="644">
        <f t="shared" si="1"/>
        <v>17.341650334867321</v>
      </c>
      <c r="M14" s="54">
        <f t="shared" si="0"/>
        <v>4.8343285902813914E-2</v>
      </c>
    </row>
    <row r="15" spans="3:13" ht="15.75" thickBot="1" x14ac:dyDescent="0.3">
      <c r="C15" s="646" t="s">
        <v>629</v>
      </c>
      <c r="D15" s="644">
        <v>328.48</v>
      </c>
      <c r="E15" s="644">
        <v>36.74</v>
      </c>
      <c r="F15" s="644">
        <v>18.37</v>
      </c>
      <c r="I15" s="646" t="s">
        <v>629</v>
      </c>
      <c r="J15" s="644">
        <f>'2.  Staffing Supports RR202 (2)'!M8</f>
        <v>344.37800873583524</v>
      </c>
      <c r="K15" s="644">
        <f>'2.  Staffing Supports RR202 (2)'!M20</f>
        <v>39.039792131979397</v>
      </c>
      <c r="L15" s="644">
        <f t="shared" si="1"/>
        <v>19.519896065989698</v>
      </c>
      <c r="M15" s="54">
        <f t="shared" si="0"/>
        <v>4.8398711446161771E-2</v>
      </c>
    </row>
    <row r="16" spans="3:13" ht="15.75" thickBot="1" x14ac:dyDescent="0.3">
      <c r="C16" s="643" t="s">
        <v>90</v>
      </c>
      <c r="D16" s="644">
        <v>236.79</v>
      </c>
      <c r="E16" s="644">
        <v>26.48</v>
      </c>
      <c r="F16" s="644">
        <v>13.24</v>
      </c>
      <c r="I16" s="643" t="s">
        <v>90</v>
      </c>
      <c r="J16" s="644">
        <f>'2.  Staffing Supports RR202 (2)'!N8</f>
        <v>261.22338623594931</v>
      </c>
      <c r="K16" s="644">
        <f>'2.  Staffing Supports RR202 (2)'!N20</f>
        <v>29.61311825949366</v>
      </c>
      <c r="L16" s="644">
        <f t="shared" si="1"/>
        <v>14.80655912974683</v>
      </c>
      <c r="M16" s="54">
        <f t="shared" si="0"/>
        <v>0.10318588722475322</v>
      </c>
    </row>
    <row r="17" spans="3:13" ht="15.75" thickBot="1" x14ac:dyDescent="0.3">
      <c r="C17" s="643" t="s">
        <v>120</v>
      </c>
      <c r="D17" s="644">
        <v>266.49</v>
      </c>
      <c r="E17" s="644">
        <v>29.8</v>
      </c>
      <c r="F17" s="644">
        <v>14.9</v>
      </c>
      <c r="I17" s="643" t="s">
        <v>120</v>
      </c>
      <c r="J17" s="644">
        <f>'2.  Staffing Supports RR202 (2)'!O8</f>
        <v>300.39301140616698</v>
      </c>
      <c r="K17" s="644">
        <f>'2.  Staffing Supports RR202 (2)'!O20</f>
        <v>34.053512203770865</v>
      </c>
      <c r="L17" s="644">
        <f t="shared" si="1"/>
        <v>17.026756101885432</v>
      </c>
      <c r="M17" s="54">
        <f t="shared" si="0"/>
        <v>0.12722057640499443</v>
      </c>
    </row>
    <row r="18" spans="3:13" ht="15.75" thickBot="1" x14ac:dyDescent="0.3">
      <c r="C18" s="643" t="s">
        <v>123</v>
      </c>
      <c r="D18" s="644">
        <v>296.19</v>
      </c>
      <c r="E18" s="644">
        <v>33.119999999999997</v>
      </c>
      <c r="F18" s="644">
        <v>16.559999999999999</v>
      </c>
      <c r="I18" s="643" t="s">
        <v>123</v>
      </c>
      <c r="J18" s="644">
        <f>'2.  Staffing Supports RR202 (2)'!P8</f>
        <v>339.56263657638448</v>
      </c>
      <c r="K18" s="644">
        <f>'2.  Staffing Supports RR202 (2)'!P20</f>
        <v>38.493906148048055</v>
      </c>
      <c r="L18" s="644">
        <f t="shared" si="1"/>
        <v>19.246953074024027</v>
      </c>
      <c r="M18" s="54">
        <f t="shared" si="0"/>
        <v>0.14643518206686409</v>
      </c>
    </row>
    <row r="19" spans="3:13" ht="15.75" thickBot="1" x14ac:dyDescent="0.3">
      <c r="C19" s="643" t="s">
        <v>127</v>
      </c>
      <c r="D19" s="644">
        <v>236.79</v>
      </c>
      <c r="E19" s="644">
        <v>26.48</v>
      </c>
      <c r="F19" s="644">
        <v>13.24</v>
      </c>
      <c r="I19" s="643" t="s">
        <v>127</v>
      </c>
      <c r="J19" s="644">
        <f>'2.  Staffing Supports RR202 (2)'!Q8</f>
        <v>261.22338623594931</v>
      </c>
      <c r="K19" s="644">
        <f>'2.  Staffing Supports RR202 (2)'!Q20</f>
        <v>29.61311825949366</v>
      </c>
      <c r="L19" s="644">
        <f t="shared" si="1"/>
        <v>14.80655912974683</v>
      </c>
      <c r="M19" s="54">
        <f t="shared" si="0"/>
        <v>0.10318588722475322</v>
      </c>
    </row>
    <row r="20" spans="3:13" ht="15.75" thickBot="1" x14ac:dyDescent="0.3">
      <c r="C20" s="643" t="s">
        <v>128</v>
      </c>
      <c r="D20" s="644">
        <v>236.79</v>
      </c>
      <c r="E20" s="644">
        <v>26.48</v>
      </c>
      <c r="F20" s="644">
        <v>13.24</v>
      </c>
      <c r="I20" s="643" t="s">
        <v>128</v>
      </c>
      <c r="J20" s="644">
        <f>'2.  Staffing Supports RR202 (2)'!R8</f>
        <v>261.22338623594931</v>
      </c>
      <c r="K20" s="644">
        <f>'2.  Staffing Supports RR202 (2)'!R20</f>
        <v>29.61311825949366</v>
      </c>
      <c r="L20" s="644">
        <f t="shared" si="1"/>
        <v>14.80655912974683</v>
      </c>
      <c r="M20" s="54">
        <f t="shared" si="0"/>
        <v>0.10318588722475322</v>
      </c>
    </row>
    <row r="21" spans="3:13" ht="15.75" thickBot="1" x14ac:dyDescent="0.3">
      <c r="C21" s="643" t="s">
        <v>130</v>
      </c>
      <c r="D21" s="644">
        <v>296.19</v>
      </c>
      <c r="E21" s="644">
        <v>33.119999999999997</v>
      </c>
      <c r="F21" s="644">
        <v>16.559999999999999</v>
      </c>
      <c r="I21" s="643" t="s">
        <v>130</v>
      </c>
      <c r="J21" s="644">
        <f>'2.  Staffing Supports RR202 (2)'!S8</f>
        <v>339.56263657638448</v>
      </c>
      <c r="K21" s="644">
        <f>'2.  Staffing Supports RR202 (2)'!S20</f>
        <v>38.493906148048055</v>
      </c>
      <c r="L21" s="644">
        <f t="shared" si="1"/>
        <v>19.246953074024027</v>
      </c>
      <c r="M21" s="54">
        <f t="shared" si="0"/>
        <v>0.14643518206686409</v>
      </c>
    </row>
    <row r="22" spans="3:13" ht="15.75" thickBot="1" x14ac:dyDescent="0.3">
      <c r="C22" s="643" t="s">
        <v>151</v>
      </c>
      <c r="D22" s="644">
        <v>236.79</v>
      </c>
      <c r="E22" s="644">
        <v>26.48</v>
      </c>
      <c r="F22" s="644">
        <v>13.24</v>
      </c>
      <c r="I22" s="643" t="s">
        <v>151</v>
      </c>
      <c r="J22" s="644">
        <f>'2.  Staffing Supports RR202 (2)'!T8</f>
        <v>261.22338623594931</v>
      </c>
      <c r="K22" s="644">
        <f>'2.  Staffing Supports RR202 (2)'!T20</f>
        <v>29.61311825949366</v>
      </c>
      <c r="L22" s="644">
        <f t="shared" si="1"/>
        <v>14.80655912974683</v>
      </c>
      <c r="M22" s="54">
        <f t="shared" si="0"/>
        <v>0.10318588722475322</v>
      </c>
    </row>
    <row r="23" spans="3:13" x14ac:dyDescent="0.25">
      <c r="C23" s="640"/>
      <c r="M23" s="89">
        <f>AVERAGE(M8:M22)</f>
        <v>0.10967160166909669</v>
      </c>
    </row>
    <row r="24" spans="3:13" x14ac:dyDescent="0.25">
      <c r="C24" s="810" t="s">
        <v>630</v>
      </c>
      <c r="D24" s="810"/>
      <c r="E24" s="810"/>
      <c r="F24" s="810"/>
    </row>
    <row r="25" spans="3:13" x14ac:dyDescent="0.25">
      <c r="C25" s="810"/>
      <c r="D25" s="810"/>
      <c r="E25" s="810"/>
      <c r="F25" s="810"/>
      <c r="I25" s="810" t="s">
        <v>630</v>
      </c>
      <c r="J25" s="810"/>
      <c r="K25" s="810"/>
      <c r="L25" s="810"/>
    </row>
    <row r="26" spans="3:13" x14ac:dyDescent="0.25">
      <c r="C26" s="810"/>
      <c r="D26" s="810"/>
      <c r="E26" s="810"/>
      <c r="F26" s="810"/>
      <c r="I26" s="810"/>
      <c r="J26" s="810"/>
      <c r="K26" s="810"/>
      <c r="L26" s="810"/>
    </row>
    <row r="27" spans="3:13" x14ac:dyDescent="0.25">
      <c r="C27" s="651"/>
      <c r="I27" s="810"/>
      <c r="J27" s="810"/>
      <c r="K27" s="810"/>
      <c r="L27" s="810"/>
    </row>
    <row r="28" spans="3:13" ht="15.75" thickBot="1" x14ac:dyDescent="0.3">
      <c r="C28" s="640"/>
    </row>
    <row r="29" spans="3:13" ht="45" thickBot="1" x14ac:dyDescent="0.3">
      <c r="C29" s="647" t="s">
        <v>631</v>
      </c>
      <c r="D29" s="648" t="s">
        <v>632</v>
      </c>
      <c r="I29" s="647" t="s">
        <v>631</v>
      </c>
      <c r="J29" s="648" t="s">
        <v>632</v>
      </c>
    </row>
    <row r="30" spans="3:13" ht="15.75" thickBot="1" x14ac:dyDescent="0.3">
      <c r="C30" s="649" t="s">
        <v>633</v>
      </c>
      <c r="D30" s="650">
        <v>680.87</v>
      </c>
      <c r="I30" s="649" t="s">
        <v>633</v>
      </c>
      <c r="J30" s="653">
        <f>'1. Youth Stabilization 12 BED'!E26</f>
        <v>775.85441983579869</v>
      </c>
      <c r="M30" s="54">
        <f>(J30-D30)/D30</f>
        <v>0.13950448666529394</v>
      </c>
    </row>
  </sheetData>
  <mergeCells count="10">
    <mergeCell ref="C3:F3"/>
    <mergeCell ref="I3:L3"/>
    <mergeCell ref="L6:L7"/>
    <mergeCell ref="I25:L27"/>
    <mergeCell ref="C6:C7"/>
    <mergeCell ref="E6:E7"/>
    <mergeCell ref="F6:F7"/>
    <mergeCell ref="C24:F26"/>
    <mergeCell ref="I6:I7"/>
    <mergeCell ref="K6:K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0DF08-4E4D-4B63-BDF6-9F9A6672006D}">
  <sheetPr>
    <pageSetUpPr fitToPage="1"/>
  </sheetPr>
  <dimension ref="A1:L45"/>
  <sheetViews>
    <sheetView zoomScale="130" zoomScaleNormal="130" workbookViewId="0">
      <selection activeCell="D24" sqref="D24"/>
    </sheetView>
  </sheetViews>
  <sheetFormatPr defaultColWidth="14.28515625" defaultRowHeight="14.25" x14ac:dyDescent="0.2"/>
  <cols>
    <col min="1" max="1" width="30.140625" style="402" bestFit="1" customWidth="1"/>
    <col min="2" max="3" width="13.7109375" style="416" bestFit="1" customWidth="1"/>
    <col min="4" max="4" width="11.28515625" style="402" bestFit="1" customWidth="1"/>
    <col min="5" max="5" width="13.140625" style="402" bestFit="1" customWidth="1"/>
    <col min="6" max="7" width="13.7109375" style="402" bestFit="1" customWidth="1"/>
    <col min="8" max="8" width="18.42578125" style="450" bestFit="1" customWidth="1"/>
    <col min="9" max="9" width="19.85546875" style="402" customWidth="1"/>
    <col min="10" max="10" width="11.85546875" style="454" bestFit="1" customWidth="1"/>
    <col min="11" max="11" width="10" style="402" bestFit="1" customWidth="1"/>
    <col min="12" max="12" width="7.85546875" style="402" bestFit="1" customWidth="1"/>
    <col min="13" max="16384" width="14.28515625" style="402"/>
  </cols>
  <sheetData>
    <row r="1" spans="1:10" s="397" customFormat="1" ht="15.75" thickBot="1" x14ac:dyDescent="0.3">
      <c r="A1" s="393" t="s">
        <v>409</v>
      </c>
      <c r="B1" s="394" t="s">
        <v>410</v>
      </c>
      <c r="C1" s="394" t="s">
        <v>411</v>
      </c>
      <c r="D1" s="394" t="s">
        <v>412</v>
      </c>
      <c r="E1" s="395" t="s">
        <v>413</v>
      </c>
      <c r="F1" s="394" t="s">
        <v>414</v>
      </c>
      <c r="G1" s="396" t="s">
        <v>415</v>
      </c>
      <c r="H1" s="449"/>
      <c r="J1" s="453"/>
    </row>
    <row r="2" spans="1:10" x14ac:dyDescent="0.2">
      <c r="A2" s="398" t="s">
        <v>89</v>
      </c>
      <c r="B2" s="399">
        <v>2</v>
      </c>
      <c r="C2" s="399">
        <v>3</v>
      </c>
      <c r="D2" s="399">
        <v>1</v>
      </c>
      <c r="E2" s="399">
        <v>1</v>
      </c>
      <c r="F2" s="400">
        <v>3</v>
      </c>
      <c r="G2" s="401">
        <f>SUM(B2:F2)</f>
        <v>10</v>
      </c>
    </row>
    <row r="3" spans="1:10" x14ac:dyDescent="0.2">
      <c r="A3" s="403" t="s">
        <v>416</v>
      </c>
      <c r="B3" s="404">
        <v>1</v>
      </c>
      <c r="C3" s="404">
        <v>2</v>
      </c>
      <c r="D3" s="404">
        <v>0</v>
      </c>
      <c r="E3" s="404">
        <v>2</v>
      </c>
      <c r="F3" s="405"/>
      <c r="G3" s="406">
        <f t="shared" ref="G3:G19" si="0">SUM(B3:F3)</f>
        <v>5</v>
      </c>
    </row>
    <row r="4" spans="1:10" x14ac:dyDescent="0.2">
      <c r="A4" s="403" t="s">
        <v>417</v>
      </c>
      <c r="B4" s="404">
        <v>2</v>
      </c>
      <c r="C4" s="404"/>
      <c r="D4" s="404">
        <v>2</v>
      </c>
      <c r="E4" s="404">
        <v>2</v>
      </c>
      <c r="F4" s="405">
        <v>2</v>
      </c>
      <c r="G4" s="406">
        <f t="shared" si="0"/>
        <v>8</v>
      </c>
    </row>
    <row r="5" spans="1:10" hidden="1" x14ac:dyDescent="0.2">
      <c r="A5" s="403" t="s">
        <v>418</v>
      </c>
      <c r="B5" s="404"/>
      <c r="C5" s="404"/>
      <c r="D5" s="404"/>
      <c r="E5" s="404"/>
      <c r="F5" s="405"/>
      <c r="G5" s="406">
        <f t="shared" si="0"/>
        <v>0</v>
      </c>
    </row>
    <row r="6" spans="1:10" x14ac:dyDescent="0.2">
      <c r="A6" s="403" t="s">
        <v>419</v>
      </c>
      <c r="B6" s="404">
        <v>2.5</v>
      </c>
      <c r="C6" s="404">
        <v>4</v>
      </c>
      <c r="D6" s="404">
        <v>2</v>
      </c>
      <c r="E6" s="404">
        <v>2</v>
      </c>
      <c r="F6" s="405">
        <v>2</v>
      </c>
      <c r="G6" s="406">
        <f t="shared" si="0"/>
        <v>12.5</v>
      </c>
    </row>
    <row r="7" spans="1:10" x14ac:dyDescent="0.2">
      <c r="A7" s="403" t="s">
        <v>420</v>
      </c>
      <c r="B7" s="404">
        <v>0</v>
      </c>
      <c r="C7" s="404"/>
      <c r="D7" s="404">
        <v>1</v>
      </c>
      <c r="E7" s="404">
        <v>1</v>
      </c>
      <c r="F7" s="405"/>
      <c r="G7" s="406">
        <f t="shared" si="0"/>
        <v>2</v>
      </c>
    </row>
    <row r="8" spans="1:10" x14ac:dyDescent="0.2">
      <c r="A8" s="403" t="s">
        <v>421</v>
      </c>
      <c r="B8" s="404"/>
      <c r="C8" s="404"/>
      <c r="D8" s="404"/>
      <c r="E8" s="404"/>
      <c r="F8" s="405"/>
      <c r="G8" s="406">
        <f t="shared" si="0"/>
        <v>0</v>
      </c>
    </row>
    <row r="9" spans="1:10" x14ac:dyDescent="0.2">
      <c r="A9" s="403" t="s">
        <v>112</v>
      </c>
      <c r="B9" s="404">
        <v>2</v>
      </c>
      <c r="C9" s="404">
        <v>2</v>
      </c>
      <c r="D9" s="404"/>
      <c r="E9" s="404"/>
      <c r="F9" s="405"/>
      <c r="G9" s="406">
        <f t="shared" si="0"/>
        <v>4</v>
      </c>
    </row>
    <row r="10" spans="1:10" x14ac:dyDescent="0.2">
      <c r="A10" s="403" t="s">
        <v>114</v>
      </c>
      <c r="B10" s="404"/>
      <c r="C10" s="404">
        <v>2</v>
      </c>
      <c r="D10" s="404">
        <v>1</v>
      </c>
      <c r="E10" s="404">
        <v>2</v>
      </c>
      <c r="F10" s="405">
        <v>3</v>
      </c>
      <c r="G10" s="406">
        <f t="shared" si="0"/>
        <v>8</v>
      </c>
    </row>
    <row r="11" spans="1:10" x14ac:dyDescent="0.2">
      <c r="A11" s="403" t="s">
        <v>117</v>
      </c>
      <c r="B11" s="404"/>
      <c r="C11" s="404"/>
      <c r="D11" s="404"/>
      <c r="E11" s="404"/>
      <c r="F11" s="405"/>
      <c r="G11" s="406">
        <f t="shared" si="0"/>
        <v>0</v>
      </c>
    </row>
    <row r="12" spans="1:10" x14ac:dyDescent="0.2">
      <c r="A12" s="403" t="s">
        <v>90</v>
      </c>
      <c r="B12" s="404">
        <v>5</v>
      </c>
      <c r="C12" s="404">
        <v>9</v>
      </c>
      <c r="D12" s="404"/>
      <c r="E12" s="404"/>
      <c r="F12" s="405"/>
      <c r="G12" s="406">
        <f t="shared" si="0"/>
        <v>14</v>
      </c>
    </row>
    <row r="13" spans="1:10" x14ac:dyDescent="0.2">
      <c r="A13" s="403" t="s">
        <v>120</v>
      </c>
      <c r="B13" s="404"/>
      <c r="C13" s="404"/>
      <c r="D13" s="404">
        <v>1</v>
      </c>
      <c r="E13" s="404">
        <v>6</v>
      </c>
      <c r="F13" s="405">
        <v>3</v>
      </c>
      <c r="G13" s="406">
        <f t="shared" si="0"/>
        <v>10</v>
      </c>
    </row>
    <row r="14" spans="1:10" x14ac:dyDescent="0.2">
      <c r="A14" s="403" t="s">
        <v>422</v>
      </c>
      <c r="B14" s="404"/>
      <c r="C14" s="404"/>
      <c r="D14" s="404"/>
      <c r="E14" s="404">
        <v>1</v>
      </c>
      <c r="F14" s="405"/>
      <c r="G14" s="406">
        <f t="shared" si="0"/>
        <v>1</v>
      </c>
    </row>
    <row r="15" spans="1:10" x14ac:dyDescent="0.2">
      <c r="A15" s="403" t="s">
        <v>127</v>
      </c>
      <c r="B15" s="404"/>
      <c r="C15" s="404"/>
      <c r="D15" s="404"/>
      <c r="E15" s="404"/>
      <c r="F15" s="405"/>
      <c r="G15" s="406">
        <f t="shared" si="0"/>
        <v>0</v>
      </c>
    </row>
    <row r="16" spans="1:10" hidden="1" x14ac:dyDescent="0.2">
      <c r="A16" s="407" t="s">
        <v>128</v>
      </c>
      <c r="B16" s="408"/>
      <c r="C16" s="408"/>
      <c r="D16" s="408"/>
      <c r="E16" s="408"/>
      <c r="F16" s="409"/>
      <c r="G16" s="406">
        <f t="shared" si="0"/>
        <v>0</v>
      </c>
    </row>
    <row r="17" spans="1:11" hidden="1" x14ac:dyDescent="0.2">
      <c r="A17" s="407" t="s">
        <v>130</v>
      </c>
      <c r="B17" s="408"/>
      <c r="C17" s="408"/>
      <c r="D17" s="408"/>
      <c r="E17" s="408"/>
      <c r="F17" s="409"/>
      <c r="G17" s="406">
        <f t="shared" si="0"/>
        <v>0</v>
      </c>
    </row>
    <row r="18" spans="1:11" hidden="1" x14ac:dyDescent="0.2">
      <c r="A18" s="407" t="s">
        <v>150</v>
      </c>
      <c r="B18" s="408"/>
      <c r="C18" s="408"/>
      <c r="D18" s="408"/>
      <c r="E18" s="408"/>
      <c r="F18" s="409"/>
      <c r="G18" s="406">
        <f t="shared" si="0"/>
        <v>0</v>
      </c>
    </row>
    <row r="19" spans="1:11" s="397" customFormat="1" ht="15.75" thickBot="1" x14ac:dyDescent="0.3">
      <c r="A19" s="410" t="s">
        <v>423</v>
      </c>
      <c r="B19" s="411">
        <f t="shared" ref="B19:E19" si="1">SUM(B2:B18)</f>
        <v>14.5</v>
      </c>
      <c r="C19" s="411">
        <f t="shared" si="1"/>
        <v>22</v>
      </c>
      <c r="D19" s="411">
        <f t="shared" si="1"/>
        <v>8</v>
      </c>
      <c r="E19" s="411">
        <f t="shared" si="1"/>
        <v>17</v>
      </c>
      <c r="F19" s="412">
        <f>SUM(F2:F18)</f>
        <v>13</v>
      </c>
      <c r="G19" s="413">
        <f t="shared" si="0"/>
        <v>74.5</v>
      </c>
      <c r="H19" s="449"/>
      <c r="J19" s="453"/>
    </row>
    <row r="20" spans="1:11" s="397" customFormat="1" ht="15" x14ac:dyDescent="0.25">
      <c r="A20" s="414"/>
      <c r="B20" s="415"/>
      <c r="C20" s="415"/>
      <c r="H20" s="449"/>
      <c r="J20" s="453"/>
    </row>
    <row r="21" spans="1:11" ht="15" thickBot="1" x14ac:dyDescent="0.25"/>
    <row r="22" spans="1:11" ht="15.75" thickBot="1" x14ac:dyDescent="0.3">
      <c r="A22" s="813" t="s">
        <v>424</v>
      </c>
      <c r="B22" s="814"/>
      <c r="C22" s="814"/>
      <c r="D22" s="814"/>
      <c r="E22" s="814"/>
      <c r="F22" s="417"/>
      <c r="G22" s="418"/>
      <c r="K22" s="397" t="s">
        <v>432</v>
      </c>
    </row>
    <row r="23" spans="1:11" s="397" customFormat="1" ht="15.75" thickBot="1" x14ac:dyDescent="0.3">
      <c r="A23" s="419" t="s">
        <v>409</v>
      </c>
      <c r="B23" s="420" t="s">
        <v>410</v>
      </c>
      <c r="C23" s="420" t="s">
        <v>411</v>
      </c>
      <c r="D23" s="421" t="s">
        <v>412</v>
      </c>
      <c r="E23" s="420" t="s">
        <v>413</v>
      </c>
      <c r="F23" s="421" t="s">
        <v>414</v>
      </c>
      <c r="G23" s="422" t="s">
        <v>415</v>
      </c>
      <c r="H23" s="449" t="s">
        <v>429</v>
      </c>
      <c r="I23" s="397" t="s">
        <v>430</v>
      </c>
      <c r="J23" s="453" t="s">
        <v>431</v>
      </c>
      <c r="K23" s="397" t="s">
        <v>396</v>
      </c>
    </row>
    <row r="24" spans="1:11" ht="15" x14ac:dyDescent="0.25">
      <c r="A24" s="423" t="s">
        <v>89</v>
      </c>
      <c r="B24" s="424">
        <f>B2*'[22]rates 10_1_20'!$J2</f>
        <v>230776</v>
      </c>
      <c r="C24" s="424">
        <f>C2*'[22]rates 10_1_20'!$J2</f>
        <v>346164</v>
      </c>
      <c r="D24" s="424">
        <f>D2*'[22]rates 10_1_20'!$J2</f>
        <v>115388</v>
      </c>
      <c r="E24" s="424">
        <f>E2*'[22]rates 10_1_20'!$J2</f>
        <v>115388</v>
      </c>
      <c r="F24" s="424">
        <f>F2*'[22]rates 10_1_20'!$J2</f>
        <v>346164</v>
      </c>
      <c r="G24" s="425">
        <f>SUM(B24:F24)</f>
        <v>1153880</v>
      </c>
      <c r="H24" s="451">
        <f>G24/'2.  Staffing Supports RR202 (2)'!F10</f>
        <v>2419.5428811071506</v>
      </c>
      <c r="I24" s="452">
        <f>'2.  Staffing Supports RR202 (2)'!F8</f>
        <v>557.68331951393884</v>
      </c>
      <c r="J24" s="455">
        <f>I24*H24</f>
        <v>1349338.7056421551</v>
      </c>
      <c r="K24" s="458">
        <f>J24-G24</f>
        <v>195458.70564215514</v>
      </c>
    </row>
    <row r="25" spans="1:11" ht="15" x14ac:dyDescent="0.25">
      <c r="A25" s="403" t="s">
        <v>416</v>
      </c>
      <c r="B25" s="426">
        <f>B3*'[22]rates 10_1_20'!$J$3</f>
        <v>84367.400000000009</v>
      </c>
      <c r="C25" s="426">
        <f>C3*'[22]rates 10_1_20'!$J$3</f>
        <v>168734.80000000002</v>
      </c>
      <c r="D25" s="426">
        <f>D3*'[22]rates 10_1_20'!$J$3</f>
        <v>0</v>
      </c>
      <c r="E25" s="426">
        <f>E3*'[22]rates 10_1_20'!$J$3</f>
        <v>168734.80000000002</v>
      </c>
      <c r="F25" s="426">
        <f>F3*'[22]rates 10_1_20'!$J$3</f>
        <v>0</v>
      </c>
      <c r="G25" s="425">
        <f t="shared" ref="G25:G39" si="2">SUM(B25:F25)</f>
        <v>421837</v>
      </c>
      <c r="H25" s="451">
        <f>G25/'2.  Staffing Supports RR202 (2)'!G10</f>
        <v>1088.5554293971925</v>
      </c>
      <c r="I25" s="452">
        <f>'2.  Staffing Supports RR202 (2)'!G8</f>
        <v>441.5523716111345</v>
      </c>
      <c r="J25" s="455">
        <f t="shared" ref="J25:J36" si="3">I25*H25</f>
        <v>480654.23148050724</v>
      </c>
      <c r="K25" s="458">
        <f t="shared" ref="K25:K40" si="4">J25-G25</f>
        <v>58817.231480507238</v>
      </c>
    </row>
    <row r="26" spans="1:11" ht="15" x14ac:dyDescent="0.25">
      <c r="A26" s="403" t="s">
        <v>417</v>
      </c>
      <c r="B26" s="426">
        <f>B4*'[22]rates 10_1_20'!$J$3</f>
        <v>168734.80000000002</v>
      </c>
      <c r="C26" s="426">
        <f>C4*'[22]rates 10_1_20'!$J$3</f>
        <v>0</v>
      </c>
      <c r="D26" s="426">
        <f>D4*'[22]rates 10_1_20'!$J$3</f>
        <v>168734.80000000002</v>
      </c>
      <c r="E26" s="426">
        <f>E4*'[22]rates 10_1_20'!$J$3</f>
        <v>168734.80000000002</v>
      </c>
      <c r="F26" s="426">
        <f>F4*'[22]rates 10_1_20'!$J$3</f>
        <v>168734.80000000002</v>
      </c>
      <c r="G26" s="425">
        <f t="shared" si="2"/>
        <v>674939.20000000007</v>
      </c>
      <c r="H26" s="451">
        <f>G26/'2.  Staffing Supports RR202 (2)'!G10</f>
        <v>1741.6886870355081</v>
      </c>
      <c r="I26" s="452">
        <f>'2.  Staffing Supports RR202 (2)'!G8</f>
        <v>441.5523716111345</v>
      </c>
      <c r="J26" s="455">
        <f t="shared" si="3"/>
        <v>769046.77036881167</v>
      </c>
      <c r="K26" s="458">
        <f t="shared" si="4"/>
        <v>94107.570368811605</v>
      </c>
    </row>
    <row r="27" spans="1:11" ht="15" hidden="1" x14ac:dyDescent="0.25">
      <c r="A27" s="403" t="s">
        <v>418</v>
      </c>
      <c r="B27" s="426">
        <f>B5*'[22]rates 10_1_20'!$J$3</f>
        <v>0</v>
      </c>
      <c r="C27" s="426">
        <f>C5*'[22]rates 10_1_20'!$J$3</f>
        <v>0</v>
      </c>
      <c r="D27" s="426">
        <f>D5*'[22]rates 10_1_20'!$J$3</f>
        <v>0</v>
      </c>
      <c r="E27" s="426">
        <f>E5*'[22]rates 10_1_20'!$J$3</f>
        <v>0</v>
      </c>
      <c r="F27" s="426">
        <f>F5*'[22]rates 10_1_20'!$J$3</f>
        <v>0</v>
      </c>
      <c r="G27" s="425">
        <f t="shared" si="2"/>
        <v>0</v>
      </c>
      <c r="H27" s="451"/>
      <c r="I27" s="452"/>
      <c r="J27" s="455">
        <f t="shared" si="3"/>
        <v>0</v>
      </c>
      <c r="K27" s="458">
        <f t="shared" si="4"/>
        <v>0</v>
      </c>
    </row>
    <row r="28" spans="1:11" ht="15" x14ac:dyDescent="0.25">
      <c r="A28" s="403" t="s">
        <v>419</v>
      </c>
      <c r="B28" s="426">
        <f>B6*'[22]rates 10_1_20'!$J$3</f>
        <v>210918.50000000003</v>
      </c>
      <c r="C28" s="426">
        <f>C6*'[22]rates 10_1_20'!$J$3</f>
        <v>337469.60000000003</v>
      </c>
      <c r="D28" s="426">
        <f>D6*'[22]rates 10_1_20'!$J$3</f>
        <v>168734.80000000002</v>
      </c>
      <c r="E28" s="426">
        <f>E6*'[22]rates 10_1_20'!$J$3</f>
        <v>168734.80000000002</v>
      </c>
      <c r="F28" s="426">
        <f>F6*'[22]rates 10_1_20'!$J$3</f>
        <v>168734.80000000002</v>
      </c>
      <c r="G28" s="425">
        <f t="shared" si="2"/>
        <v>1054592.5000000002</v>
      </c>
      <c r="H28" s="451">
        <f>G28/'2.  Staffing Supports RR202 (2)'!G10</f>
        <v>2721.3885734929818</v>
      </c>
      <c r="I28" s="452">
        <f>'2.  Staffing Supports RR202 (2)'!G8</f>
        <v>441.5523716111345</v>
      </c>
      <c r="J28" s="455">
        <f t="shared" si="3"/>
        <v>1201635.5787012684</v>
      </c>
      <c r="K28" s="458">
        <f t="shared" si="4"/>
        <v>147043.07870126818</v>
      </c>
    </row>
    <row r="29" spans="1:11" ht="15" x14ac:dyDescent="0.25">
      <c r="A29" s="403" t="s">
        <v>420</v>
      </c>
      <c r="B29" s="426">
        <f>B7*'[22]rates 10_1_20'!$J$3</f>
        <v>0</v>
      </c>
      <c r="C29" s="426">
        <f>C7*'[22]rates 10_1_20'!$J$3</f>
        <v>0</v>
      </c>
      <c r="D29" s="426">
        <f>D7*'[22]rates 10_1_20'!$J$3</f>
        <v>84367.400000000009</v>
      </c>
      <c r="E29" s="426">
        <f>E7*'[22]rates 10_1_20'!$J$3</f>
        <v>84367.400000000009</v>
      </c>
      <c r="F29" s="426">
        <f>F7*'[22]rates 10_1_20'!$J$3</f>
        <v>0</v>
      </c>
      <c r="G29" s="425">
        <f t="shared" si="2"/>
        <v>168734.80000000002</v>
      </c>
      <c r="H29" s="451">
        <f>G29/'2.  Staffing Supports RR202 (2)'!G10</f>
        <v>435.42217175887703</v>
      </c>
      <c r="I29" s="452">
        <f>'2.  Staffing Supports RR202 (2)'!G8</f>
        <v>441.5523716111345</v>
      </c>
      <c r="J29" s="455">
        <f t="shared" si="3"/>
        <v>192261.69259220292</v>
      </c>
      <c r="K29" s="458">
        <f t="shared" si="4"/>
        <v>23526.892592202901</v>
      </c>
    </row>
    <row r="30" spans="1:11" ht="15" x14ac:dyDescent="0.25">
      <c r="A30" s="403" t="s">
        <v>421</v>
      </c>
      <c r="B30" s="426">
        <f>B8*'[22]rates 10_1_20'!$J$3</f>
        <v>0</v>
      </c>
      <c r="C30" s="426">
        <f>C8*'[22]rates 10_1_20'!$J$3</f>
        <v>0</v>
      </c>
      <c r="D30" s="426">
        <f>D8*'[22]rates 10_1_20'!$J$3</f>
        <v>0</v>
      </c>
      <c r="E30" s="426">
        <f>E8*'[22]rates 10_1_20'!$J$3</f>
        <v>0</v>
      </c>
      <c r="F30" s="426">
        <f>F8*'[22]rates 10_1_20'!$J$3</f>
        <v>0</v>
      </c>
      <c r="G30" s="425">
        <f t="shared" si="2"/>
        <v>0</v>
      </c>
      <c r="H30" s="451"/>
      <c r="I30" s="452"/>
      <c r="J30" s="455"/>
      <c r="K30" s="458"/>
    </row>
    <row r="31" spans="1:11" ht="15" x14ac:dyDescent="0.25">
      <c r="A31" s="403" t="s">
        <v>112</v>
      </c>
      <c r="B31" s="426">
        <f>B9*'[22]rates 10_1_20'!$J$4</f>
        <v>106516.8</v>
      </c>
      <c r="C31" s="426">
        <f>C9*'[22]rates 10_1_20'!$J$4</f>
        <v>106516.8</v>
      </c>
      <c r="D31" s="426">
        <f>D9*'[22]rates 10_1_20'!$J$4</f>
        <v>0</v>
      </c>
      <c r="E31" s="426">
        <f>E9*'[22]rates 10_1_20'!$J$4</f>
        <v>0</v>
      </c>
      <c r="F31" s="426">
        <f>F9*'[22]rates 10_1_20'!$J$4</f>
        <v>0</v>
      </c>
      <c r="G31" s="425">
        <f t="shared" si="2"/>
        <v>213033.60000000001</v>
      </c>
      <c r="H31" s="451">
        <f>G31/'2.  Staffing Supports RR202 (2)'!K10</f>
        <v>916.31295969719122</v>
      </c>
      <c r="I31" s="452">
        <f>'2.  Staffing Supports RR202 (2)'!K8</f>
        <v>246.98507150962524</v>
      </c>
      <c r="J31" s="455">
        <f t="shared" si="3"/>
        <v>226315.62187600712</v>
      </c>
      <c r="K31" s="458">
        <f t="shared" si="4"/>
        <v>13282.021876007115</v>
      </c>
    </row>
    <row r="32" spans="1:11" ht="15" x14ac:dyDescent="0.25">
      <c r="A32" s="403" t="s">
        <v>114</v>
      </c>
      <c r="B32" s="426">
        <f>B10*'[22]rates 10_1_20'!$J$5</f>
        <v>0</v>
      </c>
      <c r="C32" s="426">
        <f>C10*'[22]rates 10_1_20'!$J$5</f>
        <v>134035.19999999998</v>
      </c>
      <c r="D32" s="426">
        <f>D10*'[22]rates 10_1_20'!$J$5</f>
        <v>67017.599999999991</v>
      </c>
      <c r="E32" s="426">
        <f>E10*'[22]rates 10_1_20'!$J$5</f>
        <v>134035.19999999998</v>
      </c>
      <c r="F32" s="426">
        <f>F10*'[22]rates 10_1_20'!$J$5</f>
        <v>201052.79999999999</v>
      </c>
      <c r="G32" s="425">
        <f t="shared" si="2"/>
        <v>536140.80000000005</v>
      </c>
      <c r="H32" s="451">
        <f>G32/'2.  Staffing Supports RR202 (2)'!L10</f>
        <v>1837.105263157895</v>
      </c>
      <c r="I32" s="452">
        <f>'2.  Staffing Supports RR202 (2)'!L8</f>
        <v>305.94850455787719</v>
      </c>
      <c r="J32" s="455">
        <f t="shared" si="3"/>
        <v>562059.60797856341</v>
      </c>
      <c r="K32" s="458">
        <f t="shared" si="4"/>
        <v>25918.80797856336</v>
      </c>
    </row>
    <row r="33" spans="1:12" ht="15" x14ac:dyDescent="0.25">
      <c r="A33" s="403" t="s">
        <v>117</v>
      </c>
      <c r="B33" s="426">
        <f>B11*'[22]rates 10_1_20'!$J$6</f>
        <v>0</v>
      </c>
      <c r="C33" s="426">
        <f>C11*'[22]rates 10_1_20'!$J$6</f>
        <v>0</v>
      </c>
      <c r="D33" s="426">
        <f>D11*'[22]rates 10_1_20'!$J$6</f>
        <v>0</v>
      </c>
      <c r="E33" s="426">
        <f>E11*'[22]rates 10_1_20'!$J$6</f>
        <v>0</v>
      </c>
      <c r="F33" s="426">
        <f>F11*'[22]rates 10_1_20'!$J$6</f>
        <v>0</v>
      </c>
      <c r="G33" s="425">
        <f t="shared" si="2"/>
        <v>0</v>
      </c>
      <c r="H33" s="451"/>
      <c r="I33" s="452"/>
      <c r="J33" s="455"/>
      <c r="K33" s="458"/>
    </row>
    <row r="34" spans="1:12" ht="15" x14ac:dyDescent="0.25">
      <c r="A34" s="403" t="s">
        <v>90</v>
      </c>
      <c r="B34" s="426">
        <f>B12*'[22]rates 10_1_20'!$J$7</f>
        <v>297596</v>
      </c>
      <c r="C34" s="426">
        <f>C12*'[22]rates 10_1_20'!$J$7</f>
        <v>535672.79999999993</v>
      </c>
      <c r="D34" s="426">
        <f>D12*'[22]rates 10_1_20'!$J$7</f>
        <v>0</v>
      </c>
      <c r="E34" s="426">
        <f>E12*'[22]rates 10_1_20'!$J$7</f>
        <v>0</v>
      </c>
      <c r="F34" s="426">
        <f>F12*'[22]rates 10_1_20'!$J$7</f>
        <v>0</v>
      </c>
      <c r="G34" s="425">
        <f t="shared" si="2"/>
        <v>833268.79999999993</v>
      </c>
      <c r="H34" s="451">
        <f>G34/'2.  Staffing Supports RR202 (2)'!N10</f>
        <v>3519.0202288948012</v>
      </c>
      <c r="I34" s="452">
        <f>'2.  Staffing Supports RR202 (2)'!N8</f>
        <v>261.22338623594931</v>
      </c>
      <c r="J34" s="455">
        <f t="shared" si="3"/>
        <v>919250.38042470545</v>
      </c>
      <c r="K34" s="458">
        <f t="shared" si="4"/>
        <v>85981.58042470552</v>
      </c>
    </row>
    <row r="35" spans="1:12" ht="15" x14ac:dyDescent="0.25">
      <c r="A35" s="403" t="s">
        <v>120</v>
      </c>
      <c r="B35" s="426">
        <f>B13*'[22]rates 10_1_20'!$J$8</f>
        <v>0</v>
      </c>
      <c r="C35" s="426">
        <f>C13*'[22]rates 10_1_20'!$J$8</f>
        <v>0</v>
      </c>
      <c r="D35" s="426">
        <f>D13*'[22]rates 10_1_20'!$J$8</f>
        <v>65504.4</v>
      </c>
      <c r="E35" s="426">
        <f>E13*'[22]rates 10_1_20'!$J$8</f>
        <v>393026.4</v>
      </c>
      <c r="F35" s="426">
        <f>F13*'[22]rates 10_1_20'!$J$8</f>
        <v>196513.2</v>
      </c>
      <c r="G35" s="425">
        <f t="shared" si="2"/>
        <v>655044</v>
      </c>
      <c r="H35" s="451">
        <f>G35/'2.  Staffing Supports RR202 (2)'!O10</f>
        <v>2458.0434537881347</v>
      </c>
      <c r="I35" s="452">
        <f>'2.  Staffing Supports RR202 (2)'!O8</f>
        <v>300.39301140616698</v>
      </c>
      <c r="J35" s="455">
        <f t="shared" si="3"/>
        <v>738379.07525063318</v>
      </c>
      <c r="K35" s="458">
        <f t="shared" si="4"/>
        <v>83335.075250633177</v>
      </c>
    </row>
    <row r="36" spans="1:12" ht="15" x14ac:dyDescent="0.25">
      <c r="A36" s="403" t="s">
        <v>422</v>
      </c>
      <c r="B36" s="426">
        <f>B14*'[22]rates 10_1_20'!$J$9</f>
        <v>0</v>
      </c>
      <c r="C36" s="426">
        <f>C14*'[22]rates 10_1_20'!$J$9</f>
        <v>0</v>
      </c>
      <c r="D36" s="426">
        <f>D14*'[22]rates 10_1_20'!$J$9</f>
        <v>0</v>
      </c>
      <c r="E36" s="426">
        <f>E14*'[22]rates 10_1_20'!$J$9</f>
        <v>70155.8</v>
      </c>
      <c r="F36" s="426">
        <f>F14*'[22]rates 10_1_20'!$J$9</f>
        <v>0</v>
      </c>
      <c r="G36" s="425">
        <f t="shared" si="2"/>
        <v>70155.8</v>
      </c>
      <c r="H36" s="451">
        <f>G36/'2.  Staffing Supports RR202 (2)'!P10</f>
        <v>236.86079881157366</v>
      </c>
      <c r="I36" s="452">
        <f>'2.  Staffing Supports RR202 (2)'!P8</f>
        <v>339.56263657638448</v>
      </c>
      <c r="J36" s="455">
        <f t="shared" si="3"/>
        <v>80429.077346046513</v>
      </c>
      <c r="K36" s="458">
        <f t="shared" si="4"/>
        <v>10273.277346046511</v>
      </c>
    </row>
    <row r="37" spans="1:12" ht="15.75" thickBot="1" x14ac:dyDescent="0.3">
      <c r="A37" s="403" t="s">
        <v>127</v>
      </c>
      <c r="B37" s="427">
        <f>B15*'[22]rates 10_1_20'!$J$10</f>
        <v>0</v>
      </c>
      <c r="C37" s="427">
        <f>C15*'[22]rates 10_1_20'!$J$10</f>
        <v>0</v>
      </c>
      <c r="D37" s="427">
        <f>D15*'[22]rates 10_1_20'!$J$10</f>
        <v>0</v>
      </c>
      <c r="E37" s="427">
        <f>E15*'[22]rates 10_1_20'!$J$10</f>
        <v>0</v>
      </c>
      <c r="F37" s="427">
        <f>F15*'[22]rates 10_1_20'!$J$10</f>
        <v>0</v>
      </c>
      <c r="G37" s="425">
        <f t="shared" si="2"/>
        <v>0</v>
      </c>
      <c r="J37" s="456"/>
      <c r="K37" s="459"/>
    </row>
    <row r="38" spans="1:12" ht="15" hidden="1" x14ac:dyDescent="0.25">
      <c r="A38" s="407" t="s">
        <v>128</v>
      </c>
      <c r="B38" s="408"/>
      <c r="C38" s="428"/>
      <c r="D38" s="426"/>
      <c r="E38" s="426"/>
      <c r="F38" s="426"/>
      <c r="G38" s="425">
        <f t="shared" si="2"/>
        <v>0</v>
      </c>
      <c r="K38" s="458">
        <f t="shared" si="4"/>
        <v>0</v>
      </c>
    </row>
    <row r="39" spans="1:12" ht="15.75" hidden="1" thickBot="1" x14ac:dyDescent="0.3">
      <c r="A39" s="429" t="s">
        <v>130</v>
      </c>
      <c r="B39" s="430"/>
      <c r="C39" s="431"/>
      <c r="D39" s="432"/>
      <c r="E39" s="432"/>
      <c r="F39" s="432"/>
      <c r="G39" s="425">
        <f t="shared" si="2"/>
        <v>0</v>
      </c>
      <c r="K39" s="458">
        <f t="shared" si="4"/>
        <v>0</v>
      </c>
    </row>
    <row r="40" spans="1:12" s="397" customFormat="1" ht="16.5" thickTop="1" thickBot="1" x14ac:dyDescent="0.3">
      <c r="A40" s="433" t="s">
        <v>125</v>
      </c>
      <c r="B40" s="434">
        <f>SUM(B24:B37)</f>
        <v>1098909.5</v>
      </c>
      <c r="C40" s="434">
        <f t="shared" ref="C40:F40" si="5">SUM(C24:C37)</f>
        <v>1628593.2000000002</v>
      </c>
      <c r="D40" s="434">
        <f t="shared" si="5"/>
        <v>669747.00000000012</v>
      </c>
      <c r="E40" s="434">
        <f t="shared" si="5"/>
        <v>1303177.2000000002</v>
      </c>
      <c r="F40" s="434">
        <f t="shared" si="5"/>
        <v>1081199.6000000001</v>
      </c>
      <c r="G40" s="434">
        <f>SUM(G24:G39)</f>
        <v>5781626.5</v>
      </c>
      <c r="H40" s="449"/>
      <c r="J40" s="457">
        <f>SUM(J24:J39)</f>
        <v>6519370.7416609013</v>
      </c>
      <c r="K40" s="460">
        <f t="shared" si="4"/>
        <v>737744.24166090135</v>
      </c>
      <c r="L40" s="461">
        <f>(J40-G40)/G40</f>
        <v>0.12760150481199389</v>
      </c>
    </row>
    <row r="41" spans="1:12" ht="15.75" thickBot="1" x14ac:dyDescent="0.25">
      <c r="A41" s="435" t="s">
        <v>425</v>
      </c>
      <c r="B41" s="436">
        <v>1508732</v>
      </c>
      <c r="C41" s="437">
        <v>1287786</v>
      </c>
      <c r="D41" s="437">
        <v>590341</v>
      </c>
      <c r="E41" s="437">
        <v>1267928</v>
      </c>
      <c r="F41" s="437">
        <v>1117433</v>
      </c>
      <c r="G41" s="438">
        <f>SUM(B41:F41)</f>
        <v>5772220</v>
      </c>
    </row>
    <row r="42" spans="1:12" ht="15" thickBot="1" x14ac:dyDescent="0.25">
      <c r="A42" s="435" t="s">
        <v>426</v>
      </c>
      <c r="B42" s="439">
        <f>B40-B41</f>
        <v>-409822.5</v>
      </c>
      <c r="C42" s="439">
        <f t="shared" ref="C42:G42" si="6">C40-C41</f>
        <v>340807.20000000019</v>
      </c>
      <c r="D42" s="439">
        <f t="shared" si="6"/>
        <v>79406.000000000116</v>
      </c>
      <c r="E42" s="439">
        <f t="shared" si="6"/>
        <v>35249.200000000186</v>
      </c>
      <c r="F42" s="439">
        <f t="shared" si="6"/>
        <v>-36233.399999999907</v>
      </c>
      <c r="G42" s="440">
        <f t="shared" si="6"/>
        <v>9406.5</v>
      </c>
    </row>
    <row r="43" spans="1:12" x14ac:dyDescent="0.2">
      <c r="E43" s="441"/>
    </row>
    <row r="44" spans="1:12" x14ac:dyDescent="0.2">
      <c r="E44" s="441"/>
    </row>
    <row r="45" spans="1:12" x14ac:dyDescent="0.2">
      <c r="E45" s="441"/>
    </row>
  </sheetData>
  <mergeCells count="1">
    <mergeCell ref="A22:E22"/>
  </mergeCells>
  <printOptions horizontalCentered="1"/>
  <pageMargins left="0" right="0" top="0.5" bottom="0" header="0.3" footer="0.3"/>
  <pageSetup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CAC4-F3DA-4519-8F23-BF7715EFEB99}">
  <dimension ref="A1:R39"/>
  <sheetViews>
    <sheetView workbookViewId="0">
      <selection activeCell="K15" sqref="K15"/>
    </sheetView>
  </sheetViews>
  <sheetFormatPr defaultColWidth="9.140625" defaultRowHeight="15" x14ac:dyDescent="0.25"/>
  <cols>
    <col min="1" max="4" width="9.140625" style="341"/>
    <col min="5" max="5" width="19.42578125" style="341" customWidth="1"/>
    <col min="6" max="8" width="9.140625" style="341"/>
    <col min="9" max="9" width="11.28515625" style="341" customWidth="1"/>
    <col min="10" max="12" width="9.140625" style="341"/>
    <col min="13" max="13" width="10.140625" style="341" customWidth="1"/>
    <col min="14" max="16384" width="9.140625" style="341"/>
  </cols>
  <sheetData>
    <row r="1" spans="1:13" ht="15.75" x14ac:dyDescent="0.25">
      <c r="A1" s="340" t="s">
        <v>382</v>
      </c>
    </row>
    <row r="2" spans="1:13" x14ac:dyDescent="0.25">
      <c r="B2" s="342" t="s">
        <v>383</v>
      </c>
    </row>
    <row r="3" spans="1:13" ht="15.75" thickBot="1" x14ac:dyDescent="0.3"/>
    <row r="4" spans="1:13" ht="15.75" thickBot="1" x14ac:dyDescent="0.3">
      <c r="D4" s="343"/>
      <c r="E4" s="793" t="s">
        <v>384</v>
      </c>
      <c r="F4" s="794"/>
      <c r="G4" s="794"/>
      <c r="H4" s="794"/>
      <c r="I4" s="794"/>
      <c r="J4" s="795" t="s">
        <v>385</v>
      </c>
      <c r="K4" s="796"/>
      <c r="L4" s="796"/>
      <c r="M4" s="797"/>
    </row>
    <row r="5" spans="1:13" ht="54.75" customHeight="1" thickBot="1" x14ac:dyDescent="0.3">
      <c r="D5" s="343"/>
      <c r="E5" s="793" t="s">
        <v>386</v>
      </c>
      <c r="F5" s="794"/>
      <c r="G5" s="794"/>
      <c r="H5" s="794"/>
      <c r="I5" s="794"/>
      <c r="J5" s="798"/>
      <c r="K5" s="799"/>
      <c r="L5" s="799"/>
      <c r="M5" s="800"/>
    </row>
    <row r="6" spans="1:13" ht="45.75" thickBot="1" x14ac:dyDescent="0.3">
      <c r="D6" s="343"/>
      <c r="E6" s="344"/>
      <c r="F6" s="345"/>
      <c r="G6" s="345" t="s">
        <v>387</v>
      </c>
      <c r="H6" s="345" t="s">
        <v>388</v>
      </c>
      <c r="I6" s="346" t="s">
        <v>389</v>
      </c>
      <c r="J6" s="347"/>
      <c r="K6" s="348" t="s">
        <v>387</v>
      </c>
      <c r="L6" s="348" t="s">
        <v>388</v>
      </c>
      <c r="M6" s="349" t="s">
        <v>389</v>
      </c>
    </row>
    <row r="7" spans="1:13" ht="15.75" thickBot="1" x14ac:dyDescent="0.3">
      <c r="D7" s="801" t="s">
        <v>390</v>
      </c>
      <c r="E7" s="350" t="s">
        <v>391</v>
      </c>
      <c r="F7" s="351"/>
      <c r="G7" s="351">
        <v>63.2</v>
      </c>
      <c r="H7" s="351">
        <v>79.099999999999994</v>
      </c>
      <c r="I7" s="352">
        <v>96.8</v>
      </c>
      <c r="J7" s="353"/>
      <c r="K7" s="354">
        <f t="shared" ref="K7:M12" si="0">G7/7</f>
        <v>9.0285714285714285</v>
      </c>
      <c r="L7" s="355">
        <f t="shared" si="0"/>
        <v>11.299999999999999</v>
      </c>
      <c r="M7" s="356">
        <f t="shared" si="0"/>
        <v>13.828571428571427</v>
      </c>
    </row>
    <row r="8" spans="1:13" ht="15.75" thickBot="1" x14ac:dyDescent="0.3">
      <c r="D8" s="802"/>
      <c r="E8" s="350" t="s">
        <v>392</v>
      </c>
      <c r="F8" s="351"/>
      <c r="G8" s="351">
        <v>59.7</v>
      </c>
      <c r="H8" s="351">
        <v>74.8</v>
      </c>
      <c r="I8" s="352">
        <v>90</v>
      </c>
      <c r="J8" s="353"/>
      <c r="K8" s="357">
        <f t="shared" si="0"/>
        <v>8.5285714285714285</v>
      </c>
      <c r="L8" s="358">
        <f t="shared" si="0"/>
        <v>10.685714285714285</v>
      </c>
      <c r="M8" s="356">
        <f t="shared" si="0"/>
        <v>12.857142857142858</v>
      </c>
    </row>
    <row r="9" spans="1:13" ht="15.75" thickBot="1" x14ac:dyDescent="0.3">
      <c r="D9" s="803"/>
      <c r="E9" s="350" t="s">
        <v>393</v>
      </c>
      <c r="F9" s="351"/>
      <c r="G9" s="351">
        <v>58.6</v>
      </c>
      <c r="H9" s="351">
        <v>72.7</v>
      </c>
      <c r="I9" s="352">
        <v>89.7</v>
      </c>
      <c r="J9" s="353"/>
      <c r="K9" s="357">
        <f t="shared" si="0"/>
        <v>8.3714285714285719</v>
      </c>
      <c r="L9" s="358">
        <f t="shared" si="0"/>
        <v>10.385714285714286</v>
      </c>
      <c r="M9" s="356">
        <f t="shared" si="0"/>
        <v>12.814285714285715</v>
      </c>
    </row>
    <row r="10" spans="1:13" ht="15.75" thickBot="1" x14ac:dyDescent="0.3">
      <c r="D10" s="801" t="s">
        <v>394</v>
      </c>
      <c r="E10" s="350" t="s">
        <v>391</v>
      </c>
      <c r="F10" s="351"/>
      <c r="G10" s="351">
        <v>55</v>
      </c>
      <c r="H10" s="351">
        <v>67.099999999999994</v>
      </c>
      <c r="I10" s="352">
        <v>85.9</v>
      </c>
      <c r="J10" s="353"/>
      <c r="K10" s="357">
        <f t="shared" si="0"/>
        <v>7.8571428571428568</v>
      </c>
      <c r="L10" s="358">
        <f t="shared" si="0"/>
        <v>9.5857142857142854</v>
      </c>
      <c r="M10" s="356">
        <f t="shared" si="0"/>
        <v>12.271428571428572</v>
      </c>
    </row>
    <row r="11" spans="1:13" ht="15.75" thickBot="1" x14ac:dyDescent="0.3">
      <c r="D11" s="802"/>
      <c r="E11" s="350" t="s">
        <v>392</v>
      </c>
      <c r="F11" s="351"/>
      <c r="G11" s="351">
        <v>53.4</v>
      </c>
      <c r="H11" s="351">
        <v>66.5</v>
      </c>
      <c r="I11" s="352">
        <v>80.8</v>
      </c>
      <c r="J11" s="353"/>
      <c r="K11" s="357">
        <f t="shared" si="0"/>
        <v>7.6285714285714281</v>
      </c>
      <c r="L11" s="358">
        <f t="shared" si="0"/>
        <v>9.5</v>
      </c>
      <c r="M11" s="356">
        <f t="shared" si="0"/>
        <v>11.542857142857143</v>
      </c>
    </row>
    <row r="12" spans="1:13" ht="15.75" thickBot="1" x14ac:dyDescent="0.3">
      <c r="D12" s="803"/>
      <c r="E12" s="359" t="s">
        <v>393</v>
      </c>
      <c r="F12" s="360"/>
      <c r="G12" s="360">
        <v>52.9</v>
      </c>
      <c r="H12" s="360">
        <v>65.7</v>
      </c>
      <c r="I12" s="361">
        <v>79.2</v>
      </c>
      <c r="J12" s="362"/>
      <c r="K12" s="363">
        <f t="shared" si="0"/>
        <v>7.5571428571428569</v>
      </c>
      <c r="L12" s="364">
        <f t="shared" si="0"/>
        <v>9.3857142857142861</v>
      </c>
      <c r="M12" s="365">
        <f t="shared" si="0"/>
        <v>11.314285714285715</v>
      </c>
    </row>
    <row r="13" spans="1:13" ht="15.75" thickBot="1" x14ac:dyDescent="0.3">
      <c r="D13" s="366"/>
      <c r="E13" s="366"/>
      <c r="F13" s="366"/>
      <c r="G13" s="366"/>
      <c r="H13" s="367"/>
      <c r="I13" s="368" t="s">
        <v>395</v>
      </c>
      <c r="J13" s="369"/>
      <c r="K13" s="370">
        <f>AVERAGE(K7:K12)</f>
        <v>8.1619047619047613</v>
      </c>
      <c r="L13" s="370">
        <f>AVERAGE(L7:L12)</f>
        <v>10.140476190476191</v>
      </c>
      <c r="M13" s="369">
        <f>AVERAGE(M7:M12)</f>
        <v>12.438095238095238</v>
      </c>
    </row>
    <row r="14" spans="1:13" ht="15.75" thickTop="1" x14ac:dyDescent="0.25"/>
    <row r="16" spans="1:13" ht="15.75" thickBot="1" x14ac:dyDescent="0.3">
      <c r="F16" s="371"/>
    </row>
    <row r="17" spans="8:18" ht="15.75" thickBot="1" x14ac:dyDescent="0.3">
      <c r="H17" s="804" t="s">
        <v>132</v>
      </c>
      <c r="I17" s="805"/>
      <c r="J17" s="806"/>
      <c r="K17" s="372">
        <v>8.16</v>
      </c>
      <c r="L17" s="373" t="s">
        <v>396</v>
      </c>
      <c r="M17" s="373"/>
    </row>
    <row r="18" spans="8:18" ht="15.75" thickBot="1" x14ac:dyDescent="0.3">
      <c r="H18" s="792" t="s">
        <v>397</v>
      </c>
      <c r="I18" s="792"/>
      <c r="J18" s="792"/>
      <c r="K18" s="374">
        <f>AVERAGE(J13:M13)</f>
        <v>10.246825396825395</v>
      </c>
      <c r="L18" s="375"/>
      <c r="M18" s="376"/>
    </row>
    <row r="19" spans="8:18" ht="15.75" thickBot="1" x14ac:dyDescent="0.3">
      <c r="H19" s="792" t="s">
        <v>398</v>
      </c>
      <c r="I19" s="792"/>
      <c r="J19" s="792"/>
      <c r="K19" s="377">
        <f>AVERAGE(K13:L13)</f>
        <v>9.1511904761904752</v>
      </c>
      <c r="L19" s="375"/>
      <c r="M19" s="376"/>
    </row>
    <row r="20" spans="8:18" x14ac:dyDescent="0.25">
      <c r="H20" s="792" t="s">
        <v>399</v>
      </c>
      <c r="I20" s="792"/>
      <c r="J20" s="792"/>
      <c r="K20" s="378">
        <f>AVERAGE(K13:M13)</f>
        <v>10.246825396825395</v>
      </c>
      <c r="L20" s="375"/>
      <c r="M20" s="376"/>
    </row>
    <row r="21" spans="8:18" x14ac:dyDescent="0.25">
      <c r="H21" s="792" t="s">
        <v>400</v>
      </c>
      <c r="I21" s="792"/>
      <c r="J21" s="792"/>
      <c r="K21" s="379">
        <f>AVERAGE(L13:M13)</f>
        <v>11.289285714285715</v>
      </c>
      <c r="L21" s="375"/>
      <c r="M21" s="376"/>
    </row>
    <row r="22" spans="8:18" x14ac:dyDescent="0.25">
      <c r="I22" s="366"/>
      <c r="J22" s="366"/>
      <c r="K22" s="366"/>
      <c r="L22" s="366"/>
      <c r="M22" s="366"/>
    </row>
    <row r="24" spans="8:18" x14ac:dyDescent="0.25">
      <c r="R24" s="371"/>
    </row>
    <row r="25" spans="8:18" x14ac:dyDescent="0.25">
      <c r="R25" s="371"/>
    </row>
    <row r="26" spans="8:18" x14ac:dyDescent="0.25">
      <c r="R26" s="371"/>
    </row>
    <row r="27" spans="8:18" x14ac:dyDescent="0.25">
      <c r="R27" s="371"/>
    </row>
    <row r="28" spans="8:18" x14ac:dyDescent="0.25">
      <c r="R28" s="371"/>
    </row>
    <row r="30" spans="8:18" x14ac:dyDescent="0.25">
      <c r="R30" s="371"/>
    </row>
    <row r="31" spans="8:18" x14ac:dyDescent="0.25">
      <c r="R31" s="371"/>
    </row>
    <row r="32" spans="8:18" x14ac:dyDescent="0.25">
      <c r="R32" s="371"/>
    </row>
    <row r="33" spans="18:18" x14ac:dyDescent="0.25">
      <c r="R33" s="371"/>
    </row>
    <row r="34" spans="18:18" x14ac:dyDescent="0.25">
      <c r="R34" s="371"/>
    </row>
    <row r="35" spans="18:18" x14ac:dyDescent="0.25">
      <c r="R35" s="371"/>
    </row>
    <row r="37" spans="18:18" x14ac:dyDescent="0.25">
      <c r="R37" s="371"/>
    </row>
    <row r="38" spans="18:18" x14ac:dyDescent="0.25">
      <c r="R38" s="371"/>
    </row>
    <row r="39" spans="18:18" x14ac:dyDescent="0.25">
      <c r="R39" s="371"/>
    </row>
  </sheetData>
  <mergeCells count="10">
    <mergeCell ref="D7:D9"/>
    <mergeCell ref="D10:D12"/>
    <mergeCell ref="H17:J17"/>
    <mergeCell ref="H18:J18"/>
    <mergeCell ref="H19:J19"/>
    <mergeCell ref="H20:J20"/>
    <mergeCell ref="H21:J21"/>
    <mergeCell ref="E4:I4"/>
    <mergeCell ref="J4:M5"/>
    <mergeCell ref="E5:I5"/>
  </mergeCells>
  <pageMargins left="0.2" right="0.2"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84F8-EF6C-48D6-9CC6-AA7D1EFBD167}">
  <sheetPr>
    <pageSetUpPr fitToPage="1"/>
  </sheetPr>
  <dimension ref="B1:K57"/>
  <sheetViews>
    <sheetView showGridLines="0" zoomScale="60" zoomScaleNormal="60" workbookViewId="0">
      <selection activeCell="C45" sqref="C45"/>
    </sheetView>
  </sheetViews>
  <sheetFormatPr defaultRowHeight="26.25" x14ac:dyDescent="0.4"/>
  <cols>
    <col min="1" max="1" width="5.5703125" style="276" customWidth="1"/>
    <col min="2" max="2" width="78.7109375" style="276" customWidth="1"/>
    <col min="3" max="3" width="25.85546875" style="276" customWidth="1"/>
    <col min="4" max="4" width="71.5703125" style="276" customWidth="1"/>
    <col min="5" max="5" width="69.140625" style="278" customWidth="1"/>
    <col min="6" max="6" width="46.140625" style="278" customWidth="1"/>
    <col min="7" max="8" width="9.140625" style="276"/>
    <col min="9" max="9" width="26.140625" style="276" customWidth="1"/>
    <col min="10" max="10" width="22.42578125" style="582" customWidth="1"/>
    <col min="11" max="11" width="13.42578125" style="276" customWidth="1"/>
    <col min="12" max="231" width="9.140625" style="276"/>
    <col min="232" max="232" width="5.5703125" style="276" customWidth="1"/>
    <col min="233" max="233" width="58" style="276" customWidth="1"/>
    <col min="234" max="234" width="24.140625" style="276" customWidth="1"/>
    <col min="235" max="236" width="0" style="276" hidden="1" customWidth="1"/>
    <col min="237" max="237" width="61.42578125" style="276" customWidth="1"/>
    <col min="238" max="238" width="62.140625" style="276" customWidth="1"/>
    <col min="239" max="242" width="0" style="276" hidden="1" customWidth="1"/>
    <col min="243" max="487" width="9.140625" style="276"/>
    <col min="488" max="488" width="5.5703125" style="276" customWidth="1"/>
    <col min="489" max="489" width="58" style="276" customWidth="1"/>
    <col min="490" max="490" width="24.140625" style="276" customWidth="1"/>
    <col min="491" max="492" width="0" style="276" hidden="1" customWidth="1"/>
    <col min="493" max="493" width="61.42578125" style="276" customWidth="1"/>
    <col min="494" max="494" width="62.140625" style="276" customWidth="1"/>
    <col min="495" max="498" width="0" style="276" hidden="1" customWidth="1"/>
    <col min="499" max="743" width="9.140625" style="276"/>
    <col min="744" max="744" width="5.5703125" style="276" customWidth="1"/>
    <col min="745" max="745" width="58" style="276" customWidth="1"/>
    <col min="746" max="746" width="24.140625" style="276" customWidth="1"/>
    <col min="747" max="748" width="0" style="276" hidden="1" customWidth="1"/>
    <col min="749" max="749" width="61.42578125" style="276" customWidth="1"/>
    <col min="750" max="750" width="62.140625" style="276" customWidth="1"/>
    <col min="751" max="754" width="0" style="276" hidden="1" customWidth="1"/>
    <col min="755" max="999" width="9.140625" style="276"/>
    <col min="1000" max="1000" width="5.5703125" style="276" customWidth="1"/>
    <col min="1001" max="1001" width="58" style="276" customWidth="1"/>
    <col min="1002" max="1002" width="24.140625" style="276" customWidth="1"/>
    <col min="1003" max="1004" width="0" style="276" hidden="1" customWidth="1"/>
    <col min="1005" max="1005" width="61.42578125" style="276" customWidth="1"/>
    <col min="1006" max="1006" width="62.140625" style="276" customWidth="1"/>
    <col min="1007" max="1010" width="0" style="276" hidden="1" customWidth="1"/>
    <col min="1011" max="1255" width="9.140625" style="276"/>
    <col min="1256" max="1256" width="5.5703125" style="276" customWidth="1"/>
    <col min="1257" max="1257" width="58" style="276" customWidth="1"/>
    <col min="1258" max="1258" width="24.140625" style="276" customWidth="1"/>
    <col min="1259" max="1260" width="0" style="276" hidden="1" customWidth="1"/>
    <col min="1261" max="1261" width="61.42578125" style="276" customWidth="1"/>
    <col min="1262" max="1262" width="62.140625" style="276" customWidth="1"/>
    <col min="1263" max="1266" width="0" style="276" hidden="1" customWidth="1"/>
    <col min="1267" max="1511" width="9.140625" style="276"/>
    <col min="1512" max="1512" width="5.5703125" style="276" customWidth="1"/>
    <col min="1513" max="1513" width="58" style="276" customWidth="1"/>
    <col min="1514" max="1514" width="24.140625" style="276" customWidth="1"/>
    <col min="1515" max="1516" width="0" style="276" hidden="1" customWidth="1"/>
    <col min="1517" max="1517" width="61.42578125" style="276" customWidth="1"/>
    <col min="1518" max="1518" width="62.140625" style="276" customWidth="1"/>
    <col min="1519" max="1522" width="0" style="276" hidden="1" customWidth="1"/>
    <col min="1523" max="1767" width="9.140625" style="276"/>
    <col min="1768" max="1768" width="5.5703125" style="276" customWidth="1"/>
    <col min="1769" max="1769" width="58" style="276" customWidth="1"/>
    <col min="1770" max="1770" width="24.140625" style="276" customWidth="1"/>
    <col min="1771" max="1772" width="0" style="276" hidden="1" customWidth="1"/>
    <col min="1773" max="1773" width="61.42578125" style="276" customWidth="1"/>
    <col min="1774" max="1774" width="62.140625" style="276" customWidth="1"/>
    <col min="1775" max="1778" width="0" style="276" hidden="1" customWidth="1"/>
    <col min="1779" max="2023" width="9.140625" style="276"/>
    <col min="2024" max="2024" width="5.5703125" style="276" customWidth="1"/>
    <col min="2025" max="2025" width="58" style="276" customWidth="1"/>
    <col min="2026" max="2026" width="24.140625" style="276" customWidth="1"/>
    <col min="2027" max="2028" width="0" style="276" hidden="1" customWidth="1"/>
    <col min="2029" max="2029" width="61.42578125" style="276" customWidth="1"/>
    <col min="2030" max="2030" width="62.140625" style="276" customWidth="1"/>
    <col min="2031" max="2034" width="0" style="276" hidden="1" customWidth="1"/>
    <col min="2035" max="2279" width="9.140625" style="276"/>
    <col min="2280" max="2280" width="5.5703125" style="276" customWidth="1"/>
    <col min="2281" max="2281" width="58" style="276" customWidth="1"/>
    <col min="2282" max="2282" width="24.140625" style="276" customWidth="1"/>
    <col min="2283" max="2284" width="0" style="276" hidden="1" customWidth="1"/>
    <col min="2285" max="2285" width="61.42578125" style="276" customWidth="1"/>
    <col min="2286" max="2286" width="62.140625" style="276" customWidth="1"/>
    <col min="2287" max="2290" width="0" style="276" hidden="1" customWidth="1"/>
    <col min="2291" max="2535" width="9.140625" style="276"/>
    <col min="2536" max="2536" width="5.5703125" style="276" customWidth="1"/>
    <col min="2537" max="2537" width="58" style="276" customWidth="1"/>
    <col min="2538" max="2538" width="24.140625" style="276" customWidth="1"/>
    <col min="2539" max="2540" width="0" style="276" hidden="1" customWidth="1"/>
    <col min="2541" max="2541" width="61.42578125" style="276" customWidth="1"/>
    <col min="2542" max="2542" width="62.140625" style="276" customWidth="1"/>
    <col min="2543" max="2546" width="0" style="276" hidden="1" customWidth="1"/>
    <col min="2547" max="2791" width="9.140625" style="276"/>
    <col min="2792" max="2792" width="5.5703125" style="276" customWidth="1"/>
    <col min="2793" max="2793" width="58" style="276" customWidth="1"/>
    <col min="2794" max="2794" width="24.140625" style="276" customWidth="1"/>
    <col min="2795" max="2796" width="0" style="276" hidden="1" customWidth="1"/>
    <col min="2797" max="2797" width="61.42578125" style="276" customWidth="1"/>
    <col min="2798" max="2798" width="62.140625" style="276" customWidth="1"/>
    <col min="2799" max="2802" width="0" style="276" hidden="1" customWidth="1"/>
    <col min="2803" max="3047" width="9.140625" style="276"/>
    <col min="3048" max="3048" width="5.5703125" style="276" customWidth="1"/>
    <col min="3049" max="3049" width="58" style="276" customWidth="1"/>
    <col min="3050" max="3050" width="24.140625" style="276" customWidth="1"/>
    <col min="3051" max="3052" width="0" style="276" hidden="1" customWidth="1"/>
    <col min="3053" max="3053" width="61.42578125" style="276" customWidth="1"/>
    <col min="3054" max="3054" width="62.140625" style="276" customWidth="1"/>
    <col min="3055" max="3058" width="0" style="276" hidden="1" customWidth="1"/>
    <col min="3059" max="3303" width="9.140625" style="276"/>
    <col min="3304" max="3304" width="5.5703125" style="276" customWidth="1"/>
    <col min="3305" max="3305" width="58" style="276" customWidth="1"/>
    <col min="3306" max="3306" width="24.140625" style="276" customWidth="1"/>
    <col min="3307" max="3308" width="0" style="276" hidden="1" customWidth="1"/>
    <col min="3309" max="3309" width="61.42578125" style="276" customWidth="1"/>
    <col min="3310" max="3310" width="62.140625" style="276" customWidth="1"/>
    <col min="3311" max="3314" width="0" style="276" hidden="1" customWidth="1"/>
    <col min="3315" max="3559" width="9.140625" style="276"/>
    <col min="3560" max="3560" width="5.5703125" style="276" customWidth="1"/>
    <col min="3561" max="3561" width="58" style="276" customWidth="1"/>
    <col min="3562" max="3562" width="24.140625" style="276" customWidth="1"/>
    <col min="3563" max="3564" width="0" style="276" hidden="1" customWidth="1"/>
    <col min="3565" max="3565" width="61.42578125" style="276" customWidth="1"/>
    <col min="3566" max="3566" width="62.140625" style="276" customWidth="1"/>
    <col min="3567" max="3570" width="0" style="276" hidden="1" customWidth="1"/>
    <col min="3571" max="3815" width="9.140625" style="276"/>
    <col min="3816" max="3816" width="5.5703125" style="276" customWidth="1"/>
    <col min="3817" max="3817" width="58" style="276" customWidth="1"/>
    <col min="3818" max="3818" width="24.140625" style="276" customWidth="1"/>
    <col min="3819" max="3820" width="0" style="276" hidden="1" customWidth="1"/>
    <col min="3821" max="3821" width="61.42578125" style="276" customWidth="1"/>
    <col min="3822" max="3822" width="62.140625" style="276" customWidth="1"/>
    <col min="3823" max="3826" width="0" style="276" hidden="1" customWidth="1"/>
    <col min="3827" max="4071" width="9.140625" style="276"/>
    <col min="4072" max="4072" width="5.5703125" style="276" customWidth="1"/>
    <col min="4073" max="4073" width="58" style="276" customWidth="1"/>
    <col min="4074" max="4074" width="24.140625" style="276" customWidth="1"/>
    <col min="4075" max="4076" width="0" style="276" hidden="1" customWidth="1"/>
    <col min="4077" max="4077" width="61.42578125" style="276" customWidth="1"/>
    <col min="4078" max="4078" width="62.140625" style="276" customWidth="1"/>
    <col min="4079" max="4082" width="0" style="276" hidden="1" customWidth="1"/>
    <col min="4083" max="4327" width="9.140625" style="276"/>
    <col min="4328" max="4328" width="5.5703125" style="276" customWidth="1"/>
    <col min="4329" max="4329" width="58" style="276" customWidth="1"/>
    <col min="4330" max="4330" width="24.140625" style="276" customWidth="1"/>
    <col min="4331" max="4332" width="0" style="276" hidden="1" customWidth="1"/>
    <col min="4333" max="4333" width="61.42578125" style="276" customWidth="1"/>
    <col min="4334" max="4334" width="62.140625" style="276" customWidth="1"/>
    <col min="4335" max="4338" width="0" style="276" hidden="1" customWidth="1"/>
    <col min="4339" max="4583" width="9.140625" style="276"/>
    <col min="4584" max="4584" width="5.5703125" style="276" customWidth="1"/>
    <col min="4585" max="4585" width="58" style="276" customWidth="1"/>
    <col min="4586" max="4586" width="24.140625" style="276" customWidth="1"/>
    <col min="4587" max="4588" width="0" style="276" hidden="1" customWidth="1"/>
    <col min="4589" max="4589" width="61.42578125" style="276" customWidth="1"/>
    <col min="4590" max="4590" width="62.140625" style="276" customWidth="1"/>
    <col min="4591" max="4594" width="0" style="276" hidden="1" customWidth="1"/>
    <col min="4595" max="4839" width="9.140625" style="276"/>
    <col min="4840" max="4840" width="5.5703125" style="276" customWidth="1"/>
    <col min="4841" max="4841" width="58" style="276" customWidth="1"/>
    <col min="4842" max="4842" width="24.140625" style="276" customWidth="1"/>
    <col min="4843" max="4844" width="0" style="276" hidden="1" customWidth="1"/>
    <col min="4845" max="4845" width="61.42578125" style="276" customWidth="1"/>
    <col min="4846" max="4846" width="62.140625" style="276" customWidth="1"/>
    <col min="4847" max="4850" width="0" style="276" hidden="1" customWidth="1"/>
    <col min="4851" max="5095" width="9.140625" style="276"/>
    <col min="5096" max="5096" width="5.5703125" style="276" customWidth="1"/>
    <col min="5097" max="5097" width="58" style="276" customWidth="1"/>
    <col min="5098" max="5098" width="24.140625" style="276" customWidth="1"/>
    <col min="5099" max="5100" width="0" style="276" hidden="1" customWidth="1"/>
    <col min="5101" max="5101" width="61.42578125" style="276" customWidth="1"/>
    <col min="5102" max="5102" width="62.140625" style="276" customWidth="1"/>
    <col min="5103" max="5106" width="0" style="276" hidden="1" customWidth="1"/>
    <col min="5107" max="5351" width="9.140625" style="276"/>
    <col min="5352" max="5352" width="5.5703125" style="276" customWidth="1"/>
    <col min="5353" max="5353" width="58" style="276" customWidth="1"/>
    <col min="5354" max="5354" width="24.140625" style="276" customWidth="1"/>
    <col min="5355" max="5356" width="0" style="276" hidden="1" customWidth="1"/>
    <col min="5357" max="5357" width="61.42578125" style="276" customWidth="1"/>
    <col min="5358" max="5358" width="62.140625" style="276" customWidth="1"/>
    <col min="5359" max="5362" width="0" style="276" hidden="1" customWidth="1"/>
    <col min="5363" max="5607" width="9.140625" style="276"/>
    <col min="5608" max="5608" width="5.5703125" style="276" customWidth="1"/>
    <col min="5609" max="5609" width="58" style="276" customWidth="1"/>
    <col min="5610" max="5610" width="24.140625" style="276" customWidth="1"/>
    <col min="5611" max="5612" width="0" style="276" hidden="1" customWidth="1"/>
    <col min="5613" max="5613" width="61.42578125" style="276" customWidth="1"/>
    <col min="5614" max="5614" width="62.140625" style="276" customWidth="1"/>
    <col min="5615" max="5618" width="0" style="276" hidden="1" customWidth="1"/>
    <col min="5619" max="5863" width="9.140625" style="276"/>
    <col min="5864" max="5864" width="5.5703125" style="276" customWidth="1"/>
    <col min="5865" max="5865" width="58" style="276" customWidth="1"/>
    <col min="5866" max="5866" width="24.140625" style="276" customWidth="1"/>
    <col min="5867" max="5868" width="0" style="276" hidden="1" customWidth="1"/>
    <col min="5869" max="5869" width="61.42578125" style="276" customWidth="1"/>
    <col min="5870" max="5870" width="62.140625" style="276" customWidth="1"/>
    <col min="5871" max="5874" width="0" style="276" hidden="1" customWidth="1"/>
    <col min="5875" max="6119" width="9.140625" style="276"/>
    <col min="6120" max="6120" width="5.5703125" style="276" customWidth="1"/>
    <col min="6121" max="6121" width="58" style="276" customWidth="1"/>
    <col min="6122" max="6122" width="24.140625" style="276" customWidth="1"/>
    <col min="6123" max="6124" width="0" style="276" hidden="1" customWidth="1"/>
    <col min="6125" max="6125" width="61.42578125" style="276" customWidth="1"/>
    <col min="6126" max="6126" width="62.140625" style="276" customWidth="1"/>
    <col min="6127" max="6130" width="0" style="276" hidden="1" customWidth="1"/>
    <col min="6131" max="6375" width="9.140625" style="276"/>
    <col min="6376" max="6376" width="5.5703125" style="276" customWidth="1"/>
    <col min="6377" max="6377" width="58" style="276" customWidth="1"/>
    <col min="6378" max="6378" width="24.140625" style="276" customWidth="1"/>
    <col min="6379" max="6380" width="0" style="276" hidden="1" customWidth="1"/>
    <col min="6381" max="6381" width="61.42578125" style="276" customWidth="1"/>
    <col min="6382" max="6382" width="62.140625" style="276" customWidth="1"/>
    <col min="6383" max="6386" width="0" style="276" hidden="1" customWidth="1"/>
    <col min="6387" max="6631" width="9.140625" style="276"/>
    <col min="6632" max="6632" width="5.5703125" style="276" customWidth="1"/>
    <col min="6633" max="6633" width="58" style="276" customWidth="1"/>
    <col min="6634" max="6634" width="24.140625" style="276" customWidth="1"/>
    <col min="6635" max="6636" width="0" style="276" hidden="1" customWidth="1"/>
    <col min="6637" max="6637" width="61.42578125" style="276" customWidth="1"/>
    <col min="6638" max="6638" width="62.140625" style="276" customWidth="1"/>
    <col min="6639" max="6642" width="0" style="276" hidden="1" customWidth="1"/>
    <col min="6643" max="6887" width="9.140625" style="276"/>
    <col min="6888" max="6888" width="5.5703125" style="276" customWidth="1"/>
    <col min="6889" max="6889" width="58" style="276" customWidth="1"/>
    <col min="6890" max="6890" width="24.140625" style="276" customWidth="1"/>
    <col min="6891" max="6892" width="0" style="276" hidden="1" customWidth="1"/>
    <col min="6893" max="6893" width="61.42578125" style="276" customWidth="1"/>
    <col min="6894" max="6894" width="62.140625" style="276" customWidth="1"/>
    <col min="6895" max="6898" width="0" style="276" hidden="1" customWidth="1"/>
    <col min="6899" max="7143" width="9.140625" style="276"/>
    <col min="7144" max="7144" width="5.5703125" style="276" customWidth="1"/>
    <col min="7145" max="7145" width="58" style="276" customWidth="1"/>
    <col min="7146" max="7146" width="24.140625" style="276" customWidth="1"/>
    <col min="7147" max="7148" width="0" style="276" hidden="1" customWidth="1"/>
    <col min="7149" max="7149" width="61.42578125" style="276" customWidth="1"/>
    <col min="7150" max="7150" width="62.140625" style="276" customWidth="1"/>
    <col min="7151" max="7154" width="0" style="276" hidden="1" customWidth="1"/>
    <col min="7155" max="7399" width="9.140625" style="276"/>
    <col min="7400" max="7400" width="5.5703125" style="276" customWidth="1"/>
    <col min="7401" max="7401" width="58" style="276" customWidth="1"/>
    <col min="7402" max="7402" width="24.140625" style="276" customWidth="1"/>
    <col min="7403" max="7404" width="0" style="276" hidden="1" customWidth="1"/>
    <col min="7405" max="7405" width="61.42578125" style="276" customWidth="1"/>
    <col min="7406" max="7406" width="62.140625" style="276" customWidth="1"/>
    <col min="7407" max="7410" width="0" style="276" hidden="1" customWidth="1"/>
    <col min="7411" max="7655" width="9.140625" style="276"/>
    <col min="7656" max="7656" width="5.5703125" style="276" customWidth="1"/>
    <col min="7657" max="7657" width="58" style="276" customWidth="1"/>
    <col min="7658" max="7658" width="24.140625" style="276" customWidth="1"/>
    <col min="7659" max="7660" width="0" style="276" hidden="1" customWidth="1"/>
    <col min="7661" max="7661" width="61.42578125" style="276" customWidth="1"/>
    <col min="7662" max="7662" width="62.140625" style="276" customWidth="1"/>
    <col min="7663" max="7666" width="0" style="276" hidden="1" customWidth="1"/>
    <col min="7667" max="7911" width="9.140625" style="276"/>
    <col min="7912" max="7912" width="5.5703125" style="276" customWidth="1"/>
    <col min="7913" max="7913" width="58" style="276" customWidth="1"/>
    <col min="7914" max="7914" width="24.140625" style="276" customWidth="1"/>
    <col min="7915" max="7916" width="0" style="276" hidden="1" customWidth="1"/>
    <col min="7917" max="7917" width="61.42578125" style="276" customWidth="1"/>
    <col min="7918" max="7918" width="62.140625" style="276" customWidth="1"/>
    <col min="7919" max="7922" width="0" style="276" hidden="1" customWidth="1"/>
    <col min="7923" max="8167" width="9.140625" style="276"/>
    <col min="8168" max="8168" width="5.5703125" style="276" customWidth="1"/>
    <col min="8169" max="8169" width="58" style="276" customWidth="1"/>
    <col min="8170" max="8170" width="24.140625" style="276" customWidth="1"/>
    <col min="8171" max="8172" width="0" style="276" hidden="1" customWidth="1"/>
    <col min="8173" max="8173" width="61.42578125" style="276" customWidth="1"/>
    <col min="8174" max="8174" width="62.140625" style="276" customWidth="1"/>
    <col min="8175" max="8178" width="0" style="276" hidden="1" customWidth="1"/>
    <col min="8179" max="8423" width="9.140625" style="276"/>
    <col min="8424" max="8424" width="5.5703125" style="276" customWidth="1"/>
    <col min="8425" max="8425" width="58" style="276" customWidth="1"/>
    <col min="8426" max="8426" width="24.140625" style="276" customWidth="1"/>
    <col min="8427" max="8428" width="0" style="276" hidden="1" customWidth="1"/>
    <col min="8429" max="8429" width="61.42578125" style="276" customWidth="1"/>
    <col min="8430" max="8430" width="62.140625" style="276" customWidth="1"/>
    <col min="8431" max="8434" width="0" style="276" hidden="1" customWidth="1"/>
    <col min="8435" max="8679" width="9.140625" style="276"/>
    <col min="8680" max="8680" width="5.5703125" style="276" customWidth="1"/>
    <col min="8681" max="8681" width="58" style="276" customWidth="1"/>
    <col min="8682" max="8682" width="24.140625" style="276" customWidth="1"/>
    <col min="8683" max="8684" width="0" style="276" hidden="1" customWidth="1"/>
    <col min="8685" max="8685" width="61.42578125" style="276" customWidth="1"/>
    <col min="8686" max="8686" width="62.140625" style="276" customWidth="1"/>
    <col min="8687" max="8690" width="0" style="276" hidden="1" customWidth="1"/>
    <col min="8691" max="8935" width="9.140625" style="276"/>
    <col min="8936" max="8936" width="5.5703125" style="276" customWidth="1"/>
    <col min="8937" max="8937" width="58" style="276" customWidth="1"/>
    <col min="8938" max="8938" width="24.140625" style="276" customWidth="1"/>
    <col min="8939" max="8940" width="0" style="276" hidden="1" customWidth="1"/>
    <col min="8941" max="8941" width="61.42578125" style="276" customWidth="1"/>
    <col min="8942" max="8942" width="62.140625" style="276" customWidth="1"/>
    <col min="8943" max="8946" width="0" style="276" hidden="1" customWidth="1"/>
    <col min="8947" max="9191" width="9.140625" style="276"/>
    <col min="9192" max="9192" width="5.5703125" style="276" customWidth="1"/>
    <col min="9193" max="9193" width="58" style="276" customWidth="1"/>
    <col min="9194" max="9194" width="24.140625" style="276" customWidth="1"/>
    <col min="9195" max="9196" width="0" style="276" hidden="1" customWidth="1"/>
    <col min="9197" max="9197" width="61.42578125" style="276" customWidth="1"/>
    <col min="9198" max="9198" width="62.140625" style="276" customWidth="1"/>
    <col min="9199" max="9202" width="0" style="276" hidden="1" customWidth="1"/>
    <col min="9203" max="9447" width="9.140625" style="276"/>
    <col min="9448" max="9448" width="5.5703125" style="276" customWidth="1"/>
    <col min="9449" max="9449" width="58" style="276" customWidth="1"/>
    <col min="9450" max="9450" width="24.140625" style="276" customWidth="1"/>
    <col min="9451" max="9452" width="0" style="276" hidden="1" customWidth="1"/>
    <col min="9453" max="9453" width="61.42578125" style="276" customWidth="1"/>
    <col min="9454" max="9454" width="62.140625" style="276" customWidth="1"/>
    <col min="9455" max="9458" width="0" style="276" hidden="1" customWidth="1"/>
    <col min="9459" max="9703" width="9.140625" style="276"/>
    <col min="9704" max="9704" width="5.5703125" style="276" customWidth="1"/>
    <col min="9705" max="9705" width="58" style="276" customWidth="1"/>
    <col min="9706" max="9706" width="24.140625" style="276" customWidth="1"/>
    <col min="9707" max="9708" width="0" style="276" hidden="1" customWidth="1"/>
    <col min="9709" max="9709" width="61.42578125" style="276" customWidth="1"/>
    <col min="9710" max="9710" width="62.140625" style="276" customWidth="1"/>
    <col min="9711" max="9714" width="0" style="276" hidden="1" customWidth="1"/>
    <col min="9715" max="9959" width="9.140625" style="276"/>
    <col min="9960" max="9960" width="5.5703125" style="276" customWidth="1"/>
    <col min="9961" max="9961" width="58" style="276" customWidth="1"/>
    <col min="9962" max="9962" width="24.140625" style="276" customWidth="1"/>
    <col min="9963" max="9964" width="0" style="276" hidden="1" customWidth="1"/>
    <col min="9965" max="9965" width="61.42578125" style="276" customWidth="1"/>
    <col min="9966" max="9966" width="62.140625" style="276" customWidth="1"/>
    <col min="9967" max="9970" width="0" style="276" hidden="1" customWidth="1"/>
    <col min="9971" max="10215" width="9.140625" style="276"/>
    <col min="10216" max="10216" width="5.5703125" style="276" customWidth="1"/>
    <col min="10217" max="10217" width="58" style="276" customWidth="1"/>
    <col min="10218" max="10218" width="24.140625" style="276" customWidth="1"/>
    <col min="10219" max="10220" width="0" style="276" hidden="1" customWidth="1"/>
    <col min="10221" max="10221" width="61.42578125" style="276" customWidth="1"/>
    <col min="10222" max="10222" width="62.140625" style="276" customWidth="1"/>
    <col min="10223" max="10226" width="0" style="276" hidden="1" customWidth="1"/>
    <col min="10227" max="10471" width="9.140625" style="276"/>
    <col min="10472" max="10472" width="5.5703125" style="276" customWidth="1"/>
    <col min="10473" max="10473" width="58" style="276" customWidth="1"/>
    <col min="10474" max="10474" width="24.140625" style="276" customWidth="1"/>
    <col min="10475" max="10476" width="0" style="276" hidden="1" customWidth="1"/>
    <col min="10477" max="10477" width="61.42578125" style="276" customWidth="1"/>
    <col min="10478" max="10478" width="62.140625" style="276" customWidth="1"/>
    <col min="10479" max="10482" width="0" style="276" hidden="1" customWidth="1"/>
    <col min="10483" max="10727" width="9.140625" style="276"/>
    <col min="10728" max="10728" width="5.5703125" style="276" customWidth="1"/>
    <col min="10729" max="10729" width="58" style="276" customWidth="1"/>
    <col min="10730" max="10730" width="24.140625" style="276" customWidth="1"/>
    <col min="10731" max="10732" width="0" style="276" hidden="1" customWidth="1"/>
    <col min="10733" max="10733" width="61.42578125" style="276" customWidth="1"/>
    <col min="10734" max="10734" width="62.140625" style="276" customWidth="1"/>
    <col min="10735" max="10738" width="0" style="276" hidden="1" customWidth="1"/>
    <col min="10739" max="10983" width="9.140625" style="276"/>
    <col min="10984" max="10984" width="5.5703125" style="276" customWidth="1"/>
    <col min="10985" max="10985" width="58" style="276" customWidth="1"/>
    <col min="10986" max="10986" width="24.140625" style="276" customWidth="1"/>
    <col min="10987" max="10988" width="0" style="276" hidden="1" customWidth="1"/>
    <col min="10989" max="10989" width="61.42578125" style="276" customWidth="1"/>
    <col min="10990" max="10990" width="62.140625" style="276" customWidth="1"/>
    <col min="10991" max="10994" width="0" style="276" hidden="1" customWidth="1"/>
    <col min="10995" max="11239" width="9.140625" style="276"/>
    <col min="11240" max="11240" width="5.5703125" style="276" customWidth="1"/>
    <col min="11241" max="11241" width="58" style="276" customWidth="1"/>
    <col min="11242" max="11242" width="24.140625" style="276" customWidth="1"/>
    <col min="11243" max="11244" width="0" style="276" hidden="1" customWidth="1"/>
    <col min="11245" max="11245" width="61.42578125" style="276" customWidth="1"/>
    <col min="11246" max="11246" width="62.140625" style="276" customWidth="1"/>
    <col min="11247" max="11250" width="0" style="276" hidden="1" customWidth="1"/>
    <col min="11251" max="11495" width="9.140625" style="276"/>
    <col min="11496" max="11496" width="5.5703125" style="276" customWidth="1"/>
    <col min="11497" max="11497" width="58" style="276" customWidth="1"/>
    <col min="11498" max="11498" width="24.140625" style="276" customWidth="1"/>
    <col min="11499" max="11500" width="0" style="276" hidden="1" customWidth="1"/>
    <col min="11501" max="11501" width="61.42578125" style="276" customWidth="1"/>
    <col min="11502" max="11502" width="62.140625" style="276" customWidth="1"/>
    <col min="11503" max="11506" width="0" style="276" hidden="1" customWidth="1"/>
    <col min="11507" max="11751" width="9.140625" style="276"/>
    <col min="11752" max="11752" width="5.5703125" style="276" customWidth="1"/>
    <col min="11753" max="11753" width="58" style="276" customWidth="1"/>
    <col min="11754" max="11754" width="24.140625" style="276" customWidth="1"/>
    <col min="11755" max="11756" width="0" style="276" hidden="1" customWidth="1"/>
    <col min="11757" max="11757" width="61.42578125" style="276" customWidth="1"/>
    <col min="11758" max="11758" width="62.140625" style="276" customWidth="1"/>
    <col min="11759" max="11762" width="0" style="276" hidden="1" customWidth="1"/>
    <col min="11763" max="12007" width="9.140625" style="276"/>
    <col min="12008" max="12008" width="5.5703125" style="276" customWidth="1"/>
    <col min="12009" max="12009" width="58" style="276" customWidth="1"/>
    <col min="12010" max="12010" width="24.140625" style="276" customWidth="1"/>
    <col min="12011" max="12012" width="0" style="276" hidden="1" customWidth="1"/>
    <col min="12013" max="12013" width="61.42578125" style="276" customWidth="1"/>
    <col min="12014" max="12014" width="62.140625" style="276" customWidth="1"/>
    <col min="12015" max="12018" width="0" style="276" hidden="1" customWidth="1"/>
    <col min="12019" max="12263" width="9.140625" style="276"/>
    <col min="12264" max="12264" width="5.5703125" style="276" customWidth="1"/>
    <col min="12265" max="12265" width="58" style="276" customWidth="1"/>
    <col min="12266" max="12266" width="24.140625" style="276" customWidth="1"/>
    <col min="12267" max="12268" width="0" style="276" hidden="1" customWidth="1"/>
    <col min="12269" max="12269" width="61.42578125" style="276" customWidth="1"/>
    <col min="12270" max="12270" width="62.140625" style="276" customWidth="1"/>
    <col min="12271" max="12274" width="0" style="276" hidden="1" customWidth="1"/>
    <col min="12275" max="12519" width="9.140625" style="276"/>
    <col min="12520" max="12520" width="5.5703125" style="276" customWidth="1"/>
    <col min="12521" max="12521" width="58" style="276" customWidth="1"/>
    <col min="12522" max="12522" width="24.140625" style="276" customWidth="1"/>
    <col min="12523" max="12524" width="0" style="276" hidden="1" customWidth="1"/>
    <col min="12525" max="12525" width="61.42578125" style="276" customWidth="1"/>
    <col min="12526" max="12526" width="62.140625" style="276" customWidth="1"/>
    <col min="12527" max="12530" width="0" style="276" hidden="1" customWidth="1"/>
    <col min="12531" max="12775" width="9.140625" style="276"/>
    <col min="12776" max="12776" width="5.5703125" style="276" customWidth="1"/>
    <col min="12777" max="12777" width="58" style="276" customWidth="1"/>
    <col min="12778" max="12778" width="24.140625" style="276" customWidth="1"/>
    <col min="12779" max="12780" width="0" style="276" hidden="1" customWidth="1"/>
    <col min="12781" max="12781" width="61.42578125" style="276" customWidth="1"/>
    <col min="12782" max="12782" width="62.140625" style="276" customWidth="1"/>
    <col min="12783" max="12786" width="0" style="276" hidden="1" customWidth="1"/>
    <col min="12787" max="13031" width="9.140625" style="276"/>
    <col min="13032" max="13032" width="5.5703125" style="276" customWidth="1"/>
    <col min="13033" max="13033" width="58" style="276" customWidth="1"/>
    <col min="13034" max="13034" width="24.140625" style="276" customWidth="1"/>
    <col min="13035" max="13036" width="0" style="276" hidden="1" customWidth="1"/>
    <col min="13037" max="13037" width="61.42578125" style="276" customWidth="1"/>
    <col min="13038" max="13038" width="62.140625" style="276" customWidth="1"/>
    <col min="13039" max="13042" width="0" style="276" hidden="1" customWidth="1"/>
    <col min="13043" max="13287" width="9.140625" style="276"/>
    <col min="13288" max="13288" width="5.5703125" style="276" customWidth="1"/>
    <col min="13289" max="13289" width="58" style="276" customWidth="1"/>
    <col min="13290" max="13290" width="24.140625" style="276" customWidth="1"/>
    <col min="13291" max="13292" width="0" style="276" hidden="1" customWidth="1"/>
    <col min="13293" max="13293" width="61.42578125" style="276" customWidth="1"/>
    <col min="13294" max="13294" width="62.140625" style="276" customWidth="1"/>
    <col min="13295" max="13298" width="0" style="276" hidden="1" customWidth="1"/>
    <col min="13299" max="13543" width="9.140625" style="276"/>
    <col min="13544" max="13544" width="5.5703125" style="276" customWidth="1"/>
    <col min="13545" max="13545" width="58" style="276" customWidth="1"/>
    <col min="13546" max="13546" width="24.140625" style="276" customWidth="1"/>
    <col min="13547" max="13548" width="0" style="276" hidden="1" customWidth="1"/>
    <col min="13549" max="13549" width="61.42578125" style="276" customWidth="1"/>
    <col min="13550" max="13550" width="62.140625" style="276" customWidth="1"/>
    <col min="13551" max="13554" width="0" style="276" hidden="1" customWidth="1"/>
    <col min="13555" max="13799" width="9.140625" style="276"/>
    <col min="13800" max="13800" width="5.5703125" style="276" customWidth="1"/>
    <col min="13801" max="13801" width="58" style="276" customWidth="1"/>
    <col min="13802" max="13802" width="24.140625" style="276" customWidth="1"/>
    <col min="13803" max="13804" width="0" style="276" hidden="1" customWidth="1"/>
    <col min="13805" max="13805" width="61.42578125" style="276" customWidth="1"/>
    <col min="13806" max="13806" width="62.140625" style="276" customWidth="1"/>
    <col min="13807" max="13810" width="0" style="276" hidden="1" customWidth="1"/>
    <col min="13811" max="14055" width="9.140625" style="276"/>
    <col min="14056" max="14056" width="5.5703125" style="276" customWidth="1"/>
    <col min="14057" max="14057" width="58" style="276" customWidth="1"/>
    <col min="14058" max="14058" width="24.140625" style="276" customWidth="1"/>
    <col min="14059" max="14060" width="0" style="276" hidden="1" customWidth="1"/>
    <col min="14061" max="14061" width="61.42578125" style="276" customWidth="1"/>
    <col min="14062" max="14062" width="62.140625" style="276" customWidth="1"/>
    <col min="14063" max="14066" width="0" style="276" hidden="1" customWidth="1"/>
    <col min="14067" max="14311" width="9.140625" style="276"/>
    <col min="14312" max="14312" width="5.5703125" style="276" customWidth="1"/>
    <col min="14313" max="14313" width="58" style="276" customWidth="1"/>
    <col min="14314" max="14314" width="24.140625" style="276" customWidth="1"/>
    <col min="14315" max="14316" width="0" style="276" hidden="1" customWidth="1"/>
    <col min="14317" max="14317" width="61.42578125" style="276" customWidth="1"/>
    <col min="14318" max="14318" width="62.140625" style="276" customWidth="1"/>
    <col min="14319" max="14322" width="0" style="276" hidden="1" customWidth="1"/>
    <col min="14323" max="14567" width="9.140625" style="276"/>
    <col min="14568" max="14568" width="5.5703125" style="276" customWidth="1"/>
    <col min="14569" max="14569" width="58" style="276" customWidth="1"/>
    <col min="14570" max="14570" width="24.140625" style="276" customWidth="1"/>
    <col min="14571" max="14572" width="0" style="276" hidden="1" customWidth="1"/>
    <col min="14573" max="14573" width="61.42578125" style="276" customWidth="1"/>
    <col min="14574" max="14574" width="62.140625" style="276" customWidth="1"/>
    <col min="14575" max="14578" width="0" style="276" hidden="1" customWidth="1"/>
    <col min="14579" max="14823" width="9.140625" style="276"/>
    <col min="14824" max="14824" width="5.5703125" style="276" customWidth="1"/>
    <col min="14825" max="14825" width="58" style="276" customWidth="1"/>
    <col min="14826" max="14826" width="24.140625" style="276" customWidth="1"/>
    <col min="14827" max="14828" width="0" style="276" hidden="1" customWidth="1"/>
    <col min="14829" max="14829" width="61.42578125" style="276" customWidth="1"/>
    <col min="14830" max="14830" width="62.140625" style="276" customWidth="1"/>
    <col min="14831" max="14834" width="0" style="276" hidden="1" customWidth="1"/>
    <col min="14835" max="15079" width="9.140625" style="276"/>
    <col min="15080" max="15080" width="5.5703125" style="276" customWidth="1"/>
    <col min="15081" max="15081" width="58" style="276" customWidth="1"/>
    <col min="15082" max="15082" width="24.140625" style="276" customWidth="1"/>
    <col min="15083" max="15084" width="0" style="276" hidden="1" customWidth="1"/>
    <col min="15085" max="15085" width="61.42578125" style="276" customWidth="1"/>
    <col min="15086" max="15086" width="62.140625" style="276" customWidth="1"/>
    <col min="15087" max="15090" width="0" style="276" hidden="1" customWidth="1"/>
    <col min="15091" max="15335" width="9.140625" style="276"/>
    <col min="15336" max="15336" width="5.5703125" style="276" customWidth="1"/>
    <col min="15337" max="15337" width="58" style="276" customWidth="1"/>
    <col min="15338" max="15338" width="24.140625" style="276" customWidth="1"/>
    <col min="15339" max="15340" width="0" style="276" hidden="1" customWidth="1"/>
    <col min="15341" max="15341" width="61.42578125" style="276" customWidth="1"/>
    <col min="15342" max="15342" width="62.140625" style="276" customWidth="1"/>
    <col min="15343" max="15346" width="0" style="276" hidden="1" customWidth="1"/>
    <col min="15347" max="15591" width="9.140625" style="276"/>
    <col min="15592" max="15592" width="5.5703125" style="276" customWidth="1"/>
    <col min="15593" max="15593" width="58" style="276" customWidth="1"/>
    <col min="15594" max="15594" width="24.140625" style="276" customWidth="1"/>
    <col min="15595" max="15596" width="0" style="276" hidden="1" customWidth="1"/>
    <col min="15597" max="15597" width="61.42578125" style="276" customWidth="1"/>
    <col min="15598" max="15598" width="62.140625" style="276" customWidth="1"/>
    <col min="15599" max="15602" width="0" style="276" hidden="1" customWidth="1"/>
    <col min="15603" max="15847" width="9.140625" style="276"/>
    <col min="15848" max="15848" width="5.5703125" style="276" customWidth="1"/>
    <col min="15849" max="15849" width="58" style="276" customWidth="1"/>
    <col min="15850" max="15850" width="24.140625" style="276" customWidth="1"/>
    <col min="15851" max="15852" width="0" style="276" hidden="1" customWidth="1"/>
    <col min="15853" max="15853" width="61.42578125" style="276" customWidth="1"/>
    <col min="15854" max="15854" width="62.140625" style="276" customWidth="1"/>
    <col min="15855" max="15858" width="0" style="276" hidden="1" customWidth="1"/>
    <col min="15859" max="16103" width="9.140625" style="276"/>
    <col min="16104" max="16104" width="5.5703125" style="276" customWidth="1"/>
    <col min="16105" max="16105" width="58" style="276" customWidth="1"/>
    <col min="16106" max="16106" width="24.140625" style="276" customWidth="1"/>
    <col min="16107" max="16108" width="0" style="276" hidden="1" customWidth="1"/>
    <col min="16109" max="16109" width="61.42578125" style="276" customWidth="1"/>
    <col min="16110" max="16110" width="62.140625" style="276" customWidth="1"/>
    <col min="16111" max="16114" width="0" style="276" hidden="1" customWidth="1"/>
    <col min="16115" max="16358" width="9.140625" style="276"/>
    <col min="16359" max="16384" width="8.85546875" style="276" customWidth="1"/>
  </cols>
  <sheetData>
    <row r="1" spans="2:11" x14ac:dyDescent="0.4">
      <c r="C1" s="277" t="s">
        <v>267</v>
      </c>
      <c r="I1" s="277" t="s">
        <v>267</v>
      </c>
    </row>
    <row r="2" spans="2:11" x14ac:dyDescent="0.4">
      <c r="C2" s="279">
        <v>45047</v>
      </c>
      <c r="I2" s="279">
        <v>44682</v>
      </c>
    </row>
    <row r="3" spans="2:11" x14ac:dyDescent="0.4">
      <c r="B3" s="281"/>
      <c r="C3" s="280" t="s">
        <v>268</v>
      </c>
      <c r="I3" s="280" t="s">
        <v>268</v>
      </c>
    </row>
    <row r="4" spans="2:11" ht="24.95" customHeight="1" thickBot="1" x14ac:dyDescent="0.45">
      <c r="B4" s="282" t="s">
        <v>269</v>
      </c>
      <c r="C4" s="283" t="s">
        <v>437</v>
      </c>
      <c r="D4" s="282" t="s">
        <v>271</v>
      </c>
      <c r="E4" s="284" t="s">
        <v>272</v>
      </c>
      <c r="F4" s="284" t="s">
        <v>274</v>
      </c>
      <c r="I4" s="283" t="s">
        <v>437</v>
      </c>
      <c r="J4" s="583" t="s">
        <v>504</v>
      </c>
    </row>
    <row r="5" spans="2:11" ht="39.950000000000003" customHeight="1" thickBot="1" x14ac:dyDescent="0.45">
      <c r="B5" s="584" t="s">
        <v>275</v>
      </c>
      <c r="C5" s="287">
        <f>'[15]DC  CNA  DC III'!I8</f>
        <v>20.792100000000001</v>
      </c>
      <c r="D5" s="705" t="s">
        <v>438</v>
      </c>
      <c r="E5" s="703" t="s">
        <v>276</v>
      </c>
      <c r="F5" s="703" t="s">
        <v>505</v>
      </c>
      <c r="G5" s="292"/>
      <c r="H5" s="292"/>
      <c r="I5" s="585">
        <v>20</v>
      </c>
      <c r="J5" s="586">
        <f t="shared" ref="J5:J34" si="0">C5-I5</f>
        <v>0.79210000000000136</v>
      </c>
      <c r="K5" s="587">
        <f>J5/C5</f>
        <v>3.8096199999038162E-2</v>
      </c>
    </row>
    <row r="6" spans="2:11" ht="42.6" customHeight="1" thickBot="1" x14ac:dyDescent="0.45">
      <c r="B6" s="588" t="s">
        <v>278</v>
      </c>
      <c r="C6" s="290">
        <f>C5*2080</f>
        <v>43247.567999999999</v>
      </c>
      <c r="D6" s="706"/>
      <c r="E6" s="704"/>
      <c r="F6" s="704"/>
      <c r="G6" s="295"/>
      <c r="H6" s="295"/>
      <c r="I6" s="589">
        <v>41600</v>
      </c>
      <c r="J6" s="590">
        <f t="shared" si="0"/>
        <v>1647.5679999999993</v>
      </c>
      <c r="K6" s="587">
        <f t="shared" ref="K6:K34" si="1">J6/C6</f>
        <v>3.8096199999038079E-2</v>
      </c>
    </row>
    <row r="7" spans="2:11" ht="27" thickBot="1" x14ac:dyDescent="0.45">
      <c r="B7" s="285" t="s">
        <v>279</v>
      </c>
      <c r="C7" s="287">
        <f>'[15]DC  CNA  DC III'!I21</f>
        <v>27.027519999999999</v>
      </c>
      <c r="D7" s="292" t="s">
        <v>280</v>
      </c>
      <c r="E7" s="703" t="s">
        <v>281</v>
      </c>
      <c r="F7" s="703" t="s">
        <v>282</v>
      </c>
      <c r="G7" s="292"/>
      <c r="H7" s="292"/>
      <c r="I7" s="585">
        <v>25.580080000000002</v>
      </c>
      <c r="J7" s="586">
        <f t="shared" si="0"/>
        <v>1.4474399999999967</v>
      </c>
      <c r="K7" s="587">
        <f t="shared" si="1"/>
        <v>5.355430316951007E-2</v>
      </c>
    </row>
    <row r="8" spans="2:11" ht="46.5" customHeight="1" thickBot="1" x14ac:dyDescent="0.45">
      <c r="B8" s="293" t="s">
        <v>283</v>
      </c>
      <c r="C8" s="294">
        <f>C7*2080</f>
        <v>56217.241600000001</v>
      </c>
      <c r="D8" s="278" t="s">
        <v>440</v>
      </c>
      <c r="E8" s="707"/>
      <c r="F8" s="707"/>
      <c r="G8" s="295"/>
      <c r="H8" s="295"/>
      <c r="I8" s="591">
        <v>53206.566400000003</v>
      </c>
      <c r="J8" s="590">
        <f t="shared" si="0"/>
        <v>3010.6751999999979</v>
      </c>
      <c r="K8" s="587">
        <f t="shared" si="1"/>
        <v>5.3554303169510147E-2</v>
      </c>
    </row>
    <row r="9" spans="2:11" ht="26.1" customHeight="1" thickBot="1" x14ac:dyDescent="0.45">
      <c r="B9" s="285" t="s">
        <v>285</v>
      </c>
      <c r="C9" s="287">
        <f>'[15]DC  CNA  DC III'!I13</f>
        <v>21.417999999999999</v>
      </c>
      <c r="D9" s="292"/>
      <c r="E9" s="703" t="s">
        <v>286</v>
      </c>
      <c r="F9" s="703" t="s">
        <v>506</v>
      </c>
      <c r="G9" s="292"/>
      <c r="H9" s="292"/>
      <c r="I9" s="585">
        <v>20</v>
      </c>
      <c r="J9" s="586">
        <f t="shared" si="0"/>
        <v>1.4179999999999993</v>
      </c>
      <c r="K9" s="587">
        <f t="shared" si="1"/>
        <v>6.6205994957512337E-2</v>
      </c>
    </row>
    <row r="10" spans="2:11" ht="27" thickBot="1" x14ac:dyDescent="0.45">
      <c r="B10" s="289" t="s">
        <v>288</v>
      </c>
      <c r="C10" s="290">
        <f>'[15]DC  CNA  DC III'!J13</f>
        <v>44549.439999999995</v>
      </c>
      <c r="D10" s="295"/>
      <c r="E10" s="704"/>
      <c r="F10" s="704"/>
      <c r="I10" s="589">
        <v>41600</v>
      </c>
      <c r="J10" s="590">
        <f t="shared" si="0"/>
        <v>2949.4399999999951</v>
      </c>
      <c r="K10" s="587">
        <f t="shared" si="1"/>
        <v>6.6205994957512268E-2</v>
      </c>
    </row>
    <row r="11" spans="2:11" ht="27" thickBot="1" x14ac:dyDescent="0.45">
      <c r="B11" s="285" t="s">
        <v>289</v>
      </c>
      <c r="C11" s="287">
        <f>'[15]Case Social Worker.Manager'!J6</f>
        <v>30.979999999999997</v>
      </c>
      <c r="D11" s="292" t="s">
        <v>290</v>
      </c>
      <c r="E11" s="703" t="s">
        <v>291</v>
      </c>
      <c r="F11" s="703" t="s">
        <v>293</v>
      </c>
      <c r="G11" s="285"/>
      <c r="H11" s="292"/>
      <c r="I11" s="585">
        <v>28.180799999999998</v>
      </c>
      <c r="J11" s="586">
        <f t="shared" si="0"/>
        <v>2.799199999999999</v>
      </c>
      <c r="K11" s="587">
        <f t="shared" si="1"/>
        <v>9.0355067785668153E-2</v>
      </c>
    </row>
    <row r="12" spans="2:11" ht="27" thickBot="1" x14ac:dyDescent="0.45">
      <c r="B12" s="293" t="s">
        <v>294</v>
      </c>
      <c r="C12" s="294">
        <f>C11*2080</f>
        <v>64438.399999999994</v>
      </c>
      <c r="D12" s="276" t="s">
        <v>295</v>
      </c>
      <c r="E12" s="707"/>
      <c r="F12" s="707"/>
      <c r="G12" s="289"/>
      <c r="H12" s="295"/>
      <c r="I12" s="591">
        <v>58616.063999999998</v>
      </c>
      <c r="J12" s="586">
        <f t="shared" si="0"/>
        <v>5822.3359999999957</v>
      </c>
      <c r="K12" s="587">
        <f t="shared" si="1"/>
        <v>9.0355067785668111E-2</v>
      </c>
    </row>
    <row r="13" spans="2:11" ht="53.25" thickBot="1" x14ac:dyDescent="0.45">
      <c r="B13" s="296" t="s">
        <v>296</v>
      </c>
      <c r="C13" s="287">
        <f>'[15]Case Social Worker.Manager'!J13</f>
        <v>33.755499999999998</v>
      </c>
      <c r="D13" s="292" t="s">
        <v>297</v>
      </c>
      <c r="E13" s="703" t="s">
        <v>298</v>
      </c>
      <c r="F13" s="703" t="s">
        <v>299</v>
      </c>
      <c r="G13" s="285"/>
      <c r="H13" s="292"/>
      <c r="I13" s="585">
        <v>30.9283</v>
      </c>
      <c r="J13" s="586">
        <f t="shared" si="0"/>
        <v>2.8271999999999977</v>
      </c>
      <c r="K13" s="587">
        <f t="shared" si="1"/>
        <v>8.3755239886833199E-2</v>
      </c>
    </row>
    <row r="14" spans="2:11" ht="53.25" thickBot="1" x14ac:dyDescent="0.45">
      <c r="B14" s="297" t="s">
        <v>300</v>
      </c>
      <c r="C14" s="290">
        <f>C13*2080</f>
        <v>70211.44</v>
      </c>
      <c r="D14" s="295" t="s">
        <v>301</v>
      </c>
      <c r="E14" s="704"/>
      <c r="F14" s="704"/>
      <c r="G14" s="289"/>
      <c r="H14" s="295"/>
      <c r="I14" s="589">
        <v>64330.864000000001</v>
      </c>
      <c r="J14" s="586">
        <f t="shared" si="0"/>
        <v>5880.5760000000009</v>
      </c>
      <c r="K14" s="587">
        <f t="shared" si="1"/>
        <v>8.3755239886833269E-2</v>
      </c>
    </row>
    <row r="15" spans="2:11" ht="27" thickBot="1" x14ac:dyDescent="0.45">
      <c r="B15" s="285" t="s">
        <v>302</v>
      </c>
      <c r="C15" s="287">
        <f>[15]Nursing!J4</f>
        <v>35.506799999999998</v>
      </c>
      <c r="D15" s="292"/>
      <c r="E15" s="703" t="s">
        <v>303</v>
      </c>
      <c r="F15" s="703" t="s">
        <v>304</v>
      </c>
      <c r="I15" s="585">
        <v>31.575200000000002</v>
      </c>
      <c r="J15" s="586">
        <f t="shared" si="0"/>
        <v>3.931599999999996</v>
      </c>
      <c r="K15" s="587">
        <f t="shared" si="1"/>
        <v>0.1107280858877735</v>
      </c>
    </row>
    <row r="16" spans="2:11" ht="27" thickBot="1" x14ac:dyDescent="0.45">
      <c r="B16" s="289" t="s">
        <v>305</v>
      </c>
      <c r="C16" s="290">
        <f>C15*2080</f>
        <v>73854.144</v>
      </c>
      <c r="D16" s="295" t="s">
        <v>441</v>
      </c>
      <c r="E16" s="704"/>
      <c r="F16" s="704"/>
      <c r="I16" s="589">
        <v>65676.416000000012</v>
      </c>
      <c r="J16" s="586">
        <f t="shared" si="0"/>
        <v>8177.7279999999882</v>
      </c>
      <c r="K16" s="587">
        <f t="shared" si="1"/>
        <v>0.11072808588777346</v>
      </c>
    </row>
    <row r="17" spans="2:11" ht="27" thickBot="1" x14ac:dyDescent="0.45">
      <c r="B17" s="285" t="s">
        <v>306</v>
      </c>
      <c r="C17" s="287">
        <f>[15]Clinical!J8</f>
        <v>40.211399999999998</v>
      </c>
      <c r="D17" s="292" t="s">
        <v>307</v>
      </c>
      <c r="E17" s="703" t="s">
        <v>308</v>
      </c>
      <c r="F17" s="703" t="s">
        <v>309</v>
      </c>
      <c r="G17" s="285"/>
      <c r="H17" s="292"/>
      <c r="I17" s="585">
        <v>38.753100000000003</v>
      </c>
      <c r="J17" s="586">
        <f t="shared" si="0"/>
        <v>1.4582999999999942</v>
      </c>
      <c r="K17" s="587">
        <f t="shared" si="1"/>
        <v>3.6265835061698781E-2</v>
      </c>
    </row>
    <row r="18" spans="2:11" ht="27" thickBot="1" x14ac:dyDescent="0.45">
      <c r="B18" s="289" t="s">
        <v>310</v>
      </c>
      <c r="C18" s="290">
        <f>C17*2080</f>
        <v>83639.712</v>
      </c>
      <c r="D18" s="295"/>
      <c r="E18" s="704"/>
      <c r="F18" s="704"/>
      <c r="G18" s="289"/>
      <c r="H18" s="295"/>
      <c r="I18" s="589">
        <v>80606.448000000004</v>
      </c>
      <c r="J18" s="586">
        <f t="shared" si="0"/>
        <v>3033.2639999999956</v>
      </c>
      <c r="K18" s="587">
        <f t="shared" si="1"/>
        <v>3.6265835061698871E-2</v>
      </c>
    </row>
    <row r="19" spans="2:11" ht="27" thickBot="1" x14ac:dyDescent="0.45">
      <c r="B19" s="285" t="s">
        <v>311</v>
      </c>
      <c r="C19" s="286">
        <f>[15]Therapies!I5</f>
        <v>36.818800000000003</v>
      </c>
      <c r="D19" s="292"/>
      <c r="E19" s="703" t="s">
        <v>312</v>
      </c>
      <c r="F19" s="703" t="s">
        <v>313</v>
      </c>
      <c r="I19" s="592">
        <v>32.740400000000001</v>
      </c>
      <c r="J19" s="586">
        <f t="shared" si="0"/>
        <v>4.078400000000002</v>
      </c>
      <c r="K19" s="587">
        <f t="shared" si="1"/>
        <v>0.11076949819114153</v>
      </c>
    </row>
    <row r="20" spans="2:11" ht="27" thickBot="1" x14ac:dyDescent="0.45">
      <c r="B20" s="289" t="s">
        <v>314</v>
      </c>
      <c r="C20" s="290">
        <f>C19*2080</f>
        <v>76583.104000000007</v>
      </c>
      <c r="D20" s="295"/>
      <c r="E20" s="704"/>
      <c r="F20" s="704"/>
      <c r="I20" s="593">
        <v>68100.032000000007</v>
      </c>
      <c r="J20" s="586">
        <f t="shared" si="0"/>
        <v>8483.0720000000001</v>
      </c>
      <c r="K20" s="587">
        <f t="shared" si="1"/>
        <v>0.11076949819114147</v>
      </c>
    </row>
    <row r="21" spans="2:11" ht="27" thickBot="1" x14ac:dyDescent="0.45">
      <c r="B21" s="293" t="s">
        <v>315</v>
      </c>
      <c r="C21" s="299">
        <f>[15]Management!J4</f>
        <v>38.860399999999998</v>
      </c>
      <c r="D21" s="276" t="s">
        <v>316</v>
      </c>
      <c r="E21" s="703" t="s">
        <v>317</v>
      </c>
      <c r="F21" s="708" t="s">
        <v>318</v>
      </c>
      <c r="G21" s="285"/>
      <c r="H21" s="292"/>
      <c r="I21" s="594">
        <v>38.180400000000006</v>
      </c>
      <c r="J21" s="586">
        <f t="shared" si="0"/>
        <v>0.67999999999999261</v>
      </c>
      <c r="K21" s="587">
        <f t="shared" si="1"/>
        <v>1.749853321118652E-2</v>
      </c>
    </row>
    <row r="22" spans="2:11" ht="27" thickBot="1" x14ac:dyDescent="0.45">
      <c r="B22" s="289" t="s">
        <v>319</v>
      </c>
      <c r="C22" s="290">
        <f>C21*2080</f>
        <v>80829.631999999998</v>
      </c>
      <c r="D22" s="295" t="s">
        <v>320</v>
      </c>
      <c r="E22" s="704"/>
      <c r="F22" s="709"/>
      <c r="G22" s="289"/>
      <c r="H22" s="295"/>
      <c r="I22" s="593">
        <v>79415.232000000018</v>
      </c>
      <c r="J22" s="586">
        <f t="shared" si="0"/>
        <v>1414.3999999999796</v>
      </c>
      <c r="K22" s="587">
        <f t="shared" si="1"/>
        <v>1.7498533211186457E-2</v>
      </c>
    </row>
    <row r="23" spans="2:11" ht="39.950000000000003" customHeight="1" thickBot="1" x14ac:dyDescent="0.45">
      <c r="B23" s="595" t="s">
        <v>442</v>
      </c>
      <c r="C23" s="299">
        <f>[15]Therapies!I11</f>
        <v>39.750500000000002</v>
      </c>
      <c r="D23" s="276" t="s">
        <v>322</v>
      </c>
      <c r="E23" s="703" t="s">
        <v>298</v>
      </c>
      <c r="F23" s="703" t="s">
        <v>507</v>
      </c>
      <c r="G23" s="285"/>
      <c r="H23" s="292"/>
      <c r="I23" s="594">
        <v>38.017499999999998</v>
      </c>
      <c r="J23" s="586">
        <f t="shared" si="0"/>
        <v>1.7330000000000041</v>
      </c>
      <c r="K23" s="587">
        <f t="shared" si="1"/>
        <v>4.3596935887598998E-2</v>
      </c>
    </row>
    <row r="24" spans="2:11" ht="39.950000000000003" customHeight="1" thickBot="1" x14ac:dyDescent="0.45">
      <c r="B24" s="588" t="s">
        <v>444</v>
      </c>
      <c r="C24" s="290">
        <f>C23*2080</f>
        <v>82681.040000000008</v>
      </c>
      <c r="D24" s="295"/>
      <c r="E24" s="704"/>
      <c r="F24" s="704"/>
      <c r="G24" s="289"/>
      <c r="H24" s="295"/>
      <c r="I24" s="593">
        <v>79076.399999999994</v>
      </c>
      <c r="J24" s="586">
        <f t="shared" si="0"/>
        <v>3604.640000000014</v>
      </c>
      <c r="K24" s="587">
        <f t="shared" si="1"/>
        <v>4.359693588759906E-2</v>
      </c>
    </row>
    <row r="25" spans="2:11" ht="27" thickBot="1" x14ac:dyDescent="0.45">
      <c r="B25" s="293" t="s">
        <v>325</v>
      </c>
      <c r="C25" s="299">
        <f>[15]Therapies!I17</f>
        <v>42.784640000000003</v>
      </c>
      <c r="D25" s="276" t="s">
        <v>326</v>
      </c>
      <c r="E25" s="703" t="s">
        <v>298</v>
      </c>
      <c r="F25" s="703" t="s">
        <v>327</v>
      </c>
      <c r="G25" s="293"/>
      <c r="I25" s="594">
        <v>41.25168</v>
      </c>
      <c r="J25" s="586">
        <f t="shared" si="0"/>
        <v>1.5329600000000028</v>
      </c>
      <c r="K25" s="587">
        <f t="shared" si="1"/>
        <v>3.5829680932222469E-2</v>
      </c>
    </row>
    <row r="26" spans="2:11" ht="27" thickBot="1" x14ac:dyDescent="0.45">
      <c r="B26" s="289" t="s">
        <v>328</v>
      </c>
      <c r="C26" s="294">
        <f>C25*2080</f>
        <v>88992.051200000002</v>
      </c>
      <c r="E26" s="704"/>
      <c r="F26" s="704"/>
      <c r="G26" s="289"/>
      <c r="H26" s="295"/>
      <c r="I26" s="594">
        <v>85803.494399999996</v>
      </c>
      <c r="J26" s="586">
        <f t="shared" si="0"/>
        <v>3188.5568000000058</v>
      </c>
      <c r="K26" s="587">
        <f t="shared" si="1"/>
        <v>3.5829680932222469E-2</v>
      </c>
    </row>
    <row r="27" spans="2:11" ht="27" thickBot="1" x14ac:dyDescent="0.45">
      <c r="B27" s="285" t="s">
        <v>329</v>
      </c>
      <c r="C27" s="287">
        <f>[15]Clinical!J14</f>
        <v>48.945399999999999</v>
      </c>
      <c r="D27" s="710" t="s">
        <v>330</v>
      </c>
      <c r="E27" s="703" t="s">
        <v>331</v>
      </c>
      <c r="F27" s="703" t="s">
        <v>332</v>
      </c>
      <c r="G27" s="285"/>
      <c r="H27" s="292"/>
      <c r="I27" s="585">
        <v>48.742200000000004</v>
      </c>
      <c r="J27" s="586">
        <f t="shared" si="0"/>
        <v>0.20319999999999538</v>
      </c>
      <c r="K27" s="587">
        <f t="shared" si="1"/>
        <v>4.1515648048641015E-3</v>
      </c>
    </row>
    <row r="28" spans="2:11" ht="34.5" customHeight="1" thickBot="1" x14ac:dyDescent="0.45">
      <c r="B28" s="289" t="s">
        <v>333</v>
      </c>
      <c r="C28" s="290">
        <f>C27*2080</f>
        <v>101806.432</v>
      </c>
      <c r="D28" s="711"/>
      <c r="E28" s="704"/>
      <c r="F28" s="704"/>
      <c r="G28" s="289"/>
      <c r="H28" s="295"/>
      <c r="I28" s="589">
        <v>101383.77600000001</v>
      </c>
      <c r="J28" s="586">
        <f t="shared" si="0"/>
        <v>422.65599999998813</v>
      </c>
      <c r="K28" s="587">
        <f t="shared" si="1"/>
        <v>4.151564804864079E-3</v>
      </c>
    </row>
    <row r="29" spans="2:11" ht="27" thickBot="1" x14ac:dyDescent="0.45">
      <c r="B29" s="584" t="s">
        <v>445</v>
      </c>
      <c r="C29" s="287">
        <f>[15]Therapies!I21</f>
        <v>44.301760000000002</v>
      </c>
      <c r="D29" s="292"/>
      <c r="E29" s="703" t="s">
        <v>298</v>
      </c>
      <c r="F29" s="703" t="s">
        <v>508</v>
      </c>
      <c r="G29" s="285"/>
      <c r="H29" s="292"/>
      <c r="I29" s="585">
        <v>42.756720000000001</v>
      </c>
      <c r="J29" s="586">
        <f t="shared" si="0"/>
        <v>1.5450400000000002</v>
      </c>
      <c r="K29" s="587">
        <f t="shared" si="1"/>
        <v>3.4875363868162354E-2</v>
      </c>
    </row>
    <row r="30" spans="2:11" ht="27" thickBot="1" x14ac:dyDescent="0.45">
      <c r="B30" s="588" t="s">
        <v>447</v>
      </c>
      <c r="C30" s="290">
        <f>C29*2080</f>
        <v>92147.660799999998</v>
      </c>
      <c r="D30" s="295"/>
      <c r="E30" s="704"/>
      <c r="F30" s="704"/>
      <c r="G30" s="289"/>
      <c r="H30" s="295"/>
      <c r="I30" s="593">
        <v>88933.977599999998</v>
      </c>
      <c r="J30" s="586">
        <f t="shared" si="0"/>
        <v>3213.6831999999995</v>
      </c>
      <c r="K30" s="587">
        <f t="shared" si="1"/>
        <v>3.4875363868162347E-2</v>
      </c>
    </row>
    <row r="31" spans="2:11" ht="27" thickBot="1" x14ac:dyDescent="0.45">
      <c r="B31" s="285" t="s">
        <v>337</v>
      </c>
      <c r="C31" s="287">
        <f>[15]Nursing!J8</f>
        <v>49.818400000000004</v>
      </c>
      <c r="D31" s="292"/>
      <c r="E31" s="703" t="s">
        <v>338</v>
      </c>
      <c r="F31" s="703" t="s">
        <v>339</v>
      </c>
      <c r="G31" s="285"/>
      <c r="H31" s="292"/>
      <c r="I31" s="585">
        <v>49.162799999999997</v>
      </c>
      <c r="J31" s="586">
        <f t="shared" si="0"/>
        <v>0.65560000000000684</v>
      </c>
      <c r="K31" s="587">
        <f t="shared" si="1"/>
        <v>1.3159796380453944E-2</v>
      </c>
    </row>
    <row r="32" spans="2:11" ht="38.450000000000003" customHeight="1" thickBot="1" x14ac:dyDescent="0.45">
      <c r="B32" s="289" t="s">
        <v>340</v>
      </c>
      <c r="C32" s="290">
        <f>C31*2080</f>
        <v>103622.27200000001</v>
      </c>
      <c r="D32" s="295"/>
      <c r="E32" s="704"/>
      <c r="F32" s="704"/>
      <c r="G32" s="289"/>
      <c r="H32" s="295"/>
      <c r="I32" s="593">
        <v>102258.624</v>
      </c>
      <c r="J32" s="586">
        <f t="shared" si="0"/>
        <v>1363.6480000000156</v>
      </c>
      <c r="K32" s="587">
        <f t="shared" si="1"/>
        <v>1.3159796380453958E-2</v>
      </c>
    </row>
    <row r="33" spans="2:11" ht="27" thickBot="1" x14ac:dyDescent="0.45">
      <c r="B33" s="285" t="s">
        <v>341</v>
      </c>
      <c r="C33" s="287">
        <f>[15]Nursing!J13</f>
        <v>67.710800000000006</v>
      </c>
      <c r="D33" s="292"/>
      <c r="E33" s="703" t="s">
        <v>342</v>
      </c>
      <c r="F33" s="703" t="s">
        <v>343</v>
      </c>
      <c r="G33" s="285"/>
      <c r="H33" s="292"/>
      <c r="I33" s="585">
        <v>65.162400000000005</v>
      </c>
      <c r="J33" s="586">
        <f t="shared" si="0"/>
        <v>2.5484000000000009</v>
      </c>
      <c r="K33" s="587">
        <f t="shared" si="1"/>
        <v>3.7636536564329484E-2</v>
      </c>
    </row>
    <row r="34" spans="2:11" ht="27" thickBot="1" x14ac:dyDescent="0.45">
      <c r="B34" s="289" t="s">
        <v>344</v>
      </c>
      <c r="C34" s="290">
        <f>C33*2080</f>
        <v>140838.46400000001</v>
      </c>
      <c r="D34" s="295"/>
      <c r="E34" s="704"/>
      <c r="F34" s="704"/>
      <c r="G34" s="289"/>
      <c r="H34" s="295"/>
      <c r="I34" s="593">
        <v>135537.79200000002</v>
      </c>
      <c r="J34" s="586">
        <f t="shared" si="0"/>
        <v>5300.6719999999914</v>
      </c>
      <c r="K34" s="587">
        <f t="shared" si="1"/>
        <v>3.7636536564329408E-2</v>
      </c>
    </row>
    <row r="35" spans="2:11" x14ac:dyDescent="0.4">
      <c r="K35" s="596">
        <f>AVERAGE(K5:K34)</f>
        <v>5.1765242439199569E-2</v>
      </c>
    </row>
    <row r="36" spans="2:11" ht="52.5" x14ac:dyDescent="0.4">
      <c r="B36" s="597" t="s">
        <v>452</v>
      </c>
      <c r="C36" s="294">
        <f>C6</f>
        <v>43247.567999999999</v>
      </c>
    </row>
    <row r="37" spans="2:11" x14ac:dyDescent="0.4">
      <c r="C37" s="302"/>
    </row>
    <row r="38" spans="2:11" x14ac:dyDescent="0.4">
      <c r="B38" s="303" t="s">
        <v>346</v>
      </c>
      <c r="C38" s="304">
        <v>0.24970000000000001</v>
      </c>
      <c r="D38" s="276" t="s">
        <v>509</v>
      </c>
    </row>
    <row r="39" spans="2:11" ht="34.35" customHeight="1" x14ac:dyDescent="0.4">
      <c r="B39" s="303"/>
      <c r="C39" s="302"/>
      <c r="D39" s="712" t="s">
        <v>348</v>
      </c>
      <c r="E39" s="712"/>
      <c r="F39" s="276"/>
    </row>
    <row r="40" spans="2:11" x14ac:dyDescent="0.4">
      <c r="C40" s="304">
        <v>0.1462</v>
      </c>
      <c r="D40" s="276" t="s">
        <v>111</v>
      </c>
    </row>
    <row r="41" spans="2:11" x14ac:dyDescent="0.4">
      <c r="B41" s="303" t="s">
        <v>349</v>
      </c>
      <c r="C41" s="305">
        <v>0.12</v>
      </c>
      <c r="D41" s="276" t="s">
        <v>61</v>
      </c>
    </row>
    <row r="42" spans="2:11" x14ac:dyDescent="0.4">
      <c r="B42" s="303"/>
      <c r="C42" s="598"/>
    </row>
    <row r="43" spans="2:11" x14ac:dyDescent="0.4">
      <c r="B43" s="713" t="s">
        <v>350</v>
      </c>
      <c r="C43" s="713"/>
      <c r="D43" s="713"/>
    </row>
    <row r="44" spans="2:11" x14ac:dyDescent="0.4">
      <c r="B44" s="599" t="s">
        <v>454</v>
      </c>
      <c r="C44" s="294">
        <v>247470</v>
      </c>
      <c r="D44" s="276" t="s">
        <v>455</v>
      </c>
      <c r="I44" s="600">
        <v>247470</v>
      </c>
      <c r="J44" s="582">
        <f t="shared" ref="J44:J52" si="2">C44-I44</f>
        <v>0</v>
      </c>
    </row>
    <row r="45" spans="2:11" x14ac:dyDescent="0.4">
      <c r="B45" s="303" t="s">
        <v>353</v>
      </c>
      <c r="C45" s="294">
        <v>252850</v>
      </c>
      <c r="D45" s="276" t="s">
        <v>456</v>
      </c>
      <c r="I45" s="600">
        <v>206010</v>
      </c>
      <c r="J45" s="582">
        <f t="shared" si="2"/>
        <v>46840</v>
      </c>
    </row>
    <row r="46" spans="2:11" x14ac:dyDescent="0.4">
      <c r="B46" s="303" t="s">
        <v>355</v>
      </c>
      <c r="C46" s="294">
        <f>C34</f>
        <v>140838.46400000001</v>
      </c>
      <c r="D46" s="276" t="s">
        <v>457</v>
      </c>
      <c r="I46" s="600">
        <v>133902.08000000002</v>
      </c>
      <c r="J46" s="582">
        <f t="shared" si="2"/>
        <v>6936.3839999999909</v>
      </c>
    </row>
    <row r="47" spans="2:11" x14ac:dyDescent="0.4">
      <c r="B47" s="303" t="s">
        <v>90</v>
      </c>
      <c r="C47" s="601">
        <f>C6</f>
        <v>43247.567999999999</v>
      </c>
      <c r="D47" s="276" t="s">
        <v>379</v>
      </c>
      <c r="I47" s="600">
        <v>39522</v>
      </c>
      <c r="J47" s="582">
        <f t="shared" si="2"/>
        <v>3725.5679999999993</v>
      </c>
    </row>
    <row r="48" spans="2:11" x14ac:dyDescent="0.4">
      <c r="B48" s="303" t="s">
        <v>120</v>
      </c>
      <c r="C48" s="601">
        <f>AVERAGE(C6,C8)</f>
        <v>49732.404800000004</v>
      </c>
      <c r="D48" s="276" t="s">
        <v>381</v>
      </c>
      <c r="I48" s="600">
        <v>44972</v>
      </c>
      <c r="J48" s="582">
        <f t="shared" si="2"/>
        <v>4760.4048000000039</v>
      </c>
    </row>
    <row r="49" spans="2:10" x14ac:dyDescent="0.4">
      <c r="B49" s="303" t="s">
        <v>123</v>
      </c>
      <c r="C49" s="294">
        <f>C8</f>
        <v>56217.241600000001</v>
      </c>
      <c r="D49" s="276" t="s">
        <v>118</v>
      </c>
      <c r="I49" s="600">
        <v>50422</v>
      </c>
      <c r="J49" s="582">
        <f t="shared" si="2"/>
        <v>5795.2416000000012</v>
      </c>
    </row>
    <row r="50" spans="2:10" x14ac:dyDescent="0.4">
      <c r="B50" s="303" t="s">
        <v>370</v>
      </c>
      <c r="C50" s="294">
        <f>'[16]M2022 53_PCT'!N34</f>
        <v>40890.303999999996</v>
      </c>
      <c r="D50" s="276" t="s">
        <v>458</v>
      </c>
      <c r="I50" s="600">
        <v>39438.464</v>
      </c>
      <c r="J50" s="582">
        <f t="shared" si="2"/>
        <v>1451.8399999999965</v>
      </c>
    </row>
    <row r="51" spans="2:10" x14ac:dyDescent="0.4">
      <c r="B51" s="303" t="s">
        <v>371</v>
      </c>
      <c r="C51" s="601">
        <f>'[16]M2022 53_PCT'!N37</f>
        <v>50652.160000000003</v>
      </c>
      <c r="D51" s="276" t="s">
        <v>459</v>
      </c>
      <c r="I51" s="600">
        <v>49405.824000000001</v>
      </c>
      <c r="J51" s="582">
        <f t="shared" si="2"/>
        <v>1246.336000000003</v>
      </c>
    </row>
    <row r="52" spans="2:10" x14ac:dyDescent="0.4">
      <c r="B52" s="303" t="s">
        <v>372</v>
      </c>
      <c r="C52" s="601">
        <f>AVERAGE('[16]M2022 53_PCT'!N35,'[16]M2022 53_PCT'!N36)</f>
        <v>57014.464000000007</v>
      </c>
      <c r="D52" s="276" t="s">
        <v>460</v>
      </c>
      <c r="I52" s="600">
        <v>55776.032000000007</v>
      </c>
      <c r="J52" s="582">
        <f t="shared" si="2"/>
        <v>1238.4320000000007</v>
      </c>
    </row>
    <row r="53" spans="2:10" x14ac:dyDescent="0.4">
      <c r="B53" s="303"/>
      <c r="C53" s="601"/>
      <c r="I53" s="600"/>
    </row>
    <row r="54" spans="2:10" x14ac:dyDescent="0.4">
      <c r="B54" s="303"/>
      <c r="C54" s="601"/>
      <c r="I54" s="600"/>
    </row>
    <row r="55" spans="2:10" x14ac:dyDescent="0.4">
      <c r="B55" s="714" t="s">
        <v>461</v>
      </c>
      <c r="C55" s="714"/>
      <c r="D55" s="714"/>
      <c r="E55" s="714"/>
      <c r="F55" s="714"/>
    </row>
    <row r="56" spans="2:10" x14ac:dyDescent="0.4">
      <c r="B56" s="602" t="s">
        <v>462</v>
      </c>
      <c r="C56" s="276" t="s">
        <v>463</v>
      </c>
    </row>
    <row r="57" spans="2:10" ht="66.599999999999994" customHeight="1" x14ac:dyDescent="0.4">
      <c r="B57" s="603" t="s">
        <v>464</v>
      </c>
      <c r="C57" s="712" t="s">
        <v>465</v>
      </c>
      <c r="D57" s="712"/>
      <c r="E57" s="712"/>
      <c r="F57" s="712"/>
      <c r="G57" s="712"/>
      <c r="H57" s="712"/>
      <c r="I57" s="712"/>
      <c r="J57" s="712"/>
    </row>
  </sheetData>
  <mergeCells count="36">
    <mergeCell ref="D39:E39"/>
    <mergeCell ref="B43:D43"/>
    <mergeCell ref="B55:F55"/>
    <mergeCell ref="C57:J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1DA5-807B-47C9-9DDE-B3DCFFA43B45}">
  <sheetPr>
    <tabColor rgb="FF92D050"/>
    <pageSetUpPr fitToPage="1"/>
  </sheetPr>
  <dimension ref="B1:F59"/>
  <sheetViews>
    <sheetView showGridLines="0" topLeftCell="A8" zoomScale="60" zoomScaleNormal="60" workbookViewId="0">
      <selection activeCell="C49" sqref="C49"/>
    </sheetView>
  </sheetViews>
  <sheetFormatPr defaultRowHeight="26.25" x14ac:dyDescent="0.4"/>
  <cols>
    <col min="1" max="1" width="5.28515625" style="463" customWidth="1"/>
    <col min="2" max="2" width="75.140625" style="463" customWidth="1"/>
    <col min="3" max="3" width="24.5703125" style="463" customWidth="1"/>
    <col min="4" max="4" width="68.28515625" style="463" customWidth="1"/>
    <col min="5" max="5" width="66" style="465" customWidth="1"/>
    <col min="6" max="6" width="44" style="465" customWidth="1"/>
    <col min="7" max="230" width="8.7109375" style="463"/>
    <col min="231" max="231" width="5.28515625" style="463" customWidth="1"/>
    <col min="232" max="232" width="55.42578125" style="463" customWidth="1"/>
    <col min="233" max="233" width="23" style="463" customWidth="1"/>
    <col min="234" max="235" width="0" style="463" hidden="1" customWidth="1"/>
    <col min="236" max="236" width="58.5703125" style="463" customWidth="1"/>
    <col min="237" max="237" width="59.28515625" style="463" customWidth="1"/>
    <col min="238" max="241" width="0" style="463" hidden="1" customWidth="1"/>
    <col min="242" max="486" width="8.7109375" style="463"/>
    <col min="487" max="487" width="5.28515625" style="463" customWidth="1"/>
    <col min="488" max="488" width="55.42578125" style="463" customWidth="1"/>
    <col min="489" max="489" width="23" style="463" customWidth="1"/>
    <col min="490" max="491" width="0" style="463" hidden="1" customWidth="1"/>
    <col min="492" max="492" width="58.5703125" style="463" customWidth="1"/>
    <col min="493" max="493" width="59.28515625" style="463" customWidth="1"/>
    <col min="494" max="497" width="0" style="463" hidden="1" customWidth="1"/>
    <col min="498" max="742" width="8.7109375" style="463"/>
    <col min="743" max="743" width="5.28515625" style="463" customWidth="1"/>
    <col min="744" max="744" width="55.42578125" style="463" customWidth="1"/>
    <col min="745" max="745" width="23" style="463" customWidth="1"/>
    <col min="746" max="747" width="0" style="463" hidden="1" customWidth="1"/>
    <col min="748" max="748" width="58.5703125" style="463" customWidth="1"/>
    <col min="749" max="749" width="59.28515625" style="463" customWidth="1"/>
    <col min="750" max="753" width="0" style="463" hidden="1" customWidth="1"/>
    <col min="754" max="998" width="8.7109375" style="463"/>
    <col min="999" max="999" width="5.28515625" style="463" customWidth="1"/>
    <col min="1000" max="1000" width="55.42578125" style="463" customWidth="1"/>
    <col min="1001" max="1001" width="23" style="463" customWidth="1"/>
    <col min="1002" max="1003" width="0" style="463" hidden="1" customWidth="1"/>
    <col min="1004" max="1004" width="58.5703125" style="463" customWidth="1"/>
    <col min="1005" max="1005" width="59.28515625" style="463" customWidth="1"/>
    <col min="1006" max="1009" width="0" style="463" hidden="1" customWidth="1"/>
    <col min="1010" max="1254" width="8.7109375" style="463"/>
    <col min="1255" max="1255" width="5.28515625" style="463" customWidth="1"/>
    <col min="1256" max="1256" width="55.42578125" style="463" customWidth="1"/>
    <col min="1257" max="1257" width="23" style="463" customWidth="1"/>
    <col min="1258" max="1259" width="0" style="463" hidden="1" customWidth="1"/>
    <col min="1260" max="1260" width="58.5703125" style="463" customWidth="1"/>
    <col min="1261" max="1261" width="59.28515625" style="463" customWidth="1"/>
    <col min="1262" max="1265" width="0" style="463" hidden="1" customWidth="1"/>
    <col min="1266" max="1510" width="8.7109375" style="463"/>
    <col min="1511" max="1511" width="5.28515625" style="463" customWidth="1"/>
    <col min="1512" max="1512" width="55.42578125" style="463" customWidth="1"/>
    <col min="1513" max="1513" width="23" style="463" customWidth="1"/>
    <col min="1514" max="1515" width="0" style="463" hidden="1" customWidth="1"/>
    <col min="1516" max="1516" width="58.5703125" style="463" customWidth="1"/>
    <col min="1517" max="1517" width="59.28515625" style="463" customWidth="1"/>
    <col min="1518" max="1521" width="0" style="463" hidden="1" customWidth="1"/>
    <col min="1522" max="1766" width="8.7109375" style="463"/>
    <col min="1767" max="1767" width="5.28515625" style="463" customWidth="1"/>
    <col min="1768" max="1768" width="55.42578125" style="463" customWidth="1"/>
    <col min="1769" max="1769" width="23" style="463" customWidth="1"/>
    <col min="1770" max="1771" width="0" style="463" hidden="1" customWidth="1"/>
    <col min="1772" max="1772" width="58.5703125" style="463" customWidth="1"/>
    <col min="1773" max="1773" width="59.28515625" style="463" customWidth="1"/>
    <col min="1774" max="1777" width="0" style="463" hidden="1" customWidth="1"/>
    <col min="1778" max="2022" width="8.7109375" style="463"/>
    <col min="2023" max="2023" width="5.28515625" style="463" customWidth="1"/>
    <col min="2024" max="2024" width="55.42578125" style="463" customWidth="1"/>
    <col min="2025" max="2025" width="23" style="463" customWidth="1"/>
    <col min="2026" max="2027" width="0" style="463" hidden="1" customWidth="1"/>
    <col min="2028" max="2028" width="58.5703125" style="463" customWidth="1"/>
    <col min="2029" max="2029" width="59.28515625" style="463" customWidth="1"/>
    <col min="2030" max="2033" width="0" style="463" hidden="1" customWidth="1"/>
    <col min="2034" max="2278" width="8.7109375" style="463"/>
    <col min="2279" max="2279" width="5.28515625" style="463" customWidth="1"/>
    <col min="2280" max="2280" width="55.42578125" style="463" customWidth="1"/>
    <col min="2281" max="2281" width="23" style="463" customWidth="1"/>
    <col min="2282" max="2283" width="0" style="463" hidden="1" customWidth="1"/>
    <col min="2284" max="2284" width="58.5703125" style="463" customWidth="1"/>
    <col min="2285" max="2285" width="59.28515625" style="463" customWidth="1"/>
    <col min="2286" max="2289" width="0" style="463" hidden="1" customWidth="1"/>
    <col min="2290" max="2534" width="8.7109375" style="463"/>
    <col min="2535" max="2535" width="5.28515625" style="463" customWidth="1"/>
    <col min="2536" max="2536" width="55.42578125" style="463" customWidth="1"/>
    <col min="2537" max="2537" width="23" style="463" customWidth="1"/>
    <col min="2538" max="2539" width="0" style="463" hidden="1" customWidth="1"/>
    <col min="2540" max="2540" width="58.5703125" style="463" customWidth="1"/>
    <col min="2541" max="2541" width="59.28515625" style="463" customWidth="1"/>
    <col min="2542" max="2545" width="0" style="463" hidden="1" customWidth="1"/>
    <col min="2546" max="2790" width="8.7109375" style="463"/>
    <col min="2791" max="2791" width="5.28515625" style="463" customWidth="1"/>
    <col min="2792" max="2792" width="55.42578125" style="463" customWidth="1"/>
    <col min="2793" max="2793" width="23" style="463" customWidth="1"/>
    <col min="2794" max="2795" width="0" style="463" hidden="1" customWidth="1"/>
    <col min="2796" max="2796" width="58.5703125" style="463" customWidth="1"/>
    <col min="2797" max="2797" width="59.28515625" style="463" customWidth="1"/>
    <col min="2798" max="2801" width="0" style="463" hidden="1" customWidth="1"/>
    <col min="2802" max="3046" width="8.7109375" style="463"/>
    <col min="3047" max="3047" width="5.28515625" style="463" customWidth="1"/>
    <col min="3048" max="3048" width="55.42578125" style="463" customWidth="1"/>
    <col min="3049" max="3049" width="23" style="463" customWidth="1"/>
    <col min="3050" max="3051" width="0" style="463" hidden="1" customWidth="1"/>
    <col min="3052" max="3052" width="58.5703125" style="463" customWidth="1"/>
    <col min="3053" max="3053" width="59.28515625" style="463" customWidth="1"/>
    <col min="3054" max="3057" width="0" style="463" hidden="1" customWidth="1"/>
    <col min="3058" max="3302" width="8.7109375" style="463"/>
    <col min="3303" max="3303" width="5.28515625" style="463" customWidth="1"/>
    <col min="3304" max="3304" width="55.42578125" style="463" customWidth="1"/>
    <col min="3305" max="3305" width="23" style="463" customWidth="1"/>
    <col min="3306" max="3307" width="0" style="463" hidden="1" customWidth="1"/>
    <col min="3308" max="3308" width="58.5703125" style="463" customWidth="1"/>
    <col min="3309" max="3309" width="59.28515625" style="463" customWidth="1"/>
    <col min="3310" max="3313" width="0" style="463" hidden="1" customWidth="1"/>
    <col min="3314" max="3558" width="8.7109375" style="463"/>
    <col min="3559" max="3559" width="5.28515625" style="463" customWidth="1"/>
    <col min="3560" max="3560" width="55.42578125" style="463" customWidth="1"/>
    <col min="3561" max="3561" width="23" style="463" customWidth="1"/>
    <col min="3562" max="3563" width="0" style="463" hidden="1" customWidth="1"/>
    <col min="3564" max="3564" width="58.5703125" style="463" customWidth="1"/>
    <col min="3565" max="3565" width="59.28515625" style="463" customWidth="1"/>
    <col min="3566" max="3569" width="0" style="463" hidden="1" customWidth="1"/>
    <col min="3570" max="3814" width="8.7109375" style="463"/>
    <col min="3815" max="3815" width="5.28515625" style="463" customWidth="1"/>
    <col min="3816" max="3816" width="55.42578125" style="463" customWidth="1"/>
    <col min="3817" max="3817" width="23" style="463" customWidth="1"/>
    <col min="3818" max="3819" width="0" style="463" hidden="1" customWidth="1"/>
    <col min="3820" max="3820" width="58.5703125" style="463" customWidth="1"/>
    <col min="3821" max="3821" width="59.28515625" style="463" customWidth="1"/>
    <col min="3822" max="3825" width="0" style="463" hidden="1" customWidth="1"/>
    <col min="3826" max="4070" width="8.7109375" style="463"/>
    <col min="4071" max="4071" width="5.28515625" style="463" customWidth="1"/>
    <col min="4072" max="4072" width="55.42578125" style="463" customWidth="1"/>
    <col min="4073" max="4073" width="23" style="463" customWidth="1"/>
    <col min="4074" max="4075" width="0" style="463" hidden="1" customWidth="1"/>
    <col min="4076" max="4076" width="58.5703125" style="463" customWidth="1"/>
    <col min="4077" max="4077" width="59.28515625" style="463" customWidth="1"/>
    <col min="4078" max="4081" width="0" style="463" hidden="1" customWidth="1"/>
    <col min="4082" max="4326" width="8.7109375" style="463"/>
    <col min="4327" max="4327" width="5.28515625" style="463" customWidth="1"/>
    <col min="4328" max="4328" width="55.42578125" style="463" customWidth="1"/>
    <col min="4329" max="4329" width="23" style="463" customWidth="1"/>
    <col min="4330" max="4331" width="0" style="463" hidden="1" customWidth="1"/>
    <col min="4332" max="4332" width="58.5703125" style="463" customWidth="1"/>
    <col min="4333" max="4333" width="59.28515625" style="463" customWidth="1"/>
    <col min="4334" max="4337" width="0" style="463" hidden="1" customWidth="1"/>
    <col min="4338" max="4582" width="8.7109375" style="463"/>
    <col min="4583" max="4583" width="5.28515625" style="463" customWidth="1"/>
    <col min="4584" max="4584" width="55.42578125" style="463" customWidth="1"/>
    <col min="4585" max="4585" width="23" style="463" customWidth="1"/>
    <col min="4586" max="4587" width="0" style="463" hidden="1" customWidth="1"/>
    <col min="4588" max="4588" width="58.5703125" style="463" customWidth="1"/>
    <col min="4589" max="4589" width="59.28515625" style="463" customWidth="1"/>
    <col min="4590" max="4593" width="0" style="463" hidden="1" customWidth="1"/>
    <col min="4594" max="4838" width="8.7109375" style="463"/>
    <col min="4839" max="4839" width="5.28515625" style="463" customWidth="1"/>
    <col min="4840" max="4840" width="55.42578125" style="463" customWidth="1"/>
    <col min="4841" max="4841" width="23" style="463" customWidth="1"/>
    <col min="4842" max="4843" width="0" style="463" hidden="1" customWidth="1"/>
    <col min="4844" max="4844" width="58.5703125" style="463" customWidth="1"/>
    <col min="4845" max="4845" width="59.28515625" style="463" customWidth="1"/>
    <col min="4846" max="4849" width="0" style="463" hidden="1" customWidth="1"/>
    <col min="4850" max="5094" width="8.7109375" style="463"/>
    <col min="5095" max="5095" width="5.28515625" style="463" customWidth="1"/>
    <col min="5096" max="5096" width="55.42578125" style="463" customWidth="1"/>
    <col min="5097" max="5097" width="23" style="463" customWidth="1"/>
    <col min="5098" max="5099" width="0" style="463" hidden="1" customWidth="1"/>
    <col min="5100" max="5100" width="58.5703125" style="463" customWidth="1"/>
    <col min="5101" max="5101" width="59.28515625" style="463" customWidth="1"/>
    <col min="5102" max="5105" width="0" style="463" hidden="1" customWidth="1"/>
    <col min="5106" max="5350" width="8.7109375" style="463"/>
    <col min="5351" max="5351" width="5.28515625" style="463" customWidth="1"/>
    <col min="5352" max="5352" width="55.42578125" style="463" customWidth="1"/>
    <col min="5353" max="5353" width="23" style="463" customWidth="1"/>
    <col min="5354" max="5355" width="0" style="463" hidden="1" customWidth="1"/>
    <col min="5356" max="5356" width="58.5703125" style="463" customWidth="1"/>
    <col min="5357" max="5357" width="59.28515625" style="463" customWidth="1"/>
    <col min="5358" max="5361" width="0" style="463" hidden="1" customWidth="1"/>
    <col min="5362" max="5606" width="8.7109375" style="463"/>
    <col min="5607" max="5607" width="5.28515625" style="463" customWidth="1"/>
    <col min="5608" max="5608" width="55.42578125" style="463" customWidth="1"/>
    <col min="5609" max="5609" width="23" style="463" customWidth="1"/>
    <col min="5610" max="5611" width="0" style="463" hidden="1" customWidth="1"/>
    <col min="5612" max="5612" width="58.5703125" style="463" customWidth="1"/>
    <col min="5613" max="5613" width="59.28515625" style="463" customWidth="1"/>
    <col min="5614" max="5617" width="0" style="463" hidden="1" customWidth="1"/>
    <col min="5618" max="5862" width="8.7109375" style="463"/>
    <col min="5863" max="5863" width="5.28515625" style="463" customWidth="1"/>
    <col min="5864" max="5864" width="55.42578125" style="463" customWidth="1"/>
    <col min="5865" max="5865" width="23" style="463" customWidth="1"/>
    <col min="5866" max="5867" width="0" style="463" hidden="1" customWidth="1"/>
    <col min="5868" max="5868" width="58.5703125" style="463" customWidth="1"/>
    <col min="5869" max="5869" width="59.28515625" style="463" customWidth="1"/>
    <col min="5870" max="5873" width="0" style="463" hidden="1" customWidth="1"/>
    <col min="5874" max="6118" width="8.7109375" style="463"/>
    <col min="6119" max="6119" width="5.28515625" style="463" customWidth="1"/>
    <col min="6120" max="6120" width="55.42578125" style="463" customWidth="1"/>
    <col min="6121" max="6121" width="23" style="463" customWidth="1"/>
    <col min="6122" max="6123" width="0" style="463" hidden="1" customWidth="1"/>
    <col min="6124" max="6124" width="58.5703125" style="463" customWidth="1"/>
    <col min="6125" max="6125" width="59.28515625" style="463" customWidth="1"/>
    <col min="6126" max="6129" width="0" style="463" hidden="1" customWidth="1"/>
    <col min="6130" max="6374" width="8.7109375" style="463"/>
    <col min="6375" max="6375" width="5.28515625" style="463" customWidth="1"/>
    <col min="6376" max="6376" width="55.42578125" style="463" customWidth="1"/>
    <col min="6377" max="6377" width="23" style="463" customWidth="1"/>
    <col min="6378" max="6379" width="0" style="463" hidden="1" customWidth="1"/>
    <col min="6380" max="6380" width="58.5703125" style="463" customWidth="1"/>
    <col min="6381" max="6381" width="59.28515625" style="463" customWidth="1"/>
    <col min="6382" max="6385" width="0" style="463" hidden="1" customWidth="1"/>
    <col min="6386" max="6630" width="8.7109375" style="463"/>
    <col min="6631" max="6631" width="5.28515625" style="463" customWidth="1"/>
    <col min="6632" max="6632" width="55.42578125" style="463" customWidth="1"/>
    <col min="6633" max="6633" width="23" style="463" customWidth="1"/>
    <col min="6634" max="6635" width="0" style="463" hidden="1" customWidth="1"/>
    <col min="6636" max="6636" width="58.5703125" style="463" customWidth="1"/>
    <col min="6637" max="6637" width="59.28515625" style="463" customWidth="1"/>
    <col min="6638" max="6641" width="0" style="463" hidden="1" customWidth="1"/>
    <col min="6642" max="6886" width="8.7109375" style="463"/>
    <col min="6887" max="6887" width="5.28515625" style="463" customWidth="1"/>
    <col min="6888" max="6888" width="55.42578125" style="463" customWidth="1"/>
    <col min="6889" max="6889" width="23" style="463" customWidth="1"/>
    <col min="6890" max="6891" width="0" style="463" hidden="1" customWidth="1"/>
    <col min="6892" max="6892" width="58.5703125" style="463" customWidth="1"/>
    <col min="6893" max="6893" width="59.28515625" style="463" customWidth="1"/>
    <col min="6894" max="6897" width="0" style="463" hidden="1" customWidth="1"/>
    <col min="6898" max="7142" width="8.7109375" style="463"/>
    <col min="7143" max="7143" width="5.28515625" style="463" customWidth="1"/>
    <col min="7144" max="7144" width="55.42578125" style="463" customWidth="1"/>
    <col min="7145" max="7145" width="23" style="463" customWidth="1"/>
    <col min="7146" max="7147" width="0" style="463" hidden="1" customWidth="1"/>
    <col min="7148" max="7148" width="58.5703125" style="463" customWidth="1"/>
    <col min="7149" max="7149" width="59.28515625" style="463" customWidth="1"/>
    <col min="7150" max="7153" width="0" style="463" hidden="1" customWidth="1"/>
    <col min="7154" max="7398" width="8.7109375" style="463"/>
    <col min="7399" max="7399" width="5.28515625" style="463" customWidth="1"/>
    <col min="7400" max="7400" width="55.42578125" style="463" customWidth="1"/>
    <col min="7401" max="7401" width="23" style="463" customWidth="1"/>
    <col min="7402" max="7403" width="0" style="463" hidden="1" customWidth="1"/>
    <col min="7404" max="7404" width="58.5703125" style="463" customWidth="1"/>
    <col min="7405" max="7405" width="59.28515625" style="463" customWidth="1"/>
    <col min="7406" max="7409" width="0" style="463" hidden="1" customWidth="1"/>
    <col min="7410" max="7654" width="8.7109375" style="463"/>
    <col min="7655" max="7655" width="5.28515625" style="463" customWidth="1"/>
    <col min="7656" max="7656" width="55.42578125" style="463" customWidth="1"/>
    <col min="7657" max="7657" width="23" style="463" customWidth="1"/>
    <col min="7658" max="7659" width="0" style="463" hidden="1" customWidth="1"/>
    <col min="7660" max="7660" width="58.5703125" style="463" customWidth="1"/>
    <col min="7661" max="7661" width="59.28515625" style="463" customWidth="1"/>
    <col min="7662" max="7665" width="0" style="463" hidden="1" customWidth="1"/>
    <col min="7666" max="7910" width="8.7109375" style="463"/>
    <col min="7911" max="7911" width="5.28515625" style="463" customWidth="1"/>
    <col min="7912" max="7912" width="55.42578125" style="463" customWidth="1"/>
    <col min="7913" max="7913" width="23" style="463" customWidth="1"/>
    <col min="7914" max="7915" width="0" style="463" hidden="1" customWidth="1"/>
    <col min="7916" max="7916" width="58.5703125" style="463" customWidth="1"/>
    <col min="7917" max="7917" width="59.28515625" style="463" customWidth="1"/>
    <col min="7918" max="7921" width="0" style="463" hidden="1" customWidth="1"/>
    <col min="7922" max="8166" width="8.7109375" style="463"/>
    <col min="8167" max="8167" width="5.28515625" style="463" customWidth="1"/>
    <col min="8168" max="8168" width="55.42578125" style="463" customWidth="1"/>
    <col min="8169" max="8169" width="23" style="463" customWidth="1"/>
    <col min="8170" max="8171" width="0" style="463" hidden="1" customWidth="1"/>
    <col min="8172" max="8172" width="58.5703125" style="463" customWidth="1"/>
    <col min="8173" max="8173" width="59.28515625" style="463" customWidth="1"/>
    <col min="8174" max="8177" width="0" style="463" hidden="1" customWidth="1"/>
    <col min="8178" max="8422" width="8.7109375" style="463"/>
    <col min="8423" max="8423" width="5.28515625" style="463" customWidth="1"/>
    <col min="8424" max="8424" width="55.42578125" style="463" customWidth="1"/>
    <col min="8425" max="8425" width="23" style="463" customWidth="1"/>
    <col min="8426" max="8427" width="0" style="463" hidden="1" customWidth="1"/>
    <col min="8428" max="8428" width="58.5703125" style="463" customWidth="1"/>
    <col min="8429" max="8429" width="59.28515625" style="463" customWidth="1"/>
    <col min="8430" max="8433" width="0" style="463" hidden="1" customWidth="1"/>
    <col min="8434" max="8678" width="8.7109375" style="463"/>
    <col min="8679" max="8679" width="5.28515625" style="463" customWidth="1"/>
    <col min="8680" max="8680" width="55.42578125" style="463" customWidth="1"/>
    <col min="8681" max="8681" width="23" style="463" customWidth="1"/>
    <col min="8682" max="8683" width="0" style="463" hidden="1" customWidth="1"/>
    <col min="8684" max="8684" width="58.5703125" style="463" customWidth="1"/>
    <col min="8685" max="8685" width="59.28515625" style="463" customWidth="1"/>
    <col min="8686" max="8689" width="0" style="463" hidden="1" customWidth="1"/>
    <col min="8690" max="8934" width="8.7109375" style="463"/>
    <col min="8935" max="8935" width="5.28515625" style="463" customWidth="1"/>
    <col min="8936" max="8936" width="55.42578125" style="463" customWidth="1"/>
    <col min="8937" max="8937" width="23" style="463" customWidth="1"/>
    <col min="8938" max="8939" width="0" style="463" hidden="1" customWidth="1"/>
    <col min="8940" max="8940" width="58.5703125" style="463" customWidth="1"/>
    <col min="8941" max="8941" width="59.28515625" style="463" customWidth="1"/>
    <col min="8942" max="8945" width="0" style="463" hidden="1" customWidth="1"/>
    <col min="8946" max="9190" width="8.7109375" style="463"/>
    <col min="9191" max="9191" width="5.28515625" style="463" customWidth="1"/>
    <col min="9192" max="9192" width="55.42578125" style="463" customWidth="1"/>
    <col min="9193" max="9193" width="23" style="463" customWidth="1"/>
    <col min="9194" max="9195" width="0" style="463" hidden="1" customWidth="1"/>
    <col min="9196" max="9196" width="58.5703125" style="463" customWidth="1"/>
    <col min="9197" max="9197" width="59.28515625" style="463" customWidth="1"/>
    <col min="9198" max="9201" width="0" style="463" hidden="1" customWidth="1"/>
    <col min="9202" max="9446" width="8.7109375" style="463"/>
    <col min="9447" max="9447" width="5.28515625" style="463" customWidth="1"/>
    <col min="9448" max="9448" width="55.42578125" style="463" customWidth="1"/>
    <col min="9449" max="9449" width="23" style="463" customWidth="1"/>
    <col min="9450" max="9451" width="0" style="463" hidden="1" customWidth="1"/>
    <col min="9452" max="9452" width="58.5703125" style="463" customWidth="1"/>
    <col min="9453" max="9453" width="59.28515625" style="463" customWidth="1"/>
    <col min="9454" max="9457" width="0" style="463" hidden="1" customWidth="1"/>
    <col min="9458" max="9702" width="8.7109375" style="463"/>
    <col min="9703" max="9703" width="5.28515625" style="463" customWidth="1"/>
    <col min="9704" max="9704" width="55.42578125" style="463" customWidth="1"/>
    <col min="9705" max="9705" width="23" style="463" customWidth="1"/>
    <col min="9706" max="9707" width="0" style="463" hidden="1" customWidth="1"/>
    <col min="9708" max="9708" width="58.5703125" style="463" customWidth="1"/>
    <col min="9709" max="9709" width="59.28515625" style="463" customWidth="1"/>
    <col min="9710" max="9713" width="0" style="463" hidden="1" customWidth="1"/>
    <col min="9714" max="9958" width="8.7109375" style="463"/>
    <col min="9959" max="9959" width="5.28515625" style="463" customWidth="1"/>
    <col min="9960" max="9960" width="55.42578125" style="463" customWidth="1"/>
    <col min="9961" max="9961" width="23" style="463" customWidth="1"/>
    <col min="9962" max="9963" width="0" style="463" hidden="1" customWidth="1"/>
    <col min="9964" max="9964" width="58.5703125" style="463" customWidth="1"/>
    <col min="9965" max="9965" width="59.28515625" style="463" customWidth="1"/>
    <col min="9966" max="9969" width="0" style="463" hidden="1" customWidth="1"/>
    <col min="9970" max="10214" width="8.7109375" style="463"/>
    <col min="10215" max="10215" width="5.28515625" style="463" customWidth="1"/>
    <col min="10216" max="10216" width="55.42578125" style="463" customWidth="1"/>
    <col min="10217" max="10217" width="23" style="463" customWidth="1"/>
    <col min="10218" max="10219" width="0" style="463" hidden="1" customWidth="1"/>
    <col min="10220" max="10220" width="58.5703125" style="463" customWidth="1"/>
    <col min="10221" max="10221" width="59.28515625" style="463" customWidth="1"/>
    <col min="10222" max="10225" width="0" style="463" hidden="1" customWidth="1"/>
    <col min="10226" max="10470" width="8.7109375" style="463"/>
    <col min="10471" max="10471" width="5.28515625" style="463" customWidth="1"/>
    <col min="10472" max="10472" width="55.42578125" style="463" customWidth="1"/>
    <col min="10473" max="10473" width="23" style="463" customWidth="1"/>
    <col min="10474" max="10475" width="0" style="463" hidden="1" customWidth="1"/>
    <col min="10476" max="10476" width="58.5703125" style="463" customWidth="1"/>
    <col min="10477" max="10477" width="59.28515625" style="463" customWidth="1"/>
    <col min="10478" max="10481" width="0" style="463" hidden="1" customWidth="1"/>
    <col min="10482" max="10726" width="8.7109375" style="463"/>
    <col min="10727" max="10727" width="5.28515625" style="463" customWidth="1"/>
    <col min="10728" max="10728" width="55.42578125" style="463" customWidth="1"/>
    <col min="10729" max="10729" width="23" style="463" customWidth="1"/>
    <col min="10730" max="10731" width="0" style="463" hidden="1" customWidth="1"/>
    <col min="10732" max="10732" width="58.5703125" style="463" customWidth="1"/>
    <col min="10733" max="10733" width="59.28515625" style="463" customWidth="1"/>
    <col min="10734" max="10737" width="0" style="463" hidden="1" customWidth="1"/>
    <col min="10738" max="10982" width="8.7109375" style="463"/>
    <col min="10983" max="10983" width="5.28515625" style="463" customWidth="1"/>
    <col min="10984" max="10984" width="55.42578125" style="463" customWidth="1"/>
    <col min="10985" max="10985" width="23" style="463" customWidth="1"/>
    <col min="10986" max="10987" width="0" style="463" hidden="1" customWidth="1"/>
    <col min="10988" max="10988" width="58.5703125" style="463" customWidth="1"/>
    <col min="10989" max="10989" width="59.28515625" style="463" customWidth="1"/>
    <col min="10990" max="10993" width="0" style="463" hidden="1" customWidth="1"/>
    <col min="10994" max="11238" width="8.7109375" style="463"/>
    <col min="11239" max="11239" width="5.28515625" style="463" customWidth="1"/>
    <col min="11240" max="11240" width="55.42578125" style="463" customWidth="1"/>
    <col min="11241" max="11241" width="23" style="463" customWidth="1"/>
    <col min="11242" max="11243" width="0" style="463" hidden="1" customWidth="1"/>
    <col min="11244" max="11244" width="58.5703125" style="463" customWidth="1"/>
    <col min="11245" max="11245" width="59.28515625" style="463" customWidth="1"/>
    <col min="11246" max="11249" width="0" style="463" hidden="1" customWidth="1"/>
    <col min="11250" max="11494" width="8.7109375" style="463"/>
    <col min="11495" max="11495" width="5.28515625" style="463" customWidth="1"/>
    <col min="11496" max="11496" width="55.42578125" style="463" customWidth="1"/>
    <col min="11497" max="11497" width="23" style="463" customWidth="1"/>
    <col min="11498" max="11499" width="0" style="463" hidden="1" customWidth="1"/>
    <col min="11500" max="11500" width="58.5703125" style="463" customWidth="1"/>
    <col min="11501" max="11501" width="59.28515625" style="463" customWidth="1"/>
    <col min="11502" max="11505" width="0" style="463" hidden="1" customWidth="1"/>
    <col min="11506" max="11750" width="8.7109375" style="463"/>
    <col min="11751" max="11751" width="5.28515625" style="463" customWidth="1"/>
    <col min="11752" max="11752" width="55.42578125" style="463" customWidth="1"/>
    <col min="11753" max="11753" width="23" style="463" customWidth="1"/>
    <col min="11754" max="11755" width="0" style="463" hidden="1" customWidth="1"/>
    <col min="11756" max="11756" width="58.5703125" style="463" customWidth="1"/>
    <col min="11757" max="11757" width="59.28515625" style="463" customWidth="1"/>
    <col min="11758" max="11761" width="0" style="463" hidden="1" customWidth="1"/>
    <col min="11762" max="12006" width="8.7109375" style="463"/>
    <col min="12007" max="12007" width="5.28515625" style="463" customWidth="1"/>
    <col min="12008" max="12008" width="55.42578125" style="463" customWidth="1"/>
    <col min="12009" max="12009" width="23" style="463" customWidth="1"/>
    <col min="12010" max="12011" width="0" style="463" hidden="1" customWidth="1"/>
    <col min="12012" max="12012" width="58.5703125" style="463" customWidth="1"/>
    <col min="12013" max="12013" width="59.28515625" style="463" customWidth="1"/>
    <col min="12014" max="12017" width="0" style="463" hidden="1" customWidth="1"/>
    <col min="12018" max="12262" width="8.7109375" style="463"/>
    <col min="12263" max="12263" width="5.28515625" style="463" customWidth="1"/>
    <col min="12264" max="12264" width="55.42578125" style="463" customWidth="1"/>
    <col min="12265" max="12265" width="23" style="463" customWidth="1"/>
    <col min="12266" max="12267" width="0" style="463" hidden="1" customWidth="1"/>
    <col min="12268" max="12268" width="58.5703125" style="463" customWidth="1"/>
    <col min="12269" max="12269" width="59.28515625" style="463" customWidth="1"/>
    <col min="12270" max="12273" width="0" style="463" hidden="1" customWidth="1"/>
    <col min="12274" max="12518" width="8.7109375" style="463"/>
    <col min="12519" max="12519" width="5.28515625" style="463" customWidth="1"/>
    <col min="12520" max="12520" width="55.42578125" style="463" customWidth="1"/>
    <col min="12521" max="12521" width="23" style="463" customWidth="1"/>
    <col min="12522" max="12523" width="0" style="463" hidden="1" customWidth="1"/>
    <col min="12524" max="12524" width="58.5703125" style="463" customWidth="1"/>
    <col min="12525" max="12525" width="59.28515625" style="463" customWidth="1"/>
    <col min="12526" max="12529" width="0" style="463" hidden="1" customWidth="1"/>
    <col min="12530" max="12774" width="8.7109375" style="463"/>
    <col min="12775" max="12775" width="5.28515625" style="463" customWidth="1"/>
    <col min="12776" max="12776" width="55.42578125" style="463" customWidth="1"/>
    <col min="12777" max="12777" width="23" style="463" customWidth="1"/>
    <col min="12778" max="12779" width="0" style="463" hidden="1" customWidth="1"/>
    <col min="12780" max="12780" width="58.5703125" style="463" customWidth="1"/>
    <col min="12781" max="12781" width="59.28515625" style="463" customWidth="1"/>
    <col min="12782" max="12785" width="0" style="463" hidden="1" customWidth="1"/>
    <col min="12786" max="13030" width="8.7109375" style="463"/>
    <col min="13031" max="13031" width="5.28515625" style="463" customWidth="1"/>
    <col min="13032" max="13032" width="55.42578125" style="463" customWidth="1"/>
    <col min="13033" max="13033" width="23" style="463" customWidth="1"/>
    <col min="13034" max="13035" width="0" style="463" hidden="1" customWidth="1"/>
    <col min="13036" max="13036" width="58.5703125" style="463" customWidth="1"/>
    <col min="13037" max="13037" width="59.28515625" style="463" customWidth="1"/>
    <col min="13038" max="13041" width="0" style="463" hidden="1" customWidth="1"/>
    <col min="13042" max="13286" width="8.7109375" style="463"/>
    <col min="13287" max="13287" width="5.28515625" style="463" customWidth="1"/>
    <col min="13288" max="13288" width="55.42578125" style="463" customWidth="1"/>
    <col min="13289" max="13289" width="23" style="463" customWidth="1"/>
    <col min="13290" max="13291" width="0" style="463" hidden="1" customWidth="1"/>
    <col min="13292" max="13292" width="58.5703125" style="463" customWidth="1"/>
    <col min="13293" max="13293" width="59.28515625" style="463" customWidth="1"/>
    <col min="13294" max="13297" width="0" style="463" hidden="1" customWidth="1"/>
    <col min="13298" max="13542" width="8.7109375" style="463"/>
    <col min="13543" max="13543" width="5.28515625" style="463" customWidth="1"/>
    <col min="13544" max="13544" width="55.42578125" style="463" customWidth="1"/>
    <col min="13545" max="13545" width="23" style="463" customWidth="1"/>
    <col min="13546" max="13547" width="0" style="463" hidden="1" customWidth="1"/>
    <col min="13548" max="13548" width="58.5703125" style="463" customWidth="1"/>
    <col min="13549" max="13549" width="59.28515625" style="463" customWidth="1"/>
    <col min="13550" max="13553" width="0" style="463" hidden="1" customWidth="1"/>
    <col min="13554" max="13798" width="8.7109375" style="463"/>
    <col min="13799" max="13799" width="5.28515625" style="463" customWidth="1"/>
    <col min="13800" max="13800" width="55.42578125" style="463" customWidth="1"/>
    <col min="13801" max="13801" width="23" style="463" customWidth="1"/>
    <col min="13802" max="13803" width="0" style="463" hidden="1" customWidth="1"/>
    <col min="13804" max="13804" width="58.5703125" style="463" customWidth="1"/>
    <col min="13805" max="13805" width="59.28515625" style="463" customWidth="1"/>
    <col min="13806" max="13809" width="0" style="463" hidden="1" customWidth="1"/>
    <col min="13810" max="14054" width="8.7109375" style="463"/>
    <col min="14055" max="14055" width="5.28515625" style="463" customWidth="1"/>
    <col min="14056" max="14056" width="55.42578125" style="463" customWidth="1"/>
    <col min="14057" max="14057" width="23" style="463" customWidth="1"/>
    <col min="14058" max="14059" width="0" style="463" hidden="1" customWidth="1"/>
    <col min="14060" max="14060" width="58.5703125" style="463" customWidth="1"/>
    <col min="14061" max="14061" width="59.28515625" style="463" customWidth="1"/>
    <col min="14062" max="14065" width="0" style="463" hidden="1" customWidth="1"/>
    <col min="14066" max="14310" width="8.7109375" style="463"/>
    <col min="14311" max="14311" width="5.28515625" style="463" customWidth="1"/>
    <col min="14312" max="14312" width="55.42578125" style="463" customWidth="1"/>
    <col min="14313" max="14313" width="23" style="463" customWidth="1"/>
    <col min="14314" max="14315" width="0" style="463" hidden="1" customWidth="1"/>
    <col min="14316" max="14316" width="58.5703125" style="463" customWidth="1"/>
    <col min="14317" max="14317" width="59.28515625" style="463" customWidth="1"/>
    <col min="14318" max="14321" width="0" style="463" hidden="1" customWidth="1"/>
    <col min="14322" max="14566" width="8.7109375" style="463"/>
    <col min="14567" max="14567" width="5.28515625" style="463" customWidth="1"/>
    <col min="14568" max="14568" width="55.42578125" style="463" customWidth="1"/>
    <col min="14569" max="14569" width="23" style="463" customWidth="1"/>
    <col min="14570" max="14571" width="0" style="463" hidden="1" customWidth="1"/>
    <col min="14572" max="14572" width="58.5703125" style="463" customWidth="1"/>
    <col min="14573" max="14573" width="59.28515625" style="463" customWidth="1"/>
    <col min="14574" max="14577" width="0" style="463" hidden="1" customWidth="1"/>
    <col min="14578" max="14822" width="8.7109375" style="463"/>
    <col min="14823" max="14823" width="5.28515625" style="463" customWidth="1"/>
    <col min="14824" max="14824" width="55.42578125" style="463" customWidth="1"/>
    <col min="14825" max="14825" width="23" style="463" customWidth="1"/>
    <col min="14826" max="14827" width="0" style="463" hidden="1" customWidth="1"/>
    <col min="14828" max="14828" width="58.5703125" style="463" customWidth="1"/>
    <col min="14829" max="14829" width="59.28515625" style="463" customWidth="1"/>
    <col min="14830" max="14833" width="0" style="463" hidden="1" customWidth="1"/>
    <col min="14834" max="15078" width="8.7109375" style="463"/>
    <col min="15079" max="15079" width="5.28515625" style="463" customWidth="1"/>
    <col min="15080" max="15080" width="55.42578125" style="463" customWidth="1"/>
    <col min="15081" max="15081" width="23" style="463" customWidth="1"/>
    <col min="15082" max="15083" width="0" style="463" hidden="1" customWidth="1"/>
    <col min="15084" max="15084" width="58.5703125" style="463" customWidth="1"/>
    <col min="15085" max="15085" width="59.28515625" style="463" customWidth="1"/>
    <col min="15086" max="15089" width="0" style="463" hidden="1" customWidth="1"/>
    <col min="15090" max="15334" width="8.7109375" style="463"/>
    <col min="15335" max="15335" width="5.28515625" style="463" customWidth="1"/>
    <col min="15336" max="15336" width="55.42578125" style="463" customWidth="1"/>
    <col min="15337" max="15337" width="23" style="463" customWidth="1"/>
    <col min="15338" max="15339" width="0" style="463" hidden="1" customWidth="1"/>
    <col min="15340" max="15340" width="58.5703125" style="463" customWidth="1"/>
    <col min="15341" max="15341" width="59.28515625" style="463" customWidth="1"/>
    <col min="15342" max="15345" width="0" style="463" hidden="1" customWidth="1"/>
    <col min="15346" max="15590" width="8.7109375" style="463"/>
    <col min="15591" max="15591" width="5.28515625" style="463" customWidth="1"/>
    <col min="15592" max="15592" width="55.42578125" style="463" customWidth="1"/>
    <col min="15593" max="15593" width="23" style="463" customWidth="1"/>
    <col min="15594" max="15595" width="0" style="463" hidden="1" customWidth="1"/>
    <col min="15596" max="15596" width="58.5703125" style="463" customWidth="1"/>
    <col min="15597" max="15597" width="59.28515625" style="463" customWidth="1"/>
    <col min="15598" max="15601" width="0" style="463" hidden="1" customWidth="1"/>
    <col min="15602" max="15846" width="8.7109375" style="463"/>
    <col min="15847" max="15847" width="5.28515625" style="463" customWidth="1"/>
    <col min="15848" max="15848" width="55.42578125" style="463" customWidth="1"/>
    <col min="15849" max="15849" width="23" style="463" customWidth="1"/>
    <col min="15850" max="15851" width="0" style="463" hidden="1" customWidth="1"/>
    <col min="15852" max="15852" width="58.5703125" style="463" customWidth="1"/>
    <col min="15853" max="15853" width="59.28515625" style="463" customWidth="1"/>
    <col min="15854" max="15857" width="0" style="463" hidden="1" customWidth="1"/>
    <col min="15858" max="16102" width="8.7109375" style="463"/>
    <col min="16103" max="16103" width="5.28515625" style="463" customWidth="1"/>
    <col min="16104" max="16104" width="55.42578125" style="463" customWidth="1"/>
    <col min="16105" max="16105" width="23" style="463" customWidth="1"/>
    <col min="16106" max="16107" width="0" style="463" hidden="1" customWidth="1"/>
    <col min="16108" max="16108" width="58.5703125" style="463" customWidth="1"/>
    <col min="16109" max="16109" width="59.28515625" style="463" customWidth="1"/>
    <col min="16110" max="16113" width="0" style="463" hidden="1" customWidth="1"/>
    <col min="16114" max="16357" width="8.7109375" style="463"/>
    <col min="16358" max="16384" width="8.42578125" style="463" customWidth="1"/>
  </cols>
  <sheetData>
    <row r="1" spans="2:6" x14ac:dyDescent="0.4">
      <c r="C1" s="464" t="s">
        <v>267</v>
      </c>
    </row>
    <row r="2" spans="2:6" x14ac:dyDescent="0.4">
      <c r="C2" s="466">
        <v>44682</v>
      </c>
    </row>
    <row r="3" spans="2:6" x14ac:dyDescent="0.4">
      <c r="B3" s="467"/>
      <c r="C3" s="468" t="s">
        <v>268</v>
      </c>
    </row>
    <row r="4" spans="2:6" ht="24.95" customHeight="1" thickBot="1" x14ac:dyDescent="0.45">
      <c r="B4" s="469" t="s">
        <v>269</v>
      </c>
      <c r="C4" s="470" t="s">
        <v>437</v>
      </c>
      <c r="D4" s="469" t="s">
        <v>271</v>
      </c>
      <c r="E4" s="471" t="s">
        <v>272</v>
      </c>
      <c r="F4" s="471" t="s">
        <v>274</v>
      </c>
    </row>
    <row r="5" spans="2:6" ht="39.950000000000003" customHeight="1" x14ac:dyDescent="0.4">
      <c r="B5" s="472" t="s">
        <v>275</v>
      </c>
      <c r="C5" s="473">
        <v>20</v>
      </c>
      <c r="D5" s="717" t="s">
        <v>438</v>
      </c>
      <c r="E5" s="715" t="s">
        <v>276</v>
      </c>
      <c r="F5" s="715" t="s">
        <v>439</v>
      </c>
    </row>
    <row r="6" spans="2:6" ht="42.6" customHeight="1" thickBot="1" x14ac:dyDescent="0.45">
      <c r="B6" s="474" t="s">
        <v>278</v>
      </c>
      <c r="C6" s="475">
        <f>C5*2080</f>
        <v>41600</v>
      </c>
      <c r="D6" s="718"/>
      <c r="E6" s="716"/>
      <c r="F6" s="716"/>
    </row>
    <row r="7" spans="2:6" x14ac:dyDescent="0.4">
      <c r="B7" s="476" t="s">
        <v>279</v>
      </c>
      <c r="C7" s="473">
        <f>'[17]DC  CNA  DC III'!I19</f>
        <v>25.580080000000002</v>
      </c>
      <c r="D7" s="477" t="s">
        <v>280</v>
      </c>
      <c r="E7" s="715" t="s">
        <v>281</v>
      </c>
      <c r="F7" s="715" t="s">
        <v>282</v>
      </c>
    </row>
    <row r="8" spans="2:6" ht="46.5" customHeight="1" thickBot="1" x14ac:dyDescent="0.45">
      <c r="B8" s="478" t="s">
        <v>283</v>
      </c>
      <c r="C8" s="479">
        <f>C7*2080</f>
        <v>53206.566400000003</v>
      </c>
      <c r="D8" s="465" t="s">
        <v>440</v>
      </c>
      <c r="E8" s="719"/>
      <c r="F8" s="719"/>
    </row>
    <row r="9" spans="2:6" ht="26.1" customHeight="1" x14ac:dyDescent="0.4">
      <c r="B9" s="476" t="s">
        <v>285</v>
      </c>
      <c r="C9" s="473">
        <f>'[17]DC  CNA  DC III'!I11</f>
        <v>19.121599999999997</v>
      </c>
      <c r="D9" s="477"/>
      <c r="E9" s="715" t="s">
        <v>286</v>
      </c>
      <c r="F9" s="715" t="s">
        <v>287</v>
      </c>
    </row>
    <row r="10" spans="2:6" ht="27" thickBot="1" x14ac:dyDescent="0.45">
      <c r="B10" s="481" t="s">
        <v>288</v>
      </c>
      <c r="C10" s="475">
        <f>C6</f>
        <v>41600</v>
      </c>
      <c r="D10" s="482"/>
      <c r="E10" s="716"/>
      <c r="F10" s="716"/>
    </row>
    <row r="11" spans="2:6" x14ac:dyDescent="0.4">
      <c r="B11" s="476" t="s">
        <v>289</v>
      </c>
      <c r="C11" s="473">
        <f>'[17]Case Social Worker.Manager'!J4</f>
        <v>28.180799999999998</v>
      </c>
      <c r="D11" s="477" t="s">
        <v>290</v>
      </c>
      <c r="E11" s="715" t="s">
        <v>291</v>
      </c>
      <c r="F11" s="715" t="s">
        <v>293</v>
      </c>
    </row>
    <row r="12" spans="2:6" ht="27" thickBot="1" x14ac:dyDescent="0.45">
      <c r="B12" s="478" t="s">
        <v>294</v>
      </c>
      <c r="C12" s="479">
        <f>C11*2080</f>
        <v>58616.063999999998</v>
      </c>
      <c r="D12" s="463" t="s">
        <v>295</v>
      </c>
      <c r="E12" s="719"/>
      <c r="F12" s="719"/>
    </row>
    <row r="13" spans="2:6" ht="52.5" x14ac:dyDescent="0.4">
      <c r="B13" s="483" t="s">
        <v>296</v>
      </c>
      <c r="C13" s="473">
        <f>'[17]Case Social Worker.Manager'!J11</f>
        <v>30.9283</v>
      </c>
      <c r="D13" s="477" t="s">
        <v>297</v>
      </c>
      <c r="E13" s="715" t="s">
        <v>298</v>
      </c>
      <c r="F13" s="715" t="s">
        <v>299</v>
      </c>
    </row>
    <row r="14" spans="2:6" ht="53.25" thickBot="1" x14ac:dyDescent="0.45">
      <c r="B14" s="484" t="s">
        <v>300</v>
      </c>
      <c r="C14" s="475">
        <f>C13*2080</f>
        <v>64330.864000000001</v>
      </c>
      <c r="D14" s="482" t="s">
        <v>301</v>
      </c>
      <c r="E14" s="716"/>
      <c r="F14" s="716"/>
    </row>
    <row r="15" spans="2:6" x14ac:dyDescent="0.4">
      <c r="B15" s="476" t="s">
        <v>302</v>
      </c>
      <c r="C15" s="473">
        <f>[17]Nursing!J2</f>
        <v>31.575200000000002</v>
      </c>
      <c r="D15" s="477"/>
      <c r="E15" s="715" t="s">
        <v>303</v>
      </c>
      <c r="F15" s="715" t="s">
        <v>304</v>
      </c>
    </row>
    <row r="16" spans="2:6" ht="27" thickBot="1" x14ac:dyDescent="0.45">
      <c r="B16" s="481" t="s">
        <v>305</v>
      </c>
      <c r="C16" s="475">
        <f>C15*2080</f>
        <v>65676.416000000012</v>
      </c>
      <c r="D16" s="482" t="s">
        <v>441</v>
      </c>
      <c r="E16" s="716"/>
      <c r="F16" s="716"/>
    </row>
    <row r="17" spans="2:6" x14ac:dyDescent="0.4">
      <c r="B17" s="476" t="s">
        <v>306</v>
      </c>
      <c r="C17" s="473">
        <f>[17]Clinical!J6</f>
        <v>38.753100000000003</v>
      </c>
      <c r="D17" s="477" t="s">
        <v>307</v>
      </c>
      <c r="E17" s="715" t="s">
        <v>308</v>
      </c>
      <c r="F17" s="715" t="s">
        <v>309</v>
      </c>
    </row>
    <row r="18" spans="2:6" ht="27" thickBot="1" x14ac:dyDescent="0.45">
      <c r="B18" s="481" t="s">
        <v>310</v>
      </c>
      <c r="C18" s="475">
        <f>C17*2080</f>
        <v>80606.448000000004</v>
      </c>
      <c r="D18" s="482"/>
      <c r="E18" s="716"/>
      <c r="F18" s="716"/>
    </row>
    <row r="19" spans="2:6" x14ac:dyDescent="0.4">
      <c r="B19" s="476" t="s">
        <v>311</v>
      </c>
      <c r="C19" s="485">
        <f>[17]Therapies!M2</f>
        <v>32.740400000000001</v>
      </c>
      <c r="D19" s="477"/>
      <c r="E19" s="715" t="s">
        <v>312</v>
      </c>
      <c r="F19" s="715" t="s">
        <v>313</v>
      </c>
    </row>
    <row r="20" spans="2:6" ht="27" thickBot="1" x14ac:dyDescent="0.45">
      <c r="B20" s="481" t="s">
        <v>314</v>
      </c>
      <c r="C20" s="475">
        <f>C19*2080</f>
        <v>68100.032000000007</v>
      </c>
      <c r="D20" s="482"/>
      <c r="E20" s="716"/>
      <c r="F20" s="716"/>
    </row>
    <row r="21" spans="2:6" x14ac:dyDescent="0.4">
      <c r="B21" s="478" t="s">
        <v>315</v>
      </c>
      <c r="C21" s="486">
        <f>[17]Management!J2</f>
        <v>38.180400000000006</v>
      </c>
      <c r="D21" s="463" t="s">
        <v>316</v>
      </c>
      <c r="E21" s="715" t="s">
        <v>317</v>
      </c>
      <c r="F21" s="720" t="s">
        <v>318</v>
      </c>
    </row>
    <row r="22" spans="2:6" ht="27" thickBot="1" x14ac:dyDescent="0.45">
      <c r="B22" s="481" t="s">
        <v>319</v>
      </c>
      <c r="C22" s="475">
        <f>C21*2080</f>
        <v>79415.232000000018</v>
      </c>
      <c r="D22" s="482" t="s">
        <v>320</v>
      </c>
      <c r="E22" s="716"/>
      <c r="F22" s="721"/>
    </row>
    <row r="23" spans="2:6" ht="39.950000000000003" customHeight="1" x14ac:dyDescent="0.4">
      <c r="B23" s="487" t="s">
        <v>442</v>
      </c>
      <c r="C23" s="486">
        <f>[17]Therapies!M8</f>
        <v>38.017499999999998</v>
      </c>
      <c r="D23" s="463" t="s">
        <v>322</v>
      </c>
      <c r="E23" s="715" t="s">
        <v>298</v>
      </c>
      <c r="F23" s="715" t="s">
        <v>443</v>
      </c>
    </row>
    <row r="24" spans="2:6" ht="39.950000000000003" customHeight="1" thickBot="1" x14ac:dyDescent="0.45">
      <c r="B24" s="474" t="s">
        <v>444</v>
      </c>
      <c r="C24" s="475">
        <f>C23*2080</f>
        <v>79076.399999999994</v>
      </c>
      <c r="D24" s="482"/>
      <c r="E24" s="716"/>
      <c r="F24" s="716"/>
    </row>
    <row r="25" spans="2:6" x14ac:dyDescent="0.4">
      <c r="B25" s="478" t="s">
        <v>325</v>
      </c>
      <c r="C25" s="486">
        <f>[17]Therapies!M14</f>
        <v>41.25168</v>
      </c>
      <c r="D25" s="463" t="s">
        <v>326</v>
      </c>
      <c r="E25" s="715" t="s">
        <v>298</v>
      </c>
      <c r="F25" s="715" t="s">
        <v>327</v>
      </c>
    </row>
    <row r="26" spans="2:6" ht="27" thickBot="1" x14ac:dyDescent="0.45">
      <c r="B26" s="481" t="s">
        <v>328</v>
      </c>
      <c r="C26" s="479">
        <f>C25*2080</f>
        <v>85803.494399999996</v>
      </c>
      <c r="E26" s="716"/>
      <c r="F26" s="716"/>
    </row>
    <row r="27" spans="2:6" x14ac:dyDescent="0.4">
      <c r="B27" s="476" t="s">
        <v>329</v>
      </c>
      <c r="C27" s="473">
        <f>[17]Clinical!J12</f>
        <v>48.742200000000004</v>
      </c>
      <c r="D27" s="722" t="s">
        <v>330</v>
      </c>
      <c r="E27" s="715" t="s">
        <v>331</v>
      </c>
      <c r="F27" s="715" t="s">
        <v>332</v>
      </c>
    </row>
    <row r="28" spans="2:6" ht="49.5" customHeight="1" thickBot="1" x14ac:dyDescent="0.45">
      <c r="B28" s="481" t="s">
        <v>333</v>
      </c>
      <c r="C28" s="475">
        <f>C27*2080</f>
        <v>101383.77600000001</v>
      </c>
      <c r="D28" s="723"/>
      <c r="E28" s="716"/>
      <c r="F28" s="716"/>
    </row>
    <row r="29" spans="2:6" x14ac:dyDescent="0.4">
      <c r="B29" s="472" t="s">
        <v>445</v>
      </c>
      <c r="C29" s="473">
        <f>[17]Therapies!M18</f>
        <v>42.756720000000001</v>
      </c>
      <c r="D29" s="477"/>
      <c r="E29" s="715" t="s">
        <v>298</v>
      </c>
      <c r="F29" s="715" t="s">
        <v>446</v>
      </c>
    </row>
    <row r="30" spans="2:6" ht="27" thickBot="1" x14ac:dyDescent="0.45">
      <c r="B30" s="474" t="s">
        <v>447</v>
      </c>
      <c r="C30" s="475">
        <f>C29*2080</f>
        <v>88933.977599999998</v>
      </c>
      <c r="D30" s="482"/>
      <c r="E30" s="716"/>
      <c r="F30" s="716"/>
    </row>
    <row r="31" spans="2:6" x14ac:dyDescent="0.4">
      <c r="B31" s="476" t="s">
        <v>337</v>
      </c>
      <c r="C31" s="473">
        <f>[17]Nursing!J6</f>
        <v>49.162799999999997</v>
      </c>
      <c r="D31" s="477"/>
      <c r="E31" s="715" t="s">
        <v>338</v>
      </c>
      <c r="F31" s="715" t="s">
        <v>339</v>
      </c>
    </row>
    <row r="32" spans="2:6" ht="53.25" customHeight="1" thickBot="1" x14ac:dyDescent="0.45">
      <c r="B32" s="481" t="s">
        <v>340</v>
      </c>
      <c r="C32" s="475">
        <f>C31*2080</f>
        <v>102258.624</v>
      </c>
      <c r="D32" s="482"/>
      <c r="E32" s="716"/>
      <c r="F32" s="716"/>
    </row>
    <row r="33" spans="2:6" x14ac:dyDescent="0.4">
      <c r="B33" s="476" t="s">
        <v>341</v>
      </c>
      <c r="C33" s="473">
        <f>[17]Nursing!J11</f>
        <v>65.162400000000005</v>
      </c>
      <c r="D33" s="477"/>
      <c r="E33" s="715" t="s">
        <v>342</v>
      </c>
      <c r="F33" s="715" t="s">
        <v>343</v>
      </c>
    </row>
    <row r="34" spans="2:6" ht="27" thickBot="1" x14ac:dyDescent="0.45">
      <c r="B34" s="481" t="s">
        <v>344</v>
      </c>
      <c r="C34" s="475">
        <f>C33*2080</f>
        <v>135537.79200000002</v>
      </c>
      <c r="D34" s="482"/>
      <c r="E34" s="716"/>
      <c r="F34" s="716"/>
    </row>
    <row r="35" spans="2:6" x14ac:dyDescent="0.4">
      <c r="B35" s="476" t="s">
        <v>448</v>
      </c>
      <c r="C35" s="485">
        <f>[18]Therapies!$M$25</f>
        <v>26.998012820512823</v>
      </c>
      <c r="D35" s="477" t="s">
        <v>449</v>
      </c>
      <c r="E35" s="488"/>
      <c r="F35" s="715" t="s">
        <v>450</v>
      </c>
    </row>
    <row r="36" spans="2:6" ht="27" thickBot="1" x14ac:dyDescent="0.45">
      <c r="B36" s="481"/>
      <c r="C36" s="475">
        <f>C35*2080</f>
        <v>56155.866666666669</v>
      </c>
      <c r="D36" s="482"/>
      <c r="E36" s="489"/>
      <c r="F36" s="716" t="s">
        <v>451</v>
      </c>
    </row>
    <row r="37" spans="2:6" x14ac:dyDescent="0.4">
      <c r="F37" s="480"/>
    </row>
    <row r="38" spans="2:6" ht="52.5" x14ac:dyDescent="0.4">
      <c r="B38" s="490" t="s">
        <v>452</v>
      </c>
      <c r="C38" s="479">
        <f>C6</f>
        <v>41600</v>
      </c>
    </row>
    <row r="39" spans="2:6" x14ac:dyDescent="0.4">
      <c r="C39" s="491"/>
    </row>
    <row r="40" spans="2:6" x14ac:dyDescent="0.4">
      <c r="B40" s="492" t="s">
        <v>346</v>
      </c>
      <c r="C40" s="493">
        <v>0.27039999999999997</v>
      </c>
      <c r="D40" s="463" t="s">
        <v>453</v>
      </c>
    </row>
    <row r="41" spans="2:6" ht="34.35" customHeight="1" x14ac:dyDescent="0.4">
      <c r="B41" s="492"/>
      <c r="C41" s="491"/>
      <c r="D41" s="724" t="s">
        <v>348</v>
      </c>
      <c r="E41" s="724"/>
      <c r="F41" s="463"/>
    </row>
    <row r="42" spans="2:6" x14ac:dyDescent="0.4">
      <c r="C42" s="491"/>
    </row>
    <row r="43" spans="2:6" x14ac:dyDescent="0.4">
      <c r="B43" s="492" t="s">
        <v>349</v>
      </c>
      <c r="C43" s="494">
        <v>0.12</v>
      </c>
      <c r="D43" s="463" t="s">
        <v>61</v>
      </c>
    </row>
    <row r="44" spans="2:6" x14ac:dyDescent="0.4">
      <c r="B44" s="492"/>
      <c r="C44" s="495"/>
    </row>
    <row r="45" spans="2:6" x14ac:dyDescent="0.4">
      <c r="B45" s="725" t="s">
        <v>350</v>
      </c>
      <c r="C45" s="725"/>
      <c r="D45" s="725"/>
    </row>
    <row r="46" spans="2:6" x14ac:dyDescent="0.4">
      <c r="B46" s="496" t="s">
        <v>454</v>
      </c>
      <c r="C46" s="479">
        <v>247470</v>
      </c>
      <c r="D46" s="463" t="s">
        <v>455</v>
      </c>
    </row>
    <row r="47" spans="2:6" x14ac:dyDescent="0.4">
      <c r="B47" s="492" t="s">
        <v>353</v>
      </c>
      <c r="C47" s="479">
        <v>252850</v>
      </c>
      <c r="D47" s="463" t="s">
        <v>456</v>
      </c>
    </row>
    <row r="48" spans="2:6" x14ac:dyDescent="0.4">
      <c r="B48" s="492" t="s">
        <v>355</v>
      </c>
      <c r="C48" s="479">
        <f>C34</f>
        <v>135537.79200000002</v>
      </c>
      <c r="D48" s="463" t="s">
        <v>457</v>
      </c>
    </row>
    <row r="49" spans="2:6" x14ac:dyDescent="0.4">
      <c r="B49" s="492" t="s">
        <v>90</v>
      </c>
      <c r="C49" s="497">
        <f>C6</f>
        <v>41600</v>
      </c>
      <c r="D49" s="463" t="s">
        <v>379</v>
      </c>
    </row>
    <row r="50" spans="2:6" x14ac:dyDescent="0.4">
      <c r="B50" s="492" t="s">
        <v>120</v>
      </c>
      <c r="C50" s="497">
        <f>AVERAGE(C6,C8)</f>
        <v>47403.283200000005</v>
      </c>
      <c r="D50" s="463" t="s">
        <v>381</v>
      </c>
    </row>
    <row r="51" spans="2:6" x14ac:dyDescent="0.4">
      <c r="B51" s="492" t="s">
        <v>123</v>
      </c>
      <c r="C51" s="479">
        <f>C8</f>
        <v>53206.566400000003</v>
      </c>
      <c r="D51" s="463" t="s">
        <v>118</v>
      </c>
    </row>
    <row r="52" spans="2:6" x14ac:dyDescent="0.4">
      <c r="B52" s="492" t="s">
        <v>370</v>
      </c>
      <c r="C52" s="479">
        <f>'[17]M2022 53_PCT'!N34</f>
        <v>40890.303999999996</v>
      </c>
      <c r="D52" s="463" t="s">
        <v>458</v>
      </c>
    </row>
    <row r="53" spans="2:6" x14ac:dyDescent="0.4">
      <c r="B53" s="492" t="s">
        <v>371</v>
      </c>
      <c r="C53" s="497">
        <f>'[17]M2022 53_PCT'!N37</f>
        <v>50652.160000000003</v>
      </c>
      <c r="D53" s="463" t="s">
        <v>459</v>
      </c>
    </row>
    <row r="54" spans="2:6" x14ac:dyDescent="0.4">
      <c r="B54" s="492" t="s">
        <v>372</v>
      </c>
      <c r="C54" s="497">
        <f>AVERAGE('[17]M2022 53_PCT'!N35,'[17]M2022 53_PCT'!N36)</f>
        <v>57014.464000000007</v>
      </c>
      <c r="D54" s="463" t="s">
        <v>460</v>
      </c>
    </row>
    <row r="55" spans="2:6" x14ac:dyDescent="0.4">
      <c r="B55" s="492"/>
      <c r="C55" s="497"/>
    </row>
    <row r="56" spans="2:6" x14ac:dyDescent="0.4">
      <c r="B56" s="492"/>
      <c r="C56" s="497"/>
    </row>
    <row r="57" spans="2:6" x14ac:dyDescent="0.4">
      <c r="B57" s="726" t="s">
        <v>461</v>
      </c>
      <c r="C57" s="726"/>
      <c r="D57" s="726"/>
      <c r="E57" s="726"/>
      <c r="F57" s="726"/>
    </row>
    <row r="58" spans="2:6" x14ac:dyDescent="0.4">
      <c r="B58" s="498" t="s">
        <v>462</v>
      </c>
      <c r="C58" s="463" t="s">
        <v>463</v>
      </c>
    </row>
    <row r="59" spans="2:6" ht="66.599999999999994" customHeight="1" x14ac:dyDescent="0.4">
      <c r="B59" s="499" t="s">
        <v>464</v>
      </c>
      <c r="C59" s="724" t="s">
        <v>465</v>
      </c>
      <c r="D59" s="724"/>
      <c r="E59" s="724"/>
      <c r="F59" s="724"/>
    </row>
  </sheetData>
  <mergeCells count="37">
    <mergeCell ref="F35:F36"/>
    <mergeCell ref="D41:E41"/>
    <mergeCell ref="B45:D45"/>
    <mergeCell ref="B57:F57"/>
    <mergeCell ref="C59:F59"/>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B11D-DE7E-4195-AE33-26A0091B46E4}">
  <dimension ref="A1:DB53"/>
  <sheetViews>
    <sheetView topLeftCell="BV1" workbookViewId="0">
      <selection activeCell="CR30" sqref="CR30"/>
    </sheetView>
  </sheetViews>
  <sheetFormatPr defaultColWidth="8.7109375" defaultRowHeight="12.75" x14ac:dyDescent="0.2"/>
  <cols>
    <col min="1" max="1" width="38.42578125" style="238" customWidth="1"/>
    <col min="2" max="2" width="12.85546875" style="243" customWidth="1"/>
    <col min="3" max="82" width="7.7109375" style="238" customWidth="1"/>
    <col min="83" max="97" width="8.7109375" style="238"/>
    <col min="98" max="98" width="10.140625" style="238" bestFit="1" customWidth="1"/>
    <col min="99" max="16384" width="8.7109375" style="238"/>
  </cols>
  <sheetData>
    <row r="1" spans="1:106" ht="18" x14ac:dyDescent="0.25">
      <c r="A1" s="727" t="s">
        <v>159</v>
      </c>
      <c r="B1" s="728"/>
    </row>
    <row r="2" spans="1:106" ht="15.75" x14ac:dyDescent="0.25">
      <c r="A2" s="239" t="s">
        <v>466</v>
      </c>
      <c r="B2" s="240"/>
    </row>
    <row r="3" spans="1:106" ht="15.75" thickBot="1" x14ac:dyDescent="0.3">
      <c r="A3" s="241" t="s">
        <v>161</v>
      </c>
      <c r="B3" s="242"/>
    </row>
    <row r="5" spans="1:106" x14ac:dyDescent="0.2">
      <c r="CE5" s="238" t="s">
        <v>467</v>
      </c>
      <c r="CF5" s="238" t="s">
        <v>468</v>
      </c>
      <c r="CG5" s="238" t="s">
        <v>469</v>
      </c>
      <c r="CH5" s="238" t="s">
        <v>470</v>
      </c>
    </row>
    <row r="6" spans="1:106" x14ac:dyDescent="0.2">
      <c r="CC6" s="500" t="s">
        <v>165</v>
      </c>
      <c r="CD6" s="500" t="s">
        <v>165</v>
      </c>
      <c r="CE6" s="500" t="s">
        <v>165</v>
      </c>
      <c r="CF6" s="500" t="s">
        <v>165</v>
      </c>
      <c r="CG6" s="501" t="s">
        <v>166</v>
      </c>
      <c r="CH6" s="501" t="s">
        <v>166</v>
      </c>
      <c r="CI6" s="501" t="s">
        <v>166</v>
      </c>
      <c r="CJ6" s="501" t="s">
        <v>166</v>
      </c>
      <c r="CK6" s="502" t="s">
        <v>471</v>
      </c>
      <c r="CL6" s="502" t="s">
        <v>471</v>
      </c>
      <c r="CM6" s="502" t="s">
        <v>471</v>
      </c>
      <c r="CN6" s="502" t="s">
        <v>471</v>
      </c>
      <c r="CO6" s="503" t="s">
        <v>472</v>
      </c>
      <c r="CP6" s="503" t="s">
        <v>472</v>
      </c>
      <c r="CQ6" s="503" t="s">
        <v>472</v>
      </c>
      <c r="CR6" s="503" t="s">
        <v>472</v>
      </c>
    </row>
    <row r="7" spans="1:106" s="243" customFormat="1" x14ac:dyDescent="0.2">
      <c r="B7" s="243" t="s">
        <v>167</v>
      </c>
      <c r="C7" s="249" t="s">
        <v>168</v>
      </c>
      <c r="D7" s="249" t="s">
        <v>169</v>
      </c>
      <c r="E7" s="249" t="s">
        <v>170</v>
      </c>
      <c r="F7" s="249" t="s">
        <v>171</v>
      </c>
      <c r="G7" s="249" t="s">
        <v>172</v>
      </c>
      <c r="H7" s="249" t="s">
        <v>173</v>
      </c>
      <c r="I7" s="249" t="s">
        <v>174</v>
      </c>
      <c r="J7" s="249" t="s">
        <v>175</v>
      </c>
      <c r="K7" s="249" t="s">
        <v>176</v>
      </c>
      <c r="L7" s="249" t="s">
        <v>177</v>
      </c>
      <c r="M7" s="249" t="s">
        <v>178</v>
      </c>
      <c r="N7" s="249" t="s">
        <v>179</v>
      </c>
      <c r="O7" s="249" t="s">
        <v>180</v>
      </c>
      <c r="P7" s="249" t="s">
        <v>181</v>
      </c>
      <c r="Q7" s="249" t="s">
        <v>182</v>
      </c>
      <c r="R7" s="249" t="s">
        <v>183</v>
      </c>
      <c r="S7" s="249" t="s">
        <v>184</v>
      </c>
      <c r="T7" s="249" t="s">
        <v>185</v>
      </c>
      <c r="U7" s="249" t="s">
        <v>186</v>
      </c>
      <c r="V7" s="249" t="s">
        <v>187</v>
      </c>
      <c r="W7" s="249" t="s">
        <v>188</v>
      </c>
      <c r="X7" s="249" t="s">
        <v>189</v>
      </c>
      <c r="Y7" s="249" t="s">
        <v>190</v>
      </c>
      <c r="Z7" s="249" t="s">
        <v>191</v>
      </c>
      <c r="AA7" s="249" t="s">
        <v>192</v>
      </c>
      <c r="AB7" s="249" t="s">
        <v>193</v>
      </c>
      <c r="AC7" s="249" t="s">
        <v>194</v>
      </c>
      <c r="AD7" s="249" t="s">
        <v>195</v>
      </c>
      <c r="AE7" s="249" t="s">
        <v>196</v>
      </c>
      <c r="AF7" s="249" t="s">
        <v>197</v>
      </c>
      <c r="AG7" s="249" t="s">
        <v>198</v>
      </c>
      <c r="AH7" s="249" t="s">
        <v>199</v>
      </c>
      <c r="AI7" s="249" t="s">
        <v>200</v>
      </c>
      <c r="AJ7" s="249" t="s">
        <v>201</v>
      </c>
      <c r="AK7" s="249" t="s">
        <v>202</v>
      </c>
      <c r="AL7" s="249" t="s">
        <v>203</v>
      </c>
      <c r="AM7" s="249" t="s">
        <v>204</v>
      </c>
      <c r="AN7" s="249" t="s">
        <v>205</v>
      </c>
      <c r="AO7" s="249" t="s">
        <v>206</v>
      </c>
      <c r="AP7" s="249" t="s">
        <v>207</v>
      </c>
      <c r="AQ7" s="249" t="s">
        <v>208</v>
      </c>
      <c r="AR7" s="249" t="s">
        <v>209</v>
      </c>
      <c r="AS7" s="249" t="s">
        <v>210</v>
      </c>
      <c r="AT7" s="249" t="s">
        <v>211</v>
      </c>
      <c r="AU7" s="243" t="s">
        <v>212</v>
      </c>
      <c r="AV7" s="243" t="s">
        <v>213</v>
      </c>
      <c r="AW7" s="243" t="s">
        <v>214</v>
      </c>
      <c r="AX7" s="243" t="s">
        <v>215</v>
      </c>
      <c r="AY7" s="243" t="s">
        <v>216</v>
      </c>
      <c r="AZ7" s="243" t="s">
        <v>217</v>
      </c>
      <c r="BA7" s="243" t="s">
        <v>218</v>
      </c>
      <c r="BB7" s="243" t="s">
        <v>219</v>
      </c>
      <c r="BC7" s="243" t="s">
        <v>220</v>
      </c>
      <c r="BD7" s="243" t="s">
        <v>221</v>
      </c>
      <c r="BE7" s="243" t="s">
        <v>222</v>
      </c>
      <c r="BF7" s="243" t="s">
        <v>223</v>
      </c>
      <c r="BG7" s="243" t="s">
        <v>224</v>
      </c>
      <c r="BH7" s="243" t="s">
        <v>225</v>
      </c>
      <c r="BI7" s="243" t="s">
        <v>226</v>
      </c>
      <c r="BJ7" s="243" t="s">
        <v>227</v>
      </c>
      <c r="BK7" s="243" t="s">
        <v>228</v>
      </c>
      <c r="BL7" s="243" t="s">
        <v>229</v>
      </c>
      <c r="BM7" s="243" t="s">
        <v>230</v>
      </c>
      <c r="BN7" s="243" t="s">
        <v>231</v>
      </c>
      <c r="BO7" s="243" t="s">
        <v>232</v>
      </c>
      <c r="BP7" s="243" t="s">
        <v>233</v>
      </c>
      <c r="BQ7" s="243" t="s">
        <v>234</v>
      </c>
      <c r="BR7" s="243" t="s">
        <v>235</v>
      </c>
      <c r="BS7" s="243" t="s">
        <v>236</v>
      </c>
      <c r="BT7" s="243" t="s">
        <v>237</v>
      </c>
      <c r="BU7" s="243" t="s">
        <v>238</v>
      </c>
      <c r="BV7" s="243" t="s">
        <v>239</v>
      </c>
      <c r="BW7" s="243" t="s">
        <v>240</v>
      </c>
      <c r="BX7" s="243" t="s">
        <v>241</v>
      </c>
      <c r="BY7" s="243" t="s">
        <v>242</v>
      </c>
      <c r="BZ7" s="243" t="s">
        <v>243</v>
      </c>
      <c r="CA7" s="243" t="s">
        <v>244</v>
      </c>
      <c r="CB7" s="243" t="s">
        <v>245</v>
      </c>
      <c r="CC7" s="243" t="s">
        <v>246</v>
      </c>
      <c r="CD7" s="243" t="s">
        <v>247</v>
      </c>
      <c r="CE7" s="243" t="s">
        <v>248</v>
      </c>
      <c r="CF7" s="243" t="s">
        <v>249</v>
      </c>
      <c r="CG7" s="243" t="s">
        <v>250</v>
      </c>
      <c r="CH7" s="243" t="s">
        <v>251</v>
      </c>
      <c r="CI7" s="243" t="s">
        <v>252</v>
      </c>
      <c r="CJ7" s="243" t="s">
        <v>253</v>
      </c>
      <c r="CK7" s="243" t="s">
        <v>254</v>
      </c>
      <c r="CL7" s="243" t="s">
        <v>255</v>
      </c>
      <c r="CM7" s="243" t="s">
        <v>473</v>
      </c>
      <c r="CN7" s="243" t="s">
        <v>474</v>
      </c>
      <c r="CO7" s="243" t="s">
        <v>475</v>
      </c>
      <c r="CP7" s="243" t="s">
        <v>476</v>
      </c>
      <c r="CQ7" s="243" t="s">
        <v>477</v>
      </c>
      <c r="CR7" s="243" t="s">
        <v>478</v>
      </c>
      <c r="CS7" s="243" t="s">
        <v>479</v>
      </c>
      <c r="CT7" s="243" t="s">
        <v>480</v>
      </c>
      <c r="CU7" s="243" t="s">
        <v>481</v>
      </c>
      <c r="CV7" s="243" t="s">
        <v>482</v>
      </c>
      <c r="CW7" s="243" t="s">
        <v>483</v>
      </c>
      <c r="CX7" s="243" t="s">
        <v>484</v>
      </c>
      <c r="CY7" s="243" t="s">
        <v>485</v>
      </c>
      <c r="CZ7" s="243" t="s">
        <v>486</v>
      </c>
      <c r="DA7" s="243" t="s">
        <v>487</v>
      </c>
      <c r="DB7" s="243" t="s">
        <v>488</v>
      </c>
    </row>
    <row r="8" spans="1:106" x14ac:dyDescent="0.2">
      <c r="A8" s="243" t="s">
        <v>256</v>
      </c>
      <c r="B8" s="243" t="s">
        <v>257</v>
      </c>
      <c r="C8" s="250">
        <v>2.00628152344725</v>
      </c>
      <c r="D8" s="250">
        <v>2.0289884930558402</v>
      </c>
      <c r="E8" s="250">
        <v>2.0375016562590802</v>
      </c>
      <c r="F8" s="250">
        <v>2.0607449869168599</v>
      </c>
      <c r="G8" s="250">
        <v>2.0744332275644801</v>
      </c>
      <c r="H8" s="250">
        <v>2.08454547450836</v>
      </c>
      <c r="I8" s="250">
        <v>2.1206746557150402</v>
      </c>
      <c r="J8" s="250">
        <v>2.14275729334011</v>
      </c>
      <c r="K8" s="250">
        <v>2.1573758168938499</v>
      </c>
      <c r="L8" s="250">
        <v>2.1832269913207099</v>
      </c>
      <c r="M8" s="250">
        <v>2.2041365810243998</v>
      </c>
      <c r="N8" s="250">
        <v>2.1899931166757001</v>
      </c>
      <c r="O8" s="250">
        <v>2.2072571273119199</v>
      </c>
      <c r="P8" s="250">
        <v>2.2278061460830898</v>
      </c>
      <c r="Q8" s="250">
        <v>2.2459872624776498</v>
      </c>
      <c r="R8" s="250">
        <v>2.2737796851626002</v>
      </c>
      <c r="S8" s="250">
        <v>2.2969718599533899</v>
      </c>
      <c r="T8" s="250">
        <v>2.3348646382960099</v>
      </c>
      <c r="U8" s="250">
        <v>2.3735648754926002</v>
      </c>
      <c r="V8" s="250">
        <v>2.3220801273912</v>
      </c>
      <c r="W8" s="250">
        <v>2.3034285045676701</v>
      </c>
      <c r="X8" s="250">
        <v>2.3147021401619101</v>
      </c>
      <c r="Y8" s="250">
        <v>2.3337614610957198</v>
      </c>
      <c r="Z8" s="250">
        <v>2.3528576086547801</v>
      </c>
      <c r="AA8" s="250">
        <v>2.35647771513222</v>
      </c>
      <c r="AB8" s="250">
        <v>2.3596025653367101</v>
      </c>
      <c r="AC8" s="250">
        <v>2.3673890181389599</v>
      </c>
      <c r="AD8" s="250">
        <v>2.3902843413905099</v>
      </c>
      <c r="AE8" s="250">
        <v>2.4075011397303001</v>
      </c>
      <c r="AF8" s="250">
        <v>2.4441794059222399</v>
      </c>
      <c r="AG8" s="250">
        <v>2.4606450441339098</v>
      </c>
      <c r="AH8" s="250">
        <v>2.4683177087339598</v>
      </c>
      <c r="AI8" s="250">
        <v>2.4799514472049</v>
      </c>
      <c r="AJ8" s="250">
        <v>2.4866052278032602</v>
      </c>
      <c r="AK8" s="250">
        <v>2.49805925339983</v>
      </c>
      <c r="AL8" s="250">
        <v>2.5181882805357798</v>
      </c>
      <c r="AM8" s="250">
        <v>2.5229787830159101</v>
      </c>
      <c r="AN8" s="250">
        <v>2.52346335903882</v>
      </c>
      <c r="AO8" s="250">
        <v>2.5387532942889002</v>
      </c>
      <c r="AP8" s="250">
        <v>2.5497773093796798</v>
      </c>
      <c r="AQ8" s="250">
        <v>2.5636066148424002</v>
      </c>
      <c r="AR8" s="250">
        <v>2.56792955597742</v>
      </c>
      <c r="AS8" s="250">
        <v>2.57495679166504</v>
      </c>
      <c r="AT8" s="250">
        <v>2.5708478641900898</v>
      </c>
      <c r="AU8" s="250">
        <v>2.5617405316734598</v>
      </c>
      <c r="AV8" s="250">
        <v>2.5735873439772798</v>
      </c>
      <c r="AW8" s="250">
        <v>2.5767155739846399</v>
      </c>
      <c r="AX8" s="250">
        <v>2.57726677772387</v>
      </c>
      <c r="AY8" s="250">
        <v>2.5714104290309301</v>
      </c>
      <c r="AZ8" s="250">
        <v>2.5919136046640499</v>
      </c>
      <c r="BA8" s="250">
        <v>2.6072565906426499</v>
      </c>
      <c r="BB8" s="250">
        <v>2.6258801771662501</v>
      </c>
      <c r="BC8" s="250">
        <v>2.6432306689598501</v>
      </c>
      <c r="BD8" s="250">
        <v>2.6454476861951899</v>
      </c>
      <c r="BE8" s="250">
        <v>2.6517812730067698</v>
      </c>
      <c r="BF8" s="250">
        <v>2.6733971140650601</v>
      </c>
      <c r="BG8" s="250">
        <v>2.7001626673320298</v>
      </c>
      <c r="BH8" s="250">
        <v>2.7186749307887399</v>
      </c>
      <c r="BI8" s="250">
        <v>2.7312502770766902</v>
      </c>
      <c r="BJ8" s="250">
        <v>2.7449673362036799</v>
      </c>
      <c r="BK8" s="250">
        <v>2.74964123298852</v>
      </c>
      <c r="BL8" s="250">
        <v>2.76892419756365</v>
      </c>
      <c r="BM8" s="250">
        <v>2.7854306387802099</v>
      </c>
      <c r="BN8" s="250">
        <v>2.7987928855446702</v>
      </c>
      <c r="BO8" s="250">
        <v>2.80587239388006</v>
      </c>
      <c r="BP8" s="250">
        <v>2.7900748919912099</v>
      </c>
      <c r="BQ8" s="250">
        <v>2.8027670186365801</v>
      </c>
      <c r="BR8" s="250">
        <v>2.81899770482157</v>
      </c>
      <c r="BS8" s="250">
        <v>2.8437972933142301</v>
      </c>
      <c r="BT8" s="250">
        <v>2.8770723994158698</v>
      </c>
      <c r="BU8" s="250">
        <v>2.9193140754345901</v>
      </c>
      <c r="BV8" s="250">
        <v>2.9829435493595602</v>
      </c>
      <c r="BW8" s="250">
        <v>3.03684630224281</v>
      </c>
      <c r="BX8" s="250">
        <v>3.0939993473318301</v>
      </c>
      <c r="BY8" s="250">
        <v>3.1315060095292502</v>
      </c>
      <c r="BZ8" s="250">
        <v>3.1709241734295301</v>
      </c>
      <c r="CA8" s="250">
        <v>3.1806721825302202</v>
      </c>
      <c r="CB8" s="250">
        <v>3.1784604162518999</v>
      </c>
      <c r="CC8" s="250">
        <v>3.2022153247244498</v>
      </c>
      <c r="CD8" s="250">
        <v>3.2228466011932602</v>
      </c>
      <c r="CE8" s="250">
        <v>3.23550782587207</v>
      </c>
      <c r="CF8" s="250">
        <v>3.2578443343391998</v>
      </c>
      <c r="CG8" s="250">
        <v>3.2785336061586099</v>
      </c>
      <c r="CH8" s="250">
        <v>3.2945750495459198</v>
      </c>
      <c r="CI8" s="250">
        <v>3.3197866008054402</v>
      </c>
      <c r="CJ8" s="250">
        <v>3.3417226906935502</v>
      </c>
      <c r="CK8" s="250">
        <v>3.36166301106931</v>
      </c>
      <c r="CL8" s="250">
        <v>3.3822166895578301</v>
      </c>
      <c r="CM8" s="250">
        <v>3.4010128419302901</v>
      </c>
      <c r="CN8" s="250">
        <v>3.4201372554861198</v>
      </c>
      <c r="CO8" s="250">
        <v>3.4400186137155999</v>
      </c>
      <c r="CP8" s="250">
        <v>3.4615101467212601</v>
      </c>
      <c r="CQ8" s="250">
        <v>3.4818284987769199</v>
      </c>
      <c r="CR8" s="250">
        <v>3.5028392058351798</v>
      </c>
      <c r="CS8" s="250">
        <v>3.5249202930579</v>
      </c>
      <c r="CT8" s="250">
        <v>3.5460071373514799</v>
      </c>
      <c r="CU8" s="250">
        <v>3.5669972330235602</v>
      </c>
      <c r="CV8" s="250">
        <v>3.58692701237405</v>
      </c>
      <c r="CW8" s="250">
        <v>3.6082038272031101</v>
      </c>
      <c r="CX8" s="250">
        <v>3.6277494069088498</v>
      </c>
      <c r="CY8" s="250">
        <v>3.6500031303623102</v>
      </c>
      <c r="CZ8" s="250">
        <v>3.6695569189604802</v>
      </c>
      <c r="DA8" s="250">
        <v>3.6905864228250498</v>
      </c>
      <c r="DB8" s="250">
        <v>3.71149820318655</v>
      </c>
    </row>
    <row r="9" spans="1:106" x14ac:dyDescent="0.2">
      <c r="A9" s="243" t="s">
        <v>258</v>
      </c>
      <c r="B9" s="243" t="s">
        <v>259</v>
      </c>
      <c r="C9" s="250">
        <v>2.00628152344725</v>
      </c>
      <c r="D9" s="250">
        <v>2.0289884930558402</v>
      </c>
      <c r="E9" s="250">
        <v>2.0375016562590802</v>
      </c>
      <c r="F9" s="250">
        <v>2.0607449869168599</v>
      </c>
      <c r="G9" s="250">
        <v>2.0744332275644801</v>
      </c>
      <c r="H9" s="250">
        <v>2.08454547450836</v>
      </c>
      <c r="I9" s="250">
        <v>2.1206746557150402</v>
      </c>
      <c r="J9" s="250">
        <v>2.14275729334011</v>
      </c>
      <c r="K9" s="250">
        <v>2.1573758168938499</v>
      </c>
      <c r="L9" s="250">
        <v>2.1832269913207099</v>
      </c>
      <c r="M9" s="250">
        <v>2.2041365810243998</v>
      </c>
      <c r="N9" s="250">
        <v>2.1899931166757001</v>
      </c>
      <c r="O9" s="250">
        <v>2.2072571273119199</v>
      </c>
      <c r="P9" s="250">
        <v>2.2278061460830898</v>
      </c>
      <c r="Q9" s="250">
        <v>2.2459872624776498</v>
      </c>
      <c r="R9" s="250">
        <v>2.2737796851626002</v>
      </c>
      <c r="S9" s="250">
        <v>2.2969718599533899</v>
      </c>
      <c r="T9" s="250">
        <v>2.3348646382960099</v>
      </c>
      <c r="U9" s="250">
        <v>2.3735648754926002</v>
      </c>
      <c r="V9" s="250">
        <v>2.3220801273912</v>
      </c>
      <c r="W9" s="250">
        <v>2.3034285045676701</v>
      </c>
      <c r="X9" s="250">
        <v>2.3147021401619101</v>
      </c>
      <c r="Y9" s="250">
        <v>2.3337614610957198</v>
      </c>
      <c r="Z9" s="250">
        <v>2.3528576086547801</v>
      </c>
      <c r="AA9" s="250">
        <v>2.35647771513222</v>
      </c>
      <c r="AB9" s="250">
        <v>2.3596025653367101</v>
      </c>
      <c r="AC9" s="250">
        <v>2.3673890181389599</v>
      </c>
      <c r="AD9" s="250">
        <v>2.3902843413905099</v>
      </c>
      <c r="AE9" s="250">
        <v>2.4075011397303001</v>
      </c>
      <c r="AF9" s="250">
        <v>2.4441794059222399</v>
      </c>
      <c r="AG9" s="250">
        <v>2.4606450441339098</v>
      </c>
      <c r="AH9" s="250">
        <v>2.4683177087339598</v>
      </c>
      <c r="AI9" s="250">
        <v>2.4799514472049</v>
      </c>
      <c r="AJ9" s="250">
        <v>2.4866052278032602</v>
      </c>
      <c r="AK9" s="250">
        <v>2.49805925339983</v>
      </c>
      <c r="AL9" s="250">
        <v>2.5181882805357798</v>
      </c>
      <c r="AM9" s="250">
        <v>2.5229787830159101</v>
      </c>
      <c r="AN9" s="250">
        <v>2.52346335903882</v>
      </c>
      <c r="AO9" s="250">
        <v>2.5387532942889002</v>
      </c>
      <c r="AP9" s="250">
        <v>2.5497773093796798</v>
      </c>
      <c r="AQ9" s="250">
        <v>2.5636066148424002</v>
      </c>
      <c r="AR9" s="250">
        <v>2.56792955597742</v>
      </c>
      <c r="AS9" s="250">
        <v>2.57495679166504</v>
      </c>
      <c r="AT9" s="250">
        <v>2.5708478641900898</v>
      </c>
      <c r="AU9" s="250">
        <v>2.5617405316734598</v>
      </c>
      <c r="AV9" s="250">
        <v>2.5735873439772798</v>
      </c>
      <c r="AW9" s="250">
        <v>2.5767155739846399</v>
      </c>
      <c r="AX9" s="250">
        <v>2.57726677772387</v>
      </c>
      <c r="AY9" s="250">
        <v>2.5714104290309301</v>
      </c>
      <c r="AZ9" s="250">
        <v>2.5919136046640499</v>
      </c>
      <c r="BA9" s="250">
        <v>2.6072565906426499</v>
      </c>
      <c r="BB9" s="250">
        <v>2.6258801771662501</v>
      </c>
      <c r="BC9" s="250">
        <v>2.6432306689598501</v>
      </c>
      <c r="BD9" s="250">
        <v>2.6454476861951899</v>
      </c>
      <c r="BE9" s="250">
        <v>2.6517812730067698</v>
      </c>
      <c r="BF9" s="250">
        <v>2.6733971140650601</v>
      </c>
      <c r="BG9" s="250">
        <v>2.7001626673320298</v>
      </c>
      <c r="BH9" s="250">
        <v>2.7186749307887399</v>
      </c>
      <c r="BI9" s="250">
        <v>2.7312502770766902</v>
      </c>
      <c r="BJ9" s="250">
        <v>2.7449673362036799</v>
      </c>
      <c r="BK9" s="250">
        <v>2.74964123298852</v>
      </c>
      <c r="BL9" s="250">
        <v>2.76892419756365</v>
      </c>
      <c r="BM9" s="250">
        <v>2.7854306387802099</v>
      </c>
      <c r="BN9" s="250">
        <v>2.7987928855446702</v>
      </c>
      <c r="BO9" s="250">
        <v>2.80587239388006</v>
      </c>
      <c r="BP9" s="250">
        <v>2.7900748919912099</v>
      </c>
      <c r="BQ9" s="250">
        <v>2.8027670186365801</v>
      </c>
      <c r="BR9" s="250">
        <v>2.81899770482157</v>
      </c>
      <c r="BS9" s="250">
        <v>2.8437972933142301</v>
      </c>
      <c r="BT9" s="250">
        <v>2.8770723994158698</v>
      </c>
      <c r="BU9" s="250">
        <v>2.9193140754345901</v>
      </c>
      <c r="BV9" s="250">
        <v>2.9829435493595602</v>
      </c>
      <c r="BW9" s="250">
        <v>3.03684630224281</v>
      </c>
      <c r="BX9" s="250">
        <v>3.0939993473318301</v>
      </c>
      <c r="BY9" s="250">
        <v>3.1315060095292502</v>
      </c>
      <c r="BZ9" s="250">
        <v>3.1709241734295301</v>
      </c>
      <c r="CA9" s="250">
        <v>3.1806721825302202</v>
      </c>
      <c r="CB9" s="250">
        <v>3.1784604162518999</v>
      </c>
      <c r="CC9" s="250">
        <v>3.1880215703579999</v>
      </c>
      <c r="CD9" s="250">
        <v>3.2065682971238298</v>
      </c>
      <c r="CE9" s="250">
        <v>3.2177399457864699</v>
      </c>
      <c r="CF9" s="250">
        <v>3.2378185634282302</v>
      </c>
      <c r="CG9" s="250">
        <v>3.25656770063839</v>
      </c>
      <c r="CH9" s="250">
        <v>3.27110127859771</v>
      </c>
      <c r="CI9" s="250">
        <v>3.2944309740921498</v>
      </c>
      <c r="CJ9" s="250">
        <v>3.3143993617605201</v>
      </c>
      <c r="CK9" s="250">
        <v>3.3322344903885601</v>
      </c>
      <c r="CL9" s="250">
        <v>3.35046325499723</v>
      </c>
      <c r="CM9" s="250">
        <v>3.3669734300441201</v>
      </c>
      <c r="CN9" s="250">
        <v>3.3835781064221901</v>
      </c>
      <c r="CO9" s="250">
        <v>3.40126999342383</v>
      </c>
      <c r="CP9" s="250">
        <v>3.4206485932531399</v>
      </c>
      <c r="CQ9" s="250">
        <v>3.4390532499344801</v>
      </c>
      <c r="CR9" s="250">
        <v>3.4580366768499</v>
      </c>
      <c r="CS9" s="250">
        <v>3.47802438177116</v>
      </c>
      <c r="CT9" s="250">
        <v>3.4970669586175398</v>
      </c>
      <c r="CU9" s="250">
        <v>3.5161376145324899</v>
      </c>
      <c r="CV9" s="250">
        <v>3.53415200640889</v>
      </c>
      <c r="CW9" s="250">
        <v>3.5535194739162299</v>
      </c>
      <c r="CX9" s="250">
        <v>3.5709835716878802</v>
      </c>
      <c r="CY9" s="250">
        <v>3.5912976737319</v>
      </c>
      <c r="CZ9" s="250">
        <v>3.6087192639826902</v>
      </c>
      <c r="DA9" s="250">
        <v>3.6274135114711501</v>
      </c>
      <c r="DB9" s="250">
        <v>3.6458171909181298</v>
      </c>
    </row>
    <row r="10" spans="1:106" x14ac:dyDescent="0.2">
      <c r="A10" s="243" t="s">
        <v>260</v>
      </c>
      <c r="B10" s="243" t="s">
        <v>261</v>
      </c>
      <c r="C10" s="250">
        <v>2.00628152344725</v>
      </c>
      <c r="D10" s="250">
        <v>2.0289884930558402</v>
      </c>
      <c r="E10" s="250">
        <v>2.0375016562590802</v>
      </c>
      <c r="F10" s="250">
        <v>2.0607449869168599</v>
      </c>
      <c r="G10" s="250">
        <v>2.0744332275644801</v>
      </c>
      <c r="H10" s="250">
        <v>2.08454547450836</v>
      </c>
      <c r="I10" s="250">
        <v>2.1206746557150402</v>
      </c>
      <c r="J10" s="250">
        <v>2.14275729334011</v>
      </c>
      <c r="K10" s="250">
        <v>2.1573758168938499</v>
      </c>
      <c r="L10" s="250">
        <v>2.1832269913207099</v>
      </c>
      <c r="M10" s="250">
        <v>2.2041365810243998</v>
      </c>
      <c r="N10" s="250">
        <v>2.1899931166757001</v>
      </c>
      <c r="O10" s="250">
        <v>2.2072571273119199</v>
      </c>
      <c r="P10" s="250">
        <v>2.2278061460830898</v>
      </c>
      <c r="Q10" s="250">
        <v>2.2459872624776498</v>
      </c>
      <c r="R10" s="250">
        <v>2.2737796851626002</v>
      </c>
      <c r="S10" s="250">
        <v>2.2969718599533899</v>
      </c>
      <c r="T10" s="250">
        <v>2.3348646382960099</v>
      </c>
      <c r="U10" s="250">
        <v>2.3735648754926002</v>
      </c>
      <c r="V10" s="250">
        <v>2.3220801273912</v>
      </c>
      <c r="W10" s="250">
        <v>2.3034285045676701</v>
      </c>
      <c r="X10" s="250">
        <v>2.3147021401619101</v>
      </c>
      <c r="Y10" s="250">
        <v>2.3337614610957198</v>
      </c>
      <c r="Z10" s="250">
        <v>2.3528576086547801</v>
      </c>
      <c r="AA10" s="250">
        <v>2.35647771513222</v>
      </c>
      <c r="AB10" s="250">
        <v>2.3596025653367101</v>
      </c>
      <c r="AC10" s="250">
        <v>2.3673890181389599</v>
      </c>
      <c r="AD10" s="250">
        <v>2.3902843413905099</v>
      </c>
      <c r="AE10" s="250">
        <v>2.4075011397303001</v>
      </c>
      <c r="AF10" s="250">
        <v>2.4441794059222399</v>
      </c>
      <c r="AG10" s="250">
        <v>2.4606450441339098</v>
      </c>
      <c r="AH10" s="250">
        <v>2.4683177087339598</v>
      </c>
      <c r="AI10" s="250">
        <v>2.4799514472049</v>
      </c>
      <c r="AJ10" s="250">
        <v>2.4866052278032602</v>
      </c>
      <c r="AK10" s="250">
        <v>2.49805925339983</v>
      </c>
      <c r="AL10" s="250">
        <v>2.5181882805357798</v>
      </c>
      <c r="AM10" s="250">
        <v>2.5229787830159101</v>
      </c>
      <c r="AN10" s="250">
        <v>2.52346335903882</v>
      </c>
      <c r="AO10" s="250">
        <v>2.5387532942889002</v>
      </c>
      <c r="AP10" s="250">
        <v>2.5497773093796798</v>
      </c>
      <c r="AQ10" s="250">
        <v>2.5636066148424002</v>
      </c>
      <c r="AR10" s="250">
        <v>2.56792955597742</v>
      </c>
      <c r="AS10" s="250">
        <v>2.57495679166504</v>
      </c>
      <c r="AT10" s="250">
        <v>2.5708478641900898</v>
      </c>
      <c r="AU10" s="250">
        <v>2.5617405316734598</v>
      </c>
      <c r="AV10" s="250">
        <v>2.5735873439772798</v>
      </c>
      <c r="AW10" s="250">
        <v>2.5767155739846399</v>
      </c>
      <c r="AX10" s="250">
        <v>2.57726677772387</v>
      </c>
      <c r="AY10" s="250">
        <v>2.5714104290309301</v>
      </c>
      <c r="AZ10" s="250">
        <v>2.5919136046640499</v>
      </c>
      <c r="BA10" s="250">
        <v>2.6072565906426499</v>
      </c>
      <c r="BB10" s="250">
        <v>2.6258801771662501</v>
      </c>
      <c r="BC10" s="250">
        <v>2.6432306689598501</v>
      </c>
      <c r="BD10" s="250">
        <v>2.6454476861951899</v>
      </c>
      <c r="BE10" s="250">
        <v>2.6517812730067698</v>
      </c>
      <c r="BF10" s="250">
        <v>2.6733971140650601</v>
      </c>
      <c r="BG10" s="250">
        <v>2.7001626673320298</v>
      </c>
      <c r="BH10" s="250">
        <v>2.7186749307887399</v>
      </c>
      <c r="BI10" s="250">
        <v>2.7312502770766902</v>
      </c>
      <c r="BJ10" s="250">
        <v>2.7449673362036799</v>
      </c>
      <c r="BK10" s="250">
        <v>2.74964123298852</v>
      </c>
      <c r="BL10" s="250">
        <v>2.76892419756365</v>
      </c>
      <c r="BM10" s="250">
        <v>2.7854306387802099</v>
      </c>
      <c r="BN10" s="250">
        <v>2.7987928855446702</v>
      </c>
      <c r="BO10" s="250">
        <v>2.80587239388006</v>
      </c>
      <c r="BP10" s="250">
        <v>2.7900748919912099</v>
      </c>
      <c r="BQ10" s="250">
        <v>2.8027670186365801</v>
      </c>
      <c r="BR10" s="250">
        <v>2.81899770482157</v>
      </c>
      <c r="BS10" s="250">
        <v>2.8437972933142301</v>
      </c>
      <c r="BT10" s="250">
        <v>2.8770723994158698</v>
      </c>
      <c r="BU10" s="250">
        <v>2.9193140754345901</v>
      </c>
      <c r="BV10" s="250">
        <v>2.9829435493595602</v>
      </c>
      <c r="BW10" s="250">
        <v>3.03684630224281</v>
      </c>
      <c r="BX10" s="250">
        <v>3.0939993473318301</v>
      </c>
      <c r="BY10" s="250">
        <v>3.1315060095292502</v>
      </c>
      <c r="BZ10" s="250">
        <v>3.1709241734295301</v>
      </c>
      <c r="CA10" s="250">
        <v>3.1806721825302202</v>
      </c>
      <c r="CB10" s="250">
        <v>3.1784604162518999</v>
      </c>
      <c r="CC10" s="250">
        <v>3.2203626719006402</v>
      </c>
      <c r="CD10" s="250">
        <v>3.2558503521972</v>
      </c>
      <c r="CE10" s="250">
        <v>3.28250565375741</v>
      </c>
      <c r="CF10" s="250">
        <v>3.3173856724403099</v>
      </c>
      <c r="CG10" s="250">
        <v>3.34954361638431</v>
      </c>
      <c r="CH10" s="250">
        <v>3.37623500854547</v>
      </c>
      <c r="CI10" s="250">
        <v>3.4123154818409001</v>
      </c>
      <c r="CJ10" s="250">
        <v>3.4447190783209898</v>
      </c>
      <c r="CK10" s="250">
        <v>3.4751671862337199</v>
      </c>
      <c r="CL10" s="250">
        <v>3.5066179028462598</v>
      </c>
      <c r="CM10" s="250">
        <v>3.5367557450945402</v>
      </c>
      <c r="CN10" s="250">
        <v>3.5676309358667502</v>
      </c>
      <c r="CO10" s="250">
        <v>3.5991177638845602</v>
      </c>
      <c r="CP10" s="250">
        <v>3.6322035396379202</v>
      </c>
      <c r="CQ10" s="250">
        <v>3.66429204645853</v>
      </c>
      <c r="CR10" s="250">
        <v>3.69719679352876</v>
      </c>
      <c r="CS10" s="250">
        <v>3.7313531956252302</v>
      </c>
      <c r="CT10" s="250">
        <v>3.76484448121604</v>
      </c>
      <c r="CU10" s="250">
        <v>3.7986224084603002</v>
      </c>
      <c r="CV10" s="250">
        <v>3.83143978351782</v>
      </c>
      <c r="CW10" s="250">
        <v>3.86585949366602</v>
      </c>
      <c r="CX10" s="250">
        <v>3.89872365759244</v>
      </c>
      <c r="CY10" s="250">
        <v>3.9345009110540201</v>
      </c>
      <c r="CZ10" s="250">
        <v>3.9674025604052798</v>
      </c>
      <c r="DA10" s="250">
        <v>4.0019855391003603</v>
      </c>
      <c r="DB10" s="250">
        <v>4.0366274403892302</v>
      </c>
    </row>
    <row r="12" spans="1:106" x14ac:dyDescent="0.2">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row>
    <row r="13" spans="1:106" x14ac:dyDescent="0.2">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row>
    <row r="14" spans="1:106" x14ac:dyDescent="0.2">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row>
    <row r="15" spans="1:106" x14ac:dyDescent="0.2">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row>
    <row r="16" spans="1:106" x14ac:dyDescent="0.2">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row>
    <row r="17" spans="3:98" x14ac:dyDescent="0.2">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row>
    <row r="18" spans="3:98" x14ac:dyDescent="0.2">
      <c r="CF18" s="504"/>
      <c r="CG18" s="504"/>
      <c r="CH18" s="504"/>
      <c r="CI18" s="504"/>
      <c r="CJ18" s="504"/>
      <c r="CK18" s="504"/>
      <c r="CL18" s="504"/>
      <c r="CM18" s="504"/>
      <c r="CN18" s="504"/>
      <c r="CO18" s="504"/>
      <c r="CP18" s="504"/>
      <c r="CQ18" s="504"/>
      <c r="CR18" s="504"/>
      <c r="CS18" s="504"/>
    </row>
    <row r="19" spans="3:98" x14ac:dyDescent="0.2">
      <c r="CF19" s="504"/>
      <c r="CG19" s="505" t="s">
        <v>262</v>
      </c>
      <c r="CH19" s="506"/>
      <c r="CI19" s="506"/>
      <c r="CJ19" s="507" t="s">
        <v>489</v>
      </c>
      <c r="CK19" s="508"/>
      <c r="CL19" s="508"/>
      <c r="CM19" s="508"/>
      <c r="CN19" s="508"/>
      <c r="CO19" s="508"/>
      <c r="CP19" s="506"/>
      <c r="CQ19" s="506"/>
      <c r="CR19" s="506"/>
      <c r="CS19" s="504"/>
    </row>
    <row r="20" spans="3:98" x14ac:dyDescent="0.2">
      <c r="CF20" s="504"/>
      <c r="CG20" s="509"/>
      <c r="CH20" s="510"/>
      <c r="CI20" s="510"/>
      <c r="CJ20" s="510"/>
      <c r="CK20" s="510"/>
      <c r="CL20" s="510"/>
      <c r="CM20" s="510"/>
      <c r="CN20" s="510"/>
      <c r="CO20" s="510"/>
      <c r="CP20" s="510"/>
      <c r="CQ20" s="510"/>
      <c r="CR20" s="511"/>
      <c r="CS20" s="504"/>
    </row>
    <row r="21" spans="3:98" x14ac:dyDescent="0.2">
      <c r="CF21" s="504"/>
      <c r="CG21" s="512"/>
      <c r="CH21" s="513" t="s">
        <v>263</v>
      </c>
      <c r="CI21" s="514" t="s">
        <v>250</v>
      </c>
      <c r="CJ21" s="506"/>
      <c r="CK21" s="506"/>
      <c r="CL21" s="506"/>
      <c r="CM21" s="506"/>
      <c r="CN21" s="506"/>
      <c r="CO21" s="506"/>
      <c r="CP21" s="506"/>
      <c r="CQ21" s="506"/>
      <c r="CR21" s="515"/>
      <c r="CS21" s="504"/>
    </row>
    <row r="22" spans="3:98" x14ac:dyDescent="0.2">
      <c r="CF22" s="504"/>
      <c r="CG22" s="512"/>
      <c r="CH22" s="506"/>
      <c r="CI22" s="516" t="s">
        <v>503</v>
      </c>
      <c r="CJ22" s="506"/>
      <c r="CK22" s="506"/>
      <c r="CL22" s="506"/>
      <c r="CM22" s="506"/>
      <c r="CN22" s="506"/>
      <c r="CO22" s="506"/>
      <c r="CP22" s="506"/>
      <c r="CQ22" s="506"/>
      <c r="CR22" s="517" t="s">
        <v>264</v>
      </c>
      <c r="CS22" s="504"/>
    </row>
    <row r="23" spans="3:98" x14ac:dyDescent="0.2">
      <c r="CF23" s="504"/>
      <c r="CG23" s="512"/>
      <c r="CH23" s="506"/>
      <c r="CI23" s="518">
        <f>CG9</f>
        <v>3.25656770063839</v>
      </c>
      <c r="CJ23" s="519"/>
      <c r="CK23" s="506"/>
      <c r="CL23" s="506"/>
      <c r="CM23" s="506"/>
      <c r="CN23" s="506"/>
      <c r="CO23" s="506"/>
      <c r="CP23" s="506"/>
      <c r="CQ23" s="506"/>
      <c r="CR23" s="520">
        <f>CI23</f>
        <v>3.25656770063839</v>
      </c>
      <c r="CS23" s="504"/>
    </row>
    <row r="24" spans="3:98" x14ac:dyDescent="0.2">
      <c r="CF24" s="504"/>
      <c r="CG24" s="512"/>
      <c r="CH24" s="506"/>
      <c r="CI24" s="506"/>
      <c r="CJ24" s="506"/>
      <c r="CK24" s="506"/>
      <c r="CL24" s="506"/>
      <c r="CM24" s="506"/>
      <c r="CN24" s="506"/>
      <c r="CO24" s="506"/>
      <c r="CP24" s="506"/>
      <c r="CQ24" s="506"/>
      <c r="CR24" s="520"/>
      <c r="CS24" s="504"/>
    </row>
    <row r="25" spans="3:98" x14ac:dyDescent="0.2">
      <c r="CF25" s="504"/>
      <c r="CG25" s="729" t="s">
        <v>265</v>
      </c>
      <c r="CH25" s="730"/>
      <c r="CI25" s="730"/>
      <c r="CJ25" s="506" t="s">
        <v>502</v>
      </c>
      <c r="CK25" s="506"/>
      <c r="CL25" s="506"/>
      <c r="CM25" s="506"/>
      <c r="CN25" s="506"/>
      <c r="CO25" s="506"/>
      <c r="CP25" s="506"/>
      <c r="CQ25" s="506"/>
      <c r="CR25" s="520"/>
      <c r="CS25" s="504"/>
    </row>
    <row r="26" spans="3:98" x14ac:dyDescent="0.2">
      <c r="CF26" s="504"/>
      <c r="CG26" s="521"/>
      <c r="CH26" s="513"/>
      <c r="CI26" s="243" t="str">
        <f>CH7</f>
        <v>2024Q4</v>
      </c>
      <c r="CJ26" s="243" t="str">
        <f t="shared" ref="CJ26:CP26" si="0">CI7</f>
        <v>2025Q1</v>
      </c>
      <c r="CK26" s="243" t="str">
        <f t="shared" si="0"/>
        <v>2025Q2</v>
      </c>
      <c r="CL26" s="243" t="str">
        <f t="shared" si="0"/>
        <v>2025Q3</v>
      </c>
      <c r="CM26" s="243" t="str">
        <f t="shared" si="0"/>
        <v>2025Q4</v>
      </c>
      <c r="CN26" s="243" t="str">
        <f t="shared" si="0"/>
        <v>2026Q1</v>
      </c>
      <c r="CO26" s="243" t="str">
        <f t="shared" si="0"/>
        <v>2026Q2</v>
      </c>
      <c r="CP26" s="243" t="str">
        <f t="shared" si="0"/>
        <v>2026Q3</v>
      </c>
      <c r="CQ26" s="506"/>
      <c r="CR26" s="520"/>
      <c r="CS26" s="504"/>
    </row>
    <row r="27" spans="3:98" ht="15" x14ac:dyDescent="0.25">
      <c r="CF27" s="504"/>
      <c r="CG27" s="512"/>
      <c r="CH27" s="506"/>
      <c r="CI27" s="501" t="str">
        <f>CH6</f>
        <v>FY25</v>
      </c>
      <c r="CJ27" s="501" t="str">
        <f t="shared" ref="CJ27:CP27" si="1">CI6</f>
        <v>FY25</v>
      </c>
      <c r="CK27" s="501" t="str">
        <f t="shared" si="1"/>
        <v>FY25</v>
      </c>
      <c r="CL27" s="581" t="str">
        <f t="shared" si="1"/>
        <v>FY26</v>
      </c>
      <c r="CM27" s="581" t="str">
        <f t="shared" si="1"/>
        <v>FY26</v>
      </c>
      <c r="CN27" s="581" t="str">
        <f t="shared" si="1"/>
        <v>FY26</v>
      </c>
      <c r="CO27" s="581" t="str">
        <f t="shared" si="1"/>
        <v>FY26</v>
      </c>
      <c r="CP27" s="503" t="str">
        <f t="shared" si="1"/>
        <v>FY27</v>
      </c>
      <c r="CQ27" s="506"/>
      <c r="CR27" s="520"/>
      <c r="CS27" s="504"/>
      <c r="CT27" s="54"/>
    </row>
    <row r="28" spans="3:98" x14ac:dyDescent="0.2">
      <c r="CF28" s="504"/>
      <c r="CG28" s="512"/>
      <c r="CH28" s="506"/>
      <c r="CI28" s="522">
        <f>CH9</f>
        <v>3.27110127859771</v>
      </c>
      <c r="CJ28" s="522">
        <f t="shared" ref="CJ28:CP28" si="2">CI9</f>
        <v>3.2944309740921498</v>
      </c>
      <c r="CK28" s="522">
        <f t="shared" si="2"/>
        <v>3.3143993617605201</v>
      </c>
      <c r="CL28" s="522">
        <f t="shared" si="2"/>
        <v>3.3322344903885601</v>
      </c>
      <c r="CM28" s="522">
        <f t="shared" si="2"/>
        <v>3.35046325499723</v>
      </c>
      <c r="CN28" s="522">
        <f t="shared" si="2"/>
        <v>3.3669734300441201</v>
      </c>
      <c r="CO28" s="522">
        <f t="shared" si="2"/>
        <v>3.3835781064221901</v>
      </c>
      <c r="CP28" s="522">
        <f t="shared" si="2"/>
        <v>3.40126999342383</v>
      </c>
      <c r="CQ28" s="506"/>
      <c r="CR28" s="520">
        <f>AVERAGE(CI28:CP28)</f>
        <v>3.3393063612157885</v>
      </c>
      <c r="CS28" s="504"/>
    </row>
    <row r="29" spans="3:98" x14ac:dyDescent="0.2">
      <c r="CF29" s="504"/>
      <c r="CG29" s="512"/>
      <c r="CH29" s="506"/>
      <c r="CI29" s="506"/>
      <c r="CJ29" s="506"/>
      <c r="CK29" s="506"/>
      <c r="CL29" s="506"/>
      <c r="CM29" s="506"/>
      <c r="CN29" s="506"/>
      <c r="CO29" s="506"/>
      <c r="CP29" s="506"/>
      <c r="CQ29" s="506"/>
      <c r="CR29" s="523"/>
      <c r="CS29" s="504"/>
    </row>
    <row r="30" spans="3:98" x14ac:dyDescent="0.2">
      <c r="CF30" s="504"/>
      <c r="CG30" s="512"/>
      <c r="CH30" s="506"/>
      <c r="CI30" s="506"/>
      <c r="CJ30" s="506"/>
      <c r="CK30" s="506"/>
      <c r="CL30" s="506"/>
      <c r="CM30" s="506"/>
      <c r="CN30" s="506"/>
      <c r="CO30" s="506"/>
      <c r="CP30" s="506"/>
      <c r="CQ30" s="524" t="s">
        <v>266</v>
      </c>
      <c r="CR30" s="272">
        <f>(CR28-CR23)/CR23</f>
        <v>2.5406706748697147E-2</v>
      </c>
      <c r="CS30" s="504"/>
      <c r="CT30" s="525"/>
    </row>
    <row r="31" spans="3:98" x14ac:dyDescent="0.2">
      <c r="CF31" s="504"/>
      <c r="CG31" s="526"/>
      <c r="CH31" s="527"/>
      <c r="CI31" s="527"/>
      <c r="CJ31" s="527"/>
      <c r="CK31" s="527"/>
      <c r="CL31" s="527"/>
      <c r="CM31" s="527"/>
      <c r="CN31" s="527"/>
      <c r="CO31" s="527"/>
      <c r="CP31" s="527"/>
      <c r="CQ31" s="527"/>
      <c r="CR31" s="528"/>
      <c r="CS31" s="504"/>
    </row>
    <row r="32" spans="3:98" x14ac:dyDescent="0.2">
      <c r="CF32" s="504"/>
      <c r="CG32" s="504"/>
      <c r="CH32" s="504"/>
      <c r="CI32" s="504"/>
      <c r="CJ32" s="504"/>
      <c r="CK32" s="504"/>
      <c r="CL32" s="504"/>
      <c r="CM32" s="504"/>
      <c r="CN32" s="504"/>
      <c r="CO32" s="504"/>
      <c r="CP32" s="504"/>
      <c r="CQ32" s="504"/>
      <c r="CR32" s="504"/>
      <c r="CS32" s="504"/>
    </row>
    <row r="46" spans="88:97" x14ac:dyDescent="0.2">
      <c r="CJ46" s="250"/>
      <c r="CS46" s="250"/>
    </row>
    <row r="51" spans="88:97" x14ac:dyDescent="0.2">
      <c r="CJ51" s="250"/>
      <c r="CK51" s="250"/>
      <c r="CL51" s="250"/>
      <c r="CM51" s="250"/>
      <c r="CN51" s="250"/>
      <c r="CO51" s="250"/>
      <c r="CP51" s="250"/>
      <c r="CQ51" s="250"/>
      <c r="CS51" s="250"/>
    </row>
    <row r="53" spans="88:97" ht="15" x14ac:dyDescent="0.25">
      <c r="CS53" s="54"/>
    </row>
  </sheetData>
  <mergeCells count="2">
    <mergeCell ref="A1:B1"/>
    <mergeCell ref="CG25:CI25"/>
  </mergeCells>
  <pageMargins left="0.25" right="0.2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4364-68CC-4449-8FDE-2CDBEDC9D3B9}">
  <dimension ref="A1:CL24"/>
  <sheetViews>
    <sheetView topLeftCell="BL1" zoomScale="80" zoomScaleNormal="80" workbookViewId="0">
      <selection activeCell="BW25" sqref="BW25"/>
    </sheetView>
  </sheetViews>
  <sheetFormatPr defaultRowHeight="12.75" x14ac:dyDescent="0.2"/>
  <cols>
    <col min="1" max="1" width="38.42578125" style="238" customWidth="1"/>
    <col min="2" max="2" width="12.85546875" style="243" customWidth="1"/>
    <col min="3" max="62" width="7.7109375" style="238" hidden="1" customWidth="1"/>
    <col min="63" max="82" width="7.7109375" style="238" customWidth="1"/>
    <col min="83" max="86" width="8.7109375" style="238"/>
    <col min="87" max="87" width="17.140625" style="238" bestFit="1" customWidth="1"/>
    <col min="88" max="256" width="8.7109375" style="238"/>
    <col min="257" max="257" width="38.42578125" style="238" customWidth="1"/>
    <col min="258" max="258" width="12.85546875" style="238" customWidth="1"/>
    <col min="259" max="318" width="0" style="238" hidden="1" customWidth="1"/>
    <col min="319" max="338" width="7.7109375" style="238" customWidth="1"/>
    <col min="339" max="512" width="8.7109375" style="238"/>
    <col min="513" max="513" width="38.42578125" style="238" customWidth="1"/>
    <col min="514" max="514" width="12.85546875" style="238" customWidth="1"/>
    <col min="515" max="574" width="0" style="238" hidden="1" customWidth="1"/>
    <col min="575" max="594" width="7.7109375" style="238" customWidth="1"/>
    <col min="595" max="768" width="8.7109375" style="238"/>
    <col min="769" max="769" width="38.42578125" style="238" customWidth="1"/>
    <col min="770" max="770" width="12.85546875" style="238" customWidth="1"/>
    <col min="771" max="830" width="0" style="238" hidden="1" customWidth="1"/>
    <col min="831" max="850" width="7.7109375" style="238" customWidth="1"/>
    <col min="851" max="1024" width="8.7109375" style="238"/>
    <col min="1025" max="1025" width="38.42578125" style="238" customWidth="1"/>
    <col min="1026" max="1026" width="12.85546875" style="238" customWidth="1"/>
    <col min="1027" max="1086" width="0" style="238" hidden="1" customWidth="1"/>
    <col min="1087" max="1106" width="7.7109375" style="238" customWidth="1"/>
    <col min="1107" max="1280" width="8.7109375" style="238"/>
    <col min="1281" max="1281" width="38.42578125" style="238" customWidth="1"/>
    <col min="1282" max="1282" width="12.85546875" style="238" customWidth="1"/>
    <col min="1283" max="1342" width="0" style="238" hidden="1" customWidth="1"/>
    <col min="1343" max="1362" width="7.7109375" style="238" customWidth="1"/>
    <col min="1363" max="1536" width="8.7109375" style="238"/>
    <col min="1537" max="1537" width="38.42578125" style="238" customWidth="1"/>
    <col min="1538" max="1538" width="12.85546875" style="238" customWidth="1"/>
    <col min="1539" max="1598" width="0" style="238" hidden="1" customWidth="1"/>
    <col min="1599" max="1618" width="7.7109375" style="238" customWidth="1"/>
    <col min="1619" max="1792" width="8.7109375" style="238"/>
    <col min="1793" max="1793" width="38.42578125" style="238" customWidth="1"/>
    <col min="1794" max="1794" width="12.85546875" style="238" customWidth="1"/>
    <col min="1795" max="1854" width="0" style="238" hidden="1" customWidth="1"/>
    <col min="1855" max="1874" width="7.7109375" style="238" customWidth="1"/>
    <col min="1875" max="2048" width="8.7109375" style="238"/>
    <col min="2049" max="2049" width="38.42578125" style="238" customWidth="1"/>
    <col min="2050" max="2050" width="12.85546875" style="238" customWidth="1"/>
    <col min="2051" max="2110" width="0" style="238" hidden="1" customWidth="1"/>
    <col min="2111" max="2130" width="7.7109375" style="238" customWidth="1"/>
    <col min="2131" max="2304" width="8.7109375" style="238"/>
    <col min="2305" max="2305" width="38.42578125" style="238" customWidth="1"/>
    <col min="2306" max="2306" width="12.85546875" style="238" customWidth="1"/>
    <col min="2307" max="2366" width="0" style="238" hidden="1" customWidth="1"/>
    <col min="2367" max="2386" width="7.7109375" style="238" customWidth="1"/>
    <col min="2387" max="2560" width="8.7109375" style="238"/>
    <col min="2561" max="2561" width="38.42578125" style="238" customWidth="1"/>
    <col min="2562" max="2562" width="12.85546875" style="238" customWidth="1"/>
    <col min="2563" max="2622" width="0" style="238" hidden="1" customWidth="1"/>
    <col min="2623" max="2642" width="7.7109375" style="238" customWidth="1"/>
    <col min="2643" max="2816" width="8.7109375" style="238"/>
    <col min="2817" max="2817" width="38.42578125" style="238" customWidth="1"/>
    <col min="2818" max="2818" width="12.85546875" style="238" customWidth="1"/>
    <col min="2819" max="2878" width="0" style="238" hidden="1" customWidth="1"/>
    <col min="2879" max="2898" width="7.7109375" style="238" customWidth="1"/>
    <col min="2899" max="3072" width="8.7109375" style="238"/>
    <col min="3073" max="3073" width="38.42578125" style="238" customWidth="1"/>
    <col min="3074" max="3074" width="12.85546875" style="238" customWidth="1"/>
    <col min="3075" max="3134" width="0" style="238" hidden="1" customWidth="1"/>
    <col min="3135" max="3154" width="7.7109375" style="238" customWidth="1"/>
    <col min="3155" max="3328" width="8.7109375" style="238"/>
    <col min="3329" max="3329" width="38.42578125" style="238" customWidth="1"/>
    <col min="3330" max="3330" width="12.85546875" style="238" customWidth="1"/>
    <col min="3331" max="3390" width="0" style="238" hidden="1" customWidth="1"/>
    <col min="3391" max="3410" width="7.7109375" style="238" customWidth="1"/>
    <col min="3411" max="3584" width="8.7109375" style="238"/>
    <col min="3585" max="3585" width="38.42578125" style="238" customWidth="1"/>
    <col min="3586" max="3586" width="12.85546875" style="238" customWidth="1"/>
    <col min="3587" max="3646" width="0" style="238" hidden="1" customWidth="1"/>
    <col min="3647" max="3666" width="7.7109375" style="238" customWidth="1"/>
    <col min="3667" max="3840" width="8.7109375" style="238"/>
    <col min="3841" max="3841" width="38.42578125" style="238" customWidth="1"/>
    <col min="3842" max="3842" width="12.85546875" style="238" customWidth="1"/>
    <col min="3843" max="3902" width="0" style="238" hidden="1" customWidth="1"/>
    <col min="3903" max="3922" width="7.7109375" style="238" customWidth="1"/>
    <col min="3923" max="4096" width="8.7109375" style="238"/>
    <col min="4097" max="4097" width="38.42578125" style="238" customWidth="1"/>
    <col min="4098" max="4098" width="12.85546875" style="238" customWidth="1"/>
    <col min="4099" max="4158" width="0" style="238" hidden="1" customWidth="1"/>
    <col min="4159" max="4178" width="7.7109375" style="238" customWidth="1"/>
    <col min="4179" max="4352" width="8.7109375" style="238"/>
    <col min="4353" max="4353" width="38.42578125" style="238" customWidth="1"/>
    <col min="4354" max="4354" width="12.85546875" style="238" customWidth="1"/>
    <col min="4355" max="4414" width="0" style="238" hidden="1" customWidth="1"/>
    <col min="4415" max="4434" width="7.7109375" style="238" customWidth="1"/>
    <col min="4435" max="4608" width="8.7109375" style="238"/>
    <col min="4609" max="4609" width="38.42578125" style="238" customWidth="1"/>
    <col min="4610" max="4610" width="12.85546875" style="238" customWidth="1"/>
    <col min="4611" max="4670" width="0" style="238" hidden="1" customWidth="1"/>
    <col min="4671" max="4690" width="7.7109375" style="238" customWidth="1"/>
    <col min="4691" max="4864" width="8.7109375" style="238"/>
    <col min="4865" max="4865" width="38.42578125" style="238" customWidth="1"/>
    <col min="4866" max="4866" width="12.85546875" style="238" customWidth="1"/>
    <col min="4867" max="4926" width="0" style="238" hidden="1" customWidth="1"/>
    <col min="4927" max="4946" width="7.7109375" style="238" customWidth="1"/>
    <col min="4947" max="5120" width="8.7109375" style="238"/>
    <col min="5121" max="5121" width="38.42578125" style="238" customWidth="1"/>
    <col min="5122" max="5122" width="12.85546875" style="238" customWidth="1"/>
    <col min="5123" max="5182" width="0" style="238" hidden="1" customWidth="1"/>
    <col min="5183" max="5202" width="7.7109375" style="238" customWidth="1"/>
    <col min="5203" max="5376" width="8.7109375" style="238"/>
    <col min="5377" max="5377" width="38.42578125" style="238" customWidth="1"/>
    <col min="5378" max="5378" width="12.85546875" style="238" customWidth="1"/>
    <col min="5379" max="5438" width="0" style="238" hidden="1" customWidth="1"/>
    <col min="5439" max="5458" width="7.7109375" style="238" customWidth="1"/>
    <col min="5459" max="5632" width="8.7109375" style="238"/>
    <col min="5633" max="5633" width="38.42578125" style="238" customWidth="1"/>
    <col min="5634" max="5634" width="12.85546875" style="238" customWidth="1"/>
    <col min="5635" max="5694" width="0" style="238" hidden="1" customWidth="1"/>
    <col min="5695" max="5714" width="7.7109375" style="238" customWidth="1"/>
    <col min="5715" max="5888" width="8.7109375" style="238"/>
    <col min="5889" max="5889" width="38.42578125" style="238" customWidth="1"/>
    <col min="5890" max="5890" width="12.85546875" style="238" customWidth="1"/>
    <col min="5891" max="5950" width="0" style="238" hidden="1" customWidth="1"/>
    <col min="5951" max="5970" width="7.7109375" style="238" customWidth="1"/>
    <col min="5971" max="6144" width="8.7109375" style="238"/>
    <col min="6145" max="6145" width="38.42578125" style="238" customWidth="1"/>
    <col min="6146" max="6146" width="12.85546875" style="238" customWidth="1"/>
    <col min="6147" max="6206" width="0" style="238" hidden="1" customWidth="1"/>
    <col min="6207" max="6226" width="7.7109375" style="238" customWidth="1"/>
    <col min="6227" max="6400" width="8.7109375" style="238"/>
    <col min="6401" max="6401" width="38.42578125" style="238" customWidth="1"/>
    <col min="6402" max="6402" width="12.85546875" style="238" customWidth="1"/>
    <col min="6403" max="6462" width="0" style="238" hidden="1" customWidth="1"/>
    <col min="6463" max="6482" width="7.7109375" style="238" customWidth="1"/>
    <col min="6483" max="6656" width="8.7109375" style="238"/>
    <col min="6657" max="6657" width="38.42578125" style="238" customWidth="1"/>
    <col min="6658" max="6658" width="12.85546875" style="238" customWidth="1"/>
    <col min="6659" max="6718" width="0" style="238" hidden="1" customWidth="1"/>
    <col min="6719" max="6738" width="7.7109375" style="238" customWidth="1"/>
    <col min="6739" max="6912" width="8.7109375" style="238"/>
    <col min="6913" max="6913" width="38.42578125" style="238" customWidth="1"/>
    <col min="6914" max="6914" width="12.85546875" style="238" customWidth="1"/>
    <col min="6915" max="6974" width="0" style="238" hidden="1" customWidth="1"/>
    <col min="6975" max="6994" width="7.7109375" style="238" customWidth="1"/>
    <col min="6995" max="7168" width="8.7109375" style="238"/>
    <col min="7169" max="7169" width="38.42578125" style="238" customWidth="1"/>
    <col min="7170" max="7170" width="12.85546875" style="238" customWidth="1"/>
    <col min="7171" max="7230" width="0" style="238" hidden="1" customWidth="1"/>
    <col min="7231" max="7250" width="7.7109375" style="238" customWidth="1"/>
    <col min="7251" max="7424" width="8.7109375" style="238"/>
    <col min="7425" max="7425" width="38.42578125" style="238" customWidth="1"/>
    <col min="7426" max="7426" width="12.85546875" style="238" customWidth="1"/>
    <col min="7427" max="7486" width="0" style="238" hidden="1" customWidth="1"/>
    <col min="7487" max="7506" width="7.7109375" style="238" customWidth="1"/>
    <col min="7507" max="7680" width="8.7109375" style="238"/>
    <col min="7681" max="7681" width="38.42578125" style="238" customWidth="1"/>
    <col min="7682" max="7682" width="12.85546875" style="238" customWidth="1"/>
    <col min="7683" max="7742" width="0" style="238" hidden="1" customWidth="1"/>
    <col min="7743" max="7762" width="7.7109375" style="238" customWidth="1"/>
    <col min="7763" max="7936" width="8.7109375" style="238"/>
    <col min="7937" max="7937" width="38.42578125" style="238" customWidth="1"/>
    <col min="7938" max="7938" width="12.85546875" style="238" customWidth="1"/>
    <col min="7939" max="7998" width="0" style="238" hidden="1" customWidth="1"/>
    <col min="7999" max="8018" width="7.7109375" style="238" customWidth="1"/>
    <col min="8019" max="8192" width="8.7109375" style="238"/>
    <col min="8193" max="8193" width="38.42578125" style="238" customWidth="1"/>
    <col min="8194" max="8194" width="12.85546875" style="238" customWidth="1"/>
    <col min="8195" max="8254" width="0" style="238" hidden="1" customWidth="1"/>
    <col min="8255" max="8274" width="7.7109375" style="238" customWidth="1"/>
    <col min="8275" max="8448" width="8.7109375" style="238"/>
    <col min="8449" max="8449" width="38.42578125" style="238" customWidth="1"/>
    <col min="8450" max="8450" width="12.85546875" style="238" customWidth="1"/>
    <col min="8451" max="8510" width="0" style="238" hidden="1" customWidth="1"/>
    <col min="8511" max="8530" width="7.7109375" style="238" customWidth="1"/>
    <col min="8531" max="8704" width="8.7109375" style="238"/>
    <col min="8705" max="8705" width="38.42578125" style="238" customWidth="1"/>
    <col min="8706" max="8706" width="12.85546875" style="238" customWidth="1"/>
    <col min="8707" max="8766" width="0" style="238" hidden="1" customWidth="1"/>
    <col min="8767" max="8786" width="7.7109375" style="238" customWidth="1"/>
    <col min="8787" max="8960" width="8.7109375" style="238"/>
    <col min="8961" max="8961" width="38.42578125" style="238" customWidth="1"/>
    <col min="8962" max="8962" width="12.85546875" style="238" customWidth="1"/>
    <col min="8963" max="9022" width="0" style="238" hidden="1" customWidth="1"/>
    <col min="9023" max="9042" width="7.7109375" style="238" customWidth="1"/>
    <col min="9043" max="9216" width="8.7109375" style="238"/>
    <col min="9217" max="9217" width="38.42578125" style="238" customWidth="1"/>
    <col min="9218" max="9218" width="12.85546875" style="238" customWidth="1"/>
    <col min="9219" max="9278" width="0" style="238" hidden="1" customWidth="1"/>
    <col min="9279" max="9298" width="7.7109375" style="238" customWidth="1"/>
    <col min="9299" max="9472" width="8.7109375" style="238"/>
    <col min="9473" max="9473" width="38.42578125" style="238" customWidth="1"/>
    <col min="9474" max="9474" width="12.85546875" style="238" customWidth="1"/>
    <col min="9475" max="9534" width="0" style="238" hidden="1" customWidth="1"/>
    <col min="9535" max="9554" width="7.7109375" style="238" customWidth="1"/>
    <col min="9555" max="9728" width="8.7109375" style="238"/>
    <col min="9729" max="9729" width="38.42578125" style="238" customWidth="1"/>
    <col min="9730" max="9730" width="12.85546875" style="238" customWidth="1"/>
    <col min="9731" max="9790" width="0" style="238" hidden="1" customWidth="1"/>
    <col min="9791" max="9810" width="7.7109375" style="238" customWidth="1"/>
    <col min="9811" max="9984" width="8.7109375" style="238"/>
    <col min="9985" max="9985" width="38.42578125" style="238" customWidth="1"/>
    <col min="9986" max="9986" width="12.85546875" style="238" customWidth="1"/>
    <col min="9987" max="10046" width="0" style="238" hidden="1" customWidth="1"/>
    <col min="10047" max="10066" width="7.7109375" style="238" customWidth="1"/>
    <col min="10067" max="10240" width="8.7109375" style="238"/>
    <col min="10241" max="10241" width="38.42578125" style="238" customWidth="1"/>
    <col min="10242" max="10242" width="12.85546875" style="238" customWidth="1"/>
    <col min="10243" max="10302" width="0" style="238" hidden="1" customWidth="1"/>
    <col min="10303" max="10322" width="7.7109375" style="238" customWidth="1"/>
    <col min="10323" max="10496" width="8.7109375" style="238"/>
    <col min="10497" max="10497" width="38.42578125" style="238" customWidth="1"/>
    <col min="10498" max="10498" width="12.85546875" style="238" customWidth="1"/>
    <col min="10499" max="10558" width="0" style="238" hidden="1" customWidth="1"/>
    <col min="10559" max="10578" width="7.7109375" style="238" customWidth="1"/>
    <col min="10579" max="10752" width="8.7109375" style="238"/>
    <col min="10753" max="10753" width="38.42578125" style="238" customWidth="1"/>
    <col min="10754" max="10754" width="12.85546875" style="238" customWidth="1"/>
    <col min="10755" max="10814" width="0" style="238" hidden="1" customWidth="1"/>
    <col min="10815" max="10834" width="7.7109375" style="238" customWidth="1"/>
    <col min="10835" max="11008" width="8.7109375" style="238"/>
    <col min="11009" max="11009" width="38.42578125" style="238" customWidth="1"/>
    <col min="11010" max="11010" width="12.85546875" style="238" customWidth="1"/>
    <col min="11011" max="11070" width="0" style="238" hidden="1" customWidth="1"/>
    <col min="11071" max="11090" width="7.7109375" style="238" customWidth="1"/>
    <col min="11091" max="11264" width="8.7109375" style="238"/>
    <col min="11265" max="11265" width="38.42578125" style="238" customWidth="1"/>
    <col min="11266" max="11266" width="12.85546875" style="238" customWidth="1"/>
    <col min="11267" max="11326" width="0" style="238" hidden="1" customWidth="1"/>
    <col min="11327" max="11346" width="7.7109375" style="238" customWidth="1"/>
    <col min="11347" max="11520" width="8.7109375" style="238"/>
    <col min="11521" max="11521" width="38.42578125" style="238" customWidth="1"/>
    <col min="11522" max="11522" width="12.85546875" style="238" customWidth="1"/>
    <col min="11523" max="11582" width="0" style="238" hidden="1" customWidth="1"/>
    <col min="11583" max="11602" width="7.7109375" style="238" customWidth="1"/>
    <col min="11603" max="11776" width="8.7109375" style="238"/>
    <col min="11777" max="11777" width="38.42578125" style="238" customWidth="1"/>
    <col min="11778" max="11778" width="12.85546875" style="238" customWidth="1"/>
    <col min="11779" max="11838" width="0" style="238" hidden="1" customWidth="1"/>
    <col min="11839" max="11858" width="7.7109375" style="238" customWidth="1"/>
    <col min="11859" max="12032" width="8.7109375" style="238"/>
    <col min="12033" max="12033" width="38.42578125" style="238" customWidth="1"/>
    <col min="12034" max="12034" width="12.85546875" style="238" customWidth="1"/>
    <col min="12035" max="12094" width="0" style="238" hidden="1" customWidth="1"/>
    <col min="12095" max="12114" width="7.7109375" style="238" customWidth="1"/>
    <col min="12115" max="12288" width="8.7109375" style="238"/>
    <col min="12289" max="12289" width="38.42578125" style="238" customWidth="1"/>
    <col min="12290" max="12290" width="12.85546875" style="238" customWidth="1"/>
    <col min="12291" max="12350" width="0" style="238" hidden="1" customWidth="1"/>
    <col min="12351" max="12370" width="7.7109375" style="238" customWidth="1"/>
    <col min="12371" max="12544" width="8.7109375" style="238"/>
    <col min="12545" max="12545" width="38.42578125" style="238" customWidth="1"/>
    <col min="12546" max="12546" width="12.85546875" style="238" customWidth="1"/>
    <col min="12547" max="12606" width="0" style="238" hidden="1" customWidth="1"/>
    <col min="12607" max="12626" width="7.7109375" style="238" customWidth="1"/>
    <col min="12627" max="12800" width="8.7109375" style="238"/>
    <col min="12801" max="12801" width="38.42578125" style="238" customWidth="1"/>
    <col min="12802" max="12802" width="12.85546875" style="238" customWidth="1"/>
    <col min="12803" max="12862" width="0" style="238" hidden="1" customWidth="1"/>
    <col min="12863" max="12882" width="7.7109375" style="238" customWidth="1"/>
    <col min="12883" max="13056" width="8.7109375" style="238"/>
    <col min="13057" max="13057" width="38.42578125" style="238" customWidth="1"/>
    <col min="13058" max="13058" width="12.85546875" style="238" customWidth="1"/>
    <col min="13059" max="13118" width="0" style="238" hidden="1" customWidth="1"/>
    <col min="13119" max="13138" width="7.7109375" style="238" customWidth="1"/>
    <col min="13139" max="13312" width="8.7109375" style="238"/>
    <col min="13313" max="13313" width="38.42578125" style="238" customWidth="1"/>
    <col min="13314" max="13314" width="12.85546875" style="238" customWidth="1"/>
    <col min="13315" max="13374" width="0" style="238" hidden="1" customWidth="1"/>
    <col min="13375" max="13394" width="7.7109375" style="238" customWidth="1"/>
    <col min="13395" max="13568" width="8.7109375" style="238"/>
    <col min="13569" max="13569" width="38.42578125" style="238" customWidth="1"/>
    <col min="13570" max="13570" width="12.85546875" style="238" customWidth="1"/>
    <col min="13571" max="13630" width="0" style="238" hidden="1" customWidth="1"/>
    <col min="13631" max="13650" width="7.7109375" style="238" customWidth="1"/>
    <col min="13651" max="13824" width="8.7109375" style="238"/>
    <col min="13825" max="13825" width="38.42578125" style="238" customWidth="1"/>
    <col min="13826" max="13826" width="12.85546875" style="238" customWidth="1"/>
    <col min="13827" max="13886" width="0" style="238" hidden="1" customWidth="1"/>
    <col min="13887" max="13906" width="7.7109375" style="238" customWidth="1"/>
    <col min="13907" max="14080" width="8.7109375" style="238"/>
    <col min="14081" max="14081" width="38.42578125" style="238" customWidth="1"/>
    <col min="14082" max="14082" width="12.85546875" style="238" customWidth="1"/>
    <col min="14083" max="14142" width="0" style="238" hidden="1" customWidth="1"/>
    <col min="14143" max="14162" width="7.7109375" style="238" customWidth="1"/>
    <col min="14163" max="14336" width="8.7109375" style="238"/>
    <col min="14337" max="14337" width="38.42578125" style="238" customWidth="1"/>
    <col min="14338" max="14338" width="12.85546875" style="238" customWidth="1"/>
    <col min="14339" max="14398" width="0" style="238" hidden="1" customWidth="1"/>
    <col min="14399" max="14418" width="7.7109375" style="238" customWidth="1"/>
    <col min="14419" max="14592" width="8.7109375" style="238"/>
    <col min="14593" max="14593" width="38.42578125" style="238" customWidth="1"/>
    <col min="14594" max="14594" width="12.85546875" style="238" customWidth="1"/>
    <col min="14595" max="14654" width="0" style="238" hidden="1" customWidth="1"/>
    <col min="14655" max="14674" width="7.7109375" style="238" customWidth="1"/>
    <col min="14675" max="14848" width="8.7109375" style="238"/>
    <col min="14849" max="14849" width="38.42578125" style="238" customWidth="1"/>
    <col min="14850" max="14850" width="12.85546875" style="238" customWidth="1"/>
    <col min="14851" max="14910" width="0" style="238" hidden="1" customWidth="1"/>
    <col min="14911" max="14930" width="7.7109375" style="238" customWidth="1"/>
    <col min="14931" max="15104" width="8.7109375" style="238"/>
    <col min="15105" max="15105" width="38.42578125" style="238" customWidth="1"/>
    <col min="15106" max="15106" width="12.85546875" style="238" customWidth="1"/>
    <col min="15107" max="15166" width="0" style="238" hidden="1" customWidth="1"/>
    <col min="15167" max="15186" width="7.7109375" style="238" customWidth="1"/>
    <col min="15187" max="15360" width="8.7109375" style="238"/>
    <col min="15361" max="15361" width="38.42578125" style="238" customWidth="1"/>
    <col min="15362" max="15362" width="12.85546875" style="238" customWidth="1"/>
    <col min="15363" max="15422" width="0" style="238" hidden="1" customWidth="1"/>
    <col min="15423" max="15442" width="7.7109375" style="238" customWidth="1"/>
    <col min="15443" max="15616" width="8.7109375" style="238"/>
    <col min="15617" max="15617" width="38.42578125" style="238" customWidth="1"/>
    <col min="15618" max="15618" width="12.85546875" style="238" customWidth="1"/>
    <col min="15619" max="15678" width="0" style="238" hidden="1" customWidth="1"/>
    <col min="15679" max="15698" width="7.7109375" style="238" customWidth="1"/>
    <col min="15699" max="15872" width="8.7109375" style="238"/>
    <col min="15873" max="15873" width="38.42578125" style="238" customWidth="1"/>
    <col min="15874" max="15874" width="12.85546875" style="238" customWidth="1"/>
    <col min="15875" max="15934" width="0" style="238" hidden="1" customWidth="1"/>
    <col min="15935" max="15954" width="7.7109375" style="238" customWidth="1"/>
    <col min="15955" max="16128" width="8.7109375" style="238"/>
    <col min="16129" max="16129" width="38.42578125" style="238" customWidth="1"/>
    <col min="16130" max="16130" width="12.85546875" style="238" customWidth="1"/>
    <col min="16131" max="16190" width="0" style="238" hidden="1" customWidth="1"/>
    <col min="16191" max="16210" width="7.7109375" style="238" customWidth="1"/>
    <col min="16211" max="16384" width="8.7109375" style="238"/>
  </cols>
  <sheetData>
    <row r="1" spans="1:90" ht="18" x14ac:dyDescent="0.25">
      <c r="A1" s="727" t="s">
        <v>159</v>
      </c>
      <c r="B1" s="728"/>
    </row>
    <row r="2" spans="1:90" ht="15.75" x14ac:dyDescent="0.25">
      <c r="A2" s="239" t="s">
        <v>160</v>
      </c>
      <c r="B2" s="240"/>
    </row>
    <row r="3" spans="1:90" ht="15.75" thickBot="1" x14ac:dyDescent="0.3">
      <c r="A3" s="241" t="s">
        <v>161</v>
      </c>
      <c r="B3" s="242"/>
    </row>
    <row r="6" spans="1:90" x14ac:dyDescent="0.2">
      <c r="BQ6" s="244" t="s">
        <v>162</v>
      </c>
      <c r="BR6" s="244" t="s">
        <v>162</v>
      </c>
      <c r="BS6" s="244" t="s">
        <v>162</v>
      </c>
      <c r="BT6" s="244" t="s">
        <v>162</v>
      </c>
      <c r="BU6" s="245" t="s">
        <v>163</v>
      </c>
      <c r="BV6" s="245" t="s">
        <v>163</v>
      </c>
      <c r="BW6" s="245" t="s">
        <v>163</v>
      </c>
      <c r="BX6" s="245" t="s">
        <v>163</v>
      </c>
      <c r="BY6" s="246" t="s">
        <v>164</v>
      </c>
      <c r="BZ6" s="246" t="s">
        <v>164</v>
      </c>
      <c r="CA6" s="246" t="s">
        <v>164</v>
      </c>
      <c r="CB6" s="246" t="s">
        <v>164</v>
      </c>
      <c r="CC6" s="247" t="s">
        <v>165</v>
      </c>
      <c r="CD6" s="247" t="s">
        <v>165</v>
      </c>
      <c r="CE6" s="247" t="s">
        <v>165</v>
      </c>
      <c r="CF6" s="247" t="s">
        <v>165</v>
      </c>
      <c r="CG6" s="248" t="s">
        <v>166</v>
      </c>
      <c r="CH6" s="248" t="s">
        <v>166</v>
      </c>
      <c r="CI6" s="248" t="s">
        <v>166</v>
      </c>
      <c r="CJ6" s="248" t="s">
        <v>166</v>
      </c>
    </row>
    <row r="7" spans="1:90" s="243" customFormat="1" x14ac:dyDescent="0.2">
      <c r="B7" s="243" t="s">
        <v>167</v>
      </c>
      <c r="C7" s="249" t="s">
        <v>168</v>
      </c>
      <c r="D7" s="249" t="s">
        <v>169</v>
      </c>
      <c r="E7" s="249" t="s">
        <v>170</v>
      </c>
      <c r="F7" s="249" t="s">
        <v>171</v>
      </c>
      <c r="G7" s="249" t="s">
        <v>172</v>
      </c>
      <c r="H7" s="249" t="s">
        <v>173</v>
      </c>
      <c r="I7" s="249" t="s">
        <v>174</v>
      </c>
      <c r="J7" s="249" t="s">
        <v>175</v>
      </c>
      <c r="K7" s="249" t="s">
        <v>176</v>
      </c>
      <c r="L7" s="249" t="s">
        <v>177</v>
      </c>
      <c r="M7" s="249" t="s">
        <v>178</v>
      </c>
      <c r="N7" s="249" t="s">
        <v>179</v>
      </c>
      <c r="O7" s="249" t="s">
        <v>180</v>
      </c>
      <c r="P7" s="249" t="s">
        <v>181</v>
      </c>
      <c r="Q7" s="249" t="s">
        <v>182</v>
      </c>
      <c r="R7" s="249" t="s">
        <v>183</v>
      </c>
      <c r="S7" s="249" t="s">
        <v>184</v>
      </c>
      <c r="T7" s="249" t="s">
        <v>185</v>
      </c>
      <c r="U7" s="249" t="s">
        <v>186</v>
      </c>
      <c r="V7" s="249" t="s">
        <v>187</v>
      </c>
      <c r="W7" s="249" t="s">
        <v>188</v>
      </c>
      <c r="X7" s="249" t="s">
        <v>189</v>
      </c>
      <c r="Y7" s="249" t="s">
        <v>190</v>
      </c>
      <c r="Z7" s="249" t="s">
        <v>191</v>
      </c>
      <c r="AA7" s="249" t="s">
        <v>192</v>
      </c>
      <c r="AB7" s="249" t="s">
        <v>193</v>
      </c>
      <c r="AC7" s="249" t="s">
        <v>194</v>
      </c>
      <c r="AD7" s="249" t="s">
        <v>195</v>
      </c>
      <c r="AE7" s="249" t="s">
        <v>196</v>
      </c>
      <c r="AF7" s="249" t="s">
        <v>197</v>
      </c>
      <c r="AG7" s="249" t="s">
        <v>198</v>
      </c>
      <c r="AH7" s="249" t="s">
        <v>199</v>
      </c>
      <c r="AI7" s="249" t="s">
        <v>200</v>
      </c>
      <c r="AJ7" s="249" t="s">
        <v>201</v>
      </c>
      <c r="AK7" s="249" t="s">
        <v>202</v>
      </c>
      <c r="AL7" s="249" t="s">
        <v>203</v>
      </c>
      <c r="AM7" s="249" t="s">
        <v>204</v>
      </c>
      <c r="AN7" s="249" t="s">
        <v>205</v>
      </c>
      <c r="AO7" s="249" t="s">
        <v>206</v>
      </c>
      <c r="AP7" s="249" t="s">
        <v>207</v>
      </c>
      <c r="AQ7" s="249" t="s">
        <v>208</v>
      </c>
      <c r="AR7" s="249" t="s">
        <v>209</v>
      </c>
      <c r="AS7" s="249" t="s">
        <v>210</v>
      </c>
      <c r="AT7" s="249" t="s">
        <v>211</v>
      </c>
      <c r="AU7" s="243" t="s">
        <v>212</v>
      </c>
      <c r="AV7" s="243" t="s">
        <v>213</v>
      </c>
      <c r="AW7" s="243" t="s">
        <v>214</v>
      </c>
      <c r="AX7" s="243" t="s">
        <v>215</v>
      </c>
      <c r="AY7" s="243" t="s">
        <v>216</v>
      </c>
      <c r="AZ7" s="243" t="s">
        <v>217</v>
      </c>
      <c r="BA7" s="243" t="s">
        <v>218</v>
      </c>
      <c r="BB7" s="243" t="s">
        <v>219</v>
      </c>
      <c r="BC7" s="243" t="s">
        <v>220</v>
      </c>
      <c r="BD7" s="243" t="s">
        <v>221</v>
      </c>
      <c r="BE7" s="243" t="s">
        <v>222</v>
      </c>
      <c r="BF7" s="243" t="s">
        <v>223</v>
      </c>
      <c r="BG7" s="243" t="s">
        <v>224</v>
      </c>
      <c r="BH7" s="243" t="s">
        <v>225</v>
      </c>
      <c r="BI7" s="243" t="s">
        <v>226</v>
      </c>
      <c r="BJ7" s="243" t="s">
        <v>227</v>
      </c>
      <c r="BK7" s="243" t="s">
        <v>228</v>
      </c>
      <c r="BL7" s="243" t="s">
        <v>229</v>
      </c>
      <c r="BM7" s="243" t="s">
        <v>230</v>
      </c>
      <c r="BN7" s="243" t="s">
        <v>231</v>
      </c>
      <c r="BO7" s="243" t="s">
        <v>232</v>
      </c>
      <c r="BP7" s="243" t="s">
        <v>233</v>
      </c>
      <c r="BQ7" s="243" t="s">
        <v>234</v>
      </c>
      <c r="BR7" s="243" t="s">
        <v>235</v>
      </c>
      <c r="BS7" s="243" t="s">
        <v>236</v>
      </c>
      <c r="BT7" s="243" t="s">
        <v>237</v>
      </c>
      <c r="BU7" s="243" t="s">
        <v>238</v>
      </c>
      <c r="BV7" s="243" t="s">
        <v>239</v>
      </c>
      <c r="BW7" s="243" t="s">
        <v>240</v>
      </c>
      <c r="BX7" s="243" t="s">
        <v>241</v>
      </c>
      <c r="BY7" s="243" t="s">
        <v>242</v>
      </c>
      <c r="BZ7" s="243" t="s">
        <v>243</v>
      </c>
      <c r="CA7" s="243" t="s">
        <v>244</v>
      </c>
      <c r="CB7" s="243" t="s">
        <v>245</v>
      </c>
      <c r="CC7" s="243" t="s">
        <v>246</v>
      </c>
      <c r="CD7" s="243" t="s">
        <v>247</v>
      </c>
      <c r="CE7" s="243" t="s">
        <v>248</v>
      </c>
      <c r="CF7" s="243" t="s">
        <v>249</v>
      </c>
      <c r="CG7" s="243" t="s">
        <v>250</v>
      </c>
      <c r="CH7" s="243" t="s">
        <v>251</v>
      </c>
      <c r="CI7" s="243" t="s">
        <v>252</v>
      </c>
      <c r="CJ7" s="243" t="s">
        <v>253</v>
      </c>
      <c r="CK7" s="243" t="s">
        <v>254</v>
      </c>
      <c r="CL7" s="243" t="s">
        <v>255</v>
      </c>
    </row>
    <row r="8" spans="1:90" x14ac:dyDescent="0.2">
      <c r="A8" s="243" t="s">
        <v>256</v>
      </c>
      <c r="B8" s="243" t="s">
        <v>257</v>
      </c>
      <c r="C8" s="250">
        <v>2.034611398</v>
      </c>
      <c r="D8" s="250">
        <v>2.0596500770000001</v>
      </c>
      <c r="E8" s="250">
        <v>2.0647060370000001</v>
      </c>
      <c r="F8" s="250">
        <v>2.0867602860000001</v>
      </c>
      <c r="G8" s="250">
        <v>2.104414818</v>
      </c>
      <c r="H8" s="250">
        <v>2.1147152070000002</v>
      </c>
      <c r="I8" s="250">
        <v>2.1510993429999998</v>
      </c>
      <c r="J8" s="250">
        <v>2.1700303559999998</v>
      </c>
      <c r="K8" s="250">
        <v>2.187209223</v>
      </c>
      <c r="L8" s="250">
        <v>2.212539628</v>
      </c>
      <c r="M8" s="250">
        <v>2.2351374509999999</v>
      </c>
      <c r="N8" s="250">
        <v>2.2204817979999998</v>
      </c>
      <c r="O8" s="250">
        <v>2.232011623</v>
      </c>
      <c r="P8" s="250">
        <v>2.2583096839999999</v>
      </c>
      <c r="Q8" s="250">
        <v>2.275645409</v>
      </c>
      <c r="R8" s="250">
        <v>2.3021267459999999</v>
      </c>
      <c r="S8" s="250">
        <v>2.3193677080000001</v>
      </c>
      <c r="T8" s="250">
        <v>2.3630887079999998</v>
      </c>
      <c r="U8" s="250">
        <v>2.4040177520000001</v>
      </c>
      <c r="V8" s="250">
        <v>2.350887207</v>
      </c>
      <c r="W8" s="250">
        <v>2.3397884210000002</v>
      </c>
      <c r="X8" s="250">
        <v>2.3463315589999998</v>
      </c>
      <c r="Y8" s="250">
        <v>2.3660251529999998</v>
      </c>
      <c r="Z8" s="250">
        <v>2.3807257489999998</v>
      </c>
      <c r="AA8" s="250">
        <v>2.3786733940000002</v>
      </c>
      <c r="AB8" s="250">
        <v>2.383361378</v>
      </c>
      <c r="AC8" s="250">
        <v>2.3978430589999999</v>
      </c>
      <c r="AD8" s="250">
        <v>2.4216897089999998</v>
      </c>
      <c r="AE8" s="250">
        <v>2.4317072319999999</v>
      </c>
      <c r="AF8" s="250">
        <v>2.4769564499999999</v>
      </c>
      <c r="AG8" s="250">
        <v>2.4885116549999999</v>
      </c>
      <c r="AH8" s="250">
        <v>2.4969754819999999</v>
      </c>
      <c r="AI8" s="250">
        <v>2.5130795410000002</v>
      </c>
      <c r="AJ8" s="250">
        <v>2.519446614</v>
      </c>
      <c r="AK8" s="250">
        <v>2.5296385770000001</v>
      </c>
      <c r="AL8" s="250">
        <v>2.5501989460000001</v>
      </c>
      <c r="AM8" s="250">
        <v>2.5571200369999998</v>
      </c>
      <c r="AN8" s="250">
        <v>2.5546952040000002</v>
      </c>
      <c r="AO8" s="250">
        <v>2.5737560859999999</v>
      </c>
      <c r="AP8" s="250">
        <v>2.5883411609999998</v>
      </c>
      <c r="AQ8" s="250">
        <v>2.5966793579999998</v>
      </c>
      <c r="AR8" s="250">
        <v>2.6079522449999999</v>
      </c>
      <c r="AS8" s="250">
        <v>2.6142540099999998</v>
      </c>
      <c r="AT8" s="250">
        <v>2.6167589769999999</v>
      </c>
      <c r="AU8" s="250">
        <v>2.6115923570000001</v>
      </c>
      <c r="AV8" s="250">
        <v>2.6227548399999998</v>
      </c>
      <c r="AW8" s="250">
        <v>2.6191293010000001</v>
      </c>
      <c r="AX8" s="250">
        <v>2.6262771489999999</v>
      </c>
      <c r="AY8" s="250">
        <v>2.6194265309999998</v>
      </c>
      <c r="AZ8" s="250">
        <v>2.6415043140000001</v>
      </c>
      <c r="BA8" s="250">
        <v>2.6620623010000002</v>
      </c>
      <c r="BB8" s="250">
        <v>2.6772902090000001</v>
      </c>
      <c r="BC8" s="250">
        <v>2.6914853962941399</v>
      </c>
      <c r="BD8" s="250">
        <v>2.69654133318158</v>
      </c>
      <c r="BE8" s="250">
        <v>2.7084120237752298</v>
      </c>
      <c r="BF8" s="250">
        <v>2.7223361050183401</v>
      </c>
      <c r="BG8" s="250">
        <v>2.7579466825213701</v>
      </c>
      <c r="BH8" s="250">
        <v>2.7731673220855502</v>
      </c>
      <c r="BI8" s="250">
        <v>2.77954066277427</v>
      </c>
      <c r="BJ8" s="250">
        <v>2.7919156034757302</v>
      </c>
      <c r="BK8" s="250">
        <v>2.8014520174072501</v>
      </c>
      <c r="BL8" s="250">
        <v>2.8132248702518301</v>
      </c>
      <c r="BM8" s="250">
        <v>2.8296046782151598</v>
      </c>
      <c r="BN8" s="250">
        <v>2.8414135675033099</v>
      </c>
      <c r="BO8" s="250">
        <v>2.8561996883876799</v>
      </c>
      <c r="BP8" s="250">
        <v>2.85550017170655</v>
      </c>
      <c r="BQ8" s="250">
        <v>2.88999160387382</v>
      </c>
      <c r="BR8" s="250">
        <v>2.9067999885575801</v>
      </c>
      <c r="BS8" s="250">
        <v>2.92580381836104</v>
      </c>
      <c r="BT8" s="250">
        <v>2.9766118630188299</v>
      </c>
      <c r="BU8" s="250">
        <v>3.0267534887955501</v>
      </c>
      <c r="BV8" s="250">
        <v>3.0869388405814999</v>
      </c>
      <c r="BW8" s="250">
        <v>3.1562914112317602</v>
      </c>
      <c r="BX8" s="250">
        <v>3.20389935377507</v>
      </c>
      <c r="BY8" s="250">
        <v>3.2323994161973499</v>
      </c>
      <c r="BZ8" s="250">
        <v>3.2530028438127299</v>
      </c>
      <c r="CA8" s="250">
        <v>3.2709847547789499</v>
      </c>
      <c r="CB8" s="250">
        <v>3.2879150656466001</v>
      </c>
      <c r="CC8" s="250">
        <v>3.3053421241160401</v>
      </c>
      <c r="CD8" s="250">
        <v>3.3218178958700499</v>
      </c>
      <c r="CE8" s="250">
        <v>3.3429244230335899</v>
      </c>
      <c r="CF8" s="250">
        <v>3.3627309115831601</v>
      </c>
      <c r="CG8" s="250">
        <v>3.37712932230647</v>
      </c>
      <c r="CH8" s="250">
        <v>3.3927846607812699</v>
      </c>
      <c r="CI8" s="250">
        <v>3.4102905262835899</v>
      </c>
      <c r="CJ8" s="250">
        <v>3.4277155435108102</v>
      </c>
      <c r="CK8" s="250">
        <v>3.4436252077793998</v>
      </c>
      <c r="CL8" s="250">
        <v>3.4610762706984799</v>
      </c>
    </row>
    <row r="9" spans="1:90" x14ac:dyDescent="0.2">
      <c r="A9" s="243" t="s">
        <v>258</v>
      </c>
      <c r="B9" s="243" t="s">
        <v>259</v>
      </c>
      <c r="C9" s="250">
        <v>2.034611398</v>
      </c>
      <c r="D9" s="250">
        <v>2.0596500770000001</v>
      </c>
      <c r="E9" s="250">
        <v>2.0647060370000001</v>
      </c>
      <c r="F9" s="250">
        <v>2.0867602860000001</v>
      </c>
      <c r="G9" s="250">
        <v>2.104414818</v>
      </c>
      <c r="H9" s="250">
        <v>2.1147152070000002</v>
      </c>
      <c r="I9" s="250">
        <v>2.1510993429999998</v>
      </c>
      <c r="J9" s="250">
        <v>2.1700303559999998</v>
      </c>
      <c r="K9" s="250">
        <v>2.187209223</v>
      </c>
      <c r="L9" s="250">
        <v>2.212539628</v>
      </c>
      <c r="M9" s="250">
        <v>2.2351374509999999</v>
      </c>
      <c r="N9" s="250">
        <v>2.2204817979999998</v>
      </c>
      <c r="O9" s="250">
        <v>2.232011623</v>
      </c>
      <c r="P9" s="250">
        <v>2.2583096839999999</v>
      </c>
      <c r="Q9" s="250">
        <v>2.275645409</v>
      </c>
      <c r="R9" s="250">
        <v>2.3021267459999999</v>
      </c>
      <c r="S9" s="250">
        <v>2.3193677080000001</v>
      </c>
      <c r="T9" s="250">
        <v>2.3630887079999998</v>
      </c>
      <c r="U9" s="250">
        <v>2.4040177520000001</v>
      </c>
      <c r="V9" s="250">
        <v>2.350887207</v>
      </c>
      <c r="W9" s="250">
        <v>2.3397884210000002</v>
      </c>
      <c r="X9" s="250">
        <v>2.3463315589999998</v>
      </c>
      <c r="Y9" s="250">
        <v>2.3660251529999998</v>
      </c>
      <c r="Z9" s="250">
        <v>2.3807257489999998</v>
      </c>
      <c r="AA9" s="250">
        <v>2.3786733940000002</v>
      </c>
      <c r="AB9" s="250">
        <v>2.383361378</v>
      </c>
      <c r="AC9" s="250">
        <v>2.3978430589999999</v>
      </c>
      <c r="AD9" s="250">
        <v>2.4216897089999998</v>
      </c>
      <c r="AE9" s="250">
        <v>2.4317072319999999</v>
      </c>
      <c r="AF9" s="250">
        <v>2.4769564499999999</v>
      </c>
      <c r="AG9" s="250">
        <v>2.4885116549999999</v>
      </c>
      <c r="AH9" s="250">
        <v>2.4969754819999999</v>
      </c>
      <c r="AI9" s="250">
        <v>2.5130795410000002</v>
      </c>
      <c r="AJ9" s="250">
        <v>2.519446614</v>
      </c>
      <c r="AK9" s="250">
        <v>2.5296385770000001</v>
      </c>
      <c r="AL9" s="250">
        <v>2.5501989460000001</v>
      </c>
      <c r="AM9" s="250">
        <v>2.5571200369999998</v>
      </c>
      <c r="AN9" s="250">
        <v>2.5546952040000002</v>
      </c>
      <c r="AO9" s="250">
        <v>2.5737560859999999</v>
      </c>
      <c r="AP9" s="250">
        <v>2.5883411609999998</v>
      </c>
      <c r="AQ9" s="250">
        <v>2.5966793579999998</v>
      </c>
      <c r="AR9" s="250">
        <v>2.6079522449999999</v>
      </c>
      <c r="AS9" s="250">
        <v>2.6142540099999998</v>
      </c>
      <c r="AT9" s="250">
        <v>2.6167589769999999</v>
      </c>
      <c r="AU9" s="250">
        <v>2.6115923570000001</v>
      </c>
      <c r="AV9" s="250">
        <v>2.6227548399999998</v>
      </c>
      <c r="AW9" s="250">
        <v>2.6191293010000001</v>
      </c>
      <c r="AX9" s="250">
        <v>2.6262771489999999</v>
      </c>
      <c r="AY9" s="250">
        <v>2.6194265309999998</v>
      </c>
      <c r="AZ9" s="250">
        <v>2.6415043140000001</v>
      </c>
      <c r="BA9" s="250">
        <v>2.6620623010000002</v>
      </c>
      <c r="BB9" s="250">
        <v>2.6772902090000001</v>
      </c>
      <c r="BC9" s="250">
        <v>2.6914853962941399</v>
      </c>
      <c r="BD9" s="250">
        <v>2.69654133318158</v>
      </c>
      <c r="BE9" s="250">
        <v>2.7084120237752298</v>
      </c>
      <c r="BF9" s="250">
        <v>2.7223361050183401</v>
      </c>
      <c r="BG9" s="250">
        <v>2.7579466825213701</v>
      </c>
      <c r="BH9" s="250">
        <v>2.7731673220855502</v>
      </c>
      <c r="BI9" s="250">
        <v>2.77954066277427</v>
      </c>
      <c r="BJ9" s="250">
        <v>2.7919156034757302</v>
      </c>
      <c r="BK9" s="250">
        <v>2.8014520174072501</v>
      </c>
      <c r="BL9" s="250">
        <v>2.8132248702518301</v>
      </c>
      <c r="BM9" s="250">
        <v>2.8296046782151598</v>
      </c>
      <c r="BN9" s="250">
        <v>2.8414135675033099</v>
      </c>
      <c r="BO9" s="250">
        <v>2.8561996883876799</v>
      </c>
      <c r="BP9" s="250">
        <v>2.85550017170655</v>
      </c>
      <c r="BQ9" s="250">
        <v>2.88999160387382</v>
      </c>
      <c r="BR9" s="250">
        <v>2.9067999885575801</v>
      </c>
      <c r="BS9" s="250">
        <v>2.92580381836104</v>
      </c>
      <c r="BT9" s="250">
        <v>2.9766118630188299</v>
      </c>
      <c r="BU9" s="250">
        <v>3.0267534887955501</v>
      </c>
      <c r="BV9" s="250">
        <v>3.0869388405814999</v>
      </c>
      <c r="BW9" s="250">
        <v>3.1562914112317602</v>
      </c>
      <c r="BX9" s="250">
        <v>3.1968677920894399</v>
      </c>
      <c r="BY9" s="250">
        <v>3.2184546488518402</v>
      </c>
      <c r="BZ9" s="250">
        <v>3.2323635909089199</v>
      </c>
      <c r="CA9" s="250">
        <v>3.2448000854182699</v>
      </c>
      <c r="CB9" s="250">
        <v>3.2572396560179899</v>
      </c>
      <c r="CC9" s="250">
        <v>3.2703584032144799</v>
      </c>
      <c r="CD9" s="250">
        <v>3.2835105063532399</v>
      </c>
      <c r="CE9" s="250">
        <v>3.3005249030113699</v>
      </c>
      <c r="CF9" s="250">
        <v>3.3163270143953998</v>
      </c>
      <c r="CG9" s="250">
        <v>3.3268077845734401</v>
      </c>
      <c r="CH9" s="250">
        <v>3.3382951908102698</v>
      </c>
      <c r="CI9" s="250">
        <v>3.3519760754206902</v>
      </c>
      <c r="CJ9" s="250">
        <v>3.3660588664270001</v>
      </c>
      <c r="CK9" s="250">
        <v>3.3787148425748801</v>
      </c>
      <c r="CL9" s="250">
        <v>3.3929911961069799</v>
      </c>
    </row>
    <row r="10" spans="1:90" x14ac:dyDescent="0.2">
      <c r="A10" s="243" t="s">
        <v>260</v>
      </c>
      <c r="B10" s="243" t="s">
        <v>261</v>
      </c>
      <c r="C10" s="250">
        <v>2.034611398</v>
      </c>
      <c r="D10" s="250">
        <v>2.0596500770000001</v>
      </c>
      <c r="E10" s="250">
        <v>2.0647060370000001</v>
      </c>
      <c r="F10" s="250">
        <v>2.0867602860000001</v>
      </c>
      <c r="G10" s="250">
        <v>2.104414818</v>
      </c>
      <c r="H10" s="250">
        <v>2.1147152070000002</v>
      </c>
      <c r="I10" s="250">
        <v>2.1510993429999998</v>
      </c>
      <c r="J10" s="250">
        <v>2.1700303559999998</v>
      </c>
      <c r="K10" s="250">
        <v>2.187209223</v>
      </c>
      <c r="L10" s="250">
        <v>2.212539628</v>
      </c>
      <c r="M10" s="250">
        <v>2.2351374509999999</v>
      </c>
      <c r="N10" s="250">
        <v>2.2204817979999998</v>
      </c>
      <c r="O10" s="250">
        <v>2.232011623</v>
      </c>
      <c r="P10" s="250">
        <v>2.2583096839999999</v>
      </c>
      <c r="Q10" s="250">
        <v>2.275645409</v>
      </c>
      <c r="R10" s="250">
        <v>2.3021267459999999</v>
      </c>
      <c r="S10" s="250">
        <v>2.3193677080000001</v>
      </c>
      <c r="T10" s="250">
        <v>2.3630887079999998</v>
      </c>
      <c r="U10" s="250">
        <v>2.4040177520000001</v>
      </c>
      <c r="V10" s="250">
        <v>2.350887207</v>
      </c>
      <c r="W10" s="250">
        <v>2.3397884210000002</v>
      </c>
      <c r="X10" s="250">
        <v>2.3463315589999998</v>
      </c>
      <c r="Y10" s="250">
        <v>2.3660251529999998</v>
      </c>
      <c r="Z10" s="250">
        <v>2.3807257489999998</v>
      </c>
      <c r="AA10" s="250">
        <v>2.3786733940000002</v>
      </c>
      <c r="AB10" s="250">
        <v>2.383361378</v>
      </c>
      <c r="AC10" s="250">
        <v>2.3978430589999999</v>
      </c>
      <c r="AD10" s="250">
        <v>2.4216897089999998</v>
      </c>
      <c r="AE10" s="250">
        <v>2.4317072319999999</v>
      </c>
      <c r="AF10" s="250">
        <v>2.4769564499999999</v>
      </c>
      <c r="AG10" s="250">
        <v>2.4885116549999999</v>
      </c>
      <c r="AH10" s="250">
        <v>2.4969754819999999</v>
      </c>
      <c r="AI10" s="250">
        <v>2.5130795410000002</v>
      </c>
      <c r="AJ10" s="250">
        <v>2.519446614</v>
      </c>
      <c r="AK10" s="250">
        <v>2.5296385770000001</v>
      </c>
      <c r="AL10" s="250">
        <v>2.5501989460000001</v>
      </c>
      <c r="AM10" s="250">
        <v>2.5571200369999998</v>
      </c>
      <c r="AN10" s="250">
        <v>2.5546952040000002</v>
      </c>
      <c r="AO10" s="250">
        <v>2.5737560859999999</v>
      </c>
      <c r="AP10" s="250">
        <v>2.5883411609999998</v>
      </c>
      <c r="AQ10" s="250">
        <v>2.5966793579999998</v>
      </c>
      <c r="AR10" s="250">
        <v>2.6079522449999999</v>
      </c>
      <c r="AS10" s="250">
        <v>2.6142540099999998</v>
      </c>
      <c r="AT10" s="250">
        <v>2.6167589769999999</v>
      </c>
      <c r="AU10" s="250">
        <v>2.6115923570000001</v>
      </c>
      <c r="AV10" s="250">
        <v>2.6227548399999998</v>
      </c>
      <c r="AW10" s="250">
        <v>2.6191293010000001</v>
      </c>
      <c r="AX10" s="250">
        <v>2.6262771489999999</v>
      </c>
      <c r="AY10" s="250">
        <v>2.6194265309999998</v>
      </c>
      <c r="AZ10" s="250">
        <v>2.6415043140000001</v>
      </c>
      <c r="BA10" s="250">
        <v>2.6620623010000002</v>
      </c>
      <c r="BB10" s="250">
        <v>2.6772902090000001</v>
      </c>
      <c r="BC10" s="250">
        <v>2.6914853962941399</v>
      </c>
      <c r="BD10" s="250">
        <v>2.69654133318158</v>
      </c>
      <c r="BE10" s="250">
        <v>2.7084120237752298</v>
      </c>
      <c r="BF10" s="250">
        <v>2.7223361050183401</v>
      </c>
      <c r="BG10" s="250">
        <v>2.7579466825213701</v>
      </c>
      <c r="BH10" s="250">
        <v>2.7731673220855502</v>
      </c>
      <c r="BI10" s="250">
        <v>2.77954066277427</v>
      </c>
      <c r="BJ10" s="250">
        <v>2.7919156034757302</v>
      </c>
      <c r="BK10" s="250">
        <v>2.8014520174072501</v>
      </c>
      <c r="BL10" s="250">
        <v>2.8132248702518301</v>
      </c>
      <c r="BM10" s="250">
        <v>2.8296046782151598</v>
      </c>
      <c r="BN10" s="250">
        <v>2.8414135675033099</v>
      </c>
      <c r="BO10" s="250">
        <v>2.8561996883876799</v>
      </c>
      <c r="BP10" s="250">
        <v>2.85550017170655</v>
      </c>
      <c r="BQ10" s="250">
        <v>2.88999160387382</v>
      </c>
      <c r="BR10" s="250">
        <v>2.9067999885575801</v>
      </c>
      <c r="BS10" s="250">
        <v>2.92580381836104</v>
      </c>
      <c r="BT10" s="250">
        <v>2.9766118630188299</v>
      </c>
      <c r="BU10" s="250">
        <v>3.0267534887955501</v>
      </c>
      <c r="BV10" s="250">
        <v>3.0869388405814999</v>
      </c>
      <c r="BW10" s="250">
        <v>3.1562914112317602</v>
      </c>
      <c r="BX10" s="250">
        <v>3.2127397437715</v>
      </c>
      <c r="BY10" s="250">
        <v>3.2510156303512701</v>
      </c>
      <c r="BZ10" s="250">
        <v>3.2806537450530802</v>
      </c>
      <c r="CA10" s="250">
        <v>3.3069485707297099</v>
      </c>
      <c r="CB10" s="250">
        <v>3.3322107382074</v>
      </c>
      <c r="CC10" s="250">
        <v>3.3573893619030701</v>
      </c>
      <c r="CD10" s="250">
        <v>3.3812836854989001</v>
      </c>
      <c r="CE10" s="250">
        <v>3.4103061938772101</v>
      </c>
      <c r="CF10" s="250">
        <v>3.4382950646695201</v>
      </c>
      <c r="CG10" s="250">
        <v>3.46124259495403</v>
      </c>
      <c r="CH10" s="250">
        <v>3.4858055567096802</v>
      </c>
      <c r="CI10" s="250">
        <v>3.5123481287907801</v>
      </c>
      <c r="CJ10" s="250">
        <v>3.5390701334807502</v>
      </c>
      <c r="CK10" s="250">
        <v>3.5647747183835898</v>
      </c>
      <c r="CL10" s="250">
        <v>3.5926052979961902</v>
      </c>
    </row>
    <row r="12" spans="1:90" x14ac:dyDescent="0.2">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row>
    <row r="13" spans="1:90" x14ac:dyDescent="0.2">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BX13" s="252" t="s">
        <v>262</v>
      </c>
      <c r="BY13" s="253"/>
      <c r="BZ13" s="253"/>
      <c r="CA13" s="254" t="s">
        <v>357</v>
      </c>
      <c r="CB13" s="255"/>
      <c r="CC13" s="255"/>
      <c r="CD13" s="255"/>
      <c r="CE13" s="255"/>
      <c r="CF13" s="255"/>
      <c r="CG13" s="253"/>
      <c r="CH13" s="253"/>
      <c r="CI13" s="253"/>
    </row>
    <row r="14" spans="1:90" x14ac:dyDescent="0.2">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BX14" s="256"/>
      <c r="BY14" s="257"/>
      <c r="BZ14" s="257"/>
      <c r="CA14" s="257"/>
      <c r="CB14" s="257"/>
      <c r="CC14" s="257"/>
      <c r="CD14" s="257"/>
      <c r="CE14" s="257"/>
      <c r="CF14" s="257"/>
      <c r="CG14" s="257"/>
      <c r="CH14" s="257"/>
      <c r="CI14" s="258"/>
    </row>
    <row r="15" spans="1:90" x14ac:dyDescent="0.2">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BX15" s="259"/>
      <c r="BY15" s="260" t="s">
        <v>263</v>
      </c>
      <c r="BZ15" s="261" t="s">
        <v>363</v>
      </c>
      <c r="CA15" s="253"/>
      <c r="CB15" s="253"/>
      <c r="CC15" s="253"/>
      <c r="CD15" s="253"/>
      <c r="CE15" s="253"/>
      <c r="CF15" s="253"/>
      <c r="CG15" s="253"/>
      <c r="CH15" s="253"/>
      <c r="CI15" s="262"/>
    </row>
    <row r="16" spans="1:90" x14ac:dyDescent="0.2">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BX16" s="259"/>
      <c r="BY16" s="253"/>
      <c r="BZ16" s="263" t="str">
        <f>BY7</f>
        <v>2022Q3</v>
      </c>
      <c r="CA16" s="253"/>
      <c r="CB16" s="253"/>
      <c r="CC16" s="253"/>
      <c r="CD16" s="253"/>
      <c r="CE16" s="253"/>
      <c r="CF16" s="253"/>
      <c r="CG16" s="253"/>
      <c r="CH16" s="253"/>
      <c r="CI16" s="264" t="s">
        <v>264</v>
      </c>
    </row>
    <row r="17" spans="3:87" x14ac:dyDescent="0.2">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BX17" s="259"/>
      <c r="BY17" s="253"/>
      <c r="BZ17" s="266">
        <f>BY9</f>
        <v>3.2184546488518402</v>
      </c>
      <c r="CA17" s="253"/>
      <c r="CB17" s="253"/>
      <c r="CC17" s="253"/>
      <c r="CD17" s="253"/>
      <c r="CE17" s="253"/>
      <c r="CF17" s="253"/>
      <c r="CG17" s="253"/>
      <c r="CH17" s="253"/>
      <c r="CI17" s="267">
        <f>BZ17</f>
        <v>3.2184546488518402</v>
      </c>
    </row>
    <row r="18" spans="3:87" x14ac:dyDescent="0.2">
      <c r="BX18" s="259"/>
      <c r="BY18" s="253"/>
      <c r="BZ18" s="253"/>
      <c r="CA18" s="253"/>
      <c r="CB18" s="253"/>
      <c r="CC18" s="253"/>
      <c r="CD18" s="253"/>
      <c r="CE18" s="253"/>
      <c r="CF18" s="253"/>
      <c r="CG18" s="253"/>
      <c r="CH18" s="253"/>
      <c r="CI18" s="268"/>
    </row>
    <row r="19" spans="3:87" x14ac:dyDescent="0.2">
      <c r="BX19" s="731" t="s">
        <v>265</v>
      </c>
      <c r="BY19" s="732"/>
      <c r="BZ19" s="732"/>
      <c r="CA19" s="253" t="s">
        <v>364</v>
      </c>
      <c r="CB19" s="253"/>
      <c r="CC19" s="253"/>
      <c r="CD19" s="253"/>
      <c r="CE19" s="253"/>
      <c r="CF19" s="253"/>
      <c r="CG19" s="253"/>
      <c r="CH19" s="253"/>
      <c r="CI19" s="268"/>
    </row>
    <row r="20" spans="3:87" x14ac:dyDescent="0.2">
      <c r="BX20" s="269"/>
      <c r="BY20" s="260"/>
      <c r="BZ20" s="270" t="str">
        <f>BZ7</f>
        <v>2022Q4</v>
      </c>
      <c r="CA20" s="270" t="str">
        <f t="shared" ref="CA20:CG20" si="0">CA7</f>
        <v>2023Q1</v>
      </c>
      <c r="CB20" s="270" t="str">
        <f t="shared" si="0"/>
        <v>2023Q2</v>
      </c>
      <c r="CC20" s="270" t="str">
        <f t="shared" si="0"/>
        <v>2023Q3</v>
      </c>
      <c r="CD20" s="270" t="str">
        <f t="shared" si="0"/>
        <v>2023Q4</v>
      </c>
      <c r="CE20" s="270" t="str">
        <f t="shared" si="0"/>
        <v>2024Q1</v>
      </c>
      <c r="CF20" s="270" t="str">
        <f t="shared" si="0"/>
        <v>2024Q2</v>
      </c>
      <c r="CG20" s="270" t="str">
        <f t="shared" si="0"/>
        <v>2024Q3</v>
      </c>
      <c r="CH20" s="253"/>
      <c r="CI20" s="268"/>
    </row>
    <row r="21" spans="3:87" x14ac:dyDescent="0.2">
      <c r="BX21" s="259"/>
      <c r="BY21" s="253"/>
      <c r="BZ21" s="266">
        <f>BZ9</f>
        <v>3.2323635909089199</v>
      </c>
      <c r="CA21" s="266">
        <f t="shared" ref="CA21:CG21" si="1">CA9</f>
        <v>3.2448000854182699</v>
      </c>
      <c r="CB21" s="266">
        <f t="shared" si="1"/>
        <v>3.2572396560179899</v>
      </c>
      <c r="CC21" s="266">
        <f t="shared" si="1"/>
        <v>3.2703584032144799</v>
      </c>
      <c r="CD21" s="266">
        <f t="shared" si="1"/>
        <v>3.2835105063532399</v>
      </c>
      <c r="CE21" s="266">
        <f t="shared" si="1"/>
        <v>3.3005249030113699</v>
      </c>
      <c r="CF21" s="266">
        <f t="shared" si="1"/>
        <v>3.3163270143953998</v>
      </c>
      <c r="CG21" s="266">
        <f t="shared" si="1"/>
        <v>3.3268077845734401</v>
      </c>
      <c r="CH21" s="253"/>
      <c r="CI21" s="267">
        <f>AVERAGE(BZ21:CG21)</f>
        <v>3.2789914929866386</v>
      </c>
    </row>
    <row r="22" spans="3:87" x14ac:dyDescent="0.2">
      <c r="BX22" s="259"/>
      <c r="BY22" s="253"/>
      <c r="BZ22" s="253"/>
      <c r="CA22" s="253"/>
      <c r="CB22" s="253"/>
      <c r="CC22" s="253"/>
      <c r="CD22" s="253"/>
      <c r="CE22" s="253"/>
      <c r="CF22" s="253"/>
      <c r="CG22" s="253"/>
      <c r="CH22" s="253"/>
      <c r="CI22" s="268"/>
    </row>
    <row r="23" spans="3:87" x14ac:dyDescent="0.2">
      <c r="BX23" s="259"/>
      <c r="BY23" s="253"/>
      <c r="BZ23" s="253"/>
      <c r="CA23" s="253"/>
      <c r="CB23" s="253"/>
      <c r="CC23" s="253"/>
      <c r="CD23" s="253"/>
      <c r="CE23" s="253"/>
      <c r="CF23" s="253"/>
      <c r="CG23" s="253"/>
      <c r="CH23" s="271" t="s">
        <v>266</v>
      </c>
      <c r="CI23" s="272">
        <f>(CI21-CI17)/CI17</f>
        <v>1.8809289158818659E-2</v>
      </c>
    </row>
    <row r="24" spans="3:87" x14ac:dyDescent="0.2">
      <c r="BX24" s="273"/>
      <c r="BY24" s="274"/>
      <c r="BZ24" s="274"/>
      <c r="CA24" s="274"/>
      <c r="CB24" s="274"/>
      <c r="CC24" s="274"/>
      <c r="CD24" s="274"/>
      <c r="CE24" s="274"/>
      <c r="CF24" s="274"/>
      <c r="CG24" s="274"/>
      <c r="CH24" s="274"/>
      <c r="CI24" s="275"/>
    </row>
  </sheetData>
  <mergeCells count="2">
    <mergeCell ref="A1:B1"/>
    <mergeCell ref="BX19:BZ19"/>
  </mergeCells>
  <pageMargins left="0.25" right="0.2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C040-2DA5-4BDD-A150-AB0F8FC5F04C}">
  <sheetPr>
    <pageSetUpPr fitToPage="1"/>
  </sheetPr>
  <dimension ref="A2:Q81"/>
  <sheetViews>
    <sheetView topLeftCell="A33" zoomScaleNormal="100" workbookViewId="0">
      <selection activeCell="H1" sqref="H1"/>
    </sheetView>
  </sheetViews>
  <sheetFormatPr defaultRowHeight="15" x14ac:dyDescent="0.25"/>
  <cols>
    <col min="2" max="2" width="11.42578125" customWidth="1"/>
    <col min="3" max="3" width="33.5703125" customWidth="1"/>
    <col min="4" max="4" width="10" bestFit="1" customWidth="1"/>
    <col min="5" max="5" width="12.42578125" customWidth="1"/>
    <col min="6" max="6" width="14" customWidth="1"/>
    <col min="7" max="7" width="12" bestFit="1" customWidth="1"/>
    <col min="8" max="8" width="4.85546875" customWidth="1"/>
    <col min="9" max="9" width="28.5703125" customWidth="1"/>
    <col min="10" max="10" width="8" customWidth="1"/>
    <col min="11" max="11" width="13" customWidth="1"/>
    <col min="12" max="12" width="31.5703125" style="2" customWidth="1"/>
    <col min="14" max="14" width="18.140625" customWidth="1"/>
    <col min="15" max="15" width="10.140625" customWidth="1"/>
  </cols>
  <sheetData>
    <row r="2" spans="3:12" ht="15.75" thickBot="1" x14ac:dyDescent="0.3">
      <c r="C2" s="1"/>
    </row>
    <row r="3" spans="3:12" ht="15.75" thickBot="1" x14ac:dyDescent="0.3">
      <c r="C3" s="733" t="s">
        <v>0</v>
      </c>
      <c r="D3" s="734"/>
      <c r="E3" s="734"/>
      <c r="F3" s="734"/>
      <c r="G3" s="735"/>
      <c r="H3" s="3"/>
      <c r="I3" s="739" t="s">
        <v>1</v>
      </c>
      <c r="J3" s="740"/>
      <c r="K3" s="741"/>
      <c r="L3" s="319"/>
    </row>
    <row r="4" spans="3:12" ht="15.75" thickBot="1" x14ac:dyDescent="0.3">
      <c r="C4" s="736"/>
      <c r="D4" s="737"/>
      <c r="E4" s="737"/>
      <c r="F4" s="737"/>
      <c r="G4" s="738"/>
      <c r="H4" s="3"/>
      <c r="I4" s="4"/>
      <c r="J4" s="5" t="s">
        <v>2</v>
      </c>
      <c r="K4" s="6" t="s">
        <v>3</v>
      </c>
      <c r="L4" s="320"/>
    </row>
    <row r="5" spans="3:12" x14ac:dyDescent="0.25">
      <c r="C5" s="7" t="s">
        <v>4</v>
      </c>
      <c r="D5" s="8">
        <v>12</v>
      </c>
      <c r="E5" s="9"/>
      <c r="F5" s="9" t="s">
        <v>5</v>
      </c>
      <c r="G5" s="10">
        <f>D5*365</f>
        <v>4380</v>
      </c>
      <c r="H5" s="3"/>
      <c r="I5" s="11" t="s">
        <v>6</v>
      </c>
      <c r="J5" s="321">
        <v>15</v>
      </c>
      <c r="K5" s="12">
        <f>J5*8</f>
        <v>120</v>
      </c>
      <c r="L5" s="320"/>
    </row>
    <row r="6" spans="3:12" x14ac:dyDescent="0.25">
      <c r="C6" s="11"/>
      <c r="D6" s="13"/>
      <c r="E6" s="13"/>
      <c r="F6" s="13"/>
      <c r="G6" s="14"/>
      <c r="H6" s="3"/>
      <c r="I6" s="11" t="s">
        <v>7</v>
      </c>
      <c r="J6" s="321">
        <v>8</v>
      </c>
      <c r="K6" s="12">
        <f>J6*8</f>
        <v>64</v>
      </c>
      <c r="L6" s="320"/>
    </row>
    <row r="7" spans="3:12" x14ac:dyDescent="0.25">
      <c r="C7" s="4"/>
      <c r="D7" s="15"/>
      <c r="E7" s="16" t="s">
        <v>8</v>
      </c>
      <c r="F7" s="16" t="s">
        <v>9</v>
      </c>
      <c r="G7" s="17" t="s">
        <v>10</v>
      </c>
      <c r="H7" s="3"/>
      <c r="I7" s="11" t="s">
        <v>11</v>
      </c>
      <c r="J7" s="321">
        <v>10</v>
      </c>
      <c r="K7" s="12">
        <f>J7*8</f>
        <v>80</v>
      </c>
      <c r="L7" s="320"/>
    </row>
    <row r="8" spans="3:12" x14ac:dyDescent="0.25">
      <c r="C8" s="4" t="str">
        <f>I13</f>
        <v>Management</v>
      </c>
      <c r="D8" s="13"/>
      <c r="E8" s="5"/>
      <c r="F8" s="5"/>
      <c r="G8" s="18"/>
      <c r="H8" s="3"/>
      <c r="I8" s="19" t="s">
        <v>12</v>
      </c>
      <c r="J8" s="20">
        <v>5</v>
      </c>
      <c r="K8" s="21">
        <f>J8*8</f>
        <v>40</v>
      </c>
      <c r="L8" s="320"/>
    </row>
    <row r="9" spans="3:12" x14ac:dyDescent="0.25">
      <c r="C9" s="11" t="str">
        <f t="shared" ref="C9:C24" si="0">I14</f>
        <v xml:space="preserve">    Program Director</v>
      </c>
      <c r="D9" s="13"/>
      <c r="E9" s="22">
        <f>K14</f>
        <v>72000</v>
      </c>
      <c r="F9" s="23">
        <f>K32</f>
        <v>1</v>
      </c>
      <c r="G9" s="539">
        <f>E9*F9</f>
        <v>72000</v>
      </c>
      <c r="H9" s="3"/>
      <c r="I9" s="11"/>
      <c r="J9" s="322" t="s">
        <v>13</v>
      </c>
      <c r="K9" s="12">
        <f>SUM(K5:K8)</f>
        <v>304</v>
      </c>
      <c r="L9" s="320"/>
    </row>
    <row r="10" spans="3:12" ht="15.75" thickBot="1" x14ac:dyDescent="0.3">
      <c r="C10" s="11" t="str">
        <f t="shared" si="0"/>
        <v xml:space="preserve">    Clinical Director</v>
      </c>
      <c r="D10" s="13"/>
      <c r="E10" s="22">
        <f t="shared" ref="E10:E14" si="1">K15</f>
        <v>87651.199999999997</v>
      </c>
      <c r="F10" s="23">
        <f t="shared" ref="F10:F14" si="2">K33</f>
        <v>1</v>
      </c>
      <c r="G10" s="539">
        <f>F10*E10</f>
        <v>87651.199999999997</v>
      </c>
      <c r="H10" s="3"/>
      <c r="I10" s="25"/>
      <c r="J10" s="26" t="s">
        <v>14</v>
      </c>
      <c r="K10" s="27">
        <f>K9/(52*40)</f>
        <v>0.14615384615384616</v>
      </c>
      <c r="L10" s="320"/>
    </row>
    <row r="11" spans="3:12" ht="15.75" thickBot="1" x14ac:dyDescent="0.3">
      <c r="C11" s="4" t="str">
        <f t="shared" si="0"/>
        <v>Medical and Clinical</v>
      </c>
      <c r="D11" s="13"/>
      <c r="E11" s="22"/>
      <c r="F11" s="23"/>
      <c r="G11" s="24"/>
      <c r="H11" s="3"/>
      <c r="I11" s="28"/>
      <c r="J11" s="3"/>
      <c r="K11" s="29"/>
      <c r="L11" s="320"/>
    </row>
    <row r="12" spans="3:12" ht="15.75" thickBot="1" x14ac:dyDescent="0.3">
      <c r="C12" s="11" t="str">
        <f t="shared" si="0"/>
        <v xml:space="preserve">    APRN</v>
      </c>
      <c r="D12" s="13"/>
      <c r="E12" s="22">
        <f t="shared" si="1"/>
        <v>128169.59999999999</v>
      </c>
      <c r="F12" s="23">
        <f t="shared" si="2"/>
        <v>1</v>
      </c>
      <c r="G12" s="539">
        <f t="shared" ref="G12:G24" si="3">F12*E12</f>
        <v>128169.59999999999</v>
      </c>
      <c r="H12" s="3"/>
      <c r="I12" s="742" t="s">
        <v>15</v>
      </c>
      <c r="J12" s="743"/>
      <c r="K12" s="744"/>
      <c r="L12" s="320"/>
    </row>
    <row r="13" spans="3:12" x14ac:dyDescent="0.25">
      <c r="C13" s="11" t="str">
        <f t="shared" si="0"/>
        <v xml:space="preserve">    Clinician (MA Lvl)</v>
      </c>
      <c r="D13" s="13"/>
      <c r="E13" s="22">
        <f t="shared" si="1"/>
        <v>59165.599999999991</v>
      </c>
      <c r="F13" s="23">
        <f t="shared" si="2"/>
        <v>2</v>
      </c>
      <c r="G13" s="539">
        <f t="shared" si="3"/>
        <v>118331.19999999998</v>
      </c>
      <c r="H13" s="3"/>
      <c r="I13" s="4" t="s">
        <v>16</v>
      </c>
      <c r="J13" s="13"/>
      <c r="K13" s="24"/>
      <c r="L13" s="320"/>
    </row>
    <row r="14" spans="3:12" x14ac:dyDescent="0.25">
      <c r="C14" s="11" t="str">
        <f t="shared" si="0"/>
        <v xml:space="preserve">    Registered Nurse</v>
      </c>
      <c r="D14" s="13"/>
      <c r="E14" s="22">
        <f t="shared" si="1"/>
        <v>94952</v>
      </c>
      <c r="F14" s="23">
        <f t="shared" si="2"/>
        <v>2.8</v>
      </c>
      <c r="G14" s="539">
        <f t="shared" si="3"/>
        <v>265865.59999999998</v>
      </c>
      <c r="H14" s="3"/>
      <c r="I14" s="4" t="s">
        <v>17</v>
      </c>
      <c r="J14" s="13"/>
      <c r="K14" s="24">
        <f>'M2021 BLS  SALARY CHART'!C22</f>
        <v>72000</v>
      </c>
      <c r="L14" s="320"/>
    </row>
    <row r="15" spans="3:12" x14ac:dyDescent="0.25">
      <c r="C15" s="11" t="str">
        <f t="shared" si="0"/>
        <v xml:space="preserve">    Licensed Practical Nurse (LPN)</v>
      </c>
      <c r="D15" s="13"/>
      <c r="E15" s="22">
        <f>K20</f>
        <v>60195.200000000004</v>
      </c>
      <c r="F15" s="23">
        <f>K38</f>
        <v>1.4</v>
      </c>
      <c r="G15" s="539">
        <f t="shared" si="3"/>
        <v>84273.279999999999</v>
      </c>
      <c r="H15" s="3"/>
      <c r="I15" s="11" t="s">
        <v>18</v>
      </c>
      <c r="J15" s="13"/>
      <c r="K15" s="539">
        <f>'M2021 BLS  SALARY CHART'!C28</f>
        <v>87651.199999999997</v>
      </c>
      <c r="L15" s="320"/>
    </row>
    <row r="16" spans="3:12" x14ac:dyDescent="0.25">
      <c r="C16" s="11" t="str">
        <f t="shared" si="0"/>
        <v xml:space="preserve">    Nurse Relief</v>
      </c>
      <c r="D16" s="13"/>
      <c r="E16" s="22">
        <f>K21</f>
        <v>83366.400000000009</v>
      </c>
      <c r="F16" s="23">
        <f>K39</f>
        <v>0.61384615384615382</v>
      </c>
      <c r="G16" s="539">
        <f t="shared" si="3"/>
        <v>51174.144</v>
      </c>
      <c r="H16" s="3"/>
      <c r="I16" s="4" t="s">
        <v>19</v>
      </c>
      <c r="J16" s="13"/>
      <c r="K16" s="24"/>
      <c r="L16" s="320"/>
    </row>
    <row r="17" spans="3:17" x14ac:dyDescent="0.25">
      <c r="C17" s="11" t="str">
        <f t="shared" si="0"/>
        <v xml:space="preserve">    Utilization Reviewer / MA Lvl Clinician</v>
      </c>
      <c r="D17" s="13"/>
      <c r="E17" s="22">
        <f>K22</f>
        <v>59165.599999999991</v>
      </c>
      <c r="F17" s="23">
        <f>K40</f>
        <v>0.5</v>
      </c>
      <c r="G17" s="539">
        <f t="shared" si="3"/>
        <v>29582.799999999996</v>
      </c>
      <c r="H17" s="3"/>
      <c r="I17" s="11" t="s">
        <v>20</v>
      </c>
      <c r="J17" s="13"/>
      <c r="K17" s="539">
        <f>'M2021 BLS  SALARY CHART'!C34</f>
        <v>128169.59999999999</v>
      </c>
      <c r="L17" s="320"/>
      <c r="M17" s="30"/>
      <c r="N17" s="30"/>
      <c r="O17" s="30"/>
      <c r="P17" s="30"/>
      <c r="Q17" s="30"/>
    </row>
    <row r="18" spans="3:17" x14ac:dyDescent="0.25">
      <c r="C18" s="4" t="str">
        <f t="shared" si="0"/>
        <v>Direct Care</v>
      </c>
      <c r="D18" s="13"/>
      <c r="E18" s="22"/>
      <c r="F18" s="23"/>
      <c r="G18" s="24"/>
      <c r="H18" s="3"/>
      <c r="I18" s="11" t="s">
        <v>21</v>
      </c>
      <c r="J18" s="13"/>
      <c r="K18" s="539">
        <f>'M2021 BLS  SALARY CHART'!C14</f>
        <v>59165.599999999991</v>
      </c>
      <c r="L18" s="320"/>
      <c r="M18" s="30"/>
      <c r="N18" s="30"/>
      <c r="O18" s="30"/>
      <c r="P18" s="30"/>
      <c r="Q18" s="30"/>
    </row>
    <row r="19" spans="3:17" x14ac:dyDescent="0.25">
      <c r="C19" s="11" t="str">
        <f t="shared" si="0"/>
        <v xml:space="preserve">    Recovery Specialist Supervisor</v>
      </c>
      <c r="D19" s="13"/>
      <c r="E19" s="22">
        <f t="shared" ref="E19:E24" si="4">K24</f>
        <v>48705.279999999999</v>
      </c>
      <c r="F19" s="23">
        <f t="shared" ref="F19:F24" si="5">K42</f>
        <v>1.8</v>
      </c>
      <c r="G19" s="24">
        <f t="shared" si="3"/>
        <v>87669.504000000001</v>
      </c>
      <c r="H19" s="3"/>
      <c r="I19" s="11" t="s">
        <v>22</v>
      </c>
      <c r="J19" s="13"/>
      <c r="K19" s="540">
        <f>'M2021 BLS  SALARY CHART'!C32</f>
        <v>94952</v>
      </c>
      <c r="L19" s="320"/>
      <c r="M19" s="30"/>
      <c r="N19" s="30"/>
      <c r="O19" s="30"/>
      <c r="P19" s="30"/>
      <c r="Q19" s="30"/>
    </row>
    <row r="20" spans="3:17" x14ac:dyDescent="0.25">
      <c r="C20" s="11" t="str">
        <f t="shared" si="0"/>
        <v xml:space="preserve">    Caseworker</v>
      </c>
      <c r="D20" s="13"/>
      <c r="E20" s="22">
        <f t="shared" si="4"/>
        <v>49233.600000000006</v>
      </c>
      <c r="F20" s="23">
        <f t="shared" si="5"/>
        <v>1</v>
      </c>
      <c r="G20" s="24">
        <f t="shared" si="3"/>
        <v>49233.600000000006</v>
      </c>
      <c r="H20" s="3"/>
      <c r="I20" s="11" t="s">
        <v>23</v>
      </c>
      <c r="J20" s="13"/>
      <c r="K20" s="540">
        <f>'M2021 BLS  SALARY CHART'!C16</f>
        <v>60195.200000000004</v>
      </c>
      <c r="L20" s="320"/>
      <c r="M20" s="30"/>
      <c r="N20" s="30"/>
      <c r="O20" s="30"/>
      <c r="P20" s="30"/>
      <c r="Q20" s="30"/>
    </row>
    <row r="21" spans="3:17" x14ac:dyDescent="0.25">
      <c r="C21" s="11" t="str">
        <f t="shared" si="0"/>
        <v xml:space="preserve">    Recovery Specialist</v>
      </c>
      <c r="D21" s="13"/>
      <c r="E21" s="22">
        <f t="shared" si="4"/>
        <v>38937.599999999999</v>
      </c>
      <c r="F21" s="23">
        <f t="shared" si="5"/>
        <v>15.4</v>
      </c>
      <c r="G21" s="24">
        <f t="shared" si="3"/>
        <v>599639.04000000004</v>
      </c>
      <c r="H21" s="3"/>
      <c r="I21" s="11" t="s">
        <v>24</v>
      </c>
      <c r="J21" s="13"/>
      <c r="K21" s="541">
        <f>((K19*2)+K20)/3</f>
        <v>83366.400000000009</v>
      </c>
      <c r="L21" s="320"/>
    </row>
    <row r="22" spans="3:17" x14ac:dyDescent="0.25">
      <c r="C22" s="11" t="str">
        <f t="shared" si="0"/>
        <v xml:space="preserve">    Educational Coordinator</v>
      </c>
      <c r="D22" s="13"/>
      <c r="E22" s="22">
        <f t="shared" si="4"/>
        <v>48705.279999999999</v>
      </c>
      <c r="F22" s="23">
        <f t="shared" si="5"/>
        <v>0.5</v>
      </c>
      <c r="G22" s="24">
        <f t="shared" si="3"/>
        <v>24352.639999999999</v>
      </c>
      <c r="H22" s="3"/>
      <c r="I22" s="11" t="s">
        <v>25</v>
      </c>
      <c r="J22" s="13"/>
      <c r="K22" s="539">
        <f>'M2021 BLS  SALARY CHART'!C14</f>
        <v>59165.599999999991</v>
      </c>
      <c r="L22" s="320"/>
    </row>
    <row r="23" spans="3:17" x14ac:dyDescent="0.25">
      <c r="C23" s="11" t="str">
        <f t="shared" si="0"/>
        <v xml:space="preserve">    Support Staff</v>
      </c>
      <c r="D23" s="13"/>
      <c r="E23" s="22">
        <f t="shared" si="4"/>
        <v>38937.599999999999</v>
      </c>
      <c r="F23" s="23">
        <f t="shared" si="5"/>
        <v>1.5</v>
      </c>
      <c r="G23" s="24">
        <f t="shared" si="3"/>
        <v>58406.399999999994</v>
      </c>
      <c r="H23" s="3"/>
      <c r="I23" s="4" t="s">
        <v>26</v>
      </c>
      <c r="J23" s="13"/>
      <c r="K23" s="24"/>
      <c r="L23" s="320"/>
    </row>
    <row r="24" spans="3:17" x14ac:dyDescent="0.25">
      <c r="C24" s="11" t="str">
        <f t="shared" si="0"/>
        <v xml:space="preserve">    DC Relief staff</v>
      </c>
      <c r="D24" s="13"/>
      <c r="E24" s="22">
        <f t="shared" si="4"/>
        <v>38937.599999999999</v>
      </c>
      <c r="F24" s="23">
        <f t="shared" si="5"/>
        <v>2.2507692307692309</v>
      </c>
      <c r="G24" s="24">
        <f t="shared" si="3"/>
        <v>87639.551999999996</v>
      </c>
      <c r="H24" s="3"/>
      <c r="I24" s="11" t="s">
        <v>27</v>
      </c>
      <c r="J24" s="13"/>
      <c r="K24" s="539">
        <f>'M2021 BLS  SALARY CHART'!C8</f>
        <v>48705.279999999999</v>
      </c>
      <c r="L24" s="320"/>
    </row>
    <row r="25" spans="3:17" x14ac:dyDescent="0.25">
      <c r="C25" s="33" t="s">
        <v>28</v>
      </c>
      <c r="D25" s="34"/>
      <c r="E25" s="34"/>
      <c r="F25" s="35">
        <f>SUM(F9:F24)</f>
        <v>32.764615384615382</v>
      </c>
      <c r="G25" s="36">
        <f>SUM(G9:G24)</f>
        <v>1743988.5599999996</v>
      </c>
      <c r="H25" s="3"/>
      <c r="I25" s="11" t="s">
        <v>29</v>
      </c>
      <c r="J25" s="13"/>
      <c r="K25" s="539">
        <f>'M2021 BLS  SALARY CHART'!C12</f>
        <v>49233.600000000006</v>
      </c>
      <c r="L25" s="320"/>
    </row>
    <row r="26" spans="3:17" x14ac:dyDescent="0.25">
      <c r="C26" s="11" t="s">
        <v>30</v>
      </c>
      <c r="D26" s="13"/>
      <c r="E26" s="37">
        <f>K49</f>
        <v>0.2422</v>
      </c>
      <c r="F26" s="38"/>
      <c r="G26" s="39">
        <f>G25*E26</f>
        <v>422394.02923199988</v>
      </c>
      <c r="H26" s="3"/>
      <c r="I26" s="11" t="s">
        <v>31</v>
      </c>
      <c r="J26" s="13"/>
      <c r="K26" s="539">
        <f>'M2021 BLS  SALARY CHART'!C6</f>
        <v>38937.599999999999</v>
      </c>
      <c r="L26" s="320"/>
    </row>
    <row r="27" spans="3:17" x14ac:dyDescent="0.25">
      <c r="C27" s="33" t="s">
        <v>32</v>
      </c>
      <c r="D27" s="34"/>
      <c r="E27" s="34"/>
      <c r="F27" s="40">
        <f>G27/G5</f>
        <v>494.60789708493144</v>
      </c>
      <c r="G27" s="36">
        <f>G25+G26</f>
        <v>2166382.5892319996</v>
      </c>
      <c r="H27" s="3"/>
      <c r="I27" s="11" t="s">
        <v>33</v>
      </c>
      <c r="J27" s="13"/>
      <c r="K27" s="539">
        <f>'M2021 BLS  SALARY CHART'!C8</f>
        <v>48705.279999999999</v>
      </c>
      <c r="L27" s="320"/>
    </row>
    <row r="28" spans="3:17" x14ac:dyDescent="0.25">
      <c r="C28" s="4" t="s">
        <v>34</v>
      </c>
      <c r="D28" s="15"/>
      <c r="E28" s="15"/>
      <c r="F28" s="15" t="s">
        <v>35</v>
      </c>
      <c r="G28" s="41"/>
      <c r="H28" s="3"/>
      <c r="I28" s="11" t="s">
        <v>36</v>
      </c>
      <c r="J28" s="13"/>
      <c r="K28" s="539">
        <f>'M2021 BLS  SALARY CHART'!C6</f>
        <v>38937.599999999999</v>
      </c>
      <c r="L28" s="320"/>
    </row>
    <row r="29" spans="3:17" ht="15.75" thickBot="1" x14ac:dyDescent="0.3">
      <c r="C29" s="11"/>
      <c r="D29" s="42"/>
      <c r="E29" s="13"/>
      <c r="F29" s="43"/>
      <c r="G29" s="44"/>
      <c r="H29" s="3"/>
      <c r="I29" s="11" t="s">
        <v>37</v>
      </c>
      <c r="J29" s="45"/>
      <c r="K29" s="550">
        <f>K26</f>
        <v>38937.599999999999</v>
      </c>
      <c r="L29" s="320"/>
    </row>
    <row r="30" spans="3:17" ht="15.75" thickBot="1" x14ac:dyDescent="0.3">
      <c r="C30" s="11" t="str">
        <f t="shared" ref="C30" si="6">I51</f>
        <v>Occupancy (per bed day)</v>
      </c>
      <c r="D30" s="47">
        <f>K51</f>
        <v>30.57</v>
      </c>
      <c r="E30" s="13"/>
      <c r="F30" s="43"/>
      <c r="G30" s="44">
        <f>D30*G5</f>
        <v>133896.6</v>
      </c>
      <c r="H30" s="3"/>
      <c r="I30" s="742" t="s">
        <v>38</v>
      </c>
      <c r="J30" s="743"/>
      <c r="K30" s="744"/>
      <c r="L30" s="320"/>
    </row>
    <row r="31" spans="3:17" x14ac:dyDescent="0.25">
      <c r="C31" s="11"/>
      <c r="D31" s="48"/>
      <c r="E31" s="13"/>
      <c r="F31" s="43"/>
      <c r="G31" s="44"/>
      <c r="H31" s="3"/>
      <c r="I31" s="4" t="str">
        <f t="shared" ref="I31:I47" si="7">I13</f>
        <v>Management</v>
      </c>
      <c r="J31" s="323"/>
      <c r="K31" s="49"/>
      <c r="L31" s="320"/>
    </row>
    <row r="32" spans="3:17" x14ac:dyDescent="0.25">
      <c r="C32" s="11" t="str">
        <f>I53</f>
        <v>Other Expenses (per bed day)</v>
      </c>
      <c r="D32" s="47">
        <f>K53</f>
        <v>3.7643835616438355</v>
      </c>
      <c r="E32" s="13"/>
      <c r="F32" s="43"/>
      <c r="G32" s="44">
        <f>D32*G5</f>
        <v>16488</v>
      </c>
      <c r="H32" s="3"/>
      <c r="I32" s="11" t="str">
        <f t="shared" si="7"/>
        <v xml:space="preserve">    Program Director</v>
      </c>
      <c r="J32" s="323"/>
      <c r="K32" s="49">
        <v>1</v>
      </c>
      <c r="L32" s="320"/>
    </row>
    <row r="33" spans="3:16" x14ac:dyDescent="0.25">
      <c r="C33" s="11" t="str">
        <f>I52</f>
        <v>Meals (per bed day)</v>
      </c>
      <c r="D33" s="47">
        <f>K52</f>
        <v>9.1511904761904752</v>
      </c>
      <c r="E33" s="13"/>
      <c r="F33" s="43"/>
      <c r="G33" s="44">
        <f>D33*G5</f>
        <v>40082.214285714283</v>
      </c>
      <c r="H33" s="3"/>
      <c r="I33" s="11" t="str">
        <f t="shared" si="7"/>
        <v xml:space="preserve">    Clinical Director</v>
      </c>
      <c r="J33" s="323"/>
      <c r="K33" s="49">
        <v>1</v>
      </c>
      <c r="L33" s="320"/>
    </row>
    <row r="34" spans="3:16" x14ac:dyDescent="0.25">
      <c r="C34" s="11"/>
      <c r="D34" s="47"/>
      <c r="E34" s="13"/>
      <c r="F34" s="43"/>
      <c r="G34" s="44"/>
      <c r="H34" s="3"/>
      <c r="I34" s="4" t="str">
        <f t="shared" si="7"/>
        <v>Medical and Clinical</v>
      </c>
      <c r="J34" s="323"/>
      <c r="K34" s="49"/>
      <c r="L34" s="320"/>
    </row>
    <row r="35" spans="3:16" x14ac:dyDescent="0.25">
      <c r="C35" s="33" t="s">
        <v>39</v>
      </c>
      <c r="D35" s="34"/>
      <c r="E35" s="34"/>
      <c r="F35" s="34"/>
      <c r="G35" s="36">
        <f>SUM(G27:G34)</f>
        <v>2356849.4035177138</v>
      </c>
      <c r="H35" s="3"/>
      <c r="I35" s="11" t="str">
        <f t="shared" si="7"/>
        <v xml:space="preserve">    APRN</v>
      </c>
      <c r="J35" s="323"/>
      <c r="K35" s="49">
        <v>1</v>
      </c>
      <c r="L35" s="320"/>
    </row>
    <row r="36" spans="3:16" ht="24.75" x14ac:dyDescent="0.25">
      <c r="C36" s="11" t="s">
        <v>40</v>
      </c>
      <c r="D36" s="13"/>
      <c r="E36" s="42">
        <f>K54</f>
        <v>0.12</v>
      </c>
      <c r="F36" s="13"/>
      <c r="G36" s="24">
        <f>E36*G35</f>
        <v>282821.92842212564</v>
      </c>
      <c r="H36" s="3"/>
      <c r="I36" s="11" t="str">
        <f t="shared" si="7"/>
        <v xml:space="preserve">    Clinician (MA Lvl)</v>
      </c>
      <c r="J36" s="323"/>
      <c r="K36" s="50">
        <v>2</v>
      </c>
      <c r="L36" s="320" t="s">
        <v>41</v>
      </c>
    </row>
    <row r="37" spans="3:16" ht="24.75" x14ac:dyDescent="0.25">
      <c r="C37" s="51" t="s">
        <v>42</v>
      </c>
      <c r="D37" s="52"/>
      <c r="E37" s="52"/>
      <c r="F37" s="52"/>
      <c r="G37" s="306">
        <f>SUM(G35:G36)</f>
        <v>2639671.3319398393</v>
      </c>
      <c r="H37" s="3"/>
      <c r="I37" s="11" t="str">
        <f t="shared" si="7"/>
        <v xml:space="preserve">    Registered Nurse</v>
      </c>
      <c r="J37" s="323"/>
      <c r="K37" s="49">
        <v>2.8</v>
      </c>
      <c r="L37" s="320" t="s">
        <v>43</v>
      </c>
      <c r="O37" s="53"/>
      <c r="P37" s="54"/>
    </row>
    <row r="38" spans="3:16" ht="25.5" thickBot="1" x14ac:dyDescent="0.3">
      <c r="C38" s="11" t="str">
        <f>I55</f>
        <v>CAF</v>
      </c>
      <c r="D38" s="13"/>
      <c r="E38" s="42">
        <f>K55</f>
        <v>1.8809289158818659E-2</v>
      </c>
      <c r="F38" s="13"/>
      <c r="G38" s="307">
        <f>G35*E38</f>
        <v>44330.661934553958</v>
      </c>
      <c r="H38" s="3"/>
      <c r="I38" s="11" t="str">
        <f t="shared" si="7"/>
        <v xml:space="preserve">    Licensed Practical Nurse (LPN)</v>
      </c>
      <c r="J38" s="323"/>
      <c r="K38" s="49">
        <v>1.4</v>
      </c>
      <c r="L38" s="320" t="s">
        <v>44</v>
      </c>
    </row>
    <row r="39" spans="3:16" ht="16.5" thickTop="1" thickBot="1" x14ac:dyDescent="0.3">
      <c r="C39" s="51" t="s">
        <v>45</v>
      </c>
      <c r="D39" s="52"/>
      <c r="E39" s="52"/>
      <c r="F39" s="55"/>
      <c r="G39" s="308">
        <f>G38+G37</f>
        <v>2684001.9938743934</v>
      </c>
      <c r="H39" s="3"/>
      <c r="I39" s="11" t="str">
        <f t="shared" si="7"/>
        <v xml:space="preserve">    Nurse Relief</v>
      </c>
      <c r="J39" s="323"/>
      <c r="K39" s="49">
        <f>K10*(K37+K38)</f>
        <v>0.61384615384615382</v>
      </c>
      <c r="L39" s="320"/>
      <c r="N39" s="56"/>
      <c r="O39" s="57"/>
      <c r="P39" s="58"/>
    </row>
    <row r="40" spans="3:16" ht="25.5" thickBot="1" x14ac:dyDescent="0.3">
      <c r="C40" s="59" t="s">
        <v>46</v>
      </c>
      <c r="D40" s="60"/>
      <c r="E40" s="61"/>
      <c r="F40" s="62"/>
      <c r="G40" s="309">
        <f>G39/G5</f>
        <v>612.78584335031815</v>
      </c>
      <c r="H40" s="3"/>
      <c r="I40" s="11" t="str">
        <f t="shared" si="7"/>
        <v xml:space="preserve">    Utilization Reviewer / MA Lvl Clinician</v>
      </c>
      <c r="J40" s="323"/>
      <c r="K40" s="49">
        <v>0.5</v>
      </c>
      <c r="L40" s="320" t="s">
        <v>47</v>
      </c>
      <c r="N40" s="56"/>
      <c r="O40" s="57"/>
      <c r="P40" s="58"/>
    </row>
    <row r="41" spans="3:16" ht="15.75" thickBot="1" x14ac:dyDescent="0.3">
      <c r="C41" s="59" t="s">
        <v>48</v>
      </c>
      <c r="D41" s="60"/>
      <c r="E41" s="64">
        <v>0.95</v>
      </c>
      <c r="F41" s="62"/>
      <c r="G41" s="63">
        <f>G40/E41</f>
        <v>645.03772984244017</v>
      </c>
      <c r="H41" s="3"/>
      <c r="I41" s="4" t="str">
        <f t="shared" si="7"/>
        <v>Direct Care</v>
      </c>
      <c r="J41" s="323"/>
      <c r="K41" s="49"/>
      <c r="L41" s="320"/>
      <c r="N41" s="56"/>
      <c r="O41" s="57"/>
      <c r="P41" s="58"/>
    </row>
    <row r="42" spans="3:16" ht="15.75" thickBot="1" x14ac:dyDescent="0.3">
      <c r="C42" s="59" t="s">
        <v>49</v>
      </c>
      <c r="D42" s="60"/>
      <c r="E42" s="64">
        <v>0.9</v>
      </c>
      <c r="F42" s="62"/>
      <c r="G42" s="65">
        <f>G40/E42</f>
        <v>680.87315927813131</v>
      </c>
      <c r="H42" s="3"/>
      <c r="I42" s="11" t="str">
        <f t="shared" si="7"/>
        <v xml:space="preserve">    Recovery Specialist Supervisor</v>
      </c>
      <c r="J42" s="323"/>
      <c r="K42" s="49">
        <v>1.8</v>
      </c>
      <c r="L42" s="320"/>
      <c r="N42" s="56"/>
      <c r="O42" s="57"/>
      <c r="P42" s="58"/>
    </row>
    <row r="43" spans="3:16" ht="24.75" x14ac:dyDescent="0.25">
      <c r="C43" s="66"/>
      <c r="D43" s="67"/>
      <c r="E43" s="310"/>
      <c r="F43" s="311"/>
      <c r="G43" s="311"/>
      <c r="H43" s="3"/>
      <c r="I43" s="11" t="str">
        <f t="shared" si="7"/>
        <v xml:space="preserve">    Caseworker</v>
      </c>
      <c r="J43" s="323"/>
      <c r="K43" s="49">
        <v>1</v>
      </c>
      <c r="L43" s="320" t="s">
        <v>50</v>
      </c>
    </row>
    <row r="44" spans="3:16" x14ac:dyDescent="0.25">
      <c r="C44" s="66"/>
      <c r="D44" s="67"/>
      <c r="E44" s="310"/>
      <c r="F44" s="311"/>
      <c r="G44" s="311"/>
      <c r="H44" s="3"/>
      <c r="I44" s="11" t="str">
        <f t="shared" si="7"/>
        <v xml:space="preserve">    Recovery Specialist</v>
      </c>
      <c r="J44" s="323"/>
      <c r="K44" s="49">
        <f>I71</f>
        <v>15.4</v>
      </c>
      <c r="L44" s="320"/>
    </row>
    <row r="45" spans="3:16" ht="15.75" thickBot="1" x14ac:dyDescent="0.3">
      <c r="C45" s="66"/>
      <c r="D45" s="67"/>
      <c r="E45" s="310"/>
      <c r="F45" s="311"/>
      <c r="G45" s="311"/>
      <c r="H45" s="3"/>
      <c r="I45" s="11" t="str">
        <f t="shared" si="7"/>
        <v xml:space="preserve">    Educational Coordinator</v>
      </c>
      <c r="J45" s="323"/>
      <c r="K45" s="49">
        <v>0.5</v>
      </c>
      <c r="L45" s="320"/>
    </row>
    <row r="46" spans="3:16" x14ac:dyDescent="0.25">
      <c r="C46" s="66"/>
      <c r="D46" s="67"/>
      <c r="E46" s="68"/>
      <c r="F46" s="312" t="s">
        <v>51</v>
      </c>
      <c r="G46" s="313">
        <v>590.04</v>
      </c>
      <c r="H46" s="3"/>
      <c r="I46" s="11" t="str">
        <f t="shared" si="7"/>
        <v xml:space="preserve">    Support Staff</v>
      </c>
      <c r="J46" s="323"/>
      <c r="K46" s="49">
        <v>1.5</v>
      </c>
      <c r="L46" s="320"/>
    </row>
    <row r="47" spans="3:16" ht="15.75" thickBot="1" x14ac:dyDescent="0.3">
      <c r="C47" s="66"/>
      <c r="D47" s="67"/>
      <c r="E47" s="68"/>
      <c r="F47" s="314" t="s">
        <v>52</v>
      </c>
      <c r="G47" s="315">
        <f>G42</f>
        <v>680.87315927813131</v>
      </c>
      <c r="H47" s="3"/>
      <c r="I47" s="11" t="str">
        <f t="shared" si="7"/>
        <v xml:space="preserve">    DC Relief staff</v>
      </c>
      <c r="J47" s="69"/>
      <c r="K47" s="70">
        <f>K10*K44</f>
        <v>2.2507692307692309</v>
      </c>
      <c r="L47" s="320"/>
    </row>
    <row r="48" spans="3:16" ht="15.75" thickBot="1" x14ac:dyDescent="0.3">
      <c r="C48" s="3"/>
      <c r="D48" s="3"/>
      <c r="E48" s="3"/>
      <c r="F48" s="314" t="s">
        <v>53</v>
      </c>
      <c r="G48" s="316">
        <f>G47-G46</f>
        <v>90.833159278131347</v>
      </c>
      <c r="H48" s="3"/>
      <c r="I48" s="742" t="s">
        <v>54</v>
      </c>
      <c r="J48" s="743"/>
      <c r="K48" s="744"/>
      <c r="L48" s="320"/>
    </row>
    <row r="49" spans="1:12" ht="15.75" thickBot="1" x14ac:dyDescent="0.3">
      <c r="C49" s="3"/>
      <c r="D49" s="3"/>
      <c r="E49" s="3"/>
      <c r="F49" s="317" t="s">
        <v>55</v>
      </c>
      <c r="G49" s="318">
        <f>G48/G46</f>
        <v>0.15394407036494365</v>
      </c>
      <c r="H49" s="3"/>
      <c r="I49" s="11" t="s">
        <v>30</v>
      </c>
      <c r="J49" s="13"/>
      <c r="K49" s="71">
        <f>'M2021 BLS  SALARY CHART'!C38</f>
        <v>0.2422</v>
      </c>
      <c r="L49" s="320" t="s">
        <v>56</v>
      </c>
    </row>
    <row r="50" spans="1:12" x14ac:dyDescent="0.25">
      <c r="C50" s="3"/>
      <c r="D50" s="3"/>
      <c r="E50" s="3"/>
      <c r="H50" s="3"/>
      <c r="I50" s="11"/>
      <c r="J50" s="13"/>
      <c r="K50" s="72"/>
      <c r="L50" s="320"/>
    </row>
    <row r="51" spans="1:12" x14ac:dyDescent="0.25">
      <c r="C51" s="3"/>
      <c r="D51" s="3"/>
      <c r="E51" s="3"/>
      <c r="F51" s="3"/>
      <c r="G51" s="3"/>
      <c r="H51" s="3"/>
      <c r="I51" s="325" t="s">
        <v>57</v>
      </c>
      <c r="J51" s="326"/>
      <c r="K51" s="327">
        <v>30.57</v>
      </c>
      <c r="L51" s="320"/>
    </row>
    <row r="52" spans="1:12" ht="29.1" customHeight="1" x14ac:dyDescent="0.25">
      <c r="C52" s="3"/>
      <c r="D52" s="3"/>
      <c r="E52" s="3"/>
      <c r="F52" s="3"/>
      <c r="G52" s="3"/>
      <c r="H52" s="3"/>
      <c r="I52" s="328" t="s">
        <v>58</v>
      </c>
      <c r="J52" s="326"/>
      <c r="K52" s="329">
        <f>'Food February 2022'!K19</f>
        <v>9.1511904761904752</v>
      </c>
      <c r="L52" s="320" t="s">
        <v>401</v>
      </c>
    </row>
    <row r="53" spans="1:12" ht="36.75" x14ac:dyDescent="0.25">
      <c r="C53" s="3"/>
      <c r="D53" s="3"/>
      <c r="E53" s="3"/>
      <c r="F53" s="3"/>
      <c r="G53" s="3"/>
      <c r="H53" s="3"/>
      <c r="I53" s="328" t="s">
        <v>59</v>
      </c>
      <c r="J53" s="326"/>
      <c r="K53" s="327">
        <f>SUM([19]Sheet3!T5,[19]Sheet3!T6,[19]Sheet3!T8,[19]Sheet3!T9,[19]Sheet3!T16,[19]Sheet3!T18)</f>
        <v>3.7643835616438355</v>
      </c>
      <c r="L53" s="320" t="s">
        <v>60</v>
      </c>
    </row>
    <row r="54" spans="1:12" x14ac:dyDescent="0.25">
      <c r="C54" s="3"/>
      <c r="D54" s="3"/>
      <c r="E54" s="3"/>
      <c r="F54" s="3"/>
      <c r="G54" s="3"/>
      <c r="H54" s="3"/>
      <c r="I54" s="11" t="s">
        <v>40</v>
      </c>
      <c r="K54" s="73">
        <f>'M2021 BLS  SALARY CHART'!C41</f>
        <v>0.12</v>
      </c>
      <c r="L54" s="320" t="s">
        <v>61</v>
      </c>
    </row>
    <row r="55" spans="1:12" ht="15.75" thickBot="1" x14ac:dyDescent="0.3">
      <c r="C55" s="3"/>
      <c r="D55" s="3"/>
      <c r="E55" s="3"/>
      <c r="F55" s="3"/>
      <c r="G55" s="3"/>
      <c r="H55" s="3"/>
      <c r="I55" s="25" t="s">
        <v>62</v>
      </c>
      <c r="J55" s="74"/>
      <c r="K55" s="75">
        <f>'Spring 2022 CAF'!CI23</f>
        <v>1.8809289158818659E-2</v>
      </c>
      <c r="L55" s="324" t="s">
        <v>63</v>
      </c>
    </row>
    <row r="56" spans="1:12" x14ac:dyDescent="0.25">
      <c r="C56" s="3"/>
      <c r="D56" s="3"/>
      <c r="E56" s="76"/>
      <c r="F56" s="76"/>
      <c r="G56" s="76"/>
      <c r="H56" s="3"/>
    </row>
    <row r="57" spans="1:12" x14ac:dyDescent="0.25">
      <c r="C57" s="3"/>
      <c r="D57" s="3"/>
      <c r="H57" s="3"/>
    </row>
    <row r="58" spans="1:12" x14ac:dyDescent="0.25">
      <c r="A58" s="77"/>
      <c r="C58" s="3"/>
      <c r="D58" s="3"/>
      <c r="H58" s="3"/>
    </row>
    <row r="59" spans="1:12" x14ac:dyDescent="0.25">
      <c r="A59" s="78"/>
      <c r="B59" t="s">
        <v>64</v>
      </c>
      <c r="C59" s="30"/>
      <c r="D59" s="30"/>
      <c r="E59" s="30"/>
      <c r="F59" s="30"/>
      <c r="G59" s="30"/>
    </row>
    <row r="60" spans="1:12" x14ac:dyDescent="0.25">
      <c r="A60" s="78"/>
      <c r="B60" s="79" t="s">
        <v>65</v>
      </c>
      <c r="C60" s="80" t="s">
        <v>66</v>
      </c>
      <c r="D60" s="80" t="s">
        <v>67</v>
      </c>
      <c r="E60" s="80" t="s">
        <v>68</v>
      </c>
      <c r="F60" s="80" t="s">
        <v>69</v>
      </c>
      <c r="G60" s="80" t="s">
        <v>70</v>
      </c>
      <c r="H60" s="80" t="s">
        <v>65</v>
      </c>
    </row>
    <row r="61" spans="1:12" x14ac:dyDescent="0.25">
      <c r="A61" s="78" t="s">
        <v>71</v>
      </c>
      <c r="B61" s="81">
        <v>1</v>
      </c>
      <c r="C61" s="81">
        <v>0</v>
      </c>
      <c r="D61" s="81">
        <v>0</v>
      </c>
      <c r="E61" s="81">
        <v>0</v>
      </c>
      <c r="F61" s="81">
        <v>0</v>
      </c>
      <c r="G61" s="81">
        <v>0</v>
      </c>
      <c r="H61" s="81">
        <v>1</v>
      </c>
    </row>
    <row r="62" spans="1:12" x14ac:dyDescent="0.25">
      <c r="A62" s="78" t="s">
        <v>72</v>
      </c>
      <c r="B62" s="81">
        <v>1</v>
      </c>
      <c r="C62" s="81">
        <v>1</v>
      </c>
      <c r="D62" s="81">
        <v>1</v>
      </c>
      <c r="E62" s="81">
        <v>1</v>
      </c>
      <c r="F62" s="81">
        <v>1</v>
      </c>
      <c r="G62" s="81">
        <v>1</v>
      </c>
      <c r="H62" s="81">
        <v>1</v>
      </c>
      <c r="I62" s="81">
        <f>SUM(B64:H64)</f>
        <v>9</v>
      </c>
    </row>
    <row r="63" spans="1:12" ht="15.75" thickBot="1" x14ac:dyDescent="0.3">
      <c r="A63" s="78" t="s">
        <v>73</v>
      </c>
      <c r="B63" s="82">
        <v>0</v>
      </c>
      <c r="C63" s="82">
        <v>0</v>
      </c>
      <c r="D63" s="82">
        <v>0</v>
      </c>
      <c r="E63" s="82">
        <v>0</v>
      </c>
      <c r="F63" s="82">
        <v>0</v>
      </c>
      <c r="G63" s="82">
        <v>0</v>
      </c>
      <c r="H63" s="82">
        <v>0</v>
      </c>
      <c r="I63" s="83">
        <f>I62*8</f>
        <v>72</v>
      </c>
      <c r="K63" s="54"/>
    </row>
    <row r="64" spans="1:12" ht="15.75" thickTop="1" x14ac:dyDescent="0.25">
      <c r="A64" s="78"/>
      <c r="B64" s="81">
        <f>SUM(B61:B63)</f>
        <v>2</v>
      </c>
      <c r="C64" s="81">
        <f t="shared" ref="C64:H64" si="8">SUM(C61:C63)</f>
        <v>1</v>
      </c>
      <c r="D64" s="81">
        <f t="shared" si="8"/>
        <v>1</v>
      </c>
      <c r="E64" s="81">
        <f t="shared" si="8"/>
        <v>1</v>
      </c>
      <c r="F64" s="81">
        <f t="shared" si="8"/>
        <v>1</v>
      </c>
      <c r="G64" s="81">
        <f t="shared" si="8"/>
        <v>1</v>
      </c>
      <c r="H64" s="81">
        <f t="shared" si="8"/>
        <v>2</v>
      </c>
      <c r="I64" s="84">
        <f>I63/40</f>
        <v>1.8</v>
      </c>
    </row>
    <row r="65" spans="1:10" x14ac:dyDescent="0.25">
      <c r="A65" s="85"/>
      <c r="B65" s="30"/>
      <c r="C65" s="30"/>
      <c r="D65" s="30"/>
      <c r="E65" s="30"/>
      <c r="F65" s="30"/>
      <c r="G65" s="30"/>
    </row>
    <row r="66" spans="1:10" x14ac:dyDescent="0.25">
      <c r="A66" s="77"/>
      <c r="B66" t="s">
        <v>74</v>
      </c>
      <c r="C66" s="30"/>
      <c r="D66" s="30"/>
      <c r="E66" s="30"/>
      <c r="F66" s="30"/>
      <c r="G66" s="30"/>
    </row>
    <row r="67" spans="1:10" x14ac:dyDescent="0.25">
      <c r="A67" s="78"/>
      <c r="B67" s="79" t="s">
        <v>65</v>
      </c>
      <c r="C67" s="80" t="s">
        <v>66</v>
      </c>
      <c r="D67" s="80" t="s">
        <v>67</v>
      </c>
      <c r="E67" s="80" t="s">
        <v>68</v>
      </c>
      <c r="F67" s="80" t="s">
        <v>69</v>
      </c>
      <c r="G67" s="80" t="s">
        <v>70</v>
      </c>
      <c r="H67" s="80" t="s">
        <v>65</v>
      </c>
    </row>
    <row r="68" spans="1:10" x14ac:dyDescent="0.25">
      <c r="A68" s="78" t="s">
        <v>71</v>
      </c>
      <c r="B68" s="81">
        <v>4</v>
      </c>
      <c r="C68" s="81">
        <v>4</v>
      </c>
      <c r="D68" s="81">
        <v>4</v>
      </c>
      <c r="E68" s="81">
        <v>4</v>
      </c>
      <c r="F68" s="81">
        <v>4</v>
      </c>
      <c r="G68" s="81">
        <v>4</v>
      </c>
      <c r="H68" s="81">
        <v>4</v>
      </c>
    </row>
    <row r="69" spans="1:10" x14ac:dyDescent="0.25">
      <c r="A69" s="78" t="s">
        <v>72</v>
      </c>
      <c r="B69" s="81">
        <v>4</v>
      </c>
      <c r="C69" s="81">
        <v>4</v>
      </c>
      <c r="D69" s="81">
        <v>4</v>
      </c>
      <c r="E69" s="81">
        <v>4</v>
      </c>
      <c r="F69" s="81">
        <v>4</v>
      </c>
      <c r="G69" s="81">
        <v>4</v>
      </c>
      <c r="H69" s="81">
        <v>4</v>
      </c>
      <c r="I69" s="83">
        <f>SUM(B71:H71)</f>
        <v>77</v>
      </c>
    </row>
    <row r="70" spans="1:10" ht="15.75" thickBot="1" x14ac:dyDescent="0.3">
      <c r="A70" s="78" t="s">
        <v>73</v>
      </c>
      <c r="B70" s="82">
        <v>3</v>
      </c>
      <c r="C70" s="82">
        <v>3</v>
      </c>
      <c r="D70" s="82">
        <v>3</v>
      </c>
      <c r="E70" s="82">
        <v>3</v>
      </c>
      <c r="F70" s="82">
        <v>3</v>
      </c>
      <c r="G70" s="82">
        <v>3</v>
      </c>
      <c r="H70" s="82">
        <v>3</v>
      </c>
      <c r="I70" s="83">
        <f>I69*8</f>
        <v>616</v>
      </c>
    </row>
    <row r="71" spans="1:10" ht="15.75" thickTop="1" x14ac:dyDescent="0.25">
      <c r="A71" s="78"/>
      <c r="B71" s="81">
        <f>SUM(B68:B70)</f>
        <v>11</v>
      </c>
      <c r="C71" s="81">
        <f t="shared" ref="C71:H71" si="9">SUM(C68:C70)</f>
        <v>11</v>
      </c>
      <c r="D71" s="81">
        <f t="shared" si="9"/>
        <v>11</v>
      </c>
      <c r="E71" s="81">
        <f t="shared" si="9"/>
        <v>11</v>
      </c>
      <c r="F71" s="81">
        <f t="shared" si="9"/>
        <v>11</v>
      </c>
      <c r="G71" s="81">
        <f t="shared" si="9"/>
        <v>11</v>
      </c>
      <c r="H71" s="81">
        <f t="shared" si="9"/>
        <v>11</v>
      </c>
      <c r="I71" s="84">
        <f>I70/40</f>
        <v>15.4</v>
      </c>
      <c r="J71" t="s">
        <v>75</v>
      </c>
    </row>
    <row r="72" spans="1:10" x14ac:dyDescent="0.25">
      <c r="A72" s="78"/>
      <c r="B72" s="86"/>
      <c r="C72" s="86"/>
      <c r="D72" s="86"/>
      <c r="E72" s="86"/>
      <c r="F72" s="86"/>
      <c r="G72" s="86"/>
      <c r="H72" s="86"/>
      <c r="J72" t="s">
        <v>76</v>
      </c>
    </row>
    <row r="73" spans="1:10" x14ac:dyDescent="0.25">
      <c r="A73" s="78"/>
      <c r="B73" s="86"/>
      <c r="C73" s="86"/>
      <c r="D73" s="86"/>
      <c r="E73" s="86"/>
      <c r="F73" s="86"/>
      <c r="G73" s="86"/>
      <c r="H73" s="86"/>
      <c r="J73" t="s">
        <v>77</v>
      </c>
    </row>
    <row r="74" spans="1:10" x14ac:dyDescent="0.25">
      <c r="A74" s="78"/>
      <c r="B74" s="86" t="s">
        <v>78</v>
      </c>
      <c r="C74" s="86"/>
      <c r="D74" s="86"/>
      <c r="E74" s="86"/>
      <c r="F74" s="86"/>
      <c r="G74" s="86"/>
      <c r="H74" s="86"/>
    </row>
    <row r="75" spans="1:10" x14ac:dyDescent="0.25">
      <c r="A75" s="78"/>
      <c r="B75" s="79" t="s">
        <v>65</v>
      </c>
      <c r="C75" s="80" t="s">
        <v>66</v>
      </c>
      <c r="D75" s="80" t="s">
        <v>67</v>
      </c>
      <c r="E75" s="80" t="s">
        <v>68</v>
      </c>
      <c r="F75" s="80" t="s">
        <v>69</v>
      </c>
      <c r="G75" s="80" t="s">
        <v>70</v>
      </c>
      <c r="H75" s="80" t="s">
        <v>65</v>
      </c>
    </row>
    <row r="76" spans="1:10" x14ac:dyDescent="0.25">
      <c r="A76" s="78" t="s">
        <v>71</v>
      </c>
      <c r="B76" s="81">
        <v>1</v>
      </c>
      <c r="C76" s="81">
        <v>1</v>
      </c>
      <c r="D76" s="81">
        <v>1</v>
      </c>
      <c r="E76" s="81">
        <v>1</v>
      </c>
      <c r="F76" s="81">
        <v>1</v>
      </c>
      <c r="G76" s="81">
        <v>1</v>
      </c>
      <c r="H76" s="81">
        <v>1</v>
      </c>
    </row>
    <row r="77" spans="1:10" x14ac:dyDescent="0.25">
      <c r="A77" s="78" t="s">
        <v>72</v>
      </c>
      <c r="B77" s="81">
        <v>1</v>
      </c>
      <c r="C77" s="81">
        <v>1</v>
      </c>
      <c r="D77" s="81">
        <v>1</v>
      </c>
      <c r="E77" s="81">
        <v>1</v>
      </c>
      <c r="F77" s="81">
        <v>1</v>
      </c>
      <c r="G77" s="81">
        <v>1</v>
      </c>
      <c r="H77" s="81">
        <v>1</v>
      </c>
    </row>
    <row r="78" spans="1:10" ht="15.75" thickBot="1" x14ac:dyDescent="0.3">
      <c r="A78" s="78" t="s">
        <v>73</v>
      </c>
      <c r="B78" s="82">
        <v>1</v>
      </c>
      <c r="C78" s="82">
        <v>1</v>
      </c>
      <c r="D78" s="82">
        <v>1</v>
      </c>
      <c r="E78" s="82">
        <v>1</v>
      </c>
      <c r="F78" s="82">
        <v>1</v>
      </c>
      <c r="G78" s="82">
        <v>1</v>
      </c>
      <c r="H78" s="82">
        <v>1</v>
      </c>
      <c r="I78" s="81">
        <f>SUM(B79:H79)</f>
        <v>21</v>
      </c>
    </row>
    <row r="79" spans="1:10" ht="15.75" thickTop="1" x14ac:dyDescent="0.25">
      <c r="A79" s="78"/>
      <c r="B79" s="81">
        <f>SUM(B76:B78)</f>
        <v>3</v>
      </c>
      <c r="C79" s="81">
        <f t="shared" ref="C79:H79" si="10">SUM(C76:C78)</f>
        <v>3</v>
      </c>
      <c r="D79" s="81">
        <f t="shared" si="10"/>
        <v>3</v>
      </c>
      <c r="E79" s="81">
        <f t="shared" si="10"/>
        <v>3</v>
      </c>
      <c r="F79" s="81">
        <f t="shared" si="10"/>
        <v>3</v>
      </c>
      <c r="G79" s="81">
        <f t="shared" si="10"/>
        <v>3</v>
      </c>
      <c r="H79" s="81">
        <f t="shared" si="10"/>
        <v>3</v>
      </c>
      <c r="I79" s="83">
        <f>I78*8</f>
        <v>168</v>
      </c>
    </row>
    <row r="80" spans="1:10" x14ac:dyDescent="0.25">
      <c r="A80" s="85"/>
      <c r="B80" s="30"/>
      <c r="C80" s="30"/>
      <c r="D80" s="30"/>
      <c r="E80" s="30"/>
      <c r="F80" s="30"/>
      <c r="G80" s="30"/>
      <c r="I80" s="84">
        <f>I79/40</f>
        <v>4.2</v>
      </c>
    </row>
    <row r="81" spans="1:7" x14ac:dyDescent="0.25">
      <c r="A81" s="77"/>
      <c r="C81" s="30"/>
      <c r="D81" s="30"/>
      <c r="E81" s="30"/>
      <c r="F81" s="30"/>
      <c r="G81" s="30"/>
    </row>
  </sheetData>
  <mergeCells count="5">
    <mergeCell ref="C3:G4"/>
    <mergeCell ref="I3:K3"/>
    <mergeCell ref="I12:K12"/>
    <mergeCell ref="I30:K30"/>
    <mergeCell ref="I48:K48"/>
  </mergeCells>
  <pageMargins left="0.2" right="0.2" top="0.2" bottom="0.2" header="0" footer="0"/>
  <pageSetup scale="8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29F52-F538-4622-BA38-B7F1422C9FD0}">
  <sheetPr>
    <pageSetUpPr fitToPage="1"/>
  </sheetPr>
  <dimension ref="A2:R80"/>
  <sheetViews>
    <sheetView showGridLines="0" zoomScaleNormal="100" workbookViewId="0">
      <selection activeCell="E44" sqref="E44"/>
    </sheetView>
  </sheetViews>
  <sheetFormatPr defaultRowHeight="15" x14ac:dyDescent="0.25"/>
  <cols>
    <col min="2" max="2" width="11.42578125" customWidth="1"/>
    <col min="3" max="3" width="49.5703125" customWidth="1"/>
    <col min="4" max="4" width="11.28515625" customWidth="1"/>
    <col min="5" max="5" width="12" bestFit="1" customWidth="1"/>
    <col min="6" max="6" width="4.85546875" customWidth="1"/>
    <col min="7" max="7" width="28.5703125" customWidth="1"/>
    <col min="8" max="8" width="8" customWidth="1"/>
    <col min="9" max="9" width="13" customWidth="1"/>
    <col min="10" max="10" width="26.7109375" customWidth="1"/>
    <col min="11" max="11" width="31.5703125" style="2" customWidth="1"/>
    <col min="12" max="12" width="14.140625" style="83" customWidth="1"/>
    <col min="13" max="14" width="14.85546875" style="331" customWidth="1"/>
    <col min="15" max="15" width="4.140625" customWidth="1"/>
    <col min="16" max="17" width="9.85546875" customWidth="1"/>
    <col min="18" max="18" width="8.7109375" customWidth="1"/>
  </cols>
  <sheetData>
    <row r="2" spans="3:18" ht="15.75" thickBot="1" x14ac:dyDescent="0.3">
      <c r="C2" s="1"/>
    </row>
    <row r="3" spans="3:18" ht="15.75" thickBot="1" x14ac:dyDescent="0.3">
      <c r="C3" s="733" t="s">
        <v>0</v>
      </c>
      <c r="D3" s="734"/>
      <c r="E3" s="735"/>
      <c r="F3" s="3"/>
      <c r="G3" s="739" t="s">
        <v>1</v>
      </c>
      <c r="H3" s="740"/>
      <c r="I3" s="741"/>
      <c r="J3" s="5"/>
    </row>
    <row r="4" spans="3:18" ht="15.75" thickBot="1" x14ac:dyDescent="0.3">
      <c r="C4" s="736"/>
      <c r="D4" s="737"/>
      <c r="E4" s="738"/>
      <c r="F4" s="3"/>
      <c r="G4" s="4"/>
      <c r="H4" s="5" t="s">
        <v>2</v>
      </c>
      <c r="I4" s="6" t="s">
        <v>3</v>
      </c>
      <c r="J4" s="564"/>
    </row>
    <row r="5" spans="3:18" x14ac:dyDescent="0.25">
      <c r="C5" s="7" t="s">
        <v>402</v>
      </c>
      <c r="D5" s="9" t="s">
        <v>5</v>
      </c>
      <c r="E5" s="10">
        <f>12*365</f>
        <v>4380</v>
      </c>
      <c r="F5" s="3"/>
      <c r="G5" s="11" t="s">
        <v>6</v>
      </c>
      <c r="H5" s="321">
        <v>15</v>
      </c>
      <c r="I5" s="12">
        <f>H5*8</f>
        <v>120</v>
      </c>
      <c r="J5" s="321"/>
    </row>
    <row r="6" spans="3:18" x14ac:dyDescent="0.25">
      <c r="C6" s="11"/>
      <c r="D6" s="13"/>
      <c r="E6" s="14"/>
      <c r="F6" s="3"/>
      <c r="G6" s="11" t="s">
        <v>7</v>
      </c>
      <c r="H6" s="321">
        <v>8</v>
      </c>
      <c r="I6" s="12">
        <f>H6*8</f>
        <v>64</v>
      </c>
      <c r="J6" s="321"/>
    </row>
    <row r="7" spans="3:18" x14ac:dyDescent="0.25">
      <c r="C7" s="4"/>
      <c r="D7" s="384" t="s">
        <v>9</v>
      </c>
      <c r="E7" s="385" t="s">
        <v>10</v>
      </c>
      <c r="F7" s="3"/>
      <c r="G7" s="11" t="s">
        <v>11</v>
      </c>
      <c r="H7" s="321">
        <v>11</v>
      </c>
      <c r="I7" s="12">
        <f>H7*8</f>
        <v>88</v>
      </c>
      <c r="J7" s="321"/>
    </row>
    <row r="8" spans="3:18" x14ac:dyDescent="0.25">
      <c r="C8" s="4"/>
      <c r="D8" s="5"/>
      <c r="E8" s="18"/>
      <c r="F8" s="3"/>
      <c r="G8" s="19" t="s">
        <v>12</v>
      </c>
      <c r="H8" s="20">
        <v>5</v>
      </c>
      <c r="I8" s="21">
        <f>H8*8</f>
        <v>40</v>
      </c>
      <c r="J8" s="321"/>
    </row>
    <row r="9" spans="3:18" x14ac:dyDescent="0.25">
      <c r="C9" s="4" t="s">
        <v>16</v>
      </c>
      <c r="D9" s="23">
        <v>1</v>
      </c>
      <c r="E9" s="534">
        <f>M14</f>
        <v>80829.631999999998</v>
      </c>
      <c r="F9" s="3"/>
      <c r="G9" s="11"/>
      <c r="H9" s="322" t="s">
        <v>13</v>
      </c>
      <c r="I9" s="12">
        <f>SUM(I5:I8)</f>
        <v>312</v>
      </c>
      <c r="J9" s="321"/>
    </row>
    <row r="10" spans="3:18" ht="15.75" thickBot="1" x14ac:dyDescent="0.3">
      <c r="C10" s="4" t="s">
        <v>435</v>
      </c>
      <c r="D10" s="23">
        <f>SUM('1. Youth Stabilization 12 B Ol '!F10:F17)</f>
        <v>9.3138461538461534</v>
      </c>
      <c r="E10" s="534">
        <f>SUM(N16:N22)</f>
        <v>868868.39242666669</v>
      </c>
      <c r="F10" s="3"/>
      <c r="G10" s="25"/>
      <c r="H10" s="26" t="s">
        <v>14</v>
      </c>
      <c r="I10" s="27">
        <f>I9/(52*40)</f>
        <v>0.15</v>
      </c>
      <c r="J10" s="565"/>
    </row>
    <row r="11" spans="3:18" ht="15.75" thickBot="1" x14ac:dyDescent="0.3">
      <c r="C11" s="4" t="s">
        <v>434</v>
      </c>
      <c r="D11" s="23">
        <f>SUM('1. Youth Stabilization 12 B Ol '!F19:F24)</f>
        <v>22.450769230769229</v>
      </c>
      <c r="E11" s="534">
        <f>SUM(N25:N30)</f>
        <v>1045282.6696</v>
      </c>
      <c r="F11" s="3"/>
      <c r="G11" s="28"/>
      <c r="H11" s="3"/>
      <c r="I11" s="29"/>
      <c r="J11" s="3"/>
    </row>
    <row r="12" spans="3:18" ht="15.75" thickBot="1" x14ac:dyDescent="0.3">
      <c r="C12" s="33" t="s">
        <v>28</v>
      </c>
      <c r="D12" s="35">
        <f>SUM(D9:D11)</f>
        <v>32.764615384615382</v>
      </c>
      <c r="E12" s="36">
        <f>SUM(E9:E11)</f>
        <v>1994980.6940266667</v>
      </c>
      <c r="F12" s="3"/>
      <c r="G12" s="739" t="s">
        <v>403</v>
      </c>
      <c r="H12" s="743"/>
      <c r="I12" s="744"/>
      <c r="J12" s="575"/>
      <c r="L12" s="757" t="s">
        <v>494</v>
      </c>
      <c r="M12" s="758"/>
      <c r="N12" s="759"/>
      <c r="P12" s="757" t="s">
        <v>496</v>
      </c>
      <c r="Q12" s="758"/>
      <c r="R12" s="759"/>
    </row>
    <row r="13" spans="3:18" ht="15.75" thickBot="1" x14ac:dyDescent="0.3">
      <c r="C13" s="11" t="s">
        <v>30</v>
      </c>
      <c r="D13" s="380">
        <f>I31</f>
        <v>0.24970000000000001</v>
      </c>
      <c r="E13" s="39">
        <f>D13*E12</f>
        <v>498146.67929845868</v>
      </c>
      <c r="F13" s="3"/>
      <c r="G13" s="748" t="s">
        <v>16</v>
      </c>
      <c r="H13" s="749"/>
      <c r="I13" s="750"/>
      <c r="J13" s="5"/>
      <c r="L13" s="529" t="s">
        <v>9</v>
      </c>
      <c r="M13" s="542" t="s">
        <v>490</v>
      </c>
      <c r="N13" s="548" t="s">
        <v>492</v>
      </c>
      <c r="P13" s="531" t="s">
        <v>491</v>
      </c>
      <c r="Q13" s="531" t="s">
        <v>493</v>
      </c>
      <c r="R13" s="559" t="s">
        <v>365</v>
      </c>
    </row>
    <row r="14" spans="3:18" ht="15.75" thickBot="1" x14ac:dyDescent="0.3">
      <c r="C14" s="33" t="s">
        <v>32</v>
      </c>
      <c r="D14" s="40"/>
      <c r="E14" s="36">
        <f>E12+E13</f>
        <v>2493127.3733251253</v>
      </c>
      <c r="F14" s="3"/>
      <c r="G14" s="4" t="s">
        <v>17</v>
      </c>
      <c r="H14" s="13"/>
      <c r="I14" s="24"/>
      <c r="J14" s="22"/>
      <c r="K14" s="576" t="s">
        <v>17</v>
      </c>
      <c r="L14" s="533">
        <v>1</v>
      </c>
      <c r="M14" s="543">
        <f>'M2023 BLS SALARY CHART (53rd)'!C22</f>
        <v>80829.631999999998</v>
      </c>
      <c r="N14" s="547">
        <f>M14*L14</f>
        <v>80829.631999999998</v>
      </c>
      <c r="P14" s="535">
        <v>72000</v>
      </c>
      <c r="Q14" s="535">
        <f>M14</f>
        <v>80829.631999999998</v>
      </c>
      <c r="R14" s="549">
        <f>(Q14-P14)/P14</f>
        <v>0.12263377777777774</v>
      </c>
    </row>
    <row r="15" spans="3:18" ht="15.75" thickBot="1" x14ac:dyDescent="0.3">
      <c r="C15" s="4" t="s">
        <v>34</v>
      </c>
      <c r="D15" s="15" t="s">
        <v>35</v>
      </c>
      <c r="E15" s="41"/>
      <c r="F15" s="3"/>
      <c r="G15" s="751" t="s">
        <v>404</v>
      </c>
      <c r="H15" s="752"/>
      <c r="I15" s="753"/>
      <c r="J15" s="5"/>
      <c r="L15" s="532"/>
      <c r="M15" s="544"/>
      <c r="N15" s="547"/>
      <c r="P15" s="536"/>
      <c r="Q15" s="536"/>
      <c r="R15" s="549"/>
    </row>
    <row r="16" spans="3:18" x14ac:dyDescent="0.25">
      <c r="C16" s="11"/>
      <c r="D16" s="43"/>
      <c r="E16" s="44"/>
      <c r="F16" s="3"/>
      <c r="G16" s="11" t="s">
        <v>18</v>
      </c>
      <c r="H16" s="13"/>
      <c r="I16" s="24"/>
      <c r="J16" s="22"/>
      <c r="K16" s="572" t="s">
        <v>18</v>
      </c>
      <c r="L16" s="568">
        <v>1</v>
      </c>
      <c r="M16" s="544">
        <f>'M2023 BLS SALARY CHART (53rd)'!C28</f>
        <v>101806.432</v>
      </c>
      <c r="N16" s="547">
        <f t="shared" ref="N16:N22" si="0">M16*L16</f>
        <v>101806.432</v>
      </c>
      <c r="P16" s="536">
        <v>87651.199999999997</v>
      </c>
      <c r="Q16" s="536">
        <f t="shared" ref="Q16:Q22" si="1">M16</f>
        <v>101806.432</v>
      </c>
      <c r="R16" s="549">
        <f t="shared" ref="R16:R22" si="2">(Q16-P16)/P16</f>
        <v>0.16149501661129573</v>
      </c>
    </row>
    <row r="17" spans="3:18" x14ac:dyDescent="0.25">
      <c r="C17" s="11" t="str">
        <f>G33</f>
        <v>All Expenses (per bed day)</v>
      </c>
      <c r="D17" s="563">
        <f>I33</f>
        <v>43.485574037834304</v>
      </c>
      <c r="E17" s="44">
        <f>D17*E5</f>
        <v>190466.81428571427</v>
      </c>
      <c r="F17" s="3"/>
      <c r="G17" s="11" t="s">
        <v>20</v>
      </c>
      <c r="H17" s="13"/>
      <c r="I17" s="24"/>
      <c r="J17" s="22"/>
      <c r="K17" s="573" t="s">
        <v>20</v>
      </c>
      <c r="L17" s="568">
        <v>1</v>
      </c>
      <c r="M17" s="544">
        <f>'M2023 BLS SALARY CHART (53rd)'!C34</f>
        <v>140838.46400000001</v>
      </c>
      <c r="N17" s="547">
        <f t="shared" si="0"/>
        <v>140838.46400000001</v>
      </c>
      <c r="O17" s="30"/>
      <c r="P17" s="536">
        <v>128169.60000000001</v>
      </c>
      <c r="Q17" s="536">
        <f t="shared" si="1"/>
        <v>140838.46400000001</v>
      </c>
      <c r="R17" s="549">
        <f t="shared" si="2"/>
        <v>9.884453099642973E-2</v>
      </c>
    </row>
    <row r="18" spans="3:18" x14ac:dyDescent="0.25">
      <c r="C18" s="11"/>
      <c r="D18" s="43"/>
      <c r="E18" s="44"/>
      <c r="F18" s="3"/>
      <c r="G18" s="11" t="s">
        <v>21</v>
      </c>
      <c r="H18" s="13"/>
      <c r="I18" s="24"/>
      <c r="J18" s="22"/>
      <c r="K18" s="573" t="s">
        <v>21</v>
      </c>
      <c r="L18" s="569">
        <v>2</v>
      </c>
      <c r="M18" s="545">
        <f>'M2023 BLS SALARY CHART (53rd)'!C14</f>
        <v>70211.44</v>
      </c>
      <c r="N18" s="547">
        <f t="shared" si="0"/>
        <v>140422.88</v>
      </c>
      <c r="O18" s="30"/>
      <c r="P18" s="537">
        <v>59165.599999999999</v>
      </c>
      <c r="Q18" s="537">
        <f t="shared" si="1"/>
        <v>70211.44</v>
      </c>
      <c r="R18" s="549">
        <f t="shared" si="2"/>
        <v>0.1866936192652488</v>
      </c>
    </row>
    <row r="19" spans="3:18" x14ac:dyDescent="0.25">
      <c r="C19" s="33" t="s">
        <v>39</v>
      </c>
      <c r="D19" s="34"/>
      <c r="E19" s="36">
        <f>SUM(E14:E18)</f>
        <v>2683594.1876108395</v>
      </c>
      <c r="F19" s="3"/>
      <c r="G19" s="11" t="s">
        <v>22</v>
      </c>
      <c r="H19" s="13"/>
      <c r="I19" s="31"/>
      <c r="J19" s="566"/>
      <c r="K19" s="573" t="s">
        <v>22</v>
      </c>
      <c r="L19" s="569">
        <v>2.8</v>
      </c>
      <c r="M19" s="545">
        <f>'M2023 BLS SALARY CHART (53rd)'!C32</f>
        <v>103622.27200000001</v>
      </c>
      <c r="N19" s="547">
        <f t="shared" si="0"/>
        <v>290142.3616</v>
      </c>
      <c r="O19" s="30"/>
      <c r="P19" s="537">
        <v>94952</v>
      </c>
      <c r="Q19" s="537">
        <f t="shared" si="1"/>
        <v>103622.27200000001</v>
      </c>
      <c r="R19" s="549">
        <f t="shared" si="2"/>
        <v>9.1312157721796405E-2</v>
      </c>
    </row>
    <row r="20" spans="3:18" x14ac:dyDescent="0.25">
      <c r="C20" s="11" t="s">
        <v>40</v>
      </c>
      <c r="D20" s="381">
        <f>I34</f>
        <v>0.12</v>
      </c>
      <c r="E20" s="24">
        <f>D20*E19</f>
        <v>322031.30251330073</v>
      </c>
      <c r="F20" s="3"/>
      <c r="G20" s="11" t="s">
        <v>23</v>
      </c>
      <c r="H20" s="13"/>
      <c r="I20" s="31"/>
      <c r="J20" s="566"/>
      <c r="K20" s="573" t="s">
        <v>23</v>
      </c>
      <c r="L20" s="569">
        <v>1.4</v>
      </c>
      <c r="M20" s="545">
        <f>'M2023 BLS SALARY CHART (53rd)'!C16</f>
        <v>73854.144</v>
      </c>
      <c r="N20" s="547">
        <f t="shared" si="0"/>
        <v>103395.80159999999</v>
      </c>
      <c r="O20" s="30"/>
      <c r="P20" s="537">
        <v>60195.199999999997</v>
      </c>
      <c r="Q20" s="537">
        <f t="shared" si="1"/>
        <v>73854.144</v>
      </c>
      <c r="R20" s="549">
        <f t="shared" si="2"/>
        <v>0.2269108500345543</v>
      </c>
    </row>
    <row r="21" spans="3:18" x14ac:dyDescent="0.25">
      <c r="C21" s="33" t="s">
        <v>42</v>
      </c>
      <c r="D21" s="52"/>
      <c r="E21" s="382">
        <f>SUM(E19:E20)</f>
        <v>3005625.4901241404</v>
      </c>
      <c r="F21" s="3"/>
      <c r="G21" s="11" t="s">
        <v>405</v>
      </c>
      <c r="H21" s="13"/>
      <c r="I21" s="32"/>
      <c r="J21" s="567"/>
      <c r="K21" s="573" t="s">
        <v>405</v>
      </c>
      <c r="L21" s="570">
        <v>0.61</v>
      </c>
      <c r="M21" s="545">
        <f>((M19*2)+M20)/3</f>
        <v>93699.562666666679</v>
      </c>
      <c r="N21" s="547">
        <f t="shared" si="0"/>
        <v>57156.733226666671</v>
      </c>
      <c r="P21" s="537">
        <v>83366.399999999994</v>
      </c>
      <c r="Q21" s="537">
        <f t="shared" si="1"/>
        <v>93699.562666666679</v>
      </c>
      <c r="R21" s="549">
        <f t="shared" si="2"/>
        <v>0.12394876912841007</v>
      </c>
    </row>
    <row r="22" spans="3:18" ht="15.75" thickBot="1" x14ac:dyDescent="0.3">
      <c r="C22" s="11" t="str">
        <f>G35</f>
        <v>CAF</v>
      </c>
      <c r="D22" s="42">
        <f>I35</f>
        <v>1.9672360713964287E-2</v>
      </c>
      <c r="E22" s="307">
        <f>E19*D22</f>
        <v>52792.632868578388</v>
      </c>
      <c r="F22" s="3"/>
      <c r="G22" s="11" t="s">
        <v>25</v>
      </c>
      <c r="H22" s="13"/>
      <c r="I22" s="24"/>
      <c r="J22" s="22"/>
      <c r="K22" s="574" t="s">
        <v>25</v>
      </c>
      <c r="L22" s="571">
        <v>0.5</v>
      </c>
      <c r="M22" s="554">
        <f>'M2023 BLS SALARY CHART (53rd)'!C14</f>
        <v>70211.44</v>
      </c>
      <c r="N22" s="555">
        <f t="shared" si="0"/>
        <v>35105.72</v>
      </c>
      <c r="P22" s="536">
        <v>59165.599999999999</v>
      </c>
      <c r="Q22" s="536">
        <f t="shared" si="1"/>
        <v>70211.44</v>
      </c>
      <c r="R22" s="549">
        <f t="shared" si="2"/>
        <v>0.1866936192652488</v>
      </c>
    </row>
    <row r="23" spans="3:18" ht="16.5" thickTop="1" thickBot="1" x14ac:dyDescent="0.3">
      <c r="C23" s="33" t="s">
        <v>45</v>
      </c>
      <c r="D23" s="55"/>
      <c r="E23" s="383">
        <f>E22+E21</f>
        <v>3058418.1229927186</v>
      </c>
      <c r="F23" s="3"/>
      <c r="G23" s="751" t="s">
        <v>406</v>
      </c>
      <c r="H23" s="752"/>
      <c r="I23" s="753"/>
      <c r="J23" s="5"/>
      <c r="L23" s="556">
        <f>SUM(L16:L22)</f>
        <v>9.3099999999999987</v>
      </c>
      <c r="M23" s="557"/>
      <c r="N23" s="558">
        <f>SUM(N16:N22)</f>
        <v>868868.39242666669</v>
      </c>
      <c r="P23" s="538"/>
      <c r="Q23" s="538"/>
      <c r="R23" s="549"/>
    </row>
    <row r="24" spans="3:18" ht="15.75" thickBot="1" x14ac:dyDescent="0.3">
      <c r="C24" s="59" t="s">
        <v>46</v>
      </c>
      <c r="D24" s="62"/>
      <c r="E24" s="309">
        <f>E23/E5</f>
        <v>698.26897785221888</v>
      </c>
      <c r="F24" s="3"/>
      <c r="G24" s="11" t="s">
        <v>27</v>
      </c>
      <c r="H24" s="13"/>
      <c r="I24" s="24"/>
      <c r="J24" s="22"/>
      <c r="L24" s="754" t="s">
        <v>495</v>
      </c>
      <c r="M24" s="755"/>
      <c r="N24" s="756"/>
      <c r="P24" s="745" t="s">
        <v>497</v>
      </c>
      <c r="Q24" s="746"/>
      <c r="R24" s="747"/>
    </row>
    <row r="25" spans="3:18" ht="15.75" thickBot="1" x14ac:dyDescent="0.3">
      <c r="C25" s="59" t="s">
        <v>48</v>
      </c>
      <c r="D25" s="64">
        <v>0.95</v>
      </c>
      <c r="E25" s="63">
        <f>E24/D25</f>
        <v>735.01997668654622</v>
      </c>
      <c r="F25" s="3"/>
      <c r="G25" s="11" t="s">
        <v>29</v>
      </c>
      <c r="H25" s="13"/>
      <c r="I25" s="24"/>
      <c r="J25" s="22"/>
      <c r="K25" s="572" t="s">
        <v>27</v>
      </c>
      <c r="L25" s="568">
        <v>1.8</v>
      </c>
      <c r="M25" s="544">
        <f>'M2023 BLS SALARY CHART (53rd)'!C8</f>
        <v>56217.241600000001</v>
      </c>
      <c r="N25" s="546">
        <f>L25*M25</f>
        <v>101191.03488000001</v>
      </c>
      <c r="P25" s="560">
        <v>48705.279999999999</v>
      </c>
      <c r="Q25" s="560">
        <f t="shared" ref="Q25:Q30" si="3">M25</f>
        <v>56217.241600000001</v>
      </c>
      <c r="R25" s="561">
        <f>(Q25-P25)/P25</f>
        <v>0.15423300307482068</v>
      </c>
    </row>
    <row r="26" spans="3:18" ht="15.75" thickBot="1" x14ac:dyDescent="0.3">
      <c r="C26" s="59" t="s">
        <v>49</v>
      </c>
      <c r="D26" s="64">
        <v>0.9</v>
      </c>
      <c r="E26" s="65">
        <f>E24/D26</f>
        <v>775.85441983579869</v>
      </c>
      <c r="F26" s="3"/>
      <c r="G26" s="11" t="s">
        <v>31</v>
      </c>
      <c r="H26" s="13"/>
      <c r="I26" s="24"/>
      <c r="J26" s="22"/>
      <c r="K26" s="573" t="s">
        <v>29</v>
      </c>
      <c r="L26" s="568">
        <v>1</v>
      </c>
      <c r="M26" s="544">
        <f>'M2023 BLS SALARY CHART (53rd)'!C12</f>
        <v>64438.399999999994</v>
      </c>
      <c r="N26" s="546">
        <f t="shared" ref="N26:N30" si="4">L26*M26</f>
        <v>64438.399999999994</v>
      </c>
      <c r="P26" s="536">
        <v>49233.599999999999</v>
      </c>
      <c r="Q26" s="536">
        <f t="shared" si="3"/>
        <v>64438.399999999994</v>
      </c>
      <c r="R26" s="562">
        <f t="shared" ref="R26:R30" si="5">(Q26-P26)/P26</f>
        <v>0.30882974228981824</v>
      </c>
    </row>
    <row r="27" spans="3:18" x14ac:dyDescent="0.25">
      <c r="C27" s="66"/>
      <c r="D27" s="311"/>
      <c r="E27" s="311"/>
      <c r="F27" s="3"/>
      <c r="G27" s="11" t="s">
        <v>33</v>
      </c>
      <c r="H27" s="13"/>
      <c r="I27" s="24"/>
      <c r="J27" s="22"/>
      <c r="K27" s="573" t="s">
        <v>31</v>
      </c>
      <c r="L27" s="568">
        <v>15.4</v>
      </c>
      <c r="M27" s="544">
        <f>'M2023 BLS SALARY CHART (53rd)'!C6</f>
        <v>43247.567999999999</v>
      </c>
      <c r="N27" s="546">
        <f t="shared" si="4"/>
        <v>666012.54720000003</v>
      </c>
      <c r="P27" s="536">
        <v>38937.599999999999</v>
      </c>
      <c r="Q27" s="536">
        <f t="shared" si="3"/>
        <v>43247.567999999999</v>
      </c>
      <c r="R27" s="562">
        <f t="shared" si="5"/>
        <v>0.11068910256410258</v>
      </c>
    </row>
    <row r="28" spans="3:18" x14ac:dyDescent="0.25">
      <c r="C28" s="66"/>
      <c r="D28" s="311"/>
      <c r="E28" s="311"/>
      <c r="F28" s="3"/>
      <c r="G28" s="11" t="s">
        <v>36</v>
      </c>
      <c r="H28" s="13"/>
      <c r="I28" s="24"/>
      <c r="J28" s="22"/>
      <c r="K28" s="573" t="s">
        <v>33</v>
      </c>
      <c r="L28" s="568">
        <v>0.5</v>
      </c>
      <c r="M28" s="544">
        <f>M25</f>
        <v>56217.241600000001</v>
      </c>
      <c r="N28" s="546">
        <f t="shared" si="4"/>
        <v>28108.620800000001</v>
      </c>
      <c r="P28" s="536">
        <v>48705.279999999999</v>
      </c>
      <c r="Q28" s="536">
        <f t="shared" si="3"/>
        <v>56217.241600000001</v>
      </c>
      <c r="R28" s="562">
        <f t="shared" si="5"/>
        <v>0.15423300307482068</v>
      </c>
    </row>
    <row r="29" spans="3:18" ht="15.75" thickBot="1" x14ac:dyDescent="0.3">
      <c r="C29" s="66"/>
      <c r="D29" s="311"/>
      <c r="E29" s="311"/>
      <c r="F29" s="3"/>
      <c r="G29" s="11" t="s">
        <v>407</v>
      </c>
      <c r="H29" s="45"/>
      <c r="I29" s="46"/>
      <c r="J29" s="22"/>
      <c r="K29" s="573" t="s">
        <v>36</v>
      </c>
      <c r="L29" s="568">
        <v>1.5</v>
      </c>
      <c r="M29" s="544">
        <f>M27</f>
        <v>43247.567999999999</v>
      </c>
      <c r="N29" s="546">
        <f t="shared" si="4"/>
        <v>64871.351999999999</v>
      </c>
      <c r="P29" s="536">
        <v>38937.599999999999</v>
      </c>
      <c r="Q29" s="536">
        <f t="shared" si="3"/>
        <v>43247.567999999999</v>
      </c>
      <c r="R29" s="562">
        <f t="shared" si="5"/>
        <v>0.11068910256410258</v>
      </c>
    </row>
    <row r="30" spans="3:18" ht="15.75" thickBot="1" x14ac:dyDescent="0.3">
      <c r="C30" s="66"/>
      <c r="D30" s="312" t="s">
        <v>51</v>
      </c>
      <c r="E30" s="313">
        <v>680.87</v>
      </c>
      <c r="F30" s="3"/>
      <c r="G30" s="742" t="s">
        <v>54</v>
      </c>
      <c r="H30" s="743"/>
      <c r="I30" s="744"/>
      <c r="J30" s="575"/>
      <c r="K30" s="574" t="s">
        <v>407</v>
      </c>
      <c r="L30" s="568">
        <f>2.25+0.54</f>
        <v>2.79</v>
      </c>
      <c r="M30" s="544">
        <f>M27</f>
        <v>43247.567999999999</v>
      </c>
      <c r="N30" s="546">
        <f t="shared" si="4"/>
        <v>120660.71472</v>
      </c>
      <c r="P30" s="536">
        <v>38937.599999999999</v>
      </c>
      <c r="Q30" s="536">
        <f t="shared" si="3"/>
        <v>43247.567999999999</v>
      </c>
      <c r="R30" s="562">
        <f t="shared" si="5"/>
        <v>0.11068910256410258</v>
      </c>
    </row>
    <row r="31" spans="3:18" ht="15.75" thickBot="1" x14ac:dyDescent="0.3">
      <c r="C31" s="66"/>
      <c r="D31" s="314" t="s">
        <v>52</v>
      </c>
      <c r="E31" s="315">
        <f>E26</f>
        <v>775.85441983579869</v>
      </c>
      <c r="F31" s="3"/>
      <c r="G31" s="11" t="s">
        <v>30</v>
      </c>
      <c r="H31" s="13"/>
      <c r="I31" s="71">
        <f>'M2023 BLS SALARY CHART (53rd)'!C38</f>
        <v>0.24970000000000001</v>
      </c>
      <c r="J31" s="2"/>
      <c r="L31" s="553">
        <f>SUM(L25:L30)</f>
        <v>22.99</v>
      </c>
      <c r="M31" s="551"/>
      <c r="N31" s="552">
        <f>SUM(N25:N30)</f>
        <v>1045282.6696</v>
      </c>
      <c r="P31" s="538"/>
      <c r="Q31" s="538"/>
      <c r="R31" s="530"/>
    </row>
    <row r="32" spans="3:18" ht="13.5" customHeight="1" x14ac:dyDescent="0.25">
      <c r="C32" s="3"/>
      <c r="D32" s="314" t="s">
        <v>53</v>
      </c>
      <c r="E32" s="316">
        <f>E31-E30</f>
        <v>94.98441983579869</v>
      </c>
      <c r="F32" s="3"/>
      <c r="G32" s="11"/>
      <c r="H32" s="13"/>
      <c r="I32" s="72"/>
      <c r="J32" s="2"/>
    </row>
    <row r="33" spans="3:17" ht="15.75" thickBot="1" x14ac:dyDescent="0.3">
      <c r="C33" s="3"/>
      <c r="D33" s="317" t="s">
        <v>55</v>
      </c>
      <c r="E33" s="318">
        <f>E32/E30</f>
        <v>0.13950448666529394</v>
      </c>
      <c r="F33" s="3"/>
      <c r="G33" s="447" t="s">
        <v>428</v>
      </c>
      <c r="H33" s="13"/>
      <c r="I33" s="448">
        <f>'1. Youth Stabilization 12 B Ol '!K51+'1. Youth Stabilization 12 B Ol '!K52+'1. Youth Stabilization 12 B Ol '!K53</f>
        <v>43.485574037834304</v>
      </c>
      <c r="J33" s="2"/>
    </row>
    <row r="34" spans="3:17" ht="15.75" thickBot="1" x14ac:dyDescent="0.3">
      <c r="C34" s="3"/>
      <c r="F34" s="3"/>
      <c r="G34" s="11" t="s">
        <v>40</v>
      </c>
      <c r="I34" s="73">
        <f>'M2022 BLS SALARY CHART (53_PCT)'!C43</f>
        <v>0.12</v>
      </c>
      <c r="J34" s="2"/>
      <c r="L34" s="757" t="s">
        <v>500</v>
      </c>
      <c r="M34" s="758"/>
      <c r="N34" s="759"/>
    </row>
    <row r="35" spans="3:17" ht="15.75" thickBot="1" x14ac:dyDescent="0.3">
      <c r="C35" s="3"/>
      <c r="D35" s="3"/>
      <c r="E35" s="3"/>
      <c r="F35" s="3"/>
      <c r="G35" s="25" t="s">
        <v>62</v>
      </c>
      <c r="H35" s="74"/>
      <c r="I35" s="75">
        <f>'SPRING 24 CAF'!CP29</f>
        <v>1.9672360713964287E-2</v>
      </c>
      <c r="J35" s="2"/>
      <c r="L35" s="760" t="s">
        <v>57</v>
      </c>
      <c r="M35" s="761"/>
      <c r="N35" s="577">
        <v>30.579000000000001</v>
      </c>
    </row>
    <row r="36" spans="3:17" x14ac:dyDescent="0.25">
      <c r="C36" s="3"/>
      <c r="D36" s="3"/>
      <c r="E36" s="3"/>
      <c r="F36" s="3"/>
      <c r="L36" s="762" t="s">
        <v>58</v>
      </c>
      <c r="M36" s="763"/>
      <c r="N36" s="578">
        <v>9.15</v>
      </c>
    </row>
    <row r="37" spans="3:17" ht="15.75" thickBot="1" x14ac:dyDescent="0.3">
      <c r="C37" s="3"/>
      <c r="D37" s="3"/>
      <c r="E37" s="3"/>
      <c r="F37" s="3"/>
      <c r="L37" s="766" t="s">
        <v>59</v>
      </c>
      <c r="M37" s="767"/>
      <c r="N37" s="579">
        <v>3.76</v>
      </c>
    </row>
    <row r="38" spans="3:17" ht="15.75" thickBot="1" x14ac:dyDescent="0.3">
      <c r="C38" s="3"/>
      <c r="D38" s="3"/>
      <c r="E38" s="3"/>
      <c r="F38" s="3"/>
      <c r="L38" s="764" t="s">
        <v>499</v>
      </c>
      <c r="M38" s="765"/>
      <c r="N38" s="580">
        <f>SUM(N35:N37)</f>
        <v>43.488999999999997</v>
      </c>
      <c r="O38" s="53"/>
      <c r="P38" s="54"/>
      <c r="Q38" s="54"/>
    </row>
    <row r="39" spans="3:17" ht="15.75" thickBot="1" x14ac:dyDescent="0.3">
      <c r="C39" s="3"/>
      <c r="D39" s="3"/>
      <c r="E39" s="3"/>
      <c r="F39" s="3"/>
    </row>
    <row r="40" spans="3:17" ht="15.75" thickBot="1" x14ac:dyDescent="0.3">
      <c r="C40" s="3"/>
      <c r="D40" s="76"/>
      <c r="E40" s="76"/>
      <c r="F40" s="3"/>
      <c r="L40" s="757" t="s">
        <v>501</v>
      </c>
      <c r="M40" s="758"/>
      <c r="N40" s="759"/>
      <c r="O40" s="57"/>
      <c r="P40" s="58"/>
      <c r="Q40" s="58"/>
    </row>
    <row r="41" spans="3:17" x14ac:dyDescent="0.25">
      <c r="C41" s="3"/>
      <c r="F41" s="3"/>
      <c r="L41" s="760" t="s">
        <v>57</v>
      </c>
      <c r="M41" s="761"/>
      <c r="N41" s="577">
        <f>30.579*(1.88%+1)</f>
        <v>31.153885199999998</v>
      </c>
      <c r="O41" s="57"/>
      <c r="P41" s="58"/>
      <c r="Q41" s="58"/>
    </row>
    <row r="42" spans="3:17" x14ac:dyDescent="0.25">
      <c r="C42" s="3"/>
      <c r="F42" s="3"/>
      <c r="G42" s="81"/>
      <c r="L42" s="762" t="s">
        <v>58</v>
      </c>
      <c r="M42" s="763"/>
      <c r="N42" s="578">
        <f>'Food September 2023'!K19</f>
        <v>10.004761904761907</v>
      </c>
      <c r="O42" s="57"/>
      <c r="P42" s="58"/>
      <c r="Q42" s="58"/>
    </row>
    <row r="43" spans="3:17" ht="15.75" thickBot="1" x14ac:dyDescent="0.3">
      <c r="C43" s="30"/>
      <c r="D43" s="30"/>
      <c r="E43" s="30"/>
      <c r="F43" s="3"/>
      <c r="G43" s="83"/>
      <c r="I43" s="54"/>
      <c r="J43" s="54"/>
      <c r="L43" s="766" t="s">
        <v>59</v>
      </c>
      <c r="M43" s="767"/>
      <c r="N43" s="579">
        <f>3.76*(1.88%+1)</f>
        <v>3.8306879999999994</v>
      </c>
      <c r="O43" s="57"/>
      <c r="P43" s="58"/>
      <c r="Q43" s="58"/>
    </row>
    <row r="44" spans="3:17" ht="15.75" thickBot="1" x14ac:dyDescent="0.3">
      <c r="C44" s="80"/>
      <c r="D44" s="80"/>
      <c r="E44" s="80"/>
      <c r="F44" s="3"/>
      <c r="G44" s="84"/>
      <c r="L44" s="764" t="s">
        <v>499</v>
      </c>
      <c r="M44" s="765"/>
      <c r="N44" s="580">
        <f>SUM(N41:N43)</f>
        <v>44.989335104761906</v>
      </c>
    </row>
    <row r="45" spans="3:17" x14ac:dyDescent="0.25">
      <c r="C45" s="81"/>
      <c r="D45" s="81"/>
      <c r="E45" s="81"/>
      <c r="F45" s="3"/>
    </row>
    <row r="46" spans="3:17" x14ac:dyDescent="0.25">
      <c r="C46" s="81"/>
      <c r="D46" s="81"/>
      <c r="E46" s="81"/>
      <c r="F46" s="3"/>
    </row>
    <row r="47" spans="3:17" x14ac:dyDescent="0.25">
      <c r="C47" s="81"/>
      <c r="D47" s="81"/>
      <c r="E47" s="81"/>
      <c r="F47" s="3"/>
    </row>
    <row r="48" spans="3:17" x14ac:dyDescent="0.25">
      <c r="C48" s="81"/>
      <c r="D48" s="81"/>
      <c r="E48" s="81"/>
      <c r="F48" s="3"/>
    </row>
    <row r="49" spans="1:7" x14ac:dyDescent="0.25">
      <c r="C49" s="30"/>
      <c r="D49" s="30"/>
      <c r="E49" s="30"/>
      <c r="F49" s="3"/>
      <c r="G49" s="83"/>
    </row>
    <row r="50" spans="1:7" x14ac:dyDescent="0.25">
      <c r="C50" s="30"/>
      <c r="D50" s="30"/>
      <c r="E50" s="30"/>
      <c r="F50" s="3"/>
      <c r="G50" s="83"/>
    </row>
    <row r="51" spans="1:7" x14ac:dyDescent="0.25">
      <c r="C51" s="80"/>
      <c r="D51" s="80"/>
      <c r="E51" s="80"/>
      <c r="F51" s="3"/>
      <c r="G51" s="84"/>
    </row>
    <row r="52" spans="1:7" ht="29.1" customHeight="1" x14ac:dyDescent="0.25">
      <c r="C52" s="81"/>
      <c r="D52" s="81"/>
      <c r="E52" s="81"/>
      <c r="F52" s="3"/>
    </row>
    <row r="53" spans="1:7" x14ac:dyDescent="0.25">
      <c r="C53" s="81"/>
      <c r="D53" s="81"/>
      <c r="E53" s="81"/>
      <c r="F53" s="3"/>
    </row>
    <row r="54" spans="1:7" x14ac:dyDescent="0.25">
      <c r="C54" s="81"/>
      <c r="D54" s="81"/>
      <c r="E54" s="81"/>
      <c r="F54" s="3"/>
    </row>
    <row r="55" spans="1:7" x14ac:dyDescent="0.25">
      <c r="C55" s="81"/>
      <c r="D55" s="81"/>
      <c r="E55" s="81"/>
      <c r="F55" s="3"/>
    </row>
    <row r="56" spans="1:7" x14ac:dyDescent="0.25">
      <c r="C56" s="86"/>
      <c r="D56" s="86"/>
      <c r="E56" s="86"/>
      <c r="F56" s="3"/>
    </row>
    <row r="57" spans="1:7" x14ac:dyDescent="0.25">
      <c r="C57" s="86"/>
      <c r="D57" s="86"/>
      <c r="E57" s="86"/>
      <c r="F57" s="3"/>
    </row>
    <row r="58" spans="1:7" x14ac:dyDescent="0.25">
      <c r="C58" s="86"/>
      <c r="D58" s="86"/>
      <c r="E58" s="86"/>
      <c r="F58" s="3"/>
      <c r="G58" s="81"/>
    </row>
    <row r="59" spans="1:7" x14ac:dyDescent="0.25">
      <c r="A59" s="86"/>
      <c r="C59" s="80"/>
      <c r="D59" s="80"/>
      <c r="E59" s="80"/>
      <c r="G59" s="83"/>
    </row>
    <row r="60" spans="1:7" x14ac:dyDescent="0.25">
      <c r="A60" s="86"/>
      <c r="B60" s="79"/>
      <c r="C60" s="81"/>
      <c r="D60" s="81"/>
      <c r="E60" s="81"/>
      <c r="F60" s="80"/>
      <c r="G60" s="84"/>
    </row>
    <row r="61" spans="1:7" x14ac:dyDescent="0.25">
      <c r="A61" s="86"/>
      <c r="B61" s="81"/>
      <c r="C61" s="81"/>
      <c r="D61" s="81"/>
      <c r="E61" s="81"/>
      <c r="F61" s="81"/>
    </row>
    <row r="62" spans="1:7" x14ac:dyDescent="0.25">
      <c r="A62" s="86"/>
      <c r="B62" s="81"/>
      <c r="C62" s="81"/>
      <c r="D62" s="81"/>
      <c r="E62" s="81"/>
      <c r="F62" s="81"/>
    </row>
    <row r="63" spans="1:7" ht="15.75" thickBot="1" x14ac:dyDescent="0.3">
      <c r="A63" s="86"/>
      <c r="B63" s="81"/>
      <c r="C63" s="81"/>
      <c r="D63" s="81"/>
      <c r="E63" s="81"/>
      <c r="F63" s="82"/>
    </row>
    <row r="64" spans="1:7" ht="15.75" thickTop="1" x14ac:dyDescent="0.25">
      <c r="A64" s="86"/>
      <c r="B64" s="81"/>
      <c r="C64" s="30"/>
      <c r="D64" s="30"/>
      <c r="E64" s="30"/>
      <c r="F64" s="81"/>
    </row>
    <row r="65" spans="1:6" x14ac:dyDescent="0.25">
      <c r="A65" s="30"/>
      <c r="B65" s="30"/>
      <c r="C65" s="30"/>
      <c r="D65" s="30"/>
      <c r="E65" s="30"/>
    </row>
    <row r="67" spans="1:6" x14ac:dyDescent="0.25">
      <c r="A67" s="86"/>
      <c r="B67" s="79"/>
      <c r="F67" s="80"/>
    </row>
    <row r="68" spans="1:6" x14ac:dyDescent="0.25">
      <c r="A68" s="86"/>
      <c r="B68" s="81"/>
      <c r="F68" s="81"/>
    </row>
    <row r="69" spans="1:6" x14ac:dyDescent="0.25">
      <c r="A69" s="86"/>
      <c r="B69" s="81"/>
      <c r="F69" s="81"/>
    </row>
    <row r="70" spans="1:6" x14ac:dyDescent="0.25">
      <c r="A70" s="86"/>
      <c r="B70" s="81"/>
      <c r="F70" s="81"/>
    </row>
    <row r="71" spans="1:6" x14ac:dyDescent="0.25">
      <c r="A71" s="86"/>
      <c r="B71" s="81"/>
      <c r="F71" s="81"/>
    </row>
    <row r="72" spans="1:6" x14ac:dyDescent="0.25">
      <c r="A72" s="86"/>
      <c r="B72" s="86"/>
      <c r="F72" s="86"/>
    </row>
    <row r="73" spans="1:6" x14ac:dyDescent="0.25">
      <c r="A73" s="86"/>
      <c r="B73" s="86"/>
      <c r="F73" s="86"/>
    </row>
    <row r="74" spans="1:6" x14ac:dyDescent="0.25">
      <c r="A74" s="86"/>
      <c r="B74" s="86"/>
      <c r="F74" s="86"/>
    </row>
    <row r="75" spans="1:6" x14ac:dyDescent="0.25">
      <c r="A75" s="86"/>
      <c r="B75" s="79"/>
      <c r="F75" s="80"/>
    </row>
    <row r="76" spans="1:6" x14ac:dyDescent="0.25">
      <c r="A76" s="86"/>
      <c r="B76" s="81"/>
      <c r="F76" s="81"/>
    </row>
    <row r="77" spans="1:6" x14ac:dyDescent="0.25">
      <c r="A77" s="86"/>
      <c r="B77" s="81"/>
      <c r="F77" s="81"/>
    </row>
    <row r="78" spans="1:6" x14ac:dyDescent="0.25">
      <c r="A78" s="86"/>
      <c r="B78" s="81"/>
      <c r="F78" s="81"/>
    </row>
    <row r="79" spans="1:6" x14ac:dyDescent="0.25">
      <c r="A79" s="86"/>
      <c r="B79" s="81"/>
      <c r="F79" s="81"/>
    </row>
    <row r="80" spans="1:6" x14ac:dyDescent="0.25">
      <c r="A80" s="30"/>
      <c r="B80" s="30"/>
    </row>
  </sheetData>
  <mergeCells count="21">
    <mergeCell ref="L40:N40"/>
    <mergeCell ref="L41:M41"/>
    <mergeCell ref="L42:M42"/>
    <mergeCell ref="L43:M43"/>
    <mergeCell ref="L44:M44"/>
    <mergeCell ref="L34:N34"/>
    <mergeCell ref="L35:M35"/>
    <mergeCell ref="L36:M36"/>
    <mergeCell ref="L38:M38"/>
    <mergeCell ref="L37:M37"/>
    <mergeCell ref="L12:N12"/>
    <mergeCell ref="P12:R12"/>
    <mergeCell ref="C3:E4"/>
    <mergeCell ref="G3:I3"/>
    <mergeCell ref="G12:I12"/>
    <mergeCell ref="P24:R24"/>
    <mergeCell ref="G30:I30"/>
    <mergeCell ref="G13:I13"/>
    <mergeCell ref="G15:I15"/>
    <mergeCell ref="G23:I23"/>
    <mergeCell ref="L24:N24"/>
  </mergeCells>
  <pageMargins left="0.2" right="0.2" top="0.2" bottom="0.2" header="0" footer="0"/>
  <pageSetup scale="88"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ED78-0E50-44F9-8DEA-1A06C9E03A45}">
  <sheetPr>
    <tabColor theme="3" tint="-0.249977111117893"/>
    <pageSetUpPr fitToPage="1"/>
  </sheetPr>
  <dimension ref="A1:AA118"/>
  <sheetViews>
    <sheetView topLeftCell="F1" zoomScale="90" zoomScaleNormal="90" workbookViewId="0">
      <selection activeCell="Y10" sqref="Y10"/>
    </sheetView>
  </sheetViews>
  <sheetFormatPr defaultRowHeight="15" x14ac:dyDescent="0.25"/>
  <cols>
    <col min="2" max="3" width="26.140625" customWidth="1"/>
    <col min="4" max="4" width="14.5703125" style="83" customWidth="1"/>
    <col min="5" max="5" width="83.42578125" style="83" customWidth="1"/>
    <col min="6" max="6" width="22.5703125" customWidth="1"/>
    <col min="7" max="7" width="21.85546875" customWidth="1"/>
    <col min="8" max="8" width="13.5703125" customWidth="1"/>
    <col min="9" max="9" width="12.5703125" bestFit="1" customWidth="1"/>
    <col min="10" max="10" width="19" customWidth="1"/>
    <col min="11" max="11" width="17.140625" customWidth="1"/>
    <col min="12" max="12" width="11.85546875" customWidth="1"/>
    <col min="13" max="13" width="15.140625" customWidth="1"/>
    <col min="14" max="14" width="23.140625" bestFit="1" customWidth="1"/>
    <col min="15" max="15" width="10" bestFit="1" customWidth="1"/>
    <col min="16" max="16" width="11.85546875" customWidth="1"/>
    <col min="17" max="17" width="21.85546875" bestFit="1" customWidth="1"/>
    <col min="19" max="19" width="15.140625" customWidth="1"/>
    <col min="20" max="20" width="9.140625" bestFit="1" customWidth="1"/>
    <col min="21" max="21" width="16.42578125" customWidth="1"/>
    <col min="22" max="22" width="13.42578125" customWidth="1"/>
    <col min="23" max="23" width="11.42578125" customWidth="1"/>
    <col min="24" max="24" width="16.42578125" customWidth="1"/>
    <col min="25" max="25" width="14" customWidth="1"/>
    <col min="26" max="26" width="12.42578125" customWidth="1"/>
  </cols>
  <sheetData>
    <row r="1" spans="1:19" ht="18.75" x14ac:dyDescent="0.3">
      <c r="A1" s="96"/>
      <c r="B1" s="96"/>
      <c r="C1" s="96"/>
      <c r="D1" s="97"/>
      <c r="E1" s="97"/>
      <c r="F1" s="98"/>
    </row>
    <row r="3" spans="1:19" ht="15.75" thickBot="1" x14ac:dyDescent="0.3">
      <c r="B3" s="76" t="s">
        <v>84</v>
      </c>
      <c r="C3" s="76"/>
      <c r="D3" s="781" t="s">
        <v>85</v>
      </c>
      <c r="E3" s="781"/>
      <c r="F3" s="76"/>
      <c r="G3" s="76" t="s">
        <v>86</v>
      </c>
      <c r="H3" s="76" t="s">
        <v>87</v>
      </c>
    </row>
    <row r="4" spans="1:19" ht="15.75" thickBot="1" x14ac:dyDescent="0.3">
      <c r="B4" s="768" t="s">
        <v>88</v>
      </c>
      <c r="C4" s="769"/>
      <c r="D4" s="769"/>
      <c r="E4" s="770"/>
      <c r="G4" s="768" t="s">
        <v>89</v>
      </c>
      <c r="H4" s="769"/>
      <c r="I4" s="770"/>
      <c r="J4" s="99"/>
      <c r="K4" s="99"/>
      <c r="L4" s="99"/>
      <c r="N4" s="768" t="s">
        <v>90</v>
      </c>
      <c r="O4" s="769"/>
      <c r="P4" s="769"/>
      <c r="Q4" s="769"/>
      <c r="R4" s="769"/>
      <c r="S4" s="770"/>
    </row>
    <row r="5" spans="1:19" ht="15.75" thickBot="1" x14ac:dyDescent="0.3">
      <c r="B5" s="100" t="s">
        <v>91</v>
      </c>
      <c r="C5" s="101" t="s">
        <v>92</v>
      </c>
      <c r="D5" s="102" t="s">
        <v>93</v>
      </c>
      <c r="E5" s="103" t="s">
        <v>94</v>
      </c>
      <c r="F5" s="104"/>
      <c r="G5" s="768" t="s">
        <v>95</v>
      </c>
      <c r="H5" s="769"/>
      <c r="I5" s="770"/>
      <c r="J5" s="99"/>
      <c r="K5" s="99"/>
      <c r="L5" s="99"/>
      <c r="N5" s="768" t="s">
        <v>95</v>
      </c>
      <c r="O5" s="769"/>
      <c r="P5" s="770"/>
      <c r="Q5" s="768" t="s">
        <v>96</v>
      </c>
      <c r="R5" s="769"/>
      <c r="S5" s="770"/>
    </row>
    <row r="6" spans="1:19" x14ac:dyDescent="0.25">
      <c r="B6" s="105" t="s">
        <v>97</v>
      </c>
      <c r="C6" s="106">
        <v>62681</v>
      </c>
      <c r="D6" s="107">
        <v>83325</v>
      </c>
      <c r="E6" s="108" t="s">
        <v>98</v>
      </c>
      <c r="G6" s="109" t="s">
        <v>99</v>
      </c>
      <c r="H6" s="110" t="s">
        <v>100</v>
      </c>
      <c r="I6" s="111">
        <v>260</v>
      </c>
      <c r="J6" s="110"/>
      <c r="K6" s="110"/>
      <c r="L6" s="110"/>
      <c r="N6" s="109" t="s">
        <v>99</v>
      </c>
      <c r="O6" s="110" t="s">
        <v>100</v>
      </c>
      <c r="P6" s="110">
        <v>260</v>
      </c>
      <c r="Q6" s="109" t="s">
        <v>101</v>
      </c>
      <c r="R6" s="110" t="s">
        <v>102</v>
      </c>
      <c r="S6" s="112">
        <f>P6*8</f>
        <v>2080</v>
      </c>
    </row>
    <row r="7" spans="1:19" ht="30" x14ac:dyDescent="0.25">
      <c r="B7" s="113" t="s">
        <v>103</v>
      </c>
      <c r="C7" s="106">
        <v>52234</v>
      </c>
      <c r="D7" s="106">
        <v>60923</v>
      </c>
      <c r="E7" s="114" t="s">
        <v>104</v>
      </c>
      <c r="G7" s="115"/>
      <c r="H7" s="116" t="s">
        <v>8</v>
      </c>
      <c r="I7" s="117" t="s">
        <v>10</v>
      </c>
      <c r="J7" s="118"/>
      <c r="K7" s="118"/>
      <c r="L7" s="118"/>
      <c r="N7" s="115"/>
      <c r="O7" s="116" t="s">
        <v>8</v>
      </c>
      <c r="P7" s="116" t="s">
        <v>10</v>
      </c>
      <c r="Q7" s="115"/>
      <c r="R7" s="116" t="s">
        <v>8</v>
      </c>
      <c r="S7" s="117" t="s">
        <v>10</v>
      </c>
    </row>
    <row r="8" spans="1:19" x14ac:dyDescent="0.25">
      <c r="B8" s="119" t="s">
        <v>105</v>
      </c>
      <c r="C8" s="106">
        <v>32722</v>
      </c>
      <c r="D8" s="106">
        <v>32198</v>
      </c>
      <c r="E8" s="114" t="s">
        <v>106</v>
      </c>
      <c r="G8" s="120" t="str">
        <f>B6</f>
        <v>Clincal Director</v>
      </c>
      <c r="H8" s="121">
        <f>D6</f>
        <v>83325</v>
      </c>
      <c r="I8" s="122">
        <f>H8</f>
        <v>83325</v>
      </c>
      <c r="J8" s="121"/>
      <c r="K8" s="121"/>
      <c r="L8" s="121"/>
      <c r="N8" s="120" t="str">
        <f>B13</f>
        <v>Food Service I</v>
      </c>
      <c r="O8" s="121">
        <f>D13</f>
        <v>32198</v>
      </c>
      <c r="P8" s="121">
        <f>O8</f>
        <v>32198</v>
      </c>
      <c r="Q8" s="120" t="str">
        <f>N8</f>
        <v>Food Service I</v>
      </c>
      <c r="R8" s="123">
        <f>D13</f>
        <v>32198</v>
      </c>
      <c r="S8" s="124">
        <f>R8</f>
        <v>32198</v>
      </c>
    </row>
    <row r="9" spans="1:19" x14ac:dyDescent="0.25">
      <c r="B9" s="119" t="s">
        <v>107</v>
      </c>
      <c r="C9" s="106" t="s">
        <v>108</v>
      </c>
      <c r="D9" s="106">
        <f>[20]Chart!C6</f>
        <v>41516.800000000003</v>
      </c>
      <c r="E9" s="125" t="s">
        <v>109</v>
      </c>
      <c r="G9" s="126" t="s">
        <v>110</v>
      </c>
      <c r="H9" s="127"/>
      <c r="I9" s="128">
        <f>D20</f>
        <v>0</v>
      </c>
      <c r="J9" s="121"/>
      <c r="K9" s="121"/>
      <c r="L9" s="121"/>
      <c r="N9" s="129" t="s">
        <v>111</v>
      </c>
      <c r="O9" s="130">
        <f>D21</f>
        <v>0.14615384615384616</v>
      </c>
      <c r="P9" s="121">
        <f>O8*O9</f>
        <v>4705.8615384615387</v>
      </c>
      <c r="Q9" s="129"/>
      <c r="R9" s="131"/>
      <c r="S9" s="124"/>
    </row>
    <row r="10" spans="1:19" x14ac:dyDescent="0.25">
      <c r="B10" s="119" t="s">
        <v>112</v>
      </c>
      <c r="C10" s="106">
        <v>28552</v>
      </c>
      <c r="D10" s="106">
        <v>32198</v>
      </c>
      <c r="E10" s="125" t="s">
        <v>113</v>
      </c>
      <c r="G10" s="132" t="s">
        <v>42</v>
      </c>
      <c r="H10" s="121"/>
      <c r="I10" s="122">
        <f>SUM(I8:I9)</f>
        <v>83325</v>
      </c>
      <c r="J10" s="121"/>
      <c r="K10" s="121"/>
      <c r="L10" s="121"/>
      <c r="N10" s="126" t="s">
        <v>110</v>
      </c>
      <c r="O10" s="127"/>
      <c r="P10" s="127">
        <f>D20</f>
        <v>0</v>
      </c>
      <c r="Q10" s="126" t="s">
        <v>110</v>
      </c>
      <c r="R10" s="133"/>
      <c r="S10" s="134">
        <f>P10</f>
        <v>0</v>
      </c>
    </row>
    <row r="11" spans="1:19" ht="15.75" thickBot="1" x14ac:dyDescent="0.3">
      <c r="B11" s="119" t="s">
        <v>114</v>
      </c>
      <c r="C11" s="106">
        <v>36283</v>
      </c>
      <c r="D11" s="106">
        <v>36890</v>
      </c>
      <c r="E11" s="125" t="s">
        <v>115</v>
      </c>
      <c r="G11" s="129" t="s">
        <v>116</v>
      </c>
      <c r="H11" s="130">
        <f>D22</f>
        <v>0.224</v>
      </c>
      <c r="I11" s="122">
        <f>H11*I10</f>
        <v>18664.8</v>
      </c>
      <c r="J11" s="121"/>
      <c r="K11" s="121"/>
      <c r="L11" s="121"/>
      <c r="N11" s="132" t="s">
        <v>42</v>
      </c>
      <c r="O11" s="121"/>
      <c r="P11" s="121">
        <f>P8+P9+P10</f>
        <v>36903.86153846154</v>
      </c>
      <c r="Q11" s="132" t="s">
        <v>42</v>
      </c>
      <c r="R11" s="83"/>
      <c r="S11" s="124">
        <f>SUM(S8:S10)</f>
        <v>32198</v>
      </c>
    </row>
    <row r="12" spans="1:19" ht="15.75" thickBot="1" x14ac:dyDescent="0.3">
      <c r="B12" s="119" t="s">
        <v>117</v>
      </c>
      <c r="C12" s="106">
        <v>39949</v>
      </c>
      <c r="D12" s="106">
        <f>[20]Chart!C6</f>
        <v>41516.800000000003</v>
      </c>
      <c r="E12" s="125" t="s">
        <v>118</v>
      </c>
      <c r="G12" s="135" t="s">
        <v>32</v>
      </c>
      <c r="H12" s="136"/>
      <c r="I12" s="137">
        <f>I10+I11</f>
        <v>101989.8</v>
      </c>
      <c r="J12" s="121"/>
      <c r="K12" s="121"/>
      <c r="L12" s="121"/>
      <c r="N12" s="129" t="s">
        <v>116</v>
      </c>
      <c r="O12" s="130">
        <f>D22</f>
        <v>0.224</v>
      </c>
      <c r="P12" s="121">
        <f>O12*P11</f>
        <v>8266.4649846153861</v>
      </c>
      <c r="Q12" s="129" t="s">
        <v>116</v>
      </c>
      <c r="R12" s="131">
        <f>O12</f>
        <v>0.224</v>
      </c>
      <c r="S12" s="124">
        <f>O12*S11</f>
        <v>7212.3519999999999</v>
      </c>
    </row>
    <row r="13" spans="1:19" ht="15.75" thickBot="1" x14ac:dyDescent="0.3">
      <c r="B13" s="119" t="s">
        <v>90</v>
      </c>
      <c r="C13" s="106">
        <v>33063</v>
      </c>
      <c r="D13" s="106">
        <v>32198</v>
      </c>
      <c r="E13" s="125" t="s">
        <v>113</v>
      </c>
      <c r="G13" s="129" t="s">
        <v>119</v>
      </c>
      <c r="H13" s="130">
        <f>D25</f>
        <v>3.7000000000000002E-3</v>
      </c>
      <c r="I13" s="122">
        <f>I10*H13</f>
        <v>308.30250000000001</v>
      </c>
      <c r="J13" s="121"/>
      <c r="K13" s="121"/>
      <c r="L13" s="121"/>
      <c r="N13" s="138" t="s">
        <v>32</v>
      </c>
      <c r="O13" s="136"/>
      <c r="P13" s="137">
        <f>P11+P12</f>
        <v>45170.326523076925</v>
      </c>
      <c r="Q13" s="138" t="s">
        <v>32</v>
      </c>
      <c r="R13" s="139"/>
      <c r="S13" s="140">
        <f>S11+S12</f>
        <v>39410.351999999999</v>
      </c>
    </row>
    <row r="14" spans="1:19" x14ac:dyDescent="0.25">
      <c r="B14" s="119" t="s">
        <v>120</v>
      </c>
      <c r="C14" s="106">
        <v>35460</v>
      </c>
      <c r="D14" s="106">
        <v>35970</v>
      </c>
      <c r="E14" s="125" t="s">
        <v>121</v>
      </c>
      <c r="G14" s="129" t="s">
        <v>122</v>
      </c>
      <c r="H14" s="141">
        <f>D23</f>
        <v>0.12</v>
      </c>
      <c r="I14" s="122">
        <f>(I12+I13)*H14</f>
        <v>12275.772300000001</v>
      </c>
      <c r="J14" s="121"/>
      <c r="K14" s="121"/>
      <c r="L14" s="121"/>
      <c r="N14" s="129" t="str">
        <f>B25</f>
        <v xml:space="preserve">PFMLA </v>
      </c>
      <c r="O14" s="130">
        <f>D25</f>
        <v>3.7000000000000002E-3</v>
      </c>
      <c r="P14" s="121">
        <f>P11*O14</f>
        <v>136.54428769230771</v>
      </c>
      <c r="Q14" s="129" t="str">
        <f>B25</f>
        <v xml:space="preserve">PFMLA </v>
      </c>
      <c r="R14" s="131">
        <f>D25</f>
        <v>3.7000000000000002E-3</v>
      </c>
      <c r="S14" s="142">
        <f>S11*R14</f>
        <v>119.13260000000001</v>
      </c>
    </row>
    <row r="15" spans="1:19" ht="15.75" thickBot="1" x14ac:dyDescent="0.3">
      <c r="B15" s="119" t="s">
        <v>123</v>
      </c>
      <c r="C15" s="106">
        <v>36733</v>
      </c>
      <c r="D15" s="106">
        <v>38900</v>
      </c>
      <c r="E15" s="125" t="s">
        <v>124</v>
      </c>
      <c r="G15" s="143" t="s">
        <v>125</v>
      </c>
      <c r="H15" s="144"/>
      <c r="I15" s="145">
        <f>I14+I13+I12</f>
        <v>114573.87480000001</v>
      </c>
      <c r="J15" s="146"/>
      <c r="K15" s="146"/>
      <c r="L15" s="146"/>
      <c r="N15" s="129" t="s">
        <v>126</v>
      </c>
      <c r="O15" s="130"/>
      <c r="P15" s="121">
        <v>8200</v>
      </c>
      <c r="Q15" s="129"/>
      <c r="R15" s="131"/>
      <c r="S15" s="142"/>
    </row>
    <row r="16" spans="1:19" ht="15.75" thickBot="1" x14ac:dyDescent="0.3">
      <c r="B16" s="119" t="s">
        <v>127</v>
      </c>
      <c r="C16" s="106">
        <v>31192</v>
      </c>
      <c r="D16" s="106">
        <v>32198</v>
      </c>
      <c r="E16" s="125" t="s">
        <v>113</v>
      </c>
      <c r="G16" s="147" t="s">
        <v>62</v>
      </c>
      <c r="H16" s="148">
        <f>D26</f>
        <v>2.6081907729015665E-2</v>
      </c>
      <c r="I16" s="149">
        <f>I15+(I15*H16)-(I10*H16)</f>
        <v>115388.90506916917</v>
      </c>
      <c r="J16" s="771"/>
      <c r="K16" s="771"/>
      <c r="L16" s="150"/>
      <c r="N16" s="129" t="s">
        <v>122</v>
      </c>
      <c r="O16" s="141">
        <f>D23</f>
        <v>0.12</v>
      </c>
      <c r="P16" s="121">
        <f>(P13+P14)*O16</f>
        <v>5436.8244972923076</v>
      </c>
      <c r="Q16" s="129" t="s">
        <v>122</v>
      </c>
      <c r="R16" s="131">
        <f>O16</f>
        <v>0.12</v>
      </c>
      <c r="S16" s="124">
        <f>(S13+S14)*R16</f>
        <v>4743.5381519999992</v>
      </c>
    </row>
    <row r="17" spans="2:26" ht="15.75" thickBot="1" x14ac:dyDescent="0.3">
      <c r="B17" s="119" t="s">
        <v>128</v>
      </c>
      <c r="C17" s="146">
        <v>29229</v>
      </c>
      <c r="D17" s="106">
        <f>[20]Chart!C4</f>
        <v>32198.400000000001</v>
      </c>
      <c r="E17" s="125" t="s">
        <v>113</v>
      </c>
      <c r="G17" s="151" t="s">
        <v>129</v>
      </c>
      <c r="H17" s="152"/>
      <c r="I17" s="153">
        <f>I16/I6</f>
        <v>443.80348103526603</v>
      </c>
      <c r="J17" s="154"/>
      <c r="K17" s="155"/>
      <c r="L17" s="154"/>
      <c r="N17" s="156" t="s">
        <v>125</v>
      </c>
      <c r="O17" s="157"/>
      <c r="P17" s="157">
        <f>P16+P13+P14+P15</f>
        <v>58943.695308061535</v>
      </c>
      <c r="Q17" s="156" t="s">
        <v>125</v>
      </c>
      <c r="R17" s="158"/>
      <c r="S17" s="159">
        <f>S13+S16+S14+S15</f>
        <v>44273.022751999997</v>
      </c>
    </row>
    <row r="18" spans="2:26" ht="15.75" thickBot="1" x14ac:dyDescent="0.3">
      <c r="B18" s="160" t="s">
        <v>130</v>
      </c>
      <c r="C18" s="146">
        <v>46031</v>
      </c>
      <c r="D18" s="146">
        <v>46031</v>
      </c>
      <c r="E18" s="161" t="s">
        <v>131</v>
      </c>
      <c r="H18" s="83" t="s">
        <v>132</v>
      </c>
      <c r="I18" s="162">
        <f>'[20]1. RatesForReg'!E4</f>
        <v>360.16554100933791</v>
      </c>
      <c r="J18" s="83"/>
      <c r="K18" s="83"/>
      <c r="L18" s="83"/>
      <c r="N18" s="163" t="s">
        <v>62</v>
      </c>
      <c r="O18" s="164">
        <f>D26</f>
        <v>2.6081907729015665E-2</v>
      </c>
      <c r="P18" s="121">
        <f>P17+(P17*O18)-(P11*O18)</f>
        <v>59518.536218803085</v>
      </c>
      <c r="Q18" s="163" t="s">
        <v>62</v>
      </c>
      <c r="R18" s="165">
        <f>O18</f>
        <v>2.6081907729015665E-2</v>
      </c>
      <c r="S18" s="166">
        <f>S17+(S17*R18)-(S11*R18)</f>
        <v>44587.962381243429</v>
      </c>
      <c r="U18" s="167"/>
    </row>
    <row r="19" spans="2:26" ht="15.75" thickBot="1" x14ac:dyDescent="0.3">
      <c r="B19" s="772" t="s">
        <v>54</v>
      </c>
      <c r="C19" s="773"/>
      <c r="D19" s="774"/>
      <c r="E19" s="103" t="s">
        <v>94</v>
      </c>
      <c r="H19" s="131"/>
      <c r="I19" s="164">
        <f>(I17-I18)/I18</f>
        <v>0.23222082765480237</v>
      </c>
      <c r="J19" s="123"/>
      <c r="K19" s="123"/>
      <c r="L19" s="123"/>
      <c r="N19" s="151" t="s">
        <v>129</v>
      </c>
      <c r="O19" s="139"/>
      <c r="P19" s="153">
        <f>P18/P6</f>
        <v>228.91744699539649</v>
      </c>
      <c r="Q19" s="151" t="s">
        <v>133</v>
      </c>
      <c r="R19" s="139"/>
      <c r="S19" s="153">
        <f>S18/S6</f>
        <v>21.436520375597802</v>
      </c>
      <c r="T19" s="168">
        <f>21.44*0.5</f>
        <v>10.72</v>
      </c>
    </row>
    <row r="20" spans="2:26" ht="15.75" thickBot="1" x14ac:dyDescent="0.3">
      <c r="B20" s="169" t="s">
        <v>110</v>
      </c>
      <c r="C20" s="170">
        <v>1784</v>
      </c>
      <c r="D20" s="171">
        <v>0</v>
      </c>
      <c r="E20" s="172" t="s">
        <v>134</v>
      </c>
      <c r="G20" s="768" t="s">
        <v>135</v>
      </c>
      <c r="H20" s="769"/>
      <c r="I20" s="770"/>
      <c r="J20" s="99"/>
      <c r="K20" s="99"/>
      <c r="L20" s="99"/>
      <c r="N20" s="76" t="s">
        <v>132</v>
      </c>
      <c r="O20" s="173"/>
      <c r="P20" s="173">
        <v>224.47</v>
      </c>
      <c r="Q20" t="s">
        <v>132</v>
      </c>
      <c r="R20" s="83"/>
      <c r="S20" s="174">
        <v>19.88</v>
      </c>
      <c r="U20" s="768" t="s">
        <v>123</v>
      </c>
      <c r="V20" s="769"/>
      <c r="W20" s="769"/>
      <c r="X20" s="769"/>
      <c r="Y20" s="769"/>
      <c r="Z20" s="770"/>
    </row>
    <row r="21" spans="2:26" ht="15.75" thickBot="1" x14ac:dyDescent="0.3">
      <c r="B21" s="175" t="s">
        <v>136</v>
      </c>
      <c r="C21" s="76"/>
      <c r="D21" s="176">
        <f>E37</f>
        <v>0.14615384615384616</v>
      </c>
      <c r="E21" s="172" t="s">
        <v>137</v>
      </c>
      <c r="G21" s="768" t="s">
        <v>95</v>
      </c>
      <c r="H21" s="769"/>
      <c r="I21" s="770"/>
      <c r="J21" s="99"/>
      <c r="K21" s="99"/>
      <c r="L21" s="99"/>
      <c r="N21" s="76"/>
      <c r="O21" s="131"/>
      <c r="P21" s="131">
        <f>(P19-P20)/P20</f>
        <v>1.9813101953029315E-2</v>
      </c>
      <c r="R21" s="131"/>
      <c r="S21" s="177">
        <f>(S19-S20)/S20</f>
        <v>7.8295793541136957E-2</v>
      </c>
      <c r="U21" s="768" t="s">
        <v>95</v>
      </c>
      <c r="V21" s="769"/>
      <c r="W21" s="770"/>
      <c r="X21" s="768" t="s">
        <v>96</v>
      </c>
      <c r="Y21" s="769"/>
      <c r="Z21" s="770"/>
    </row>
    <row r="22" spans="2:26" ht="15.75" thickBot="1" x14ac:dyDescent="0.3">
      <c r="B22" s="178" t="s">
        <v>116</v>
      </c>
      <c r="C22" s="179"/>
      <c r="D22" s="180">
        <v>0.224</v>
      </c>
      <c r="E22" s="172" t="s">
        <v>138</v>
      </c>
      <c r="G22" s="109" t="s">
        <v>99</v>
      </c>
      <c r="H22" s="110" t="s">
        <v>100</v>
      </c>
      <c r="I22" s="111">
        <v>260</v>
      </c>
      <c r="J22" s="110"/>
      <c r="K22" s="110"/>
      <c r="L22" s="110"/>
      <c r="N22" s="768" t="s">
        <v>120</v>
      </c>
      <c r="O22" s="769"/>
      <c r="P22" s="769"/>
      <c r="Q22" s="769"/>
      <c r="R22" s="769"/>
      <c r="S22" s="770"/>
      <c r="U22" s="109" t="s">
        <v>99</v>
      </c>
      <c r="V22" s="110" t="s">
        <v>100</v>
      </c>
      <c r="W22" s="110">
        <v>260</v>
      </c>
      <c r="X22" s="109" t="s">
        <v>101</v>
      </c>
      <c r="Y22" s="110" t="s">
        <v>102</v>
      </c>
      <c r="Z22" s="112">
        <f>W22*8</f>
        <v>2080</v>
      </c>
    </row>
    <row r="23" spans="2:26" ht="15.75" thickBot="1" x14ac:dyDescent="0.3">
      <c r="B23" s="175" t="s">
        <v>40</v>
      </c>
      <c r="C23" s="181">
        <v>0.1056</v>
      </c>
      <c r="D23" s="180">
        <v>0.12</v>
      </c>
      <c r="E23" s="172" t="s">
        <v>139</v>
      </c>
      <c r="G23" s="115"/>
      <c r="H23" s="116" t="s">
        <v>8</v>
      </c>
      <c r="I23" s="117" t="s">
        <v>10</v>
      </c>
      <c r="J23" s="118"/>
      <c r="K23" s="118"/>
      <c r="L23" s="118"/>
      <c r="N23" s="768" t="s">
        <v>95</v>
      </c>
      <c r="O23" s="769"/>
      <c r="P23" s="770"/>
      <c r="Q23" s="768" t="s">
        <v>96</v>
      </c>
      <c r="R23" s="769"/>
      <c r="S23" s="770"/>
      <c r="U23" s="115"/>
      <c r="V23" s="116" t="s">
        <v>8</v>
      </c>
      <c r="W23" s="116" t="s">
        <v>10</v>
      </c>
      <c r="X23" s="115"/>
      <c r="Y23" s="116" t="s">
        <v>8</v>
      </c>
      <c r="Z23" s="117" t="s">
        <v>10</v>
      </c>
    </row>
    <row r="24" spans="2:26" ht="15.75" thickBot="1" x14ac:dyDescent="0.3">
      <c r="B24" s="775" t="s">
        <v>140</v>
      </c>
      <c r="C24" s="776"/>
      <c r="D24" s="776"/>
      <c r="E24" s="777"/>
      <c r="G24" s="120" t="str">
        <f>B7</f>
        <v>Clinician w/Independent Licensure</v>
      </c>
      <c r="H24" s="121">
        <f>D7</f>
        <v>60923</v>
      </c>
      <c r="I24" s="122">
        <f>H24</f>
        <v>60923</v>
      </c>
      <c r="J24" s="121"/>
      <c r="K24" s="121"/>
      <c r="L24" s="121"/>
      <c r="N24" s="109" t="s">
        <v>99</v>
      </c>
      <c r="O24" s="110" t="s">
        <v>100</v>
      </c>
      <c r="P24" s="110">
        <v>260</v>
      </c>
      <c r="Q24" s="109" t="s">
        <v>101</v>
      </c>
      <c r="R24" s="110" t="s">
        <v>102</v>
      </c>
      <c r="S24" s="112">
        <f>P24*8</f>
        <v>2080</v>
      </c>
      <c r="U24" s="120" t="str">
        <f>B15</f>
        <v>Food Service III</v>
      </c>
      <c r="V24" s="121">
        <f>D15</f>
        <v>38900</v>
      </c>
      <c r="W24" s="121">
        <f>V24</f>
        <v>38900</v>
      </c>
      <c r="X24" s="120" t="str">
        <f>U24</f>
        <v>Food Service III</v>
      </c>
      <c r="Y24" s="123">
        <f>D15</f>
        <v>38900</v>
      </c>
      <c r="Z24" s="124">
        <f>Y24</f>
        <v>38900</v>
      </c>
    </row>
    <row r="25" spans="2:26" x14ac:dyDescent="0.25">
      <c r="B25" s="182" t="s">
        <v>141</v>
      </c>
      <c r="C25" s="183"/>
      <c r="D25" s="184">
        <v>3.7000000000000002E-3</v>
      </c>
      <c r="E25" s="185" t="s">
        <v>142</v>
      </c>
      <c r="G25" s="126" t="s">
        <v>110</v>
      </c>
      <c r="H25" s="127"/>
      <c r="I25" s="128">
        <f>I9</f>
        <v>0</v>
      </c>
      <c r="J25" s="121"/>
      <c r="K25" s="121"/>
      <c r="L25" s="121"/>
      <c r="N25" s="115"/>
      <c r="O25" s="116" t="s">
        <v>8</v>
      </c>
      <c r="P25" s="116" t="s">
        <v>10</v>
      </c>
      <c r="Q25" s="115"/>
      <c r="R25" s="116" t="s">
        <v>8</v>
      </c>
      <c r="S25" s="117" t="s">
        <v>10</v>
      </c>
      <c r="U25" s="129" t="s">
        <v>111</v>
      </c>
      <c r="V25" s="130">
        <f>D21</f>
        <v>0.14615384615384616</v>
      </c>
      <c r="W25" s="121">
        <f>V24*V25</f>
        <v>5685.3846153846162</v>
      </c>
      <c r="X25" s="129"/>
      <c r="Y25" s="131"/>
      <c r="Z25" s="124"/>
    </row>
    <row r="26" spans="2:26" ht="15.75" thickBot="1" x14ac:dyDescent="0.3">
      <c r="B26" s="186" t="s">
        <v>143</v>
      </c>
      <c r="C26" s="187"/>
      <c r="D26" s="188">
        <f>[20]CPIMA!BY23</f>
        <v>2.6081907729015665E-2</v>
      </c>
      <c r="E26" s="189" t="s">
        <v>144</v>
      </c>
      <c r="G26" s="132" t="s">
        <v>42</v>
      </c>
      <c r="H26" s="121"/>
      <c r="I26" s="122">
        <f>SUM(I24:I25)</f>
        <v>60923</v>
      </c>
      <c r="J26" s="121"/>
      <c r="K26" s="121"/>
      <c r="L26" s="121"/>
      <c r="N26" s="120" t="str">
        <f>B14</f>
        <v>Food Service II</v>
      </c>
      <c r="O26" s="121">
        <f>D14</f>
        <v>35970</v>
      </c>
      <c r="P26" s="121">
        <f>O26</f>
        <v>35970</v>
      </c>
      <c r="Q26" s="120" t="str">
        <f>N26</f>
        <v>Food Service II</v>
      </c>
      <c r="R26" s="123">
        <f>D14</f>
        <v>35970</v>
      </c>
      <c r="S26" s="124">
        <f>R26</f>
        <v>35970</v>
      </c>
      <c r="U26" s="126" t="s">
        <v>110</v>
      </c>
      <c r="V26" s="127"/>
      <c r="W26" s="127">
        <f>P28</f>
        <v>0</v>
      </c>
      <c r="X26" s="126" t="s">
        <v>110</v>
      </c>
      <c r="Y26" s="133"/>
      <c r="Z26" s="134">
        <f>W26</f>
        <v>0</v>
      </c>
    </row>
    <row r="27" spans="2:26" ht="16.5" thickBot="1" x14ac:dyDescent="0.3">
      <c r="B27" s="190" t="s">
        <v>62</v>
      </c>
      <c r="C27" s="190"/>
      <c r="D27" s="191">
        <v>2.4899999999999999E-2</v>
      </c>
      <c r="E27" s="192" t="s">
        <v>145</v>
      </c>
      <c r="G27" s="129" t="s">
        <v>116</v>
      </c>
      <c r="H27" s="130">
        <f>D22</f>
        <v>0.224</v>
      </c>
      <c r="I27" s="122">
        <f>H27*I26</f>
        <v>13646.752</v>
      </c>
      <c r="J27" s="121"/>
      <c r="K27" s="121"/>
      <c r="L27" s="121"/>
      <c r="N27" s="129" t="s">
        <v>111</v>
      </c>
      <c r="O27" s="130">
        <f>D21</f>
        <v>0.14615384615384616</v>
      </c>
      <c r="P27" s="121">
        <f>O26*O27</f>
        <v>5257.1538461538466</v>
      </c>
      <c r="Q27" s="129"/>
      <c r="R27" s="131"/>
      <c r="S27" s="124"/>
      <c r="U27" s="132" t="s">
        <v>42</v>
      </c>
      <c r="V27" s="121"/>
      <c r="W27" s="121">
        <f>SUM(W24:W26)</f>
        <v>44585.384615384617</v>
      </c>
      <c r="X27" s="132" t="s">
        <v>42</v>
      </c>
      <c r="Y27" s="83"/>
      <c r="Z27" s="124">
        <f>SUM(Z24:Z26)</f>
        <v>38900</v>
      </c>
    </row>
    <row r="28" spans="2:26" ht="19.5" thickBot="1" x14ac:dyDescent="0.35">
      <c r="B28" s="778" t="s">
        <v>146</v>
      </c>
      <c r="C28" s="779"/>
      <c r="D28" s="780"/>
      <c r="E28" s="193" t="s">
        <v>147</v>
      </c>
      <c r="G28" s="138" t="s">
        <v>32</v>
      </c>
      <c r="H28" s="136"/>
      <c r="I28" s="137">
        <f>I26+I27</f>
        <v>74569.752000000008</v>
      </c>
      <c r="J28" s="121"/>
      <c r="K28" s="121"/>
      <c r="L28" s="121"/>
      <c r="N28" s="126" t="s">
        <v>110</v>
      </c>
      <c r="O28" s="127"/>
      <c r="P28" s="127">
        <f>P10</f>
        <v>0</v>
      </c>
      <c r="Q28" s="126" t="s">
        <v>110</v>
      </c>
      <c r="R28" s="133"/>
      <c r="S28" s="134">
        <f>P28</f>
        <v>0</v>
      </c>
      <c r="U28" s="129" t="s">
        <v>116</v>
      </c>
      <c r="V28" s="130">
        <f>D22</f>
        <v>0.224</v>
      </c>
      <c r="W28" s="121">
        <f>V28*W27</f>
        <v>9987.1261538461549</v>
      </c>
      <c r="X28" s="129" t="s">
        <v>116</v>
      </c>
      <c r="Y28" s="131">
        <f>O30</f>
        <v>0.224</v>
      </c>
      <c r="Z28" s="124">
        <f>V28*Z27</f>
        <v>8713.6</v>
      </c>
    </row>
    <row r="29" spans="2:26" ht="15.75" thickBot="1" x14ac:dyDescent="0.3">
      <c r="D29" s="194"/>
      <c r="E29"/>
      <c r="G29" s="129" t="s">
        <v>119</v>
      </c>
      <c r="H29" s="130">
        <f>D25</f>
        <v>3.7000000000000002E-3</v>
      </c>
      <c r="I29" s="122">
        <f>I26*H29</f>
        <v>225.41510000000002</v>
      </c>
      <c r="J29" s="121"/>
      <c r="K29" s="121"/>
      <c r="L29" s="121"/>
      <c r="N29" s="132" t="s">
        <v>42</v>
      </c>
      <c r="O29" s="121"/>
      <c r="P29" s="121">
        <f>SUM(P26:P28)</f>
        <v>41227.153846153844</v>
      </c>
      <c r="Q29" s="132" t="s">
        <v>42</v>
      </c>
      <c r="R29" s="83"/>
      <c r="S29" s="124">
        <f>SUM(S26:S28)</f>
        <v>35970</v>
      </c>
      <c r="U29" s="138" t="s">
        <v>32</v>
      </c>
      <c r="V29" s="136"/>
      <c r="W29" s="137">
        <f>W27+W28</f>
        <v>54572.510769230772</v>
      </c>
      <c r="X29" s="138" t="s">
        <v>32</v>
      </c>
      <c r="Y29" s="139"/>
      <c r="Z29" s="140">
        <f>Z27+Z28</f>
        <v>47613.599999999999</v>
      </c>
    </row>
    <row r="30" spans="2:26" ht="15.75" thickBot="1" x14ac:dyDescent="0.3">
      <c r="B30" s="739" t="s">
        <v>1</v>
      </c>
      <c r="C30" s="740"/>
      <c r="D30" s="740"/>
      <c r="E30" s="741"/>
      <c r="G30" s="129" t="s">
        <v>122</v>
      </c>
      <c r="H30" s="141">
        <f>D23</f>
        <v>0.12</v>
      </c>
      <c r="I30" s="122">
        <f>(I28+I29)*H30</f>
        <v>8975.4200519999995</v>
      </c>
      <c r="J30" s="121"/>
      <c r="K30" s="121"/>
      <c r="L30" s="121"/>
      <c r="N30" s="129" t="s">
        <v>116</v>
      </c>
      <c r="O30" s="130">
        <f>D22</f>
        <v>0.224</v>
      </c>
      <c r="P30" s="121">
        <f>O30*P29</f>
        <v>9234.8824615384619</v>
      </c>
      <c r="Q30" s="129" t="s">
        <v>116</v>
      </c>
      <c r="R30" s="131">
        <f>D22</f>
        <v>0.224</v>
      </c>
      <c r="S30" s="124">
        <f>O30*S29</f>
        <v>8057.28</v>
      </c>
      <c r="U30" s="129" t="str">
        <f>B25</f>
        <v xml:space="preserve">PFMLA </v>
      </c>
      <c r="V30" s="130">
        <f>D25</f>
        <v>3.7000000000000002E-3</v>
      </c>
      <c r="W30" s="121">
        <f>W27*V30</f>
        <v>164.9659230769231</v>
      </c>
      <c r="X30" s="129" t="str">
        <f>B25</f>
        <v xml:space="preserve">PFMLA </v>
      </c>
      <c r="Y30" s="131">
        <f>D25</f>
        <v>3.7000000000000002E-3</v>
      </c>
      <c r="Z30" s="142">
        <f>Z27*Y30</f>
        <v>143.93</v>
      </c>
    </row>
    <row r="31" spans="2:26" ht="15.75" thickBot="1" x14ac:dyDescent="0.3">
      <c r="B31" s="4"/>
      <c r="C31" s="15"/>
      <c r="D31" s="5" t="s">
        <v>2</v>
      </c>
      <c r="E31" s="6" t="s">
        <v>3</v>
      </c>
      <c r="G31" s="143" t="s">
        <v>125</v>
      </c>
      <c r="H31" s="144"/>
      <c r="I31" s="145">
        <f>I30+I28+I29</f>
        <v>83770.587152000007</v>
      </c>
      <c r="J31" s="146"/>
      <c r="K31" s="146"/>
      <c r="L31" s="146"/>
      <c r="N31" s="138" t="s">
        <v>32</v>
      </c>
      <c r="O31" s="136"/>
      <c r="P31" s="137">
        <f>P29+P30</f>
        <v>50462.036307692309</v>
      </c>
      <c r="Q31" s="138" t="s">
        <v>32</v>
      </c>
      <c r="R31" s="139"/>
      <c r="S31" s="140">
        <f>S29+S30</f>
        <v>44027.28</v>
      </c>
      <c r="U31" s="129" t="s">
        <v>126</v>
      </c>
      <c r="V31" s="130"/>
      <c r="W31" s="121">
        <v>8200</v>
      </c>
      <c r="X31" s="129"/>
      <c r="Y31" s="131"/>
      <c r="Z31" s="142"/>
    </row>
    <row r="32" spans="2:26" ht="15.75" thickBot="1" x14ac:dyDescent="0.3">
      <c r="B32" s="195" t="s">
        <v>6</v>
      </c>
      <c r="C32" s="196"/>
      <c r="D32" s="197">
        <v>15</v>
      </c>
      <c r="E32" s="198">
        <f>D32*8</f>
        <v>120</v>
      </c>
      <c r="G32" s="147" t="s">
        <v>62</v>
      </c>
      <c r="H32" s="148">
        <f>D26</f>
        <v>2.6081907729015665E-2</v>
      </c>
      <c r="I32" s="149">
        <f>I31+(I31*H32)-(I26*H32)</f>
        <v>84366.495811929111</v>
      </c>
      <c r="J32" s="771"/>
      <c r="K32" s="771"/>
      <c r="L32" s="150"/>
      <c r="N32" s="129" t="str">
        <f>B25</f>
        <v xml:space="preserve">PFMLA </v>
      </c>
      <c r="O32" s="130">
        <f>D25</f>
        <v>3.7000000000000002E-3</v>
      </c>
      <c r="P32" s="121">
        <f>P29*O32</f>
        <v>152.54046923076922</v>
      </c>
      <c r="Q32" s="129" t="str">
        <f>B25</f>
        <v xml:space="preserve">PFMLA </v>
      </c>
      <c r="R32" s="131">
        <f>D25</f>
        <v>3.7000000000000002E-3</v>
      </c>
      <c r="S32" s="142">
        <f>S29*R32</f>
        <v>133.089</v>
      </c>
      <c r="U32" s="129" t="s">
        <v>122</v>
      </c>
      <c r="V32" s="141">
        <f>D23</f>
        <v>0.12</v>
      </c>
      <c r="W32" s="121">
        <f>(W29+W30)*V32</f>
        <v>6568.4972030769231</v>
      </c>
      <c r="X32" s="129" t="s">
        <v>122</v>
      </c>
      <c r="Y32" s="131">
        <f>V32</f>
        <v>0.12</v>
      </c>
      <c r="Z32" s="124">
        <f>(Z29+Z30)*Y32</f>
        <v>5730.9035999999996</v>
      </c>
    </row>
    <row r="33" spans="2:27" ht="15.75" thickBot="1" x14ac:dyDescent="0.3">
      <c r="B33" s="195" t="s">
        <v>7</v>
      </c>
      <c r="C33" s="196"/>
      <c r="D33" s="197">
        <v>8</v>
      </c>
      <c r="E33" s="198">
        <f>D33*8</f>
        <v>64</v>
      </c>
      <c r="G33" s="151" t="s">
        <v>129</v>
      </c>
      <c r="H33" s="199"/>
      <c r="I33" s="200">
        <f>I32/I22</f>
        <v>324.48652235357349</v>
      </c>
      <c r="J33" s="201"/>
      <c r="K33" s="202"/>
      <c r="L33" s="201"/>
      <c r="N33" s="129" t="s">
        <v>126</v>
      </c>
      <c r="O33" s="130"/>
      <c r="P33" s="121">
        <v>8200</v>
      </c>
      <c r="Q33" s="129"/>
      <c r="R33" s="131"/>
      <c r="S33" s="142"/>
      <c r="U33" s="156" t="s">
        <v>125</v>
      </c>
      <c r="V33" s="157"/>
      <c r="W33" s="157">
        <f>W32+W29+W30+W31</f>
        <v>69505.97389538461</v>
      </c>
      <c r="X33" s="156" t="s">
        <v>125</v>
      </c>
      <c r="Y33" s="158"/>
      <c r="Z33" s="159">
        <f>Z29+Z32+Z30</f>
        <v>53488.433599999997</v>
      </c>
    </row>
    <row r="34" spans="2:27" ht="15.75" thickBot="1" x14ac:dyDescent="0.3">
      <c r="B34" s="195" t="s">
        <v>11</v>
      </c>
      <c r="C34" s="196"/>
      <c r="D34" s="197">
        <v>10</v>
      </c>
      <c r="E34" s="198">
        <f>D34*8</f>
        <v>80</v>
      </c>
      <c r="H34" s="83" t="s">
        <v>132</v>
      </c>
      <c r="I34" s="203">
        <v>301.76</v>
      </c>
      <c r="N34" s="129" t="s">
        <v>122</v>
      </c>
      <c r="O34" s="141">
        <f>D23</f>
        <v>0.12</v>
      </c>
      <c r="P34" s="121">
        <f>(P31+P32)*O34</f>
        <v>6073.7492132307698</v>
      </c>
      <c r="Q34" s="129" t="s">
        <v>122</v>
      </c>
      <c r="R34" s="131">
        <f>D23</f>
        <v>0.12</v>
      </c>
      <c r="S34" s="124">
        <f>(S31+S32)*R34</f>
        <v>5299.2442799999999</v>
      </c>
      <c r="U34" s="163" t="s">
        <v>62</v>
      </c>
      <c r="V34" s="164">
        <f>D26</f>
        <v>2.6081907729015665E-2</v>
      </c>
      <c r="W34" s="150">
        <f>W33+(W33*V34)-(W27*V34)</f>
        <v>70155.950405538257</v>
      </c>
      <c r="X34" s="163" t="s">
        <v>62</v>
      </c>
      <c r="Y34" s="204">
        <f>V34</f>
        <v>2.6081907729015665E-2</v>
      </c>
      <c r="Z34" s="142">
        <f>Z33+(Z33*Y34)-(Z27*Y34)</f>
        <v>53868.927779066071</v>
      </c>
    </row>
    <row r="35" spans="2:27" ht="15.75" thickBot="1" x14ac:dyDescent="0.3">
      <c r="B35" s="205" t="s">
        <v>12</v>
      </c>
      <c r="C35" s="206"/>
      <c r="D35" s="207">
        <v>5</v>
      </c>
      <c r="E35" s="208">
        <f>D35*8</f>
        <v>40</v>
      </c>
      <c r="I35" s="89">
        <f>(I33-I34)/I34</f>
        <v>7.5313236855691607E-2</v>
      </c>
      <c r="N35" s="156" t="s">
        <v>125</v>
      </c>
      <c r="O35" s="157"/>
      <c r="P35" s="157">
        <f>P34+P31+P32+P33</f>
        <v>64888.325990153848</v>
      </c>
      <c r="Q35" s="156" t="s">
        <v>125</v>
      </c>
      <c r="R35" s="158"/>
      <c r="S35" s="159">
        <f>S31+S34+S32+S33</f>
        <v>49459.613279999998</v>
      </c>
      <c r="U35" s="151" t="s">
        <v>129</v>
      </c>
      <c r="V35" s="139"/>
      <c r="W35" s="153">
        <f>W34/W22</f>
        <v>269.83057848283943</v>
      </c>
      <c r="X35" s="151" t="s">
        <v>133</v>
      </c>
      <c r="Y35" s="139"/>
      <c r="Z35" s="153">
        <f>Z34/Z22</f>
        <v>25.898522970704843</v>
      </c>
      <c r="AA35" s="168">
        <f>25.9*0.5</f>
        <v>12.95</v>
      </c>
    </row>
    <row r="36" spans="2:27" ht="15" customHeight="1" thickTop="1" thickBot="1" x14ac:dyDescent="0.3">
      <c r="B36" s="195"/>
      <c r="C36" s="196"/>
      <c r="D36" s="209" t="s">
        <v>13</v>
      </c>
      <c r="E36" s="198">
        <f>SUM(E32:E35)</f>
        <v>304</v>
      </c>
      <c r="G36" s="768" t="s">
        <v>112</v>
      </c>
      <c r="H36" s="769"/>
      <c r="I36" s="769"/>
      <c r="J36" s="769"/>
      <c r="K36" s="769"/>
      <c r="L36" s="770"/>
      <c r="M36" s="210"/>
      <c r="N36" s="163" t="s">
        <v>62</v>
      </c>
      <c r="O36" s="164">
        <f>D26</f>
        <v>2.6081907729015665E-2</v>
      </c>
      <c r="P36" s="150">
        <f>P35+(P35*O36)-(P29*O36)</f>
        <v>65505.454498774016</v>
      </c>
      <c r="Q36" s="163" t="s">
        <v>62</v>
      </c>
      <c r="R36" s="204">
        <f>O36</f>
        <v>2.6081907729015665E-2</v>
      </c>
      <c r="S36" s="142">
        <f>S35+(S35*R36)-(S29*R36)</f>
        <v>49811.448128869059</v>
      </c>
      <c r="U36" t="s">
        <v>132</v>
      </c>
      <c r="V36" s="203">
        <v>254.24</v>
      </c>
      <c r="X36" t="s">
        <v>132</v>
      </c>
      <c r="Z36" s="203">
        <v>26.89</v>
      </c>
    </row>
    <row r="37" spans="2:27" ht="15.75" customHeight="1" thickBot="1" x14ac:dyDescent="0.3">
      <c r="B37" s="211"/>
      <c r="C37" s="212"/>
      <c r="D37" s="213" t="s">
        <v>14</v>
      </c>
      <c r="E37" s="214">
        <f>E36/(52*40)</f>
        <v>0.14615384615384616</v>
      </c>
      <c r="G37" s="768" t="s">
        <v>95</v>
      </c>
      <c r="H37" s="769"/>
      <c r="I37" s="770"/>
      <c r="J37" s="215" t="s">
        <v>96</v>
      </c>
      <c r="K37" s="216"/>
      <c r="L37" s="217"/>
      <c r="N37" s="151" t="s">
        <v>129</v>
      </c>
      <c r="O37" s="139"/>
      <c r="P37" s="153">
        <f>P36/P24</f>
        <v>251.94405576451544</v>
      </c>
      <c r="Q37" s="151" t="s">
        <v>133</v>
      </c>
      <c r="R37" s="139"/>
      <c r="S37" s="153">
        <f>S36/S24-0.01</f>
        <v>23.937811600417817</v>
      </c>
      <c r="T37" s="168">
        <f>23.94*0.5</f>
        <v>11.97</v>
      </c>
      <c r="V37" s="89">
        <f>(W35-V36)/V36</f>
        <v>6.1322287928097144E-2</v>
      </c>
      <c r="Z37" s="89">
        <f>(Z35-Z36)/Z36</f>
        <v>-3.6871589040355451E-2</v>
      </c>
    </row>
    <row r="38" spans="2:27" x14ac:dyDescent="0.25">
      <c r="D38"/>
      <c r="E38"/>
      <c r="G38" s="109" t="s">
        <v>99</v>
      </c>
      <c r="H38" s="110" t="s">
        <v>100</v>
      </c>
      <c r="I38" s="110">
        <v>260</v>
      </c>
      <c r="J38" s="109" t="s">
        <v>101</v>
      </c>
      <c r="K38" s="110" t="s">
        <v>102</v>
      </c>
      <c r="L38" s="112">
        <f>I38*8</f>
        <v>2080</v>
      </c>
      <c r="N38" s="76" t="s">
        <v>132</v>
      </c>
      <c r="O38" s="173">
        <v>245.77</v>
      </c>
      <c r="P38" s="154"/>
      <c r="Q38" s="76" t="s">
        <v>132</v>
      </c>
      <c r="R38" s="83"/>
      <c r="S38" s="154">
        <v>26</v>
      </c>
    </row>
    <row r="39" spans="2:27" ht="15.75" thickBot="1" x14ac:dyDescent="0.3">
      <c r="D39"/>
      <c r="E39"/>
      <c r="G39" s="115"/>
      <c r="H39" s="116" t="s">
        <v>8</v>
      </c>
      <c r="I39" s="116" t="s">
        <v>10</v>
      </c>
      <c r="J39" s="115"/>
      <c r="K39" s="116" t="s">
        <v>8</v>
      </c>
      <c r="L39" s="117" t="s">
        <v>10</v>
      </c>
      <c r="N39" s="76"/>
      <c r="O39" s="131">
        <f>(P37-O38)/O38</f>
        <v>2.5121275031596328E-2</v>
      </c>
      <c r="P39" s="201"/>
      <c r="Q39" s="76"/>
      <c r="R39" s="131"/>
      <c r="S39" s="218">
        <f>(S38-S37)/S37</f>
        <v>8.6147741239060854E-2</v>
      </c>
    </row>
    <row r="40" spans="2:27" ht="15.75" thickBot="1" x14ac:dyDescent="0.3">
      <c r="G40" s="120" t="str">
        <f>B10</f>
        <v>Maintenance I General</v>
      </c>
      <c r="H40" s="121">
        <f>D10</f>
        <v>32198</v>
      </c>
      <c r="I40" s="121">
        <f>H40</f>
        <v>32198</v>
      </c>
      <c r="J40" s="120" t="str">
        <f>G40</f>
        <v>Maintenance I General</v>
      </c>
      <c r="K40" s="123">
        <f>D10</f>
        <v>32198</v>
      </c>
      <c r="L40" s="124">
        <f>K40</f>
        <v>32198</v>
      </c>
      <c r="N40" s="768" t="s">
        <v>127</v>
      </c>
      <c r="O40" s="769"/>
      <c r="P40" s="769"/>
      <c r="Q40" s="769"/>
      <c r="R40" s="769"/>
      <c r="S40" s="770"/>
    </row>
    <row r="41" spans="2:27" ht="15.75" thickBot="1" x14ac:dyDescent="0.3">
      <c r="G41" s="129" t="s">
        <v>111</v>
      </c>
      <c r="H41" s="130">
        <f>D21</f>
        <v>0.14615384615384616</v>
      </c>
      <c r="I41" s="121">
        <f>H40*H41</f>
        <v>4705.8615384615387</v>
      </c>
      <c r="J41" s="129"/>
      <c r="K41" s="130"/>
      <c r="L41" s="124"/>
      <c r="N41" s="768" t="s">
        <v>95</v>
      </c>
      <c r="O41" s="769"/>
      <c r="P41" s="770"/>
      <c r="Q41" s="768" t="s">
        <v>96</v>
      </c>
      <c r="R41" s="769"/>
      <c r="S41" s="770"/>
    </row>
    <row r="42" spans="2:27" x14ac:dyDescent="0.25">
      <c r="F42" s="219"/>
      <c r="G42" s="126" t="s">
        <v>110</v>
      </c>
      <c r="H42" s="127"/>
      <c r="I42" s="127">
        <f>I25</f>
        <v>0</v>
      </c>
      <c r="J42" s="126" t="s">
        <v>110</v>
      </c>
      <c r="K42" s="133"/>
      <c r="L42" s="134">
        <f>I42</f>
        <v>0</v>
      </c>
      <c r="N42" s="109" t="s">
        <v>99</v>
      </c>
      <c r="O42" s="110" t="s">
        <v>100</v>
      </c>
      <c r="P42" s="110">
        <v>260</v>
      </c>
      <c r="Q42" s="109" t="s">
        <v>101</v>
      </c>
      <c r="R42" s="110" t="s">
        <v>102</v>
      </c>
      <c r="S42" s="112">
        <f>P42*8</f>
        <v>2080</v>
      </c>
    </row>
    <row r="43" spans="2:27" x14ac:dyDescent="0.25">
      <c r="G43" s="132" t="s">
        <v>42</v>
      </c>
      <c r="H43" s="121"/>
      <c r="I43" s="121">
        <f>SUM(I40:I42)</f>
        <v>36903.86153846154</v>
      </c>
      <c r="J43" s="132" t="s">
        <v>42</v>
      </c>
      <c r="K43" s="83"/>
      <c r="L43" s="124">
        <f>L40+L41+L42</f>
        <v>32198</v>
      </c>
      <c r="N43" s="115"/>
      <c r="O43" s="116" t="s">
        <v>8</v>
      </c>
      <c r="P43" s="116" t="s">
        <v>10</v>
      </c>
      <c r="Q43" s="115"/>
      <c r="R43" s="116" t="s">
        <v>8</v>
      </c>
      <c r="S43" s="117" t="s">
        <v>10</v>
      </c>
    </row>
    <row r="44" spans="2:27" ht="15.75" thickBot="1" x14ac:dyDescent="0.3">
      <c r="E44" s="123"/>
      <c r="G44" s="129" t="s">
        <v>116</v>
      </c>
      <c r="H44" s="130">
        <f>D22</f>
        <v>0.224</v>
      </c>
      <c r="I44" s="121">
        <f>H44*I43</f>
        <v>8266.4649846153861</v>
      </c>
      <c r="J44" s="129" t="s">
        <v>116</v>
      </c>
      <c r="K44" s="131">
        <f>D22</f>
        <v>0.224</v>
      </c>
      <c r="L44" s="124">
        <f>H44*L43</f>
        <v>7212.3519999999999</v>
      </c>
      <c r="N44" s="120" t="str">
        <f>B16</f>
        <v>Transporter</v>
      </c>
      <c r="O44" s="121">
        <f>D16</f>
        <v>32198</v>
      </c>
      <c r="P44" s="121">
        <f>O44</f>
        <v>32198</v>
      </c>
      <c r="Q44" s="120" t="str">
        <f>N44</f>
        <v>Transporter</v>
      </c>
      <c r="R44" s="123">
        <f>D16</f>
        <v>32198</v>
      </c>
      <c r="S44" s="124">
        <f>R44</f>
        <v>32198</v>
      </c>
    </row>
    <row r="45" spans="2:27" ht="15.75" thickBot="1" x14ac:dyDescent="0.3">
      <c r="G45" s="138" t="s">
        <v>32</v>
      </c>
      <c r="H45" s="136"/>
      <c r="I45" s="137">
        <f>I43+I44</f>
        <v>45170.326523076925</v>
      </c>
      <c r="J45" s="138" t="s">
        <v>32</v>
      </c>
      <c r="K45" s="139"/>
      <c r="L45" s="140">
        <f>L43+L44</f>
        <v>39410.351999999999</v>
      </c>
      <c r="N45" s="120" t="s">
        <v>111</v>
      </c>
      <c r="O45" s="141">
        <f>D21</f>
        <v>0.14615384615384616</v>
      </c>
      <c r="P45" s="121">
        <f>O44*O45</f>
        <v>4705.8615384615387</v>
      </c>
      <c r="Q45" s="120"/>
      <c r="R45" s="220"/>
      <c r="S45" s="124"/>
      <c r="U45" s="221"/>
    </row>
    <row r="46" spans="2:27" x14ac:dyDescent="0.25">
      <c r="G46" s="129" t="str">
        <f>B25</f>
        <v xml:space="preserve">PFMLA </v>
      </c>
      <c r="H46" s="130">
        <f>D25</f>
        <v>3.7000000000000002E-3</v>
      </c>
      <c r="I46" s="121">
        <f>I43*H46</f>
        <v>136.54428769230771</v>
      </c>
      <c r="J46" s="129" t="str">
        <f>B25</f>
        <v xml:space="preserve">PFMLA </v>
      </c>
      <c r="K46" s="131">
        <f>D25</f>
        <v>3.7000000000000002E-3</v>
      </c>
      <c r="L46" s="142">
        <f>K46*L43</f>
        <v>119.13260000000001</v>
      </c>
      <c r="N46" s="126" t="s">
        <v>110</v>
      </c>
      <c r="O46" s="127"/>
      <c r="P46" s="127">
        <f>P28</f>
        <v>0</v>
      </c>
      <c r="Q46" s="126" t="s">
        <v>110</v>
      </c>
      <c r="R46" s="133"/>
      <c r="S46" s="134">
        <f>P46</f>
        <v>0</v>
      </c>
    </row>
    <row r="47" spans="2:27" x14ac:dyDescent="0.25">
      <c r="G47" s="129" t="s">
        <v>148</v>
      </c>
      <c r="H47" s="130"/>
      <c r="I47" s="121">
        <v>2100</v>
      </c>
      <c r="J47" s="129"/>
      <c r="K47" s="131"/>
      <c r="L47" s="142"/>
      <c r="N47" s="132" t="s">
        <v>42</v>
      </c>
      <c r="O47" s="121"/>
      <c r="P47" s="121">
        <f>SUM(P44:P46)</f>
        <v>36903.86153846154</v>
      </c>
      <c r="Q47" s="132" t="s">
        <v>42</v>
      </c>
      <c r="R47" s="83"/>
      <c r="S47" s="124">
        <f>S44+S46+S45</f>
        <v>32198</v>
      </c>
    </row>
    <row r="48" spans="2:27" ht="15.75" thickBot="1" x14ac:dyDescent="0.3">
      <c r="G48" s="129" t="s">
        <v>122</v>
      </c>
      <c r="H48" s="141">
        <f>D23</f>
        <v>0.12</v>
      </c>
      <c r="I48" s="121">
        <f>(I45+I46)*H48</f>
        <v>5436.8244972923076</v>
      </c>
      <c r="J48" s="129" t="s">
        <v>122</v>
      </c>
      <c r="K48" s="131">
        <f>D23</f>
        <v>0.12</v>
      </c>
      <c r="L48" s="124">
        <f>(L45+L46)*K48</f>
        <v>4743.5381519999992</v>
      </c>
      <c r="N48" s="129" t="s">
        <v>116</v>
      </c>
      <c r="O48" s="130">
        <f>D22</f>
        <v>0.224</v>
      </c>
      <c r="P48" s="121">
        <f>O48*P47</f>
        <v>8266.4649846153861</v>
      </c>
      <c r="Q48" s="129" t="s">
        <v>116</v>
      </c>
      <c r="R48" s="131">
        <f>O48</f>
        <v>0.224</v>
      </c>
      <c r="S48" s="124">
        <f>S47*R48</f>
        <v>7212.3519999999999</v>
      </c>
    </row>
    <row r="49" spans="7:21" ht="15.75" thickBot="1" x14ac:dyDescent="0.3">
      <c r="G49" s="156" t="s">
        <v>125</v>
      </c>
      <c r="H49" s="157"/>
      <c r="I49" s="157">
        <f>I48+I45+I46+I47</f>
        <v>52843.695308061535</v>
      </c>
      <c r="J49" s="156" t="s">
        <v>125</v>
      </c>
      <c r="K49" s="158"/>
      <c r="L49" s="159">
        <f>L45+L48+L46+L47</f>
        <v>44273.022751999997</v>
      </c>
      <c r="N49" s="138" t="s">
        <v>32</v>
      </c>
      <c r="O49" s="136"/>
      <c r="P49" s="137">
        <f>P47+P48</f>
        <v>45170.326523076925</v>
      </c>
      <c r="Q49" s="138" t="s">
        <v>32</v>
      </c>
      <c r="R49" s="139"/>
      <c r="S49" s="140">
        <f>S47+S48</f>
        <v>39410.351999999999</v>
      </c>
    </row>
    <row r="50" spans="7:21" ht="16.5" thickTop="1" thickBot="1" x14ac:dyDescent="0.3">
      <c r="G50" s="163" t="s">
        <v>62</v>
      </c>
      <c r="H50" s="130">
        <f>D26</f>
        <v>2.6081907729015665E-2</v>
      </c>
      <c r="I50" s="150">
        <f>I49+(I49*H50)-(I43*H50)</f>
        <v>53259.436581656089</v>
      </c>
      <c r="J50" s="163" t="s">
        <v>62</v>
      </c>
      <c r="K50" s="131">
        <f>H50</f>
        <v>2.6081907729015665E-2</v>
      </c>
      <c r="L50" s="142">
        <f>L49+(L49*K50)-(L43*K50)</f>
        <v>44587.962381243429</v>
      </c>
      <c r="M50" s="222"/>
      <c r="N50" s="129" t="str">
        <f>B25</f>
        <v xml:space="preserve">PFMLA </v>
      </c>
      <c r="O50" s="130">
        <f>D25</f>
        <v>3.7000000000000002E-3</v>
      </c>
      <c r="P50" s="121">
        <f>P47*O50</f>
        <v>136.54428769230771</v>
      </c>
      <c r="Q50" s="129" t="str">
        <f>B25</f>
        <v xml:space="preserve">PFMLA </v>
      </c>
      <c r="R50" s="131">
        <f>D25</f>
        <v>3.7000000000000002E-3</v>
      </c>
      <c r="S50" s="142">
        <f>S47*R50</f>
        <v>119.13260000000001</v>
      </c>
    </row>
    <row r="51" spans="7:21" ht="15.75" thickBot="1" x14ac:dyDescent="0.3">
      <c r="G51" s="151" t="s">
        <v>129</v>
      </c>
      <c r="H51" s="199"/>
      <c r="I51" s="223">
        <f>I50/I38</f>
        <v>204.84398685252341</v>
      </c>
      <c r="J51" s="151" t="s">
        <v>133</v>
      </c>
      <c r="K51" s="224"/>
      <c r="L51" s="200">
        <f>L50/L38</f>
        <v>21.436520375597802</v>
      </c>
      <c r="M51">
        <f>21.44*0.5</f>
        <v>10.72</v>
      </c>
      <c r="N51" s="129" t="s">
        <v>122</v>
      </c>
      <c r="O51" s="141">
        <f>D23</f>
        <v>0.12</v>
      </c>
      <c r="P51" s="121">
        <f>(P49+P50)*O51</f>
        <v>5436.8244972923076</v>
      </c>
      <c r="Q51" s="129" t="s">
        <v>122</v>
      </c>
      <c r="R51" s="131">
        <f>O51</f>
        <v>0.12</v>
      </c>
      <c r="S51" s="124">
        <f>(S49+S50)*R51</f>
        <v>4743.5381519999992</v>
      </c>
      <c r="U51" s="167"/>
    </row>
    <row r="52" spans="7:21" ht="15.75" thickBot="1" x14ac:dyDescent="0.3">
      <c r="H52" t="s">
        <v>132</v>
      </c>
      <c r="I52" s="203">
        <v>199.78</v>
      </c>
      <c r="J52" s="76" t="s">
        <v>132</v>
      </c>
      <c r="K52" s="76"/>
      <c r="L52">
        <f>'[20]1. RatesForReg'!F7</f>
        <v>21.16</v>
      </c>
      <c r="N52" s="156" t="s">
        <v>125</v>
      </c>
      <c r="O52" s="157"/>
      <c r="P52" s="157">
        <f>P51+P49+P50</f>
        <v>50743.695308061535</v>
      </c>
      <c r="Q52" s="156" t="s">
        <v>125</v>
      </c>
      <c r="R52" s="158"/>
      <c r="S52" s="159">
        <f>S49+S51+S50</f>
        <v>44273.022751999997</v>
      </c>
    </row>
    <row r="53" spans="7:21" ht="15.6" customHeight="1" thickTop="1" thickBot="1" x14ac:dyDescent="0.3">
      <c r="I53" s="89">
        <f>(I51-I52)/I52</f>
        <v>2.5347816861164347E-2</v>
      </c>
      <c r="L53" s="89">
        <f>(L51-L52)/L52</f>
        <v>1.3068070680425398E-2</v>
      </c>
      <c r="N53" s="163" t="s">
        <v>62</v>
      </c>
      <c r="O53" s="164">
        <f>D26</f>
        <v>2.6081907729015665E-2</v>
      </c>
      <c r="P53" s="121">
        <f>P52+(P52*O53)-(P47*O53)</f>
        <v>51104.664575425159</v>
      </c>
      <c r="Q53" s="163" t="s">
        <v>62</v>
      </c>
      <c r="R53" s="165">
        <f>O53</f>
        <v>2.6081907729015665E-2</v>
      </c>
      <c r="S53" s="166">
        <f>S52+(S52*R53)-(S47*R53)</f>
        <v>44587.962381243429</v>
      </c>
    </row>
    <row r="54" spans="7:21" ht="15.75" customHeight="1" thickBot="1" x14ac:dyDescent="0.3">
      <c r="G54" s="768" t="s">
        <v>114</v>
      </c>
      <c r="H54" s="769"/>
      <c r="I54" s="769"/>
      <c r="J54" s="769"/>
      <c r="K54" s="769"/>
      <c r="L54" s="770"/>
      <c r="N54" s="151" t="s">
        <v>129</v>
      </c>
      <c r="O54" s="139"/>
      <c r="P54" s="153">
        <f>P53/P42</f>
        <v>196.5564022131737</v>
      </c>
      <c r="Q54" s="151" t="s">
        <v>133</v>
      </c>
      <c r="R54" s="139"/>
      <c r="S54" s="153">
        <f>S53/S42</f>
        <v>21.436520375597802</v>
      </c>
    </row>
    <row r="55" spans="7:21" ht="15.75" thickBot="1" x14ac:dyDescent="0.3">
      <c r="G55" s="768" t="s">
        <v>95</v>
      </c>
      <c r="H55" s="769"/>
      <c r="I55" s="770"/>
      <c r="J55" s="215" t="s">
        <v>96</v>
      </c>
      <c r="K55" s="216"/>
      <c r="L55" s="217"/>
      <c r="N55" s="76" t="s">
        <v>132</v>
      </c>
      <c r="O55" s="173"/>
      <c r="P55" s="173">
        <v>217.36</v>
      </c>
      <c r="Q55" s="76" t="s">
        <v>132</v>
      </c>
      <c r="R55" s="131"/>
      <c r="S55" s="201">
        <v>23.04</v>
      </c>
    </row>
    <row r="56" spans="7:21" ht="15.75" thickBot="1" x14ac:dyDescent="0.3">
      <c r="G56" s="109" t="s">
        <v>99</v>
      </c>
      <c r="H56" s="110" t="s">
        <v>100</v>
      </c>
      <c r="I56" s="110">
        <v>260</v>
      </c>
      <c r="J56" s="109" t="s">
        <v>101</v>
      </c>
      <c r="K56" s="110" t="s">
        <v>102</v>
      </c>
      <c r="L56" s="112">
        <f>I56*8</f>
        <v>2080</v>
      </c>
      <c r="O56" s="89"/>
      <c r="P56" s="89">
        <f>(P54-P55)/P55</f>
        <v>-9.5710332107224488E-2</v>
      </c>
      <c r="S56" s="89">
        <f>(S54-S55)/S55</f>
        <v>-6.9595469809123164E-2</v>
      </c>
    </row>
    <row r="57" spans="7:21" ht="15.75" thickBot="1" x14ac:dyDescent="0.3">
      <c r="G57" s="115"/>
      <c r="H57" s="116" t="s">
        <v>8</v>
      </c>
      <c r="I57" s="116" t="s">
        <v>10</v>
      </c>
      <c r="J57" s="115"/>
      <c r="K57" s="116" t="s">
        <v>8</v>
      </c>
      <c r="L57" s="117" t="s">
        <v>10</v>
      </c>
      <c r="N57" s="768" t="s">
        <v>128</v>
      </c>
      <c r="O57" s="769"/>
      <c r="P57" s="769"/>
      <c r="Q57" s="769"/>
      <c r="R57" s="769"/>
      <c r="S57" s="770"/>
    </row>
    <row r="58" spans="7:21" ht="15.75" thickBot="1" x14ac:dyDescent="0.3">
      <c r="G58" s="120" t="str">
        <f>B11</f>
        <v>Maintenance II Skilled</v>
      </c>
      <c r="H58" s="121">
        <f>D11</f>
        <v>36890</v>
      </c>
      <c r="I58" s="121">
        <f>H58</f>
        <v>36890</v>
      </c>
      <c r="J58" s="120" t="str">
        <f>G58</f>
        <v>Maintenance II Skilled</v>
      </c>
      <c r="K58" s="123">
        <f>D11</f>
        <v>36890</v>
      </c>
      <c r="L58" s="124">
        <f>K58</f>
        <v>36890</v>
      </c>
      <c r="N58" s="768" t="s">
        <v>95</v>
      </c>
      <c r="O58" s="769"/>
      <c r="P58" s="770"/>
      <c r="Q58" s="768" t="s">
        <v>96</v>
      </c>
      <c r="R58" s="769"/>
      <c r="S58" s="770"/>
    </row>
    <row r="59" spans="7:21" x14ac:dyDescent="0.25">
      <c r="G59" s="129" t="s">
        <v>111</v>
      </c>
      <c r="H59" s="130">
        <f>H41</f>
        <v>0.14615384615384616</v>
      </c>
      <c r="I59" s="121">
        <f>H58*H59</f>
        <v>5391.6153846153848</v>
      </c>
      <c r="J59" s="129"/>
      <c r="K59" s="131"/>
      <c r="L59" s="124"/>
      <c r="N59" s="109" t="s">
        <v>99</v>
      </c>
      <c r="O59" s="110" t="s">
        <v>100</v>
      </c>
      <c r="P59" s="110">
        <v>260</v>
      </c>
      <c r="Q59" s="109" t="s">
        <v>101</v>
      </c>
      <c r="R59" s="110" t="s">
        <v>102</v>
      </c>
      <c r="S59" s="112">
        <f>P59*8</f>
        <v>2080</v>
      </c>
    </row>
    <row r="60" spans="7:21" x14ac:dyDescent="0.25">
      <c r="G60" s="126" t="s">
        <v>110</v>
      </c>
      <c r="H60" s="127"/>
      <c r="I60" s="127">
        <f>I42</f>
        <v>0</v>
      </c>
      <c r="J60" s="126" t="s">
        <v>110</v>
      </c>
      <c r="K60" s="133"/>
      <c r="L60" s="134">
        <f>I60</f>
        <v>0</v>
      </c>
      <c r="N60" s="115"/>
      <c r="O60" s="116" t="s">
        <v>8</v>
      </c>
      <c r="P60" s="116" t="s">
        <v>10</v>
      </c>
      <c r="Q60" s="115"/>
      <c r="R60" s="116" t="s">
        <v>8</v>
      </c>
      <c r="S60" s="117" t="s">
        <v>10</v>
      </c>
    </row>
    <row r="61" spans="7:21" x14ac:dyDescent="0.25">
      <c r="G61" s="132" t="s">
        <v>42</v>
      </c>
      <c r="H61" s="121"/>
      <c r="I61" s="121">
        <f>SUM(I58:I60)</f>
        <v>42281.615384615383</v>
      </c>
      <c r="J61" s="132" t="s">
        <v>42</v>
      </c>
      <c r="K61" s="83"/>
      <c r="L61" s="124">
        <f>SUM(L58:L60)</f>
        <v>36890</v>
      </c>
      <c r="N61" s="120" t="str">
        <f>B17</f>
        <v>Security</v>
      </c>
      <c r="O61" s="121">
        <f>D17</f>
        <v>32198.400000000001</v>
      </c>
      <c r="P61" s="121">
        <f>O61</f>
        <v>32198.400000000001</v>
      </c>
      <c r="Q61" s="120" t="str">
        <f>N61</f>
        <v>Security</v>
      </c>
      <c r="R61" s="123">
        <f>D17</f>
        <v>32198.400000000001</v>
      </c>
      <c r="S61" s="124">
        <f>R61</f>
        <v>32198.400000000001</v>
      </c>
    </row>
    <row r="62" spans="7:21" ht="15.75" thickBot="1" x14ac:dyDescent="0.3">
      <c r="G62" s="129" t="s">
        <v>116</v>
      </c>
      <c r="H62" s="130">
        <f>D22</f>
        <v>0.224</v>
      </c>
      <c r="I62" s="225">
        <f>I61*H62</f>
        <v>9471.0818461538456</v>
      </c>
      <c r="J62" s="129" t="s">
        <v>116</v>
      </c>
      <c r="K62" s="131">
        <f>D22</f>
        <v>0.224</v>
      </c>
      <c r="L62" s="124">
        <f>H62*L61</f>
        <v>8263.36</v>
      </c>
      <c r="N62" s="120" t="s">
        <v>111</v>
      </c>
      <c r="O62" s="141">
        <f>D21</f>
        <v>0.14615384615384616</v>
      </c>
      <c r="P62" s="121">
        <f>O61*O62</f>
        <v>4705.92</v>
      </c>
      <c r="Q62" s="120"/>
      <c r="R62" s="220"/>
      <c r="S62" s="124"/>
    </row>
    <row r="63" spans="7:21" ht="15.75" thickBot="1" x14ac:dyDescent="0.3">
      <c r="G63" s="138" t="s">
        <v>32</v>
      </c>
      <c r="H63" s="136"/>
      <c r="I63" s="137">
        <f>I61+I62</f>
        <v>51752.697230769227</v>
      </c>
      <c r="J63" s="138" t="s">
        <v>32</v>
      </c>
      <c r="K63" s="139"/>
      <c r="L63" s="140">
        <f>L61+L62</f>
        <v>45153.36</v>
      </c>
      <c r="N63" s="126" t="s">
        <v>110</v>
      </c>
      <c r="O63" s="127"/>
      <c r="P63" s="127">
        <f>P46</f>
        <v>0</v>
      </c>
      <c r="Q63" s="126" t="s">
        <v>110</v>
      </c>
      <c r="R63" s="133"/>
      <c r="S63" s="134">
        <f>P63</f>
        <v>0</v>
      </c>
    </row>
    <row r="64" spans="7:21" x14ac:dyDescent="0.25">
      <c r="G64" s="129" t="str">
        <f>B25</f>
        <v xml:space="preserve">PFMLA </v>
      </c>
      <c r="H64" s="130">
        <f>D25</f>
        <v>3.7000000000000002E-3</v>
      </c>
      <c r="I64" s="121">
        <f>I61*H64</f>
        <v>156.44197692307694</v>
      </c>
      <c r="J64" s="129" t="str">
        <f>B25</f>
        <v xml:space="preserve">PFMLA </v>
      </c>
      <c r="K64" s="131">
        <f>D25</f>
        <v>3.7000000000000002E-3</v>
      </c>
      <c r="L64" s="142">
        <f>L61*K64</f>
        <v>136.49299999999999</v>
      </c>
      <c r="N64" s="132" t="s">
        <v>42</v>
      </c>
      <c r="O64" s="121"/>
      <c r="P64" s="121">
        <f>SUM(P61:P63)</f>
        <v>36904.32</v>
      </c>
      <c r="Q64" s="132" t="s">
        <v>42</v>
      </c>
      <c r="R64" s="83"/>
      <c r="S64" s="124">
        <f>S61+S63</f>
        <v>32198.400000000001</v>
      </c>
    </row>
    <row r="65" spans="7:21" ht="15.75" thickBot="1" x14ac:dyDescent="0.3">
      <c r="G65" s="129" t="s">
        <v>148</v>
      </c>
      <c r="H65" s="130"/>
      <c r="I65" s="121">
        <v>8250</v>
      </c>
      <c r="J65" s="129"/>
      <c r="K65" s="131"/>
      <c r="L65" s="142"/>
      <c r="N65" s="129" t="s">
        <v>116</v>
      </c>
      <c r="O65" s="130">
        <f>D22</f>
        <v>0.224</v>
      </c>
      <c r="P65" s="121">
        <f>O65*P64</f>
        <v>8266.5676800000001</v>
      </c>
      <c r="Q65" s="129" t="s">
        <v>116</v>
      </c>
      <c r="R65" s="131">
        <f>O65</f>
        <v>0.224</v>
      </c>
      <c r="S65" s="124">
        <f>O65*S64</f>
        <v>7212.4416000000001</v>
      </c>
    </row>
    <row r="66" spans="7:21" ht="15.75" thickBot="1" x14ac:dyDescent="0.3">
      <c r="G66" s="129" t="s">
        <v>122</v>
      </c>
      <c r="H66" s="141">
        <f>D23</f>
        <v>0.12</v>
      </c>
      <c r="I66" s="121">
        <f>(I63+I64)*H66</f>
        <v>6229.0967049230758</v>
      </c>
      <c r="J66" s="129" t="s">
        <v>122</v>
      </c>
      <c r="K66" s="131">
        <f>D23</f>
        <v>0.12</v>
      </c>
      <c r="L66" s="124">
        <f>(L63+L64)*K66</f>
        <v>5434.7823600000002</v>
      </c>
      <c r="N66" s="138" t="s">
        <v>32</v>
      </c>
      <c r="O66" s="136"/>
      <c r="P66" s="137">
        <f>P64+P65</f>
        <v>45170.88768</v>
      </c>
      <c r="Q66" s="138" t="s">
        <v>32</v>
      </c>
      <c r="R66" s="139"/>
      <c r="S66" s="140">
        <f>S64+S65</f>
        <v>39410.8416</v>
      </c>
    </row>
    <row r="67" spans="7:21" ht="15.75" thickBot="1" x14ac:dyDescent="0.3">
      <c r="G67" s="156" t="s">
        <v>125</v>
      </c>
      <c r="H67" s="157"/>
      <c r="I67" s="157">
        <f>I66+I63+I64+I65</f>
        <v>66388.235912615375</v>
      </c>
      <c r="J67" s="156" t="s">
        <v>125</v>
      </c>
      <c r="K67" s="158"/>
      <c r="L67" s="159">
        <f>L63+L66+L64+L65</f>
        <v>50724.63536</v>
      </c>
      <c r="M67" s="167"/>
      <c r="N67" s="129" t="str">
        <f>B25</f>
        <v xml:space="preserve">PFMLA </v>
      </c>
      <c r="O67" s="130">
        <f>D25</f>
        <v>3.7000000000000002E-3</v>
      </c>
      <c r="P67" s="121">
        <f>P64*O67</f>
        <v>136.545984</v>
      </c>
      <c r="Q67" s="129" t="str">
        <f>B25</f>
        <v xml:space="preserve">PFMLA </v>
      </c>
      <c r="R67" s="131">
        <f>D25</f>
        <v>3.7000000000000002E-3</v>
      </c>
      <c r="S67" s="142">
        <f>S64*R67</f>
        <v>119.13408000000001</v>
      </c>
    </row>
    <row r="68" spans="7:21" ht="16.5" thickTop="1" thickBot="1" x14ac:dyDescent="0.3">
      <c r="G68" s="163" t="s">
        <v>62</v>
      </c>
      <c r="H68" s="164">
        <f>D26</f>
        <v>2.6081907729015665E-2</v>
      </c>
      <c r="I68" s="146">
        <f>I67+(I67*H68)-(I61*H68)</f>
        <v>67016.982564885053</v>
      </c>
      <c r="J68" s="163" t="s">
        <v>62</v>
      </c>
      <c r="K68" s="165">
        <f>H68</f>
        <v>2.6081907729015665E-2</v>
      </c>
      <c r="L68" s="226">
        <f>L67+(L67*K68)-(L61*K68)</f>
        <v>51085.469042924102</v>
      </c>
      <c r="N68" s="129" t="s">
        <v>122</v>
      </c>
      <c r="O68" s="141">
        <f>D23</f>
        <v>0.12</v>
      </c>
      <c r="P68" s="121">
        <f>(P66+P67)*O68</f>
        <v>5436.8920396799995</v>
      </c>
      <c r="Q68" s="129" t="s">
        <v>122</v>
      </c>
      <c r="R68" s="131">
        <f>O68</f>
        <v>0.12</v>
      </c>
      <c r="S68" s="124">
        <f>(S66+S67)*R68</f>
        <v>4743.5970815999999</v>
      </c>
      <c r="U68" s="167"/>
    </row>
    <row r="69" spans="7:21" ht="15.75" thickBot="1" x14ac:dyDescent="0.3">
      <c r="G69" s="151" t="s">
        <v>129</v>
      </c>
      <c r="H69" s="139"/>
      <c r="I69" s="153">
        <f>I68/I56</f>
        <v>257.75762524955792</v>
      </c>
      <c r="J69" s="151" t="s">
        <v>133</v>
      </c>
      <c r="K69" s="139"/>
      <c r="L69" s="153">
        <f>L68/L56</f>
        <v>24.560321655251972</v>
      </c>
      <c r="M69" s="221">
        <f>24.56*0.5</f>
        <v>12.28</v>
      </c>
      <c r="N69" s="156" t="s">
        <v>125</v>
      </c>
      <c r="O69" s="157"/>
      <c r="P69" s="157">
        <f>P68+P66+P67</f>
        <v>50744.325703679999</v>
      </c>
      <c r="Q69" s="156" t="s">
        <v>125</v>
      </c>
      <c r="R69" s="158"/>
      <c r="S69" s="159">
        <f>S66+S68+S67</f>
        <v>44273.5727616</v>
      </c>
    </row>
    <row r="70" spans="7:21" ht="15.75" thickBot="1" x14ac:dyDescent="0.3">
      <c r="G70" s="76"/>
      <c r="H70" s="131" t="s">
        <v>132</v>
      </c>
      <c r="I70" s="227">
        <v>251.24</v>
      </c>
      <c r="K70" t="s">
        <v>132</v>
      </c>
      <c r="L70" s="227">
        <f>'[20]1. RatesForReg'!F8</f>
        <v>26.56</v>
      </c>
      <c r="N70" s="163" t="s">
        <v>62</v>
      </c>
      <c r="O70" s="164">
        <f>D26</f>
        <v>2.6081907729015665E-2</v>
      </c>
      <c r="P70" s="121">
        <f>P69+(P69*O70)-(P64*O70)</f>
        <v>51105.299455412431</v>
      </c>
      <c r="Q70" s="163" t="s">
        <v>62</v>
      </c>
      <c r="R70" s="228">
        <f>O70</f>
        <v>2.6081907729015665E-2</v>
      </c>
      <c r="S70" s="166">
        <f>S69+(S69*R70)-(S64*R70)</f>
        <v>44588.516303379976</v>
      </c>
    </row>
    <row r="71" spans="7:21" ht="15.75" customHeight="1" thickBot="1" x14ac:dyDescent="0.3">
      <c r="I71" s="89">
        <f>(I69-I70)/I70</f>
        <v>2.5941829523793619E-2</v>
      </c>
      <c r="L71" s="89">
        <f>(L69-L70)/L70</f>
        <v>-7.52890943052721E-2</v>
      </c>
      <c r="N71" s="151" t="s">
        <v>129</v>
      </c>
      <c r="O71" s="139"/>
      <c r="P71" s="153">
        <f>P70/P59</f>
        <v>196.55884405927858</v>
      </c>
      <c r="Q71" s="151" t="s">
        <v>133</v>
      </c>
      <c r="R71" s="139"/>
      <c r="S71" s="153">
        <f>S70/S59</f>
        <v>21.436786684317298</v>
      </c>
      <c r="U71" s="221">
        <f>21.44*0.5</f>
        <v>10.72</v>
      </c>
    </row>
    <row r="72" spans="7:21" ht="15.75" thickBot="1" x14ac:dyDescent="0.3">
      <c r="G72" s="768" t="s">
        <v>117</v>
      </c>
      <c r="H72" s="769"/>
      <c r="I72" s="769"/>
      <c r="J72" s="769"/>
      <c r="K72" s="769"/>
      <c r="L72" s="770"/>
      <c r="N72" s="76" t="s">
        <v>132</v>
      </c>
      <c r="O72" s="173">
        <v>204.29</v>
      </c>
      <c r="P72" s="201"/>
      <c r="Q72" s="76" t="s">
        <v>132</v>
      </c>
      <c r="R72" s="131"/>
      <c r="S72" s="201">
        <v>21.64</v>
      </c>
    </row>
    <row r="73" spans="7:21" ht="15.75" thickBot="1" x14ac:dyDescent="0.3">
      <c r="G73" s="768" t="s">
        <v>95</v>
      </c>
      <c r="H73" s="769"/>
      <c r="I73" s="770"/>
      <c r="J73" s="215" t="s">
        <v>96</v>
      </c>
      <c r="K73" s="216"/>
      <c r="L73" s="217"/>
      <c r="O73" s="89">
        <f>(P71-O72)/O72</f>
        <v>-3.7844025359642701E-2</v>
      </c>
      <c r="S73" s="89">
        <f>(S71-S72)/S72</f>
        <v>-9.3906338115851643E-3</v>
      </c>
    </row>
    <row r="74" spans="7:21" ht="15.75" thickBot="1" x14ac:dyDescent="0.3">
      <c r="G74" s="109" t="s">
        <v>99</v>
      </c>
      <c r="H74" s="110" t="s">
        <v>100</v>
      </c>
      <c r="I74" s="110">
        <v>260</v>
      </c>
      <c r="J74" s="109" t="s">
        <v>101</v>
      </c>
      <c r="K74" s="110" t="s">
        <v>102</v>
      </c>
      <c r="L74" s="112">
        <f>I74*8</f>
        <v>2080</v>
      </c>
      <c r="N74" s="768" t="s">
        <v>149</v>
      </c>
      <c r="O74" s="769"/>
      <c r="P74" s="769"/>
      <c r="Q74" s="769"/>
      <c r="R74" s="769"/>
      <c r="S74" s="770"/>
    </row>
    <row r="75" spans="7:21" ht="15.75" thickBot="1" x14ac:dyDescent="0.3">
      <c r="G75" s="115"/>
      <c r="H75" s="116" t="s">
        <v>8</v>
      </c>
      <c r="I75" s="116" t="s">
        <v>10</v>
      </c>
      <c r="J75" s="115"/>
      <c r="K75" s="116" t="s">
        <v>8</v>
      </c>
      <c r="L75" s="117" t="s">
        <v>10</v>
      </c>
      <c r="N75" s="768" t="s">
        <v>95</v>
      </c>
      <c r="O75" s="769"/>
      <c r="P75" s="770"/>
      <c r="Q75" s="768" t="s">
        <v>96</v>
      </c>
      <c r="R75" s="769"/>
      <c r="S75" s="770"/>
    </row>
    <row r="76" spans="7:21" x14ac:dyDescent="0.25">
      <c r="G76" s="120" t="str">
        <f>B12</f>
        <v>Maintenance III Licensed</v>
      </c>
      <c r="H76" s="121">
        <f>D12</f>
        <v>41516.800000000003</v>
      </c>
      <c r="I76" s="121">
        <f>H76</f>
        <v>41516.800000000003</v>
      </c>
      <c r="J76" s="120" t="str">
        <f>G76</f>
        <v>Maintenance III Licensed</v>
      </c>
      <c r="K76" s="123">
        <f>D12</f>
        <v>41516.800000000003</v>
      </c>
      <c r="L76" s="124">
        <f>K76</f>
        <v>41516.800000000003</v>
      </c>
      <c r="N76" s="109" t="s">
        <v>99</v>
      </c>
      <c r="O76" s="110" t="s">
        <v>100</v>
      </c>
      <c r="P76" s="110">
        <v>260</v>
      </c>
      <c r="Q76" s="109" t="s">
        <v>101</v>
      </c>
      <c r="R76" s="110" t="s">
        <v>102</v>
      </c>
      <c r="S76" s="112">
        <f>P76*8</f>
        <v>2080</v>
      </c>
    </row>
    <row r="77" spans="7:21" x14ac:dyDescent="0.25">
      <c r="G77" s="120" t="str">
        <f>G59</f>
        <v>Relief</v>
      </c>
      <c r="H77" s="130">
        <f>H59</f>
        <v>0.14615384615384616</v>
      </c>
      <c r="I77" s="121">
        <f>H76*H77</f>
        <v>6067.8400000000011</v>
      </c>
      <c r="J77" s="120"/>
      <c r="K77" s="131"/>
      <c r="L77" s="124"/>
      <c r="N77" s="115"/>
      <c r="O77" s="116" t="s">
        <v>8</v>
      </c>
      <c r="P77" s="116" t="s">
        <v>10</v>
      </c>
      <c r="Q77" s="115"/>
      <c r="R77" s="116" t="s">
        <v>8</v>
      </c>
      <c r="S77" s="117" t="s">
        <v>10</v>
      </c>
    </row>
    <row r="78" spans="7:21" x14ac:dyDescent="0.25">
      <c r="G78" s="126" t="s">
        <v>110</v>
      </c>
      <c r="H78" s="127"/>
      <c r="I78" s="127">
        <f>D20</f>
        <v>0</v>
      </c>
      <c r="J78" s="126" t="s">
        <v>110</v>
      </c>
      <c r="K78" s="133"/>
      <c r="L78" s="134">
        <f>I78</f>
        <v>0</v>
      </c>
      <c r="N78" s="120" t="s">
        <v>130</v>
      </c>
      <c r="O78" s="121">
        <f>D18</f>
        <v>46031</v>
      </c>
      <c r="P78" s="121">
        <f>O78</f>
        <v>46031</v>
      </c>
      <c r="Q78" s="120" t="s">
        <v>130</v>
      </c>
      <c r="R78" s="123">
        <f>D18</f>
        <v>46031</v>
      </c>
      <c r="S78" s="124">
        <f>R78</f>
        <v>46031</v>
      </c>
    </row>
    <row r="79" spans="7:21" x14ac:dyDescent="0.25">
      <c r="G79" s="132" t="s">
        <v>42</v>
      </c>
      <c r="H79" s="121"/>
      <c r="I79" s="121">
        <f>SUM(I76:I78)</f>
        <v>47584.640000000007</v>
      </c>
      <c r="J79" s="132" t="s">
        <v>42</v>
      </c>
      <c r="K79" s="83"/>
      <c r="L79" s="124">
        <f>SUM(L76:L78)</f>
        <v>41516.800000000003</v>
      </c>
      <c r="N79" s="120" t="str">
        <f>G77</f>
        <v>Relief</v>
      </c>
      <c r="O79" s="164">
        <f>D21</f>
        <v>0.14615384615384616</v>
      </c>
      <c r="P79" s="121">
        <f>P78*O79</f>
        <v>6727.6076923076926</v>
      </c>
      <c r="Q79" s="120"/>
      <c r="R79" s="123"/>
      <c r="S79" s="124"/>
    </row>
    <row r="80" spans="7:21" ht="15.75" thickBot="1" x14ac:dyDescent="0.3">
      <c r="G80" s="129" t="s">
        <v>116</v>
      </c>
      <c r="H80" s="130">
        <f>D22</f>
        <v>0.224</v>
      </c>
      <c r="I80" s="121">
        <f>I79*H80</f>
        <v>10658.959360000003</v>
      </c>
      <c r="J80" s="129" t="s">
        <v>116</v>
      </c>
      <c r="K80" s="131">
        <f>D22</f>
        <v>0.224</v>
      </c>
      <c r="L80" s="124">
        <f>H80*L79</f>
        <v>9299.7632000000012</v>
      </c>
      <c r="N80" s="126" t="s">
        <v>110</v>
      </c>
      <c r="O80" s="127"/>
      <c r="P80" s="127">
        <f>D20</f>
        <v>0</v>
      </c>
      <c r="Q80" s="126" t="s">
        <v>110</v>
      </c>
      <c r="R80" s="133"/>
      <c r="S80" s="134">
        <f>P80</f>
        <v>0</v>
      </c>
    </row>
    <row r="81" spans="7:21" ht="15.75" thickBot="1" x14ac:dyDescent="0.3">
      <c r="G81" s="138" t="s">
        <v>32</v>
      </c>
      <c r="H81" s="136"/>
      <c r="I81" s="137">
        <f>I79+I80</f>
        <v>58243.599360000007</v>
      </c>
      <c r="J81" s="138" t="s">
        <v>32</v>
      </c>
      <c r="K81" s="139"/>
      <c r="L81" s="140">
        <f>L79+L80</f>
        <v>50816.563200000004</v>
      </c>
      <c r="N81" s="132" t="s">
        <v>42</v>
      </c>
      <c r="O81" s="121"/>
      <c r="P81" s="121">
        <f>SUM(P78:P80)</f>
        <v>52758.607692307691</v>
      </c>
      <c r="Q81" s="132" t="s">
        <v>42</v>
      </c>
      <c r="R81" s="83"/>
      <c r="S81" s="124">
        <f>S78+S80</f>
        <v>46031</v>
      </c>
    </row>
    <row r="82" spans="7:21" ht="15.75" thickBot="1" x14ac:dyDescent="0.3">
      <c r="G82" s="129" t="str">
        <f>B25</f>
        <v xml:space="preserve">PFMLA </v>
      </c>
      <c r="H82" s="130">
        <f>D25</f>
        <v>3.7000000000000002E-3</v>
      </c>
      <c r="I82" s="121">
        <f>I79*H82</f>
        <v>176.06316800000002</v>
      </c>
      <c r="J82" s="129" t="str">
        <f>B25</f>
        <v xml:space="preserve">PFMLA </v>
      </c>
      <c r="K82" s="131">
        <f>D25</f>
        <v>3.7000000000000002E-3</v>
      </c>
      <c r="L82" s="142">
        <f>L79*K82</f>
        <v>153.61216000000002</v>
      </c>
      <c r="N82" s="129" t="s">
        <v>116</v>
      </c>
      <c r="O82" s="130">
        <f>O65</f>
        <v>0.224</v>
      </c>
      <c r="P82" s="121">
        <f>O82*P81</f>
        <v>11817.928123076923</v>
      </c>
      <c r="Q82" s="129" t="s">
        <v>116</v>
      </c>
      <c r="R82" s="131">
        <f>O82</f>
        <v>0.224</v>
      </c>
      <c r="S82" s="124">
        <f>R82*S81</f>
        <v>10310.944</v>
      </c>
    </row>
    <row r="83" spans="7:21" ht="15.75" thickBot="1" x14ac:dyDescent="0.3">
      <c r="G83" s="129" t="s">
        <v>148</v>
      </c>
      <c r="H83" s="130"/>
      <c r="I83" s="121">
        <v>8250</v>
      </c>
      <c r="J83" s="129"/>
      <c r="K83" s="131"/>
      <c r="L83" s="142"/>
      <c r="N83" s="138" t="s">
        <v>32</v>
      </c>
      <c r="O83" s="136"/>
      <c r="P83" s="137">
        <f>P81+P82</f>
        <v>64576.535815384617</v>
      </c>
      <c r="Q83" s="138" t="s">
        <v>32</v>
      </c>
      <c r="R83" s="139"/>
      <c r="S83" s="140">
        <f>S81+S82</f>
        <v>56341.944000000003</v>
      </c>
    </row>
    <row r="84" spans="7:21" x14ac:dyDescent="0.25">
      <c r="G84" s="129" t="s">
        <v>122</v>
      </c>
      <c r="H84" s="141">
        <f>D23</f>
        <v>0.12</v>
      </c>
      <c r="I84" s="121">
        <f>(I81+I82)*H84</f>
        <v>7010.3595033600004</v>
      </c>
      <c r="J84" s="129" t="s">
        <v>122</v>
      </c>
      <c r="K84" s="131">
        <f>D23</f>
        <v>0.12</v>
      </c>
      <c r="L84" s="124">
        <f>(L81+L82)*K84</f>
        <v>6116.4210432</v>
      </c>
      <c r="M84" s="167"/>
      <c r="N84" s="129" t="str">
        <f>B25</f>
        <v xml:space="preserve">PFMLA </v>
      </c>
      <c r="O84" s="130">
        <f>D25</f>
        <v>3.7000000000000002E-3</v>
      </c>
      <c r="P84" s="121">
        <f>P81*O84</f>
        <v>195.20684846153847</v>
      </c>
      <c r="Q84" s="129" t="str">
        <f>B25</f>
        <v xml:space="preserve">PFMLA </v>
      </c>
      <c r="R84" s="131">
        <f>D25</f>
        <v>3.7000000000000002E-3</v>
      </c>
      <c r="S84" s="142">
        <f>S81*R84</f>
        <v>170.31470000000002</v>
      </c>
      <c r="U84" s="167"/>
    </row>
    <row r="85" spans="7:21" ht="15.75" thickBot="1" x14ac:dyDescent="0.3">
      <c r="G85" s="156" t="s">
        <v>125</v>
      </c>
      <c r="H85" s="157"/>
      <c r="I85" s="157">
        <f>I84+I81+I83</f>
        <v>73503.958863360007</v>
      </c>
      <c r="J85" s="156" t="s">
        <v>125</v>
      </c>
      <c r="K85" s="158"/>
      <c r="L85" s="159">
        <f>L81+L84+L82+L83</f>
        <v>57086.596403199997</v>
      </c>
      <c r="N85" s="129" t="s">
        <v>122</v>
      </c>
      <c r="O85" s="141">
        <f>O68</f>
        <v>0.12</v>
      </c>
      <c r="P85" s="121">
        <f>(P83+P84)*O85</f>
        <v>7772.609119661538</v>
      </c>
      <c r="Q85" s="129" t="s">
        <v>122</v>
      </c>
      <c r="R85" s="131">
        <f>O85</f>
        <v>0.12</v>
      </c>
      <c r="S85" s="124">
        <f>(S83+S84)*R85</f>
        <v>6781.4710440000008</v>
      </c>
    </row>
    <row r="86" spans="7:21" ht="16.5" thickTop="1" thickBot="1" x14ac:dyDescent="0.3">
      <c r="G86" s="163" t="s">
        <v>62</v>
      </c>
      <c r="H86" s="164">
        <f>D26</f>
        <v>2.6081907729015665E-2</v>
      </c>
      <c r="I86" s="121">
        <f>I85+(I85*H86)-(I79*H86)</f>
        <v>74179.98414635309</v>
      </c>
      <c r="J86" s="163" t="s">
        <v>62</v>
      </c>
      <c r="K86" s="165">
        <f>H86</f>
        <v>2.6081907729015665E-2</v>
      </c>
      <c r="L86" s="166">
        <f>L85+(L85*K86)-(L79*K86)</f>
        <v>57492.686396347817</v>
      </c>
      <c r="N86" s="156" t="s">
        <v>125</v>
      </c>
      <c r="O86" s="157"/>
      <c r="P86" s="157">
        <f>P85+P83+P84</f>
        <v>72544.351783507693</v>
      </c>
      <c r="Q86" s="156" t="s">
        <v>125</v>
      </c>
      <c r="R86" s="158"/>
      <c r="S86" s="159">
        <f>S83+S85+S84</f>
        <v>63293.729744000004</v>
      </c>
    </row>
    <row r="87" spans="7:21" ht="16.5" thickTop="1" thickBot="1" x14ac:dyDescent="0.3">
      <c r="G87" s="151" t="s">
        <v>129</v>
      </c>
      <c r="H87" s="139"/>
      <c r="I87" s="153">
        <f>I86/I74</f>
        <v>285.30763133212724</v>
      </c>
      <c r="J87" s="151" t="s">
        <v>133</v>
      </c>
      <c r="K87" s="139"/>
      <c r="L87" s="153">
        <f>L86/L74</f>
        <v>27.640714613628759</v>
      </c>
      <c r="M87" s="221">
        <f>27.64*0.5</f>
        <v>13.82</v>
      </c>
      <c r="N87" s="163" t="s">
        <v>62</v>
      </c>
      <c r="O87" s="130">
        <f>D26</f>
        <v>2.6081907729015665E-2</v>
      </c>
      <c r="P87" s="229">
        <f>P86+(P86*O87)-(P81*O87)</f>
        <v>73060.401735244275</v>
      </c>
      <c r="Q87" s="163" t="s">
        <v>62</v>
      </c>
      <c r="R87" s="131">
        <f>O87</f>
        <v>2.6081907729015665E-2</v>
      </c>
      <c r="S87" s="142">
        <f>S86+(S86*R87)-(S81*R87)</f>
        <v>63743.974668333947</v>
      </c>
    </row>
    <row r="88" spans="7:21" ht="15.75" thickBot="1" x14ac:dyDescent="0.3">
      <c r="G88" s="76"/>
      <c r="H88" s="131" t="s">
        <v>132</v>
      </c>
      <c r="I88" s="227">
        <v>275.64999999999998</v>
      </c>
      <c r="J88" s="76" t="s">
        <v>132</v>
      </c>
      <c r="K88" s="131"/>
      <c r="L88" s="201">
        <f>'[20]1. RatesForReg'!F9</f>
        <v>29.12</v>
      </c>
      <c r="N88" s="151" t="s">
        <v>129</v>
      </c>
      <c r="O88" s="139"/>
      <c r="P88" s="153">
        <f>P87/P76</f>
        <v>281.00154513555492</v>
      </c>
      <c r="Q88" s="151" t="s">
        <v>133</v>
      </c>
      <c r="R88" s="139"/>
      <c r="S88" s="153">
        <f>S87/S76-0.01</f>
        <v>30.636141667468241</v>
      </c>
      <c r="T88" s="167">
        <f>S88*0.5</f>
        <v>15.31807083373412</v>
      </c>
    </row>
    <row r="89" spans="7:21" x14ac:dyDescent="0.25">
      <c r="I89" s="89">
        <f>(I87-I88)/I88</f>
        <v>3.5035847386639826E-2</v>
      </c>
      <c r="L89" s="89">
        <f>(L87-L88)/L88</f>
        <v>-5.0799635520990441E-2</v>
      </c>
      <c r="N89" t="s">
        <v>132</v>
      </c>
      <c r="O89" s="173">
        <v>267.08</v>
      </c>
      <c r="P89" s="83"/>
      <c r="Q89" t="s">
        <v>132</v>
      </c>
      <c r="R89" s="83"/>
      <c r="S89" s="173">
        <f>'[20]1. RatesForReg'!F15</f>
        <v>33.36</v>
      </c>
    </row>
    <row r="90" spans="7:21" ht="15.75" thickBot="1" x14ac:dyDescent="0.3">
      <c r="O90" s="131">
        <f>(P88-O89)/O89</f>
        <v>5.2125000507544317E-2</v>
      </c>
      <c r="P90" s="123"/>
      <c r="Q90" s="219"/>
      <c r="R90" s="83"/>
      <c r="S90" s="131">
        <f>(S88-S89)/S89</f>
        <v>-8.165042963224696E-2</v>
      </c>
    </row>
    <row r="91" spans="7:21" ht="15.75" thickBot="1" x14ac:dyDescent="0.3">
      <c r="G91" s="768" t="str">
        <f>B9</f>
        <v>Direct Care Staff III</v>
      </c>
      <c r="H91" s="769"/>
      <c r="I91" s="769"/>
      <c r="J91" s="769"/>
      <c r="K91" s="769"/>
      <c r="L91" s="770"/>
      <c r="N91" s="768" t="s">
        <v>150</v>
      </c>
      <c r="O91" s="769"/>
      <c r="P91" s="769"/>
      <c r="Q91" s="769"/>
      <c r="R91" s="769"/>
      <c r="S91" s="770"/>
    </row>
    <row r="92" spans="7:21" ht="15.75" thickBot="1" x14ac:dyDescent="0.3">
      <c r="G92" s="768" t="s">
        <v>95</v>
      </c>
      <c r="H92" s="769"/>
      <c r="I92" s="770"/>
      <c r="J92" s="768" t="s">
        <v>96</v>
      </c>
      <c r="K92" s="769"/>
      <c r="L92" s="770"/>
      <c r="N92" s="768" t="s">
        <v>95</v>
      </c>
      <c r="O92" s="769"/>
      <c r="P92" s="770"/>
      <c r="Q92" s="768" t="s">
        <v>96</v>
      </c>
      <c r="R92" s="769"/>
      <c r="S92" s="770"/>
    </row>
    <row r="93" spans="7:21" x14ac:dyDescent="0.25">
      <c r="G93" s="109" t="s">
        <v>99</v>
      </c>
      <c r="H93" s="110" t="s">
        <v>100</v>
      </c>
      <c r="I93" s="110">
        <v>260</v>
      </c>
      <c r="J93" s="109" t="s">
        <v>101</v>
      </c>
      <c r="K93" s="110" t="s">
        <v>102</v>
      </c>
      <c r="L93" s="112">
        <v>2080</v>
      </c>
      <c r="N93" s="109" t="s">
        <v>99</v>
      </c>
      <c r="O93" s="110" t="s">
        <v>100</v>
      </c>
      <c r="P93" s="110">
        <v>260</v>
      </c>
      <c r="Q93" s="109" t="s">
        <v>101</v>
      </c>
      <c r="R93" s="110" t="s">
        <v>102</v>
      </c>
      <c r="S93" s="112">
        <f>P93*8</f>
        <v>2080</v>
      </c>
    </row>
    <row r="94" spans="7:21" x14ac:dyDescent="0.25">
      <c r="G94" s="115"/>
      <c r="H94" s="116" t="s">
        <v>8</v>
      </c>
      <c r="I94" s="116" t="s">
        <v>10</v>
      </c>
      <c r="J94" s="115"/>
      <c r="K94" s="116" t="s">
        <v>8</v>
      </c>
      <c r="L94" s="117" t="s">
        <v>10</v>
      </c>
      <c r="N94" s="115"/>
      <c r="O94" s="116" t="s">
        <v>8</v>
      </c>
      <c r="P94" s="116" t="s">
        <v>10</v>
      </c>
      <c r="Q94" s="115"/>
      <c r="R94" s="116" t="s">
        <v>8</v>
      </c>
      <c r="S94" s="117" t="s">
        <v>10</v>
      </c>
    </row>
    <row r="95" spans="7:21" x14ac:dyDescent="0.25">
      <c r="G95" s="120" t="str">
        <f>B9</f>
        <v>Direct Care Staff III</v>
      </c>
      <c r="H95" s="121">
        <f>D9</f>
        <v>41516.800000000003</v>
      </c>
      <c r="I95" s="121">
        <f>H95</f>
        <v>41516.800000000003</v>
      </c>
      <c r="J95" s="120" t="str">
        <f>B9</f>
        <v>Direct Care Staff III</v>
      </c>
      <c r="K95" s="123">
        <f>D9</f>
        <v>41516.800000000003</v>
      </c>
      <c r="L95" s="124">
        <f>K95</f>
        <v>41516.800000000003</v>
      </c>
      <c r="N95" s="120" t="s">
        <v>151</v>
      </c>
      <c r="O95" s="121">
        <f>D8</f>
        <v>32198</v>
      </c>
      <c r="P95" s="121">
        <f>O95</f>
        <v>32198</v>
      </c>
      <c r="Q95" s="120" t="str">
        <f>N95</f>
        <v>Clerical Support</v>
      </c>
      <c r="R95" s="123">
        <f>D8</f>
        <v>32198</v>
      </c>
      <c r="S95" s="124">
        <f>R95</f>
        <v>32198</v>
      </c>
    </row>
    <row r="96" spans="7:21" x14ac:dyDescent="0.25">
      <c r="G96" s="120" t="s">
        <v>152</v>
      </c>
      <c r="H96" s="130">
        <f>D21</f>
        <v>0.14615384615384616</v>
      </c>
      <c r="I96" s="121">
        <f>I95*H96</f>
        <v>6067.8400000000011</v>
      </c>
      <c r="J96" s="120"/>
      <c r="K96" s="123"/>
      <c r="L96" s="124"/>
      <c r="N96" s="120" t="str">
        <f>G96</f>
        <v xml:space="preserve">Relief </v>
      </c>
      <c r="O96" s="164">
        <f>D21</f>
        <v>0.14615384615384616</v>
      </c>
      <c r="P96" s="121">
        <f>P95*O96</f>
        <v>4705.8615384615387</v>
      </c>
      <c r="Q96" s="120"/>
      <c r="R96" s="123"/>
      <c r="S96" s="124"/>
    </row>
    <row r="97" spans="7:21" x14ac:dyDescent="0.25">
      <c r="G97" s="126" t="s">
        <v>110</v>
      </c>
      <c r="H97" s="127"/>
      <c r="I97" s="127">
        <f>D20</f>
        <v>0</v>
      </c>
      <c r="J97" s="126" t="s">
        <v>110</v>
      </c>
      <c r="K97" s="133"/>
      <c r="L97" s="134">
        <f>D20</f>
        <v>0</v>
      </c>
      <c r="N97" s="126" t="s">
        <v>110</v>
      </c>
      <c r="O97" s="127"/>
      <c r="P97" s="127">
        <f>D20</f>
        <v>0</v>
      </c>
      <c r="Q97" s="126" t="s">
        <v>110</v>
      </c>
      <c r="R97" s="133"/>
      <c r="S97" s="134">
        <f>D20</f>
        <v>0</v>
      </c>
    </row>
    <row r="98" spans="7:21" x14ac:dyDescent="0.25">
      <c r="G98" s="132" t="s">
        <v>42</v>
      </c>
      <c r="H98" s="121"/>
      <c r="I98" s="121">
        <f>I95+I96+I97</f>
        <v>47584.640000000007</v>
      </c>
      <c r="J98" s="132" t="s">
        <v>42</v>
      </c>
      <c r="K98" s="83"/>
      <c r="L98" s="124">
        <f>L95+L97</f>
        <v>41516.800000000003</v>
      </c>
      <c r="N98" s="132" t="s">
        <v>42</v>
      </c>
      <c r="O98" s="121"/>
      <c r="P98" s="121">
        <f>SUM(P95:P97)</f>
        <v>36903.86153846154</v>
      </c>
      <c r="Q98" s="132" t="s">
        <v>42</v>
      </c>
      <c r="R98" s="83"/>
      <c r="S98" s="124">
        <f>S95+S97</f>
        <v>32198</v>
      </c>
    </row>
    <row r="99" spans="7:21" ht="15.75" thickBot="1" x14ac:dyDescent="0.3">
      <c r="G99" s="129" t="s">
        <v>116</v>
      </c>
      <c r="H99" s="130">
        <f>D22</f>
        <v>0.224</v>
      </c>
      <c r="I99" s="121">
        <f>I98*H99</f>
        <v>10658.959360000003</v>
      </c>
      <c r="J99" s="129" t="s">
        <v>116</v>
      </c>
      <c r="K99" s="131">
        <f>D22</f>
        <v>0.224</v>
      </c>
      <c r="L99" s="124">
        <f>L98*K99</f>
        <v>9299.7632000000012</v>
      </c>
      <c r="N99" s="129" t="s">
        <v>116</v>
      </c>
      <c r="O99" s="130">
        <f>D22</f>
        <v>0.224</v>
      </c>
      <c r="P99" s="121">
        <f>O99*P98</f>
        <v>8266.4649846153861</v>
      </c>
      <c r="Q99" s="129" t="s">
        <v>116</v>
      </c>
      <c r="R99" s="131">
        <f>D22</f>
        <v>0.224</v>
      </c>
      <c r="S99" s="124">
        <f>R99*S98</f>
        <v>7212.3519999999999</v>
      </c>
    </row>
    <row r="100" spans="7:21" ht="15.75" thickBot="1" x14ac:dyDescent="0.3">
      <c r="G100" s="138" t="s">
        <v>32</v>
      </c>
      <c r="H100" s="136"/>
      <c r="I100" s="137">
        <f>I98+I99</f>
        <v>58243.599360000007</v>
      </c>
      <c r="J100" s="138" t="s">
        <v>32</v>
      </c>
      <c r="K100" s="139"/>
      <c r="L100" s="140">
        <f>L98+L99</f>
        <v>50816.563200000004</v>
      </c>
      <c r="M100" s="167"/>
      <c r="N100" s="138" t="s">
        <v>32</v>
      </c>
      <c r="O100" s="136"/>
      <c r="P100" s="137">
        <f>P98+P99</f>
        <v>45170.326523076925</v>
      </c>
      <c r="Q100" s="138" t="s">
        <v>32</v>
      </c>
      <c r="R100" s="139"/>
      <c r="S100" s="140">
        <f>S98+S99</f>
        <v>39410.351999999999</v>
      </c>
      <c r="U100" s="222"/>
    </row>
    <row r="101" spans="7:21" ht="14.1" customHeight="1" x14ac:dyDescent="0.25">
      <c r="G101" s="129" t="str">
        <f>B25</f>
        <v xml:space="preserve">PFMLA </v>
      </c>
      <c r="H101" s="130">
        <f>D25</f>
        <v>3.7000000000000002E-3</v>
      </c>
      <c r="I101" s="121">
        <f>I98*H101</f>
        <v>176.06316800000002</v>
      </c>
      <c r="J101" s="129" t="str">
        <f>B25</f>
        <v xml:space="preserve">PFMLA </v>
      </c>
      <c r="K101" s="131">
        <f>D25</f>
        <v>3.7000000000000002E-3</v>
      </c>
      <c r="L101" s="142">
        <f>L98*K101</f>
        <v>153.61216000000002</v>
      </c>
      <c r="N101" s="129" t="str">
        <f>B25</f>
        <v xml:space="preserve">PFMLA </v>
      </c>
      <c r="O101" s="130">
        <f>D25</f>
        <v>3.7000000000000002E-3</v>
      </c>
      <c r="P101" s="121">
        <f>P98*O101</f>
        <v>136.54428769230771</v>
      </c>
      <c r="Q101" s="129" t="str">
        <f>B25</f>
        <v xml:space="preserve">PFMLA </v>
      </c>
      <c r="R101" s="131">
        <f>D25</f>
        <v>3.7000000000000002E-3</v>
      </c>
      <c r="S101" s="142">
        <f>S98*R101</f>
        <v>119.13260000000001</v>
      </c>
    </row>
    <row r="102" spans="7:21" x14ac:dyDescent="0.25">
      <c r="G102" s="129" t="s">
        <v>122</v>
      </c>
      <c r="H102" s="141">
        <f>D23</f>
        <v>0.12</v>
      </c>
      <c r="I102" s="121">
        <f>(I100+I101)*H102</f>
        <v>7010.3595033600004</v>
      </c>
      <c r="J102" s="129" t="s">
        <v>122</v>
      </c>
      <c r="K102" s="131">
        <f>D23</f>
        <v>0.12</v>
      </c>
      <c r="L102" s="124">
        <f>K102*(L100+L101)</f>
        <v>6116.4210432</v>
      </c>
      <c r="N102" s="129" t="s">
        <v>153</v>
      </c>
      <c r="O102" s="130"/>
      <c r="P102" s="121">
        <v>250</v>
      </c>
      <c r="Q102" s="129"/>
      <c r="R102" s="131"/>
      <c r="S102" s="142"/>
    </row>
    <row r="103" spans="7:21" ht="15.75" thickBot="1" x14ac:dyDescent="0.3">
      <c r="G103" s="156" t="s">
        <v>125</v>
      </c>
      <c r="H103" s="157"/>
      <c r="I103" s="157">
        <f>I100+I101+I102</f>
        <v>65430.022031360008</v>
      </c>
      <c r="J103" s="156" t="s">
        <v>125</v>
      </c>
      <c r="K103" s="158"/>
      <c r="L103" s="159">
        <f>L100+L101+L102</f>
        <v>57086.596403200005</v>
      </c>
      <c r="N103" s="129" t="s">
        <v>122</v>
      </c>
      <c r="O103" s="141">
        <f>D23</f>
        <v>0.12</v>
      </c>
      <c r="P103" s="121">
        <f>(P100+P101)*O103</f>
        <v>5436.8244972923076</v>
      </c>
      <c r="Q103" s="129" t="s">
        <v>122</v>
      </c>
      <c r="R103" s="131">
        <f>O103</f>
        <v>0.12</v>
      </c>
      <c r="S103" s="124">
        <f>(S100+S101)*R103</f>
        <v>4743.5381519999992</v>
      </c>
    </row>
    <row r="104" spans="7:21" ht="16.5" thickTop="1" thickBot="1" x14ac:dyDescent="0.3">
      <c r="G104" s="230" t="s">
        <v>62</v>
      </c>
      <c r="H104" s="130">
        <f>D26</f>
        <v>2.6081907729015665E-2</v>
      </c>
      <c r="I104" s="124">
        <f>I103+(I103*H104)-(I98*H104)</f>
        <v>65895.463638890971</v>
      </c>
      <c r="J104" s="231" t="s">
        <v>62</v>
      </c>
      <c r="K104" s="131">
        <f>D26</f>
        <v>2.6081907729015665E-2</v>
      </c>
      <c r="L104" s="124">
        <f>L103+(K104)-(L98*K104)</f>
        <v>56003.785138303734</v>
      </c>
      <c r="N104" s="156" t="s">
        <v>125</v>
      </c>
      <c r="O104" s="157"/>
      <c r="P104" s="157">
        <f>P103+P100+P101+P102</f>
        <v>50993.695308061535</v>
      </c>
      <c r="Q104" s="156" t="s">
        <v>125</v>
      </c>
      <c r="R104" s="158"/>
      <c r="S104" s="159">
        <f>S100+S103+S101</f>
        <v>44273.022751999997</v>
      </c>
    </row>
    <row r="105" spans="7:21" ht="16.5" thickTop="1" thickBot="1" x14ac:dyDescent="0.3">
      <c r="G105" s="151" t="s">
        <v>129</v>
      </c>
      <c r="H105" s="199"/>
      <c r="I105" s="200">
        <f>I104/I93</f>
        <v>253.44409091881144</v>
      </c>
      <c r="J105" s="151" t="s">
        <v>154</v>
      </c>
      <c r="K105" s="199"/>
      <c r="L105" s="200">
        <f>L104/L93</f>
        <v>26.924896701107564</v>
      </c>
      <c r="N105" s="163" t="s">
        <v>62</v>
      </c>
      <c r="O105" s="232">
        <f>D26</f>
        <v>2.6081907729015665E-2</v>
      </c>
      <c r="P105" s="233">
        <f>P104+(P104*O105)-(P98*O105)</f>
        <v>51361.18505235741</v>
      </c>
      <c r="Q105" s="163" t="s">
        <v>62</v>
      </c>
      <c r="R105" s="232">
        <f>O105</f>
        <v>2.6081907729015665E-2</v>
      </c>
      <c r="S105" s="233">
        <f>S104+(S104*R105)-(S98*R105)</f>
        <v>44587.962381243429</v>
      </c>
    </row>
    <row r="106" spans="7:21" ht="15.75" thickBot="1" x14ac:dyDescent="0.3">
      <c r="I106" t="s">
        <v>155</v>
      </c>
      <c r="L106" s="203"/>
      <c r="N106" s="151" t="s">
        <v>129</v>
      </c>
      <c r="O106" s="199"/>
      <c r="P106" s="234">
        <f>P105/P93</f>
        <v>197.54301943214389</v>
      </c>
      <c r="Q106" s="151" t="s">
        <v>133</v>
      </c>
      <c r="R106" s="235"/>
      <c r="S106" s="234">
        <f>S105/S93</f>
        <v>21.436520375597802</v>
      </c>
    </row>
    <row r="107" spans="7:21" x14ac:dyDescent="0.25">
      <c r="I107" s="89" t="s">
        <v>156</v>
      </c>
      <c r="L107" s="89"/>
      <c r="N107" s="76"/>
      <c r="O107" s="131"/>
      <c r="P107" s="236"/>
      <c r="Q107" s="76"/>
      <c r="R107" s="237"/>
      <c r="S107" s="236">
        <f>S106*0.5</f>
        <v>10.718260187798901</v>
      </c>
    </row>
    <row r="108" spans="7:21" x14ac:dyDescent="0.25">
      <c r="N108" t="s">
        <v>157</v>
      </c>
      <c r="O108" s="203">
        <v>204.21</v>
      </c>
      <c r="Q108" t="s">
        <v>157</v>
      </c>
      <c r="S108">
        <v>21.64</v>
      </c>
    </row>
    <row r="109" spans="7:21" x14ac:dyDescent="0.25">
      <c r="O109" s="89">
        <f>(P106-O108)/O108</f>
        <v>-3.2647669398443338E-2</v>
      </c>
      <c r="S109" s="89">
        <f>(S106-S108)/S108</f>
        <v>-9.4029401294916364E-3</v>
      </c>
    </row>
    <row r="110" spans="7:21" x14ac:dyDescent="0.25">
      <c r="N110" s="76"/>
      <c r="O110" s="131"/>
      <c r="P110" s="236"/>
      <c r="Q110" s="76"/>
      <c r="R110" s="237"/>
      <c r="S110" s="236"/>
    </row>
    <row r="111" spans="7:21" x14ac:dyDescent="0.25">
      <c r="N111" t="s">
        <v>158</v>
      </c>
      <c r="O111" s="203">
        <v>192.67</v>
      </c>
      <c r="Q111" t="s">
        <v>158</v>
      </c>
      <c r="S111">
        <f>'[20]1. RatesForReg'!F16</f>
        <v>24.04</v>
      </c>
    </row>
    <row r="112" spans="7:21" x14ac:dyDescent="0.25">
      <c r="O112" s="89">
        <f>(P106-O111)/O111</f>
        <v>2.5292050823397031E-2</v>
      </c>
      <c r="S112" s="89">
        <f>(S106-S111)/S111</f>
        <v>-0.10829782131456729</v>
      </c>
    </row>
    <row r="117" spans="13:21" x14ac:dyDescent="0.25">
      <c r="M117" s="222"/>
    </row>
    <row r="118" spans="13:21" x14ac:dyDescent="0.25">
      <c r="U118" s="222"/>
    </row>
  </sheetData>
  <mergeCells count="42">
    <mergeCell ref="D3:E3"/>
    <mergeCell ref="B4:E4"/>
    <mergeCell ref="G4:I4"/>
    <mergeCell ref="N4:S4"/>
    <mergeCell ref="G5:I5"/>
    <mergeCell ref="N5:P5"/>
    <mergeCell ref="Q5:S5"/>
    <mergeCell ref="B30:E30"/>
    <mergeCell ref="J16:K16"/>
    <mergeCell ref="B19:D19"/>
    <mergeCell ref="G20:I20"/>
    <mergeCell ref="U20:Z20"/>
    <mergeCell ref="G21:I21"/>
    <mergeCell ref="U21:W21"/>
    <mergeCell ref="X21:Z21"/>
    <mergeCell ref="N22:S22"/>
    <mergeCell ref="N23:P23"/>
    <mergeCell ref="Q23:S23"/>
    <mergeCell ref="B24:E24"/>
    <mergeCell ref="B28:D28"/>
    <mergeCell ref="G72:L72"/>
    <mergeCell ref="J32:K32"/>
    <mergeCell ref="G36:L36"/>
    <mergeCell ref="G37:I37"/>
    <mergeCell ref="N40:S40"/>
    <mergeCell ref="N41:P41"/>
    <mergeCell ref="Q41:S41"/>
    <mergeCell ref="G54:L54"/>
    <mergeCell ref="G55:I55"/>
    <mergeCell ref="N57:S57"/>
    <mergeCell ref="N58:P58"/>
    <mergeCell ref="Q58:S58"/>
    <mergeCell ref="G92:I92"/>
    <mergeCell ref="J92:L92"/>
    <mergeCell ref="N92:P92"/>
    <mergeCell ref="Q92:S92"/>
    <mergeCell ref="G73:I73"/>
    <mergeCell ref="N74:S74"/>
    <mergeCell ref="N75:P75"/>
    <mergeCell ref="Q75:S75"/>
    <mergeCell ref="G91:L91"/>
    <mergeCell ref="N91:S91"/>
  </mergeCells>
  <pageMargins left="0.25" right="0.25" top="0.75" bottom="0.75" header="0.3" footer="0.3"/>
  <pageSetup scale="67"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E802B-11C0-4FB2-92AB-407BC919D50B}">
  <sheetPr>
    <pageSetUpPr fitToPage="1"/>
  </sheetPr>
  <dimension ref="A1:U255"/>
  <sheetViews>
    <sheetView zoomScale="90" zoomScaleNormal="90" workbookViewId="0">
      <selection activeCell="L32" sqref="L32"/>
    </sheetView>
  </sheetViews>
  <sheetFormatPr defaultRowHeight="15" x14ac:dyDescent="0.25"/>
  <cols>
    <col min="1" max="1" width="1.28515625" customWidth="1"/>
    <col min="2" max="2" width="18.42578125" customWidth="1"/>
    <col min="3" max="3" width="17.7109375" customWidth="1"/>
    <col min="4" max="4" width="20.28515625" style="387" customWidth="1"/>
    <col min="5" max="5" width="14.5703125" customWidth="1"/>
    <col min="6" max="23" width="14.42578125" customWidth="1"/>
  </cols>
  <sheetData>
    <row r="1" spans="1:20" ht="30.75" x14ac:dyDescent="0.3">
      <c r="A1" s="96"/>
      <c r="B1" t="s">
        <v>2</v>
      </c>
      <c r="C1">
        <v>260</v>
      </c>
      <c r="D1" s="386"/>
      <c r="F1" s="334" t="s">
        <v>97</v>
      </c>
      <c r="G1" s="334" t="s">
        <v>358</v>
      </c>
      <c r="H1" s="442" t="s">
        <v>436</v>
      </c>
      <c r="I1" s="442" t="s">
        <v>427</v>
      </c>
      <c r="J1" s="334" t="s">
        <v>374</v>
      </c>
      <c r="K1" s="334" t="s">
        <v>366</v>
      </c>
      <c r="L1" s="334" t="s">
        <v>367</v>
      </c>
      <c r="M1" s="334" t="s">
        <v>368</v>
      </c>
      <c r="N1" s="334" t="s">
        <v>90</v>
      </c>
      <c r="O1" s="334" t="s">
        <v>120</v>
      </c>
      <c r="P1" s="334" t="s">
        <v>123</v>
      </c>
      <c r="Q1" s="334" t="s">
        <v>127</v>
      </c>
      <c r="R1" s="334" t="s">
        <v>128</v>
      </c>
      <c r="S1" s="334" t="s">
        <v>130</v>
      </c>
      <c r="T1" s="334" t="s">
        <v>375</v>
      </c>
    </row>
    <row r="2" spans="1:20" x14ac:dyDescent="0.25">
      <c r="B2" t="s">
        <v>3</v>
      </c>
      <c r="C2">
        <v>2080</v>
      </c>
      <c r="E2" t="s">
        <v>8</v>
      </c>
      <c r="F2" s="331">
        <f>'M2023 BLS SALARY CHART (53rd)'!C28</f>
        <v>101806.432</v>
      </c>
      <c r="G2" s="331">
        <f>'M2022 BLS SALARY CHART (53_PCT)'!C18</f>
        <v>80606.448000000004</v>
      </c>
      <c r="H2" s="331">
        <f>'M2022 BLS SALARY CHART (53_PCT)'!C14</f>
        <v>64330.864000000001</v>
      </c>
      <c r="I2" s="331">
        <f>'M2023 BLS SALARY CHART (53rd)'!C8</f>
        <v>56217.241600000001</v>
      </c>
      <c r="J2" s="331">
        <f>'M2023 BLS SALARY CHART (53rd)'!C6</f>
        <v>43247.567999999999</v>
      </c>
      <c r="K2" s="331">
        <f>'M2023 BLS SALARY CHART (53rd)'!C50</f>
        <v>40890.303999999996</v>
      </c>
      <c r="L2" s="331">
        <f>'M2023 BLS SALARY CHART (53rd)'!C51</f>
        <v>50652.160000000003</v>
      </c>
      <c r="M2" s="331">
        <f>'M2023 BLS SALARY CHART (53rd)'!C52</f>
        <v>57014.464000000007</v>
      </c>
      <c r="N2" s="331">
        <f>'M2023 BLS SALARY CHART (53rd)'!C47</f>
        <v>43247.567999999999</v>
      </c>
      <c r="O2" s="331">
        <f>'M2023 BLS SALARY CHART (53rd)'!C48</f>
        <v>49732.404800000004</v>
      </c>
      <c r="P2" s="331">
        <f>'M2023 BLS SALARY CHART (53rd)'!C49</f>
        <v>56217.241600000001</v>
      </c>
      <c r="Q2" s="331">
        <f>N2</f>
        <v>43247.567999999999</v>
      </c>
      <c r="R2" s="331">
        <f>Q2</f>
        <v>43247.567999999999</v>
      </c>
      <c r="S2" s="331">
        <f>'M2023 BLS SALARY CHART (53rd)'!C8</f>
        <v>56217.241600000001</v>
      </c>
      <c r="T2" s="331">
        <f>Q2</f>
        <v>43247.567999999999</v>
      </c>
    </row>
    <row r="3" spans="1:20" x14ac:dyDescent="0.25">
      <c r="B3" s="76" t="s">
        <v>84</v>
      </c>
      <c r="C3" s="76" t="s">
        <v>408</v>
      </c>
      <c r="D3" s="388"/>
      <c r="E3" t="s">
        <v>359</v>
      </c>
      <c r="F3" s="332" t="s">
        <v>108</v>
      </c>
      <c r="G3" s="332" t="s">
        <v>108</v>
      </c>
      <c r="H3" s="332" t="s">
        <v>108</v>
      </c>
      <c r="I3" s="332">
        <f>I2*'M2023 BLS SALARY CHART (53rd)'!$C$40</f>
        <v>8218.9607219200007</v>
      </c>
      <c r="J3" s="332">
        <f>J2*'M2023 BLS SALARY CHART (53rd)'!$C$40</f>
        <v>6322.7944416</v>
      </c>
      <c r="K3" s="332">
        <f>K2*'M2023 BLS SALARY CHART (53rd)'!$C$40</f>
        <v>5978.1624447999993</v>
      </c>
      <c r="L3" s="332">
        <f>L2*'M2023 BLS SALARY CHART (53rd)'!$C$40</f>
        <v>7405.3457920000001</v>
      </c>
      <c r="M3" s="332">
        <f>M2*'M2023 BLS SALARY CHART (53rd)'!$C$40</f>
        <v>8335.5146368000005</v>
      </c>
      <c r="N3" s="332">
        <f>N2*'M2023 BLS SALARY CHART (53rd)'!$C$40</f>
        <v>6322.7944416</v>
      </c>
      <c r="O3" s="332">
        <f>O2*'M2023 BLS SALARY CHART (53rd)'!$C$40</f>
        <v>7270.8775817600008</v>
      </c>
      <c r="P3" s="332">
        <f>P2*'M2023 BLS SALARY CHART (53rd)'!$C$40</f>
        <v>8218.9607219200007</v>
      </c>
      <c r="Q3" s="332">
        <f>Q2*'M2023 BLS SALARY CHART (53rd)'!$C$40</f>
        <v>6322.7944416</v>
      </c>
      <c r="R3" s="332">
        <f>R2*'M2023 BLS SALARY CHART (53rd)'!$C$40</f>
        <v>6322.7944416</v>
      </c>
      <c r="S3" s="332">
        <f>S2*'M2023 BLS SALARY CHART (53rd)'!$C$40</f>
        <v>8218.9607219200007</v>
      </c>
      <c r="T3" s="332">
        <f>T2*'M2023 BLS SALARY CHART (53rd)'!$C$40</f>
        <v>6322.7944416</v>
      </c>
    </row>
    <row r="4" spans="1:20" x14ac:dyDescent="0.25">
      <c r="B4" s="785"/>
      <c r="C4" s="785"/>
      <c r="E4" t="s">
        <v>30</v>
      </c>
      <c r="F4" s="331">
        <f>F2*'M2023 BLS SALARY CHART (53rd)'!$C$38</f>
        <v>25421.0660704</v>
      </c>
      <c r="G4" s="331">
        <f>G2*'M2023 BLS SALARY CHART (53rd)'!$C$38</f>
        <v>20127.430065600001</v>
      </c>
      <c r="H4" s="331">
        <f>H2*'M2023 BLS SALARY CHART (53rd)'!$C$38</f>
        <v>16063.416740800001</v>
      </c>
      <c r="I4" s="331">
        <f>I2*'M2023 BLS SALARY CHART (53rd)'!$C$38</f>
        <v>14037.44522752</v>
      </c>
      <c r="J4" s="331">
        <f>J2*'M2023 BLS SALARY CHART (53rd)'!$C$38</f>
        <v>10798.9177296</v>
      </c>
      <c r="K4" s="331">
        <f>K2*'M2023 BLS SALARY CHART (53rd)'!$C$38</f>
        <v>10210.3089088</v>
      </c>
      <c r="L4" s="331">
        <f>L2*'M2023 BLS SALARY CHART (53rd)'!$C$38</f>
        <v>12647.844352000002</v>
      </c>
      <c r="M4" s="331">
        <f>M2*'M2023 BLS SALARY CHART (53rd)'!$C$38</f>
        <v>14236.511660800003</v>
      </c>
      <c r="N4" s="331">
        <f>N2*'M2023 BLS SALARY CHART (53rd)'!$C$38</f>
        <v>10798.9177296</v>
      </c>
      <c r="O4" s="331">
        <f>O2*'M2023 BLS SALARY CHART (53rd)'!$C$38</f>
        <v>12418.181478560002</v>
      </c>
      <c r="P4" s="331">
        <f>P2*'M2023 BLS SALARY CHART (53rd)'!$C$38</f>
        <v>14037.44522752</v>
      </c>
      <c r="Q4" s="331">
        <f>Q2*'M2023 BLS SALARY CHART (53rd)'!$C$38</f>
        <v>10798.9177296</v>
      </c>
      <c r="R4" s="331">
        <f>R2*'M2023 BLS SALARY CHART (53rd)'!$C$38</f>
        <v>10798.9177296</v>
      </c>
      <c r="S4" s="331">
        <f>S2*'M2023 BLS SALARY CHART (53rd)'!$C$38</f>
        <v>14037.44522752</v>
      </c>
      <c r="T4" s="331">
        <f>T2*'M2023 BLS SALARY CHART (53rd)'!$C$38</f>
        <v>10798.9177296</v>
      </c>
    </row>
    <row r="5" spans="1:20" x14ac:dyDescent="0.25">
      <c r="B5" s="106"/>
      <c r="C5" s="106"/>
      <c r="D5" s="389"/>
      <c r="E5" s="106" t="s">
        <v>349</v>
      </c>
      <c r="F5" s="331">
        <f>(F2+F4)*'M2023 BLS SALARY CHART (53rd)'!$C$41</f>
        <v>15267.299768448</v>
      </c>
      <c r="G5" s="331">
        <f>(G2+G4)*'M2023 BLS SALARY CHART (53rd)'!$C$41</f>
        <v>12088.065367871999</v>
      </c>
      <c r="H5" s="331">
        <f>(H2+H4)*'M2023 BLS SALARY CHART (53rd)'!$C$41</f>
        <v>9647.3136888959998</v>
      </c>
      <c r="I5" s="331">
        <f>(I2+I4)*'M2023 BLS SALARY CHART (53rd)'!$C$41</f>
        <v>8430.5624193023996</v>
      </c>
      <c r="J5" s="331">
        <f>(J2+J4)*'M2023 BLS SALARY CHART (53rd)'!$C$41</f>
        <v>6485.578287551999</v>
      </c>
      <c r="K5" s="331">
        <f>(K2+K4)*'M2023 BLS SALARY CHART (53rd)'!$C$41</f>
        <v>6132.0735490559991</v>
      </c>
      <c r="L5" s="331">
        <f>(L2+L4)*'M2023 BLS SALARY CHART (53rd)'!$C$41</f>
        <v>7596.0005222400005</v>
      </c>
      <c r="M5" s="331">
        <f>(M2+M4)*'M2023 BLS SALARY CHART (53rd)'!$C$41</f>
        <v>8550.1170792960002</v>
      </c>
      <c r="N5" s="331">
        <f>(N2+N4)*'M2023 BLS SALARY CHART (53rd)'!$C$41</f>
        <v>6485.578287551999</v>
      </c>
      <c r="O5" s="331">
        <f>(O2+O4)*'M2023 BLS SALARY CHART (53rd)'!$C$41</f>
        <v>7458.0703534271997</v>
      </c>
      <c r="P5" s="331">
        <f>(P2+P4)*'M2023 BLS SALARY CHART (53rd)'!$C$41</f>
        <v>8430.5624193023996</v>
      </c>
      <c r="Q5" s="331">
        <f>(Q2+Q4)*'M2023 BLS SALARY CHART (53rd)'!$C$41</f>
        <v>6485.578287551999</v>
      </c>
      <c r="R5" s="331">
        <f>(R2+R4)*'M2023 BLS SALARY CHART (53rd)'!$C$41</f>
        <v>6485.578287551999</v>
      </c>
      <c r="S5" s="331">
        <f>(S2+S4)*'M2023 BLS SALARY CHART (53rd)'!$C$41</f>
        <v>8430.5624193023996</v>
      </c>
      <c r="T5" s="331">
        <f>(T2+T4)*'M2023 BLS SALARY CHART (53rd)'!$C$41</f>
        <v>6485.578287551999</v>
      </c>
    </row>
    <row r="6" spans="1:20" x14ac:dyDescent="0.25">
      <c r="B6" s="106"/>
      <c r="C6" s="106"/>
      <c r="E6" t="s">
        <v>62</v>
      </c>
      <c r="F6" s="331">
        <f>(F2+F4)*'SPRING 24 CAF'!$CP$29</f>
        <v>2502.865234776104</v>
      </c>
      <c r="G6" s="331">
        <f>(G2+G4)*'SPRING 24 CAF'!$CP$29</f>
        <v>1981.6731854229783</v>
      </c>
      <c r="H6" s="331">
        <f>(H2+H4)*'SPRING 24 CAF'!$CP$29</f>
        <v>1581.5452900727298</v>
      </c>
      <c r="I6" s="331">
        <f>(I2+I4)*'SPRING 24 CAF'!$CP$29</f>
        <v>1382.0755411175687</v>
      </c>
      <c r="J6" s="331">
        <f>(J2+J4)*'SPRING 24 CAF'!$CP$29</f>
        <v>1063.2219625948144</v>
      </c>
      <c r="K6" s="331">
        <f>(K2+K4)*'SPRING 24 CAF'!$CP$29</f>
        <v>1005.2696898465733</v>
      </c>
      <c r="L6" s="331">
        <f>(L2+L4)*'SPRING 24 CAF'!$CP$29</f>
        <v>1245.2605188080533</v>
      </c>
      <c r="M6" s="331">
        <f>(M2+M4)*'SPRING 24 CAF'!$CP$29</f>
        <v>1401.6748944211477</v>
      </c>
      <c r="N6" s="331">
        <f>(N2+N4)*'SPRING 24 CAF'!$CP$29</f>
        <v>1063.2219625948144</v>
      </c>
      <c r="O6" s="331">
        <f>(O2+O4)*'SPRING 24 CAF'!$CP$29</f>
        <v>1222.6487518561917</v>
      </c>
      <c r="P6" s="331">
        <f>(P2+P4)*'SPRING 24 CAF'!$CP$29</f>
        <v>1382.0755411175687</v>
      </c>
      <c r="Q6" s="331">
        <f>(Q2+Q4)*'SPRING 24 CAF'!$CP$29</f>
        <v>1063.2219625948144</v>
      </c>
      <c r="R6" s="331">
        <f>(R2+R4)*'SPRING 24 CAF'!$CP$29</f>
        <v>1063.2219625948144</v>
      </c>
      <c r="S6" s="331">
        <f>(S2+S4)*'SPRING 24 CAF'!$CP$29</f>
        <v>1382.0755411175687</v>
      </c>
      <c r="T6" s="331">
        <f>(T2+T4)*'SPRING 24 CAF'!$CP$29</f>
        <v>1063.2219625948144</v>
      </c>
    </row>
    <row r="7" spans="1:20" x14ac:dyDescent="0.25">
      <c r="B7" s="106"/>
      <c r="C7" s="106"/>
      <c r="E7" s="87" t="s">
        <v>360</v>
      </c>
      <c r="F7" s="335">
        <f t="shared" ref="F7:P7" si="0">SUM(F2:F6)</f>
        <v>144997.66307362411</v>
      </c>
      <c r="G7" s="335">
        <f t="shared" si="0"/>
        <v>114803.61661889497</v>
      </c>
      <c r="H7" s="335">
        <f>H2+H4+H5+H6</f>
        <v>91623.139719768733</v>
      </c>
      <c r="I7" s="335">
        <f>SUM(I2:I6)</f>
        <v>88286.285509859968</v>
      </c>
      <c r="J7" s="335">
        <f t="shared" si="0"/>
        <v>67918.080421346822</v>
      </c>
      <c r="K7" s="335">
        <f t="shared" si="0"/>
        <v>64216.118592502564</v>
      </c>
      <c r="L7" s="335">
        <f t="shared" si="0"/>
        <v>79546.611185048067</v>
      </c>
      <c r="M7" s="335">
        <f t="shared" si="0"/>
        <v>89538.282271317163</v>
      </c>
      <c r="N7" s="335">
        <f t="shared" si="0"/>
        <v>67918.080421346822</v>
      </c>
      <c r="O7" s="335">
        <f t="shared" si="0"/>
        <v>78102.18296560341</v>
      </c>
      <c r="P7" s="335">
        <f t="shared" si="0"/>
        <v>88286.285509859968</v>
      </c>
      <c r="Q7" s="335">
        <f t="shared" ref="Q7:Q26" si="1">J7</f>
        <v>67918.080421346822</v>
      </c>
      <c r="R7" s="335">
        <f t="shared" ref="R7:R21" si="2">Q7</f>
        <v>67918.080421346822</v>
      </c>
      <c r="S7" s="335">
        <f>SUM(S2:S6)</f>
        <v>88286.285509859968</v>
      </c>
      <c r="T7" s="335">
        <f t="shared" ref="T7:T21" si="3">R7</f>
        <v>67918.080421346822</v>
      </c>
    </row>
    <row r="8" spans="1:20" x14ac:dyDescent="0.25">
      <c r="B8" s="106"/>
      <c r="C8" s="106"/>
      <c r="E8" s="336" t="s">
        <v>361</v>
      </c>
      <c r="F8" s="337">
        <f>F7/C1</f>
        <v>557.68331951393884</v>
      </c>
      <c r="G8" s="337">
        <f>G7/C1</f>
        <v>441.5523716111345</v>
      </c>
      <c r="H8" s="337">
        <f>H7/C1</f>
        <v>352.39669122987976</v>
      </c>
      <c r="I8" s="337">
        <f>I7/C1</f>
        <v>339.56263657638448</v>
      </c>
      <c r="J8" s="337">
        <f>J7/C1</f>
        <v>261.22338623594931</v>
      </c>
      <c r="K8" s="337">
        <f>K7/C1</f>
        <v>246.98507150962524</v>
      </c>
      <c r="L8" s="337">
        <f>L7/C1</f>
        <v>305.94850455787719</v>
      </c>
      <c r="M8" s="337">
        <f>M7/C1</f>
        <v>344.37800873583524</v>
      </c>
      <c r="N8" s="337">
        <f>N7/C1</f>
        <v>261.22338623594931</v>
      </c>
      <c r="O8" s="337">
        <f>O7/C1</f>
        <v>300.39301140616698</v>
      </c>
      <c r="P8" s="337">
        <f>P7/C1</f>
        <v>339.56263657638448</v>
      </c>
      <c r="Q8" s="337">
        <f t="shared" si="1"/>
        <v>261.22338623594931</v>
      </c>
      <c r="R8" s="337">
        <f t="shared" si="2"/>
        <v>261.22338623594931</v>
      </c>
      <c r="S8" s="337">
        <f>S7/C1</f>
        <v>339.56263657638448</v>
      </c>
      <c r="T8" s="337">
        <f t="shared" si="3"/>
        <v>261.22338623594931</v>
      </c>
    </row>
    <row r="9" spans="1:20" x14ac:dyDescent="0.25">
      <c r="B9" s="106"/>
      <c r="C9" s="106"/>
      <c r="E9" s="330"/>
      <c r="F9" s="203"/>
      <c r="G9" s="203"/>
      <c r="H9" s="203"/>
      <c r="I9" s="203"/>
      <c r="J9" s="203"/>
      <c r="K9" s="203"/>
      <c r="L9" s="203"/>
      <c r="M9" s="203"/>
      <c r="N9" s="203"/>
      <c r="O9" s="203"/>
      <c r="P9" s="203"/>
      <c r="Q9" s="203"/>
      <c r="R9" s="203"/>
      <c r="S9" s="203"/>
      <c r="T9" s="203"/>
    </row>
    <row r="10" spans="1:20" x14ac:dyDescent="0.25">
      <c r="B10" s="106"/>
      <c r="C10" s="106"/>
      <c r="E10" t="s">
        <v>132</v>
      </c>
      <c r="F10" s="203">
        <v>476.9</v>
      </c>
      <c r="G10" s="203">
        <v>387.52</v>
      </c>
      <c r="H10" s="203">
        <v>321.91000000000003</v>
      </c>
      <c r="I10" s="203">
        <v>296.19</v>
      </c>
      <c r="J10" s="203">
        <v>236.79</v>
      </c>
      <c r="K10" s="203">
        <v>232.49</v>
      </c>
      <c r="L10" s="203">
        <v>291.83999999999997</v>
      </c>
      <c r="M10" s="203">
        <v>328.48</v>
      </c>
      <c r="N10" s="203">
        <v>236.79</v>
      </c>
      <c r="O10" s="203">
        <v>266.49</v>
      </c>
      <c r="P10" s="203">
        <v>296.19</v>
      </c>
      <c r="Q10" s="203">
        <f>J10</f>
        <v>236.79</v>
      </c>
      <c r="R10" s="203">
        <v>236.79</v>
      </c>
      <c r="S10" s="203">
        <v>296.19</v>
      </c>
      <c r="T10" s="203">
        <v>236.79</v>
      </c>
    </row>
    <row r="11" spans="1:20" x14ac:dyDescent="0.25">
      <c r="B11" s="106"/>
      <c r="C11" s="106"/>
      <c r="E11" t="s">
        <v>365</v>
      </c>
      <c r="F11" s="54">
        <f t="shared" ref="F11:P11" si="4">(F8-F10)/F10</f>
        <v>0.16939257604097058</v>
      </c>
      <c r="G11" s="54">
        <f t="shared" si="4"/>
        <v>0.13943118190321668</v>
      </c>
      <c r="H11" s="54">
        <f t="shared" si="4"/>
        <v>9.4705635829516743E-2</v>
      </c>
      <c r="I11" s="54">
        <f t="shared" si="4"/>
        <v>0.14643518206686409</v>
      </c>
      <c r="J11" s="54">
        <f t="shared" si="4"/>
        <v>0.10318588722475322</v>
      </c>
      <c r="K11" s="54">
        <f t="shared" si="4"/>
        <v>6.2347075184417539E-2</v>
      </c>
      <c r="L11" s="54">
        <f t="shared" si="4"/>
        <v>4.8343285902813914E-2</v>
      </c>
      <c r="M11" s="54">
        <f t="shared" si="4"/>
        <v>4.8398711446161771E-2</v>
      </c>
      <c r="N11" s="54">
        <f t="shared" si="4"/>
        <v>0.10318588722475322</v>
      </c>
      <c r="O11" s="54">
        <f t="shared" si="4"/>
        <v>0.12722057640499443</v>
      </c>
      <c r="P11" s="54">
        <f t="shared" si="4"/>
        <v>0.14643518206686409</v>
      </c>
      <c r="Q11" s="54">
        <f>J11</f>
        <v>0.10318588722475322</v>
      </c>
      <c r="R11" s="54">
        <f>(R8-R10)/R10</f>
        <v>0.10318588722475322</v>
      </c>
      <c r="S11" s="54">
        <f>(S8-S10)/S10</f>
        <v>0.14643518206686409</v>
      </c>
      <c r="T11" s="54">
        <f>(T8-T10)/T10</f>
        <v>0.10318588722475322</v>
      </c>
    </row>
    <row r="12" spans="1:20" x14ac:dyDescent="0.25">
      <c r="B12" s="106"/>
      <c r="C12" s="106"/>
      <c r="E12" s="330"/>
      <c r="F12" s="203"/>
      <c r="G12" s="203"/>
      <c r="H12" s="203"/>
      <c r="I12" s="203"/>
      <c r="J12" s="203"/>
      <c r="K12" s="203"/>
      <c r="L12" s="203"/>
      <c r="M12" s="203"/>
      <c r="N12" s="203"/>
      <c r="O12" s="203"/>
      <c r="P12" s="203"/>
      <c r="Q12" s="203"/>
      <c r="R12" s="203"/>
      <c r="S12" s="203"/>
      <c r="T12" s="203"/>
    </row>
    <row r="13" spans="1:20" x14ac:dyDescent="0.25">
      <c r="B13" s="106"/>
      <c r="C13" s="106"/>
      <c r="E13" s="330"/>
      <c r="F13" s="203"/>
      <c r="G13" s="203"/>
      <c r="H13" s="203"/>
      <c r="I13" s="203"/>
      <c r="J13" s="203"/>
      <c r="K13" s="203"/>
      <c r="L13" s="203"/>
      <c r="M13" s="203"/>
      <c r="N13" s="203"/>
      <c r="O13" s="203"/>
      <c r="P13" s="203"/>
      <c r="Q13" s="203"/>
      <c r="R13" s="203"/>
      <c r="S13" s="203"/>
      <c r="T13" s="203"/>
    </row>
    <row r="14" spans="1:20" ht="30" x14ac:dyDescent="0.25">
      <c r="B14" s="106"/>
      <c r="C14" s="106"/>
      <c r="E14" s="76"/>
      <c r="F14" s="334"/>
      <c r="G14" s="334"/>
      <c r="H14" s="334"/>
      <c r="I14" s="443" t="str">
        <f>I1</f>
        <v>Direct Care III</v>
      </c>
      <c r="J14" s="444" t="s">
        <v>374</v>
      </c>
      <c r="K14" s="334" t="s">
        <v>366</v>
      </c>
      <c r="L14" s="334" t="s">
        <v>367</v>
      </c>
      <c r="M14" s="334" t="s">
        <v>368</v>
      </c>
      <c r="N14" s="334" t="s">
        <v>90</v>
      </c>
      <c r="O14" s="334" t="s">
        <v>120</v>
      </c>
      <c r="P14" s="334" t="s">
        <v>123</v>
      </c>
      <c r="Q14" s="334" t="s">
        <v>127</v>
      </c>
      <c r="R14" s="334" t="s">
        <v>128</v>
      </c>
      <c r="S14" s="334" t="s">
        <v>130</v>
      </c>
      <c r="T14" s="334" t="s">
        <v>375</v>
      </c>
    </row>
    <row r="15" spans="1:20" x14ac:dyDescent="0.25">
      <c r="B15" s="106"/>
      <c r="C15" s="106"/>
      <c r="E15" s="330" t="str">
        <f>E2</f>
        <v>Salary</v>
      </c>
      <c r="F15" s="331"/>
      <c r="G15" s="331"/>
      <c r="H15" s="331"/>
      <c r="I15" s="445">
        <f>'M2023 BLS SALARY CHART (53rd)'!C8</f>
        <v>56217.241600000001</v>
      </c>
      <c r="J15" s="331">
        <f t="shared" ref="J15:T15" si="5">J2</f>
        <v>43247.567999999999</v>
      </c>
      <c r="K15" s="331">
        <f t="shared" si="5"/>
        <v>40890.303999999996</v>
      </c>
      <c r="L15" s="331">
        <f t="shared" si="5"/>
        <v>50652.160000000003</v>
      </c>
      <c r="M15" s="331">
        <f t="shared" si="5"/>
        <v>57014.464000000007</v>
      </c>
      <c r="N15" s="331">
        <f t="shared" si="5"/>
        <v>43247.567999999999</v>
      </c>
      <c r="O15" s="331">
        <f t="shared" si="5"/>
        <v>49732.404800000004</v>
      </c>
      <c r="P15" s="331">
        <f t="shared" si="5"/>
        <v>56217.241600000001</v>
      </c>
      <c r="Q15" s="331">
        <f t="shared" si="5"/>
        <v>43247.567999999999</v>
      </c>
      <c r="R15" s="331">
        <f t="shared" si="5"/>
        <v>43247.567999999999</v>
      </c>
      <c r="S15" s="331">
        <f t="shared" si="5"/>
        <v>56217.241600000001</v>
      </c>
      <c r="T15" s="331">
        <f t="shared" si="5"/>
        <v>43247.567999999999</v>
      </c>
    </row>
    <row r="16" spans="1:20" x14ac:dyDescent="0.25">
      <c r="B16" s="106"/>
      <c r="C16" s="106"/>
      <c r="E16" s="330" t="s">
        <v>376</v>
      </c>
      <c r="F16" s="331"/>
      <c r="G16" s="331"/>
      <c r="H16" s="331"/>
      <c r="I16" s="331">
        <f>I4</f>
        <v>14037.44522752</v>
      </c>
      <c r="J16" s="331">
        <f t="shared" ref="J16:T16" si="6">J4</f>
        <v>10798.9177296</v>
      </c>
      <c r="K16" s="331">
        <f t="shared" si="6"/>
        <v>10210.3089088</v>
      </c>
      <c r="L16" s="331">
        <f t="shared" si="6"/>
        <v>12647.844352000002</v>
      </c>
      <c r="M16" s="331">
        <f t="shared" si="6"/>
        <v>14236.511660800003</v>
      </c>
      <c r="N16" s="331">
        <f t="shared" si="6"/>
        <v>10798.9177296</v>
      </c>
      <c r="O16" s="331">
        <f t="shared" si="6"/>
        <v>12418.181478560002</v>
      </c>
      <c r="P16" s="331">
        <f t="shared" si="6"/>
        <v>14037.44522752</v>
      </c>
      <c r="Q16" s="331">
        <f t="shared" si="6"/>
        <v>10798.9177296</v>
      </c>
      <c r="R16" s="331">
        <f t="shared" si="6"/>
        <v>10798.9177296</v>
      </c>
      <c r="S16" s="331">
        <f t="shared" si="6"/>
        <v>14037.44522752</v>
      </c>
      <c r="T16" s="331">
        <f t="shared" si="6"/>
        <v>10798.9177296</v>
      </c>
    </row>
    <row r="17" spans="2:21" x14ac:dyDescent="0.25">
      <c r="B17" s="106"/>
      <c r="C17" s="106"/>
      <c r="E17" s="333" t="str">
        <f>E5</f>
        <v>Admin Allocation</v>
      </c>
      <c r="F17" s="331"/>
      <c r="G17" s="331"/>
      <c r="H17" s="331"/>
      <c r="I17" s="331">
        <f>(I16+I15)*12%</f>
        <v>8430.5624193023996</v>
      </c>
      <c r="J17" s="331">
        <f t="shared" ref="J17:T17" si="7">(J16+J15)*12%</f>
        <v>6485.578287551999</v>
      </c>
      <c r="K17" s="331">
        <f t="shared" si="7"/>
        <v>6132.0735490559991</v>
      </c>
      <c r="L17" s="331">
        <f t="shared" si="7"/>
        <v>7596.0005222400005</v>
      </c>
      <c r="M17" s="331">
        <f t="shared" si="7"/>
        <v>8550.1170792960002</v>
      </c>
      <c r="N17" s="331">
        <f t="shared" si="7"/>
        <v>6485.578287551999</v>
      </c>
      <c r="O17" s="331">
        <f t="shared" si="7"/>
        <v>7458.0703534271997</v>
      </c>
      <c r="P17" s="331">
        <f t="shared" si="7"/>
        <v>8430.5624193023996</v>
      </c>
      <c r="Q17" s="331">
        <f t="shared" si="7"/>
        <v>6485.578287551999</v>
      </c>
      <c r="R17" s="331">
        <f t="shared" si="7"/>
        <v>6485.578287551999</v>
      </c>
      <c r="S17" s="331">
        <f t="shared" si="7"/>
        <v>8430.5624193023996</v>
      </c>
      <c r="T17" s="331">
        <f t="shared" si="7"/>
        <v>6485.578287551999</v>
      </c>
    </row>
    <row r="18" spans="2:21" x14ac:dyDescent="0.25">
      <c r="B18" s="106"/>
      <c r="C18" s="106"/>
      <c r="D18" s="390">
        <f>'SPRING 24 CAF'!CP29</f>
        <v>1.9672360713964287E-2</v>
      </c>
      <c r="E18" s="330" t="str">
        <f>E6</f>
        <v>CAF</v>
      </c>
      <c r="F18" s="331"/>
      <c r="G18" s="331"/>
      <c r="H18" s="331"/>
      <c r="I18" s="331">
        <f>(I16+I15)*$D$18</f>
        <v>1382.0755411175687</v>
      </c>
      <c r="J18" s="331">
        <f>(J15+J16)*$D$18</f>
        <v>1063.2219625948144</v>
      </c>
      <c r="K18" s="331">
        <f t="shared" ref="K18:T18" si="8">(K15+K16)*$D$18</f>
        <v>1005.2696898465733</v>
      </c>
      <c r="L18" s="331">
        <f t="shared" si="8"/>
        <v>1245.2605188080533</v>
      </c>
      <c r="M18" s="331">
        <f t="shared" si="8"/>
        <v>1401.6748944211477</v>
      </c>
      <c r="N18" s="331">
        <f t="shared" si="8"/>
        <v>1063.2219625948144</v>
      </c>
      <c r="O18" s="331">
        <f t="shared" si="8"/>
        <v>1222.6487518561917</v>
      </c>
      <c r="P18" s="331">
        <f t="shared" si="8"/>
        <v>1382.0755411175687</v>
      </c>
      <c r="Q18" s="331">
        <f t="shared" si="8"/>
        <v>1063.2219625948144</v>
      </c>
      <c r="R18" s="331">
        <f t="shared" si="8"/>
        <v>1063.2219625948144</v>
      </c>
      <c r="S18" s="331">
        <f t="shared" si="8"/>
        <v>1382.0755411175687</v>
      </c>
      <c r="T18" s="331">
        <f t="shared" si="8"/>
        <v>1063.2219625948144</v>
      </c>
    </row>
    <row r="19" spans="2:21" x14ac:dyDescent="0.25">
      <c r="B19" s="106"/>
      <c r="C19" s="106"/>
      <c r="E19" s="87" t="s">
        <v>360</v>
      </c>
      <c r="F19" s="335"/>
      <c r="G19" s="335"/>
      <c r="H19" s="335"/>
      <c r="I19" s="335">
        <f>SUM(I15:I18)</f>
        <v>80067.324787939957</v>
      </c>
      <c r="J19" s="335">
        <f t="shared" ref="J19:T19" si="9">SUM(J15:J18)</f>
        <v>61595.285979746812</v>
      </c>
      <c r="K19" s="335">
        <f t="shared" si="9"/>
        <v>58237.956147702564</v>
      </c>
      <c r="L19" s="335">
        <f t="shared" si="9"/>
        <v>72141.265393048059</v>
      </c>
      <c r="M19" s="335">
        <f t="shared" si="9"/>
        <v>81202.767634517149</v>
      </c>
      <c r="N19" s="335">
        <f t="shared" si="9"/>
        <v>61595.285979746812</v>
      </c>
      <c r="O19" s="335">
        <f t="shared" si="9"/>
        <v>70831.305383843399</v>
      </c>
      <c r="P19" s="335">
        <f t="shared" si="9"/>
        <v>80067.324787939957</v>
      </c>
      <c r="Q19" s="335">
        <f t="shared" si="9"/>
        <v>61595.285979746812</v>
      </c>
      <c r="R19" s="335">
        <f t="shared" si="9"/>
        <v>61595.285979746812</v>
      </c>
      <c r="S19" s="335">
        <f t="shared" si="9"/>
        <v>80067.324787939957</v>
      </c>
      <c r="T19" s="335">
        <f t="shared" si="9"/>
        <v>61595.285979746812</v>
      </c>
    </row>
    <row r="20" spans="2:21" x14ac:dyDescent="0.25">
      <c r="B20" s="106"/>
      <c r="C20" s="106"/>
      <c r="E20" s="338" t="s">
        <v>362</v>
      </c>
      <c r="F20" s="339"/>
      <c r="G20" s="339"/>
      <c r="H20" s="339"/>
      <c r="I20" s="446">
        <f>I19/C2</f>
        <v>38.493906148048055</v>
      </c>
      <c r="J20" s="337">
        <f>J19/$C$2</f>
        <v>29.61311825949366</v>
      </c>
      <c r="K20" s="337">
        <f t="shared" ref="K20:T20" si="10">K19/$C$2</f>
        <v>27.999017378703154</v>
      </c>
      <c r="L20" s="337">
        <f t="shared" si="10"/>
        <v>34.683300669734642</v>
      </c>
      <c r="M20" s="337">
        <f t="shared" si="10"/>
        <v>39.039792131979397</v>
      </c>
      <c r="N20" s="337">
        <f t="shared" si="10"/>
        <v>29.61311825949366</v>
      </c>
      <c r="O20" s="337">
        <f t="shared" si="10"/>
        <v>34.053512203770865</v>
      </c>
      <c r="P20" s="337">
        <f t="shared" si="10"/>
        <v>38.493906148048055</v>
      </c>
      <c r="Q20" s="337">
        <f t="shared" si="10"/>
        <v>29.61311825949366</v>
      </c>
      <c r="R20" s="337">
        <f t="shared" si="10"/>
        <v>29.61311825949366</v>
      </c>
      <c r="S20" s="337">
        <f t="shared" si="10"/>
        <v>38.493906148048055</v>
      </c>
      <c r="T20" s="337">
        <f t="shared" si="10"/>
        <v>29.61311825949366</v>
      </c>
    </row>
    <row r="21" spans="2:21" x14ac:dyDescent="0.25">
      <c r="B21" s="106"/>
      <c r="C21" s="106"/>
      <c r="E21" s="336" t="s">
        <v>369</v>
      </c>
      <c r="F21" s="339"/>
      <c r="G21" s="339"/>
      <c r="H21" s="339"/>
      <c r="I21" s="446">
        <f>I20*0.5</f>
        <v>19.246953074024027</v>
      </c>
      <c r="J21" s="337">
        <f>J20*0.5</f>
        <v>14.80655912974683</v>
      </c>
      <c r="K21" s="337">
        <f t="shared" ref="K21:M21" si="11">K20*0.5</f>
        <v>13.999508689351577</v>
      </c>
      <c r="L21" s="337">
        <f t="shared" si="11"/>
        <v>17.341650334867321</v>
      </c>
      <c r="M21" s="337">
        <f t="shared" si="11"/>
        <v>19.519896065989698</v>
      </c>
      <c r="N21" s="337">
        <f>N20*0.5</f>
        <v>14.80655912974683</v>
      </c>
      <c r="O21" s="337">
        <f t="shared" ref="O21:S21" si="12">O20*0.5</f>
        <v>17.026756101885432</v>
      </c>
      <c r="P21" s="337">
        <f t="shared" si="12"/>
        <v>19.246953074024027</v>
      </c>
      <c r="Q21" s="337">
        <f t="shared" si="1"/>
        <v>14.80655912974683</v>
      </c>
      <c r="R21" s="337">
        <f t="shared" si="2"/>
        <v>14.80655912974683</v>
      </c>
      <c r="S21" s="337">
        <f t="shared" si="12"/>
        <v>19.246953074024027</v>
      </c>
      <c r="T21" s="337">
        <f t="shared" si="3"/>
        <v>14.80655912974683</v>
      </c>
    </row>
    <row r="22" spans="2:21" x14ac:dyDescent="0.25">
      <c r="B22" s="106"/>
      <c r="C22" s="106"/>
      <c r="E22" s="330"/>
      <c r="Q22" s="203"/>
    </row>
    <row r="23" spans="2:21" x14ac:dyDescent="0.25">
      <c r="B23" s="106"/>
      <c r="C23" s="106"/>
      <c r="E23" s="330"/>
      <c r="Q23" s="203"/>
    </row>
    <row r="24" spans="2:21" x14ac:dyDescent="0.25">
      <c r="B24" s="106"/>
      <c r="C24" s="106"/>
      <c r="Q24" s="203"/>
    </row>
    <row r="25" spans="2:21" x14ac:dyDescent="0.25">
      <c r="B25" s="106"/>
      <c r="C25" s="146"/>
      <c r="E25" t="s">
        <v>132</v>
      </c>
      <c r="I25">
        <v>33.119999999999997</v>
      </c>
      <c r="J25" s="203">
        <v>26.48</v>
      </c>
      <c r="K25" s="203">
        <v>26</v>
      </c>
      <c r="L25" s="203">
        <v>32.64</v>
      </c>
      <c r="M25" s="203">
        <v>36.74</v>
      </c>
      <c r="N25" s="203">
        <v>26.48</v>
      </c>
      <c r="O25" s="203">
        <v>29.8</v>
      </c>
      <c r="P25" s="203">
        <v>33.119999999999997</v>
      </c>
      <c r="Q25" s="203">
        <v>26.48</v>
      </c>
      <c r="R25" s="203">
        <v>26.48</v>
      </c>
      <c r="S25" s="203">
        <v>33.119999999999997</v>
      </c>
      <c r="T25" s="203">
        <v>26.48</v>
      </c>
    </row>
    <row r="26" spans="2:21" x14ac:dyDescent="0.25">
      <c r="B26" s="146"/>
      <c r="C26" s="146"/>
      <c r="E26" t="s">
        <v>365</v>
      </c>
      <c r="I26" s="58">
        <f>(I20-I25)/I25</f>
        <v>0.16225562041207903</v>
      </c>
      <c r="J26" s="54">
        <f t="shared" ref="J26:P26" si="13">(J20-J25)/J25</f>
        <v>0.1183201759627515</v>
      </c>
      <c r="K26" s="54">
        <f t="shared" si="13"/>
        <v>7.688528379627517E-2</v>
      </c>
      <c r="L26" s="54">
        <f t="shared" si="13"/>
        <v>6.2601123460007402E-2</v>
      </c>
      <c r="M26" s="54">
        <f t="shared" si="13"/>
        <v>6.2596410777882264E-2</v>
      </c>
      <c r="N26" s="54">
        <f t="shared" si="13"/>
        <v>0.1183201759627515</v>
      </c>
      <c r="O26" s="54">
        <f t="shared" si="13"/>
        <v>0.14273530885137126</v>
      </c>
      <c r="P26" s="54">
        <f t="shared" si="13"/>
        <v>0.16225562041207903</v>
      </c>
      <c r="Q26" s="54">
        <f t="shared" si="1"/>
        <v>0.1183201759627515</v>
      </c>
      <c r="R26" s="54">
        <f>(R20-R25)/R25</f>
        <v>0.1183201759627515</v>
      </c>
      <c r="S26" s="54">
        <f>(S20-S25)/S25</f>
        <v>0.16225562041207903</v>
      </c>
      <c r="T26" s="54">
        <f>(T20-T25)/T25</f>
        <v>0.1183201759627515</v>
      </c>
      <c r="U26" s="58"/>
    </row>
    <row r="27" spans="2:21" x14ac:dyDescent="0.25">
      <c r="B27" s="784"/>
      <c r="C27" s="784"/>
    </row>
    <row r="28" spans="2:21" x14ac:dyDescent="0.25">
      <c r="B28" s="170"/>
      <c r="C28" s="170"/>
    </row>
    <row r="29" spans="2:21" x14ac:dyDescent="0.25">
      <c r="B29" s="76"/>
      <c r="C29" s="76"/>
      <c r="I29" s="54">
        <f>AVERAGE(F11:T11,I26:T26)</f>
        <v>0.11363925529525859</v>
      </c>
      <c r="J29" s="462"/>
    </row>
    <row r="30" spans="2:21" x14ac:dyDescent="0.25">
      <c r="B30" s="179"/>
      <c r="C30" s="179"/>
      <c r="D30"/>
    </row>
    <row r="31" spans="2:21" x14ac:dyDescent="0.25">
      <c r="B31" s="76"/>
      <c r="C31" s="391"/>
      <c r="D31"/>
    </row>
    <row r="32" spans="2:21" x14ac:dyDescent="0.25">
      <c r="B32" s="782"/>
      <c r="C32" s="782"/>
      <c r="D32"/>
    </row>
    <row r="33" spans="2:3" customFormat="1" x14ac:dyDescent="0.25">
      <c r="B33" s="392"/>
      <c r="C33" s="392"/>
    </row>
    <row r="34" spans="2:3" customFormat="1" x14ac:dyDescent="0.25"/>
    <row r="35" spans="2:3" customFormat="1" x14ac:dyDescent="0.25">
      <c r="B35" s="76"/>
      <c r="C35" s="76"/>
    </row>
    <row r="36" spans="2:3" customFormat="1" ht="18.75" x14ac:dyDescent="0.3">
      <c r="B36" s="783"/>
      <c r="C36" s="783"/>
    </row>
    <row r="37" spans="2:3" customFormat="1" x14ac:dyDescent="0.25"/>
    <row r="38" spans="2:3" customFormat="1" x14ac:dyDescent="0.25">
      <c r="B38" s="752"/>
      <c r="C38" s="752"/>
    </row>
    <row r="39" spans="2:3" customFormat="1" x14ac:dyDescent="0.25">
      <c r="B39" s="15"/>
      <c r="C39" s="15"/>
    </row>
    <row r="40" spans="2:3" customFormat="1" x14ac:dyDescent="0.25">
      <c r="B40" s="196"/>
      <c r="C40" s="196"/>
    </row>
    <row r="41" spans="2:3" customFormat="1" x14ac:dyDescent="0.25">
      <c r="B41" s="196"/>
      <c r="C41" s="196"/>
    </row>
    <row r="42" spans="2:3" customFormat="1" x14ac:dyDescent="0.25">
      <c r="B42" s="196"/>
      <c r="C42" s="196"/>
    </row>
    <row r="43" spans="2:3" customFormat="1" x14ac:dyDescent="0.25">
      <c r="B43" s="196"/>
      <c r="C43" s="196"/>
    </row>
    <row r="44" spans="2:3" customFormat="1" ht="15" customHeight="1" x14ac:dyDescent="0.25">
      <c r="B44" s="196"/>
      <c r="C44" s="196"/>
    </row>
    <row r="45" spans="2:3" customFormat="1" ht="15.75" customHeight="1" x14ac:dyDescent="0.25">
      <c r="B45" s="196"/>
      <c r="C45" s="196"/>
    </row>
    <row r="46" spans="2:3" customFormat="1" x14ac:dyDescent="0.25"/>
    <row r="47" spans="2:3" customFormat="1" x14ac:dyDescent="0.25"/>
    <row r="48" spans="2:3" customFormat="1" x14ac:dyDescent="0.25"/>
    <row r="49" spans="4:4" x14ac:dyDescent="0.25">
      <c r="D49"/>
    </row>
    <row r="50" spans="4:4" x14ac:dyDescent="0.25">
      <c r="D50" s="219"/>
    </row>
    <row r="51" spans="4:4" x14ac:dyDescent="0.25">
      <c r="D51"/>
    </row>
    <row r="52" spans="4:4" x14ac:dyDescent="0.25">
      <c r="D52"/>
    </row>
    <row r="53" spans="4:4" x14ac:dyDescent="0.25">
      <c r="D53"/>
    </row>
    <row r="54" spans="4:4" x14ac:dyDescent="0.25">
      <c r="D54"/>
    </row>
    <row r="55" spans="4:4" x14ac:dyDescent="0.25">
      <c r="D55"/>
    </row>
    <row r="56" spans="4:4" x14ac:dyDescent="0.25">
      <c r="D56"/>
    </row>
    <row r="57" spans="4:4" x14ac:dyDescent="0.25">
      <c r="D57"/>
    </row>
    <row r="58" spans="4:4" x14ac:dyDescent="0.25">
      <c r="D58"/>
    </row>
    <row r="59" spans="4:4" x14ac:dyDescent="0.25">
      <c r="D59"/>
    </row>
    <row r="60" spans="4:4" x14ac:dyDescent="0.25">
      <c r="D60"/>
    </row>
    <row r="61" spans="4:4" ht="15.6" customHeight="1" x14ac:dyDescent="0.25">
      <c r="D61"/>
    </row>
    <row r="62" spans="4:4" ht="15.75" customHeight="1" x14ac:dyDescent="0.25">
      <c r="D62"/>
    </row>
    <row r="63" spans="4:4" x14ac:dyDescent="0.25">
      <c r="D63"/>
    </row>
    <row r="64" spans="4:4" x14ac:dyDescent="0.25">
      <c r="D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ht="15.75" customHeigh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ht="14.1" customHeigh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sheetData>
  <mergeCells count="5">
    <mergeCell ref="B32:C32"/>
    <mergeCell ref="B36:C36"/>
    <mergeCell ref="B38:C38"/>
    <mergeCell ref="B27:C27"/>
    <mergeCell ref="B4:C4"/>
  </mergeCells>
  <pageMargins left="0.25" right="0.25" top="0.75" bottom="0.75" header="0.3" footer="0.3"/>
  <pageSetup scale="6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SPRING 24 CAF</vt:lpstr>
      <vt:lpstr>M2023 BLS SALARY CHART (53rd)</vt:lpstr>
      <vt:lpstr>M2022 BLS SALARY CHART (53_PCT)</vt:lpstr>
      <vt:lpstr>FALL 2023</vt:lpstr>
      <vt:lpstr>Spring 2022 CAF</vt:lpstr>
      <vt:lpstr>1. Youth Stabilization 12 B Ol </vt:lpstr>
      <vt:lpstr>1. Youth Stabilization 12 BED</vt:lpstr>
      <vt:lpstr>2.  Staffing Supports RR202 </vt:lpstr>
      <vt:lpstr>2.  Staffing Supports RR202 (2)</vt:lpstr>
      <vt:lpstr>DYS FY24</vt:lpstr>
      <vt:lpstr>DPH FY24</vt:lpstr>
      <vt:lpstr>Fiscal Impact</vt:lpstr>
      <vt:lpstr>M2021 BLS  SALARY CHART</vt:lpstr>
      <vt:lpstr>Food September 2023</vt:lpstr>
      <vt:lpstr>Rate Chart</vt:lpstr>
      <vt:lpstr>FY21 DYS units</vt:lpstr>
      <vt:lpstr>Food February 2022</vt:lpstr>
      <vt:lpstr>'1. Youth Stabilization 12 B Ol '!Print_Area</vt:lpstr>
      <vt:lpstr>'1. Youth Stabilization 12 BED'!Print_Area</vt:lpstr>
      <vt:lpstr>'2.  Staffing Supports RR202 '!Print_Area</vt:lpstr>
      <vt:lpstr>'2.  Staffing Supports RR202 (2)'!Print_Area</vt:lpstr>
      <vt:lpstr>'Fiscal Impact'!Print_Area</vt:lpstr>
      <vt:lpstr>'FY21 DYS units'!Print_Area</vt:lpstr>
      <vt:lpstr>'M2021 BLS  SALARY CHART'!Print_Area</vt:lpstr>
      <vt:lpstr>'M2022 BLS SALARY CHART (53_PCT)'!Print_Area</vt:lpstr>
      <vt:lpstr>'M2023 BLS SALARY CHART (53rd)'!Print_Area</vt:lpstr>
      <vt:lpstr>'FALL 2023'!Print_Titles</vt:lpstr>
      <vt:lpstr>'Spring 2022 CAF'!Print_Titles</vt:lpstr>
      <vt:lpstr>'SPRING 24 CAF'!Print_Titles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Solimini, Kara (EHS)</dc:creator>
  <cp:lastModifiedBy>Harrison, Deborah (EHS)</cp:lastModifiedBy>
  <dcterms:created xsi:type="dcterms:W3CDTF">2022-06-10T13:14:23Z</dcterms:created>
  <dcterms:modified xsi:type="dcterms:W3CDTF">2025-01-15T17:35:02Z</dcterms:modified>
</cp:coreProperties>
</file>