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19416" windowHeight="10428" activeTab="2"/>
  </bookViews>
  <sheets>
    <sheet name="Salary Bench Chart" sheetId="2" r:id="rId1"/>
    <sheet name="Youth Stabilization 12 Beds " sheetId="1" r:id="rId2"/>
    <sheet name="Staffing Supports  " sheetId="11" r:id="rId3"/>
    <sheet name="CAF Spring 2020" sheetId="10" r:id="rId4"/>
    <sheet name="USDA Food" sheetId="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sdfasdf" localSheetId="0">#REF!</definedName>
    <definedName name="asdfasdf" localSheetId="2">#REF!</definedName>
    <definedName name="asdfasdf">#REF!</definedName>
    <definedName name="Average" localSheetId="0">#REF!</definedName>
    <definedName name="Average" localSheetId="2">#REF!</definedName>
    <definedName name="Average">#REF!</definedName>
    <definedName name="CAF_NEW">[1]RawDataCalcs!$L$70:$DB$70</definedName>
    <definedName name="Cap">[2]RawDataCalcs!$L$70:$DB$70</definedName>
    <definedName name="chart" localSheetId="2">#REF!</definedName>
    <definedName name="chart">#REF!</definedName>
    <definedName name="Data" localSheetId="0">#REF!</definedName>
    <definedName name="Data" localSheetId="2">#REF!</definedName>
    <definedName name="Data">#REF!</definedName>
    <definedName name="Floor">[2]RawDataCalcs!$L$69:$DB$69</definedName>
    <definedName name="Funds">'[3]RawDataCalcs3386&amp;3401'!$L$68:$DB$68</definedName>
    <definedName name="gk" localSheetId="0">#REF!</definedName>
    <definedName name="gk" localSheetId="2">#REF!</definedName>
    <definedName name="gk">#REF!</definedName>
    <definedName name="hhh" localSheetId="0">#REF!</definedName>
    <definedName name="hhh" localSheetId="2">#REF!</definedName>
    <definedName name="hhh">#REF!</definedName>
    <definedName name="JailDAverage" localSheetId="0">#REF!</definedName>
    <definedName name="JailDAverage" localSheetId="2">#REF!</definedName>
    <definedName name="JailDAverage">#REF!</definedName>
    <definedName name="JailDCap">[4]ALLRawDataCalcs!$L$80:$DB$80</definedName>
    <definedName name="JailDFloor">[4]ALLRawDataCalcs!$L$79:$DB$79</definedName>
    <definedName name="JailDgk" localSheetId="0">#REF!</definedName>
    <definedName name="JailDgk" localSheetId="2">#REF!</definedName>
    <definedName name="JailDgk">#REF!</definedName>
    <definedName name="JailDMax" localSheetId="0">#REF!</definedName>
    <definedName name="JailDMax" localSheetId="2">#REF!</definedName>
    <definedName name="JailDMax">#REF!</definedName>
    <definedName name="JailDMedian" localSheetId="0">#REF!</definedName>
    <definedName name="JailDMedian" localSheetId="2">#REF!</definedName>
    <definedName name="JailDMedian">#REF!</definedName>
    <definedName name="KARA">#REF!</definedName>
    <definedName name="kls" localSheetId="0">#REF!</definedName>
    <definedName name="kls" localSheetId="2">#REF!</definedName>
    <definedName name="kls">#REF!</definedName>
    <definedName name="ListProviders">'[5]List of Programs'!$A$24:$A$29</definedName>
    <definedName name="Max" localSheetId="0">#REF!</definedName>
    <definedName name="Max" localSheetId="2">#REF!</definedName>
    <definedName name="Max">#REF!</definedName>
    <definedName name="Median" localSheetId="0">#REF!</definedName>
    <definedName name="Median" localSheetId="2">#REF!</definedName>
    <definedName name="Median">#REF!</definedName>
    <definedName name="Min" localSheetId="0">#REF!</definedName>
    <definedName name="Min" localSheetId="2">#REF!</definedName>
    <definedName name="Min">#REF!</definedName>
    <definedName name="MT" localSheetId="0">#REF!</definedName>
    <definedName name="MT" localSheetId="2">#REF!</definedName>
    <definedName name="MT">#REF!</definedName>
    <definedName name="new" localSheetId="0">#REF!</definedName>
    <definedName name="new" localSheetId="2">#REF!</definedName>
    <definedName name="new">#REF!</definedName>
    <definedName name="ok" localSheetId="0">#REF!</definedName>
    <definedName name="ok" localSheetId="2">#REF!</definedName>
    <definedName name="ok">#REF!</definedName>
    <definedName name="_xlnm.Print_Area" localSheetId="3">'CAF Spring 2020'!$BM$6:$CB$24</definedName>
    <definedName name="_xlnm.Print_Area" localSheetId="0">'Salary Bench Chart'!$B$1:$G$33</definedName>
    <definedName name="_xlnm.Print_Area" localSheetId="2">'Staffing Supports  '!$A$1:$K$38</definedName>
    <definedName name="_xlnm.Print_Area" localSheetId="4">'USDA Food'!$B$7:$N$28</definedName>
    <definedName name="_xlnm.Print_Area" localSheetId="1">'Youth Stabilization 12 Beds '!$C$3:$L$55</definedName>
    <definedName name="_xlnm.Print_Titles" localSheetId="3">'CAF Spring 2020'!$A:$A</definedName>
    <definedName name="Program_File" localSheetId="0">#REF!</definedName>
    <definedName name="Program_File" localSheetId="2">#REF!</definedName>
    <definedName name="Program_File">#REF!</definedName>
    <definedName name="Programs">'[5]List of Programs'!$B$3:$B$19</definedName>
    <definedName name="ProvFTE" localSheetId="0">'[6]FTE Data'!$A$3:$AW$56</definedName>
    <definedName name="ProvFTE" localSheetId="2">'[6]FTE Data'!$A$3:$AW$56</definedName>
    <definedName name="ProvFTE">'[7]FTE Data'!$A$3:$AW$56</definedName>
    <definedName name="PurchasedBy" localSheetId="0">'[6]FTE Data'!$C$263:$AZ$657</definedName>
    <definedName name="PurchasedBy" localSheetId="2">'[6]FTE Data'!$C$263:$AZ$657</definedName>
    <definedName name="PurchasedBy">'[7]FTE Data'!$C$263:$AZ$657</definedName>
    <definedName name="resmay2007" localSheetId="0">#REF!</definedName>
    <definedName name="resmay2007" localSheetId="2">#REF!</definedName>
    <definedName name="resmay2007">#REF!</definedName>
    <definedName name="Site_list" localSheetId="0">[6]Lists!$A$2:$A$53</definedName>
    <definedName name="Site_list" localSheetId="2">[6]Lists!$A$2:$A$53</definedName>
    <definedName name="Site_list">[7]Lists!$A$2:$A$53</definedName>
    <definedName name="Source" localSheetId="0">#REF!</definedName>
    <definedName name="Source" localSheetId="2">#REF!</definedName>
    <definedName name="Source">#REF!</definedName>
    <definedName name="Source_2" localSheetId="0">#REF!</definedName>
    <definedName name="Source_2" localSheetId="2">#REF!</definedName>
    <definedName name="Source_2">#REF!</definedName>
    <definedName name="SourcePathAndFileName" localSheetId="0">#REF!</definedName>
    <definedName name="SourcePathAndFileName" localSheetId="2">#REF!</definedName>
    <definedName name="SourcePathAndFileName">#REF!</definedName>
    <definedName name="Total_UFR" localSheetId="0">#REF!</definedName>
    <definedName name="Total_UFR" localSheetId="2">#REF!</definedName>
    <definedName name="Total_UFR">#REF!</definedName>
    <definedName name="Total_UFRs" localSheetId="0">#REF!</definedName>
    <definedName name="Total_UFRs" localSheetId="2">#REF!</definedName>
    <definedName name="Total_UFRs">#REF!</definedName>
    <definedName name="Total_UFRs_" localSheetId="0">#REF!</definedName>
    <definedName name="Total_UFRs_" localSheetId="2">#REF!</definedName>
    <definedName name="Total_UFRs_">#REF!</definedName>
    <definedName name="UFR" localSheetId="2">'[8]Complete UFR List'!#REF!</definedName>
    <definedName name="UFR">'[8]Complete UFR List'!#REF!</definedName>
    <definedName name="UFRS" localSheetId="2">'[8]Complete UFR List'!#REF!</definedName>
    <definedName name="UFRS">'[8]Complete UFR List'!#REF!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3" i="11" l="1"/>
  <c r="Q103" i="11" s="1"/>
  <c r="Q101" i="11"/>
  <c r="P101" i="11"/>
  <c r="N101" i="11"/>
  <c r="M101" i="11"/>
  <c r="Q99" i="11"/>
  <c r="N99" i="11"/>
  <c r="Q95" i="11"/>
  <c r="R95" i="11" s="1"/>
  <c r="R98" i="11" s="1"/>
  <c r="P95" i="11"/>
  <c r="O95" i="11"/>
  <c r="N95" i="11"/>
  <c r="R93" i="11"/>
  <c r="Q84" i="11"/>
  <c r="P84" i="11"/>
  <c r="N84" i="11"/>
  <c r="M84" i="11"/>
  <c r="J84" i="11"/>
  <c r="G84" i="11"/>
  <c r="J82" i="11"/>
  <c r="I82" i="11"/>
  <c r="G82" i="11"/>
  <c r="F82" i="11"/>
  <c r="J80" i="11"/>
  <c r="G80" i="11"/>
  <c r="R78" i="11"/>
  <c r="R81" i="11" s="1"/>
  <c r="Q78" i="11"/>
  <c r="O78" i="11"/>
  <c r="N78" i="11"/>
  <c r="F77" i="11"/>
  <c r="M96" i="11" s="1"/>
  <c r="R76" i="11"/>
  <c r="I76" i="11"/>
  <c r="F76" i="11"/>
  <c r="K74" i="11"/>
  <c r="N68" i="11"/>
  <c r="N85" i="11" s="1"/>
  <c r="Q85" i="11" s="1"/>
  <c r="Q67" i="11"/>
  <c r="P67" i="11"/>
  <c r="N67" i="11"/>
  <c r="M67" i="11"/>
  <c r="J66" i="11"/>
  <c r="G66" i="11"/>
  <c r="N65" i="11"/>
  <c r="N82" i="11" s="1"/>
  <c r="J64" i="11"/>
  <c r="I64" i="11"/>
  <c r="G64" i="11"/>
  <c r="F64" i="11"/>
  <c r="J62" i="11"/>
  <c r="G62" i="11"/>
  <c r="M61" i="11"/>
  <c r="P61" i="11" s="1"/>
  <c r="R59" i="11"/>
  <c r="K58" i="11"/>
  <c r="K61" i="11" s="1"/>
  <c r="J58" i="11"/>
  <c r="I58" i="11"/>
  <c r="G58" i="11"/>
  <c r="F58" i="11"/>
  <c r="K56" i="11"/>
  <c r="Q51" i="11"/>
  <c r="N51" i="11"/>
  <c r="Q50" i="11"/>
  <c r="P50" i="11"/>
  <c r="N50" i="11"/>
  <c r="M50" i="11"/>
  <c r="N48" i="11"/>
  <c r="Q48" i="11" s="1"/>
  <c r="J48" i="11"/>
  <c r="G48" i="11"/>
  <c r="J46" i="11"/>
  <c r="I46" i="11"/>
  <c r="G46" i="11"/>
  <c r="F46" i="11"/>
  <c r="Q44" i="11"/>
  <c r="R44" i="11" s="1"/>
  <c r="R47" i="11" s="1"/>
  <c r="O44" i="11"/>
  <c r="N44" i="11"/>
  <c r="M44" i="11"/>
  <c r="P44" i="11" s="1"/>
  <c r="J44" i="11"/>
  <c r="G44" i="11"/>
  <c r="R42" i="11"/>
  <c r="K40" i="11"/>
  <c r="K43" i="11" s="1"/>
  <c r="J40" i="11"/>
  <c r="I40" i="11"/>
  <c r="G40" i="11"/>
  <c r="F40" i="11"/>
  <c r="K38" i="11"/>
  <c r="D35" i="11"/>
  <c r="Q34" i="11"/>
  <c r="N34" i="11"/>
  <c r="D34" i="11"/>
  <c r="D33" i="11"/>
  <c r="U32" i="11"/>
  <c r="X32" i="11" s="1"/>
  <c r="Q32" i="11"/>
  <c r="P32" i="11"/>
  <c r="N32" i="11"/>
  <c r="M32" i="11"/>
  <c r="D32" i="11"/>
  <c r="D36" i="11" s="1"/>
  <c r="D37" i="11" s="1"/>
  <c r="C21" i="11" s="1"/>
  <c r="X30" i="11"/>
  <c r="W30" i="11"/>
  <c r="U30" i="11"/>
  <c r="T30" i="11"/>
  <c r="Q30" i="11"/>
  <c r="N30" i="11"/>
  <c r="G30" i="11"/>
  <c r="G29" i="11"/>
  <c r="X28" i="11"/>
  <c r="U28" i="11"/>
  <c r="G27" i="11"/>
  <c r="R26" i="11"/>
  <c r="R29" i="11" s="1"/>
  <c r="Q26" i="11"/>
  <c r="P26" i="11"/>
  <c r="N26" i="11"/>
  <c r="M26" i="11"/>
  <c r="C26" i="11"/>
  <c r="X24" i="11"/>
  <c r="Y24" i="11" s="1"/>
  <c r="Y27" i="11" s="1"/>
  <c r="V24" i="11"/>
  <c r="U24" i="11"/>
  <c r="T24" i="11"/>
  <c r="W24" i="11" s="1"/>
  <c r="R24" i="11"/>
  <c r="H24" i="11"/>
  <c r="H26" i="11" s="1"/>
  <c r="G24" i="11"/>
  <c r="F24" i="11"/>
  <c r="Y22" i="11"/>
  <c r="N18" i="11"/>
  <c r="Q18" i="11" s="1"/>
  <c r="C17" i="11"/>
  <c r="N16" i="11"/>
  <c r="Q16" i="11" s="1"/>
  <c r="G16" i="11"/>
  <c r="Q14" i="11"/>
  <c r="P14" i="11"/>
  <c r="N14" i="11"/>
  <c r="M14" i="11"/>
  <c r="G14" i="11"/>
  <c r="G13" i="11"/>
  <c r="N12" i="11"/>
  <c r="Q12" i="11" s="1"/>
  <c r="C12" i="11"/>
  <c r="G11" i="11"/>
  <c r="C9" i="11"/>
  <c r="R8" i="11"/>
  <c r="R11" i="11" s="1"/>
  <c r="Q8" i="11"/>
  <c r="P8" i="11"/>
  <c r="N8" i="11"/>
  <c r="M8" i="11"/>
  <c r="H8" i="11"/>
  <c r="H10" i="11" s="1"/>
  <c r="G8" i="11"/>
  <c r="F8" i="11"/>
  <c r="R6" i="11"/>
  <c r="R14" i="11" l="1"/>
  <c r="R12" i="11"/>
  <c r="R13" i="11" s="1"/>
  <c r="H27" i="11"/>
  <c r="H29" i="11"/>
  <c r="H28" i="11"/>
  <c r="H13" i="11"/>
  <c r="H11" i="11"/>
  <c r="H12" i="11" s="1"/>
  <c r="H14" i="11" s="1"/>
  <c r="H15" i="11" s="1"/>
  <c r="H16" i="11" s="1"/>
  <c r="H17" i="11" s="1"/>
  <c r="V25" i="11"/>
  <c r="V27" i="11" s="1"/>
  <c r="Y30" i="11"/>
  <c r="Y29" i="11"/>
  <c r="R32" i="11"/>
  <c r="Y28" i="11"/>
  <c r="R30" i="11"/>
  <c r="R31" i="11" s="1"/>
  <c r="N79" i="11"/>
  <c r="N62" i="11"/>
  <c r="N96" i="11"/>
  <c r="N45" i="11"/>
  <c r="G41" i="11"/>
  <c r="G59" i="11" s="1"/>
  <c r="G77" i="11" s="1"/>
  <c r="N27" i="11"/>
  <c r="U25" i="11"/>
  <c r="N9" i="11"/>
  <c r="O9" i="11" s="1"/>
  <c r="K44" i="11"/>
  <c r="K45" i="11" s="1"/>
  <c r="O27" i="11"/>
  <c r="R50" i="11"/>
  <c r="R49" i="11"/>
  <c r="R48" i="11"/>
  <c r="Q61" i="11"/>
  <c r="R61" i="11" s="1"/>
  <c r="R64" i="11" s="1"/>
  <c r="N61" i="11"/>
  <c r="N87" i="11"/>
  <c r="Q87" i="11" s="1"/>
  <c r="G86" i="11"/>
  <c r="J86" i="11" s="1"/>
  <c r="N70" i="11"/>
  <c r="Q70" i="11" s="1"/>
  <c r="G68" i="11"/>
  <c r="J68" i="11" s="1"/>
  <c r="N105" i="11"/>
  <c r="Q105" i="11" s="1"/>
  <c r="O26" i="11"/>
  <c r="U34" i="11"/>
  <c r="X34" i="11" s="1"/>
  <c r="N36" i="11"/>
  <c r="Q36" i="11" s="1"/>
  <c r="H40" i="11"/>
  <c r="O45" i="11"/>
  <c r="O47" i="11" s="1"/>
  <c r="N53" i="11"/>
  <c r="Q53" i="11" s="1"/>
  <c r="K64" i="11"/>
  <c r="K80" i="11"/>
  <c r="O96" i="11"/>
  <c r="R101" i="11"/>
  <c r="R99" i="11"/>
  <c r="R100" i="11" s="1"/>
  <c r="O8" i="11"/>
  <c r="G76" i="11"/>
  <c r="J76" i="11"/>
  <c r="K76" i="11" s="1"/>
  <c r="K79" i="11" s="1"/>
  <c r="G32" i="11"/>
  <c r="K46" i="11"/>
  <c r="G50" i="11"/>
  <c r="J50" i="11" s="1"/>
  <c r="H59" i="11"/>
  <c r="K62" i="11"/>
  <c r="K63" i="11" s="1"/>
  <c r="Q82" i="11"/>
  <c r="R82" i="11" s="1"/>
  <c r="R83" i="11" s="1"/>
  <c r="O81" i="11"/>
  <c r="R84" i="11"/>
  <c r="H58" i="11"/>
  <c r="M79" i="11"/>
  <c r="O79" i="11"/>
  <c r="O98" i="11"/>
  <c r="Q65" i="11"/>
  <c r="Q68" i="11"/>
  <c r="K15" i="1"/>
  <c r="R86" i="11" l="1"/>
  <c r="R87" i="11" s="1"/>
  <c r="R88" i="11" s="1"/>
  <c r="R85" i="11"/>
  <c r="R34" i="11"/>
  <c r="R35" i="11" s="1"/>
  <c r="R36" i="11" s="1"/>
  <c r="R37" i="11" s="1"/>
  <c r="K67" i="11"/>
  <c r="K68" i="11" s="1"/>
  <c r="K69" i="11" s="1"/>
  <c r="K66" i="11"/>
  <c r="R104" i="11"/>
  <c r="R105" i="11" s="1"/>
  <c r="R106" i="11" s="1"/>
  <c r="R103" i="11"/>
  <c r="O50" i="11"/>
  <c r="O48" i="11"/>
  <c r="O49" i="11" s="1"/>
  <c r="O51" i="11" s="1"/>
  <c r="O52" i="11" s="1"/>
  <c r="O53" i="11" s="1"/>
  <c r="O54" i="11" s="1"/>
  <c r="K48" i="11"/>
  <c r="K49" i="11" s="1"/>
  <c r="K50" i="11" s="1"/>
  <c r="K51" i="11" s="1"/>
  <c r="V30" i="11"/>
  <c r="V29" i="11"/>
  <c r="V32" i="11" s="1"/>
  <c r="V33" i="11" s="1"/>
  <c r="V34" i="11" s="1"/>
  <c r="V35" i="11" s="1"/>
  <c r="V28" i="11"/>
  <c r="R17" i="11"/>
  <c r="R18" i="11" s="1"/>
  <c r="R19" i="11" s="1"/>
  <c r="R16" i="11"/>
  <c r="O99" i="11"/>
  <c r="O101" i="11"/>
  <c r="O100" i="11"/>
  <c r="O103" i="11" s="1"/>
  <c r="O104" i="11" s="1"/>
  <c r="O105" i="11" s="1"/>
  <c r="O106" i="11" s="1"/>
  <c r="O84" i="11"/>
  <c r="H77" i="11"/>
  <c r="H76" i="11"/>
  <c r="H79" i="11" s="1"/>
  <c r="R67" i="11"/>
  <c r="R65" i="11"/>
  <c r="R66" i="11" s="1"/>
  <c r="H61" i="11"/>
  <c r="O82" i="11"/>
  <c r="O83" i="11" s="1"/>
  <c r="O85" i="11" s="1"/>
  <c r="O86" i="11" s="1"/>
  <c r="O87" i="11" s="1"/>
  <c r="O88" i="11" s="1"/>
  <c r="K82" i="11"/>
  <c r="K81" i="11"/>
  <c r="O11" i="11"/>
  <c r="O29" i="11"/>
  <c r="O61" i="11"/>
  <c r="O62" i="11"/>
  <c r="H41" i="11"/>
  <c r="H43" i="11" s="1"/>
  <c r="H30" i="11"/>
  <c r="H31" i="11" s="1"/>
  <c r="H32" i="11" s="1"/>
  <c r="H33" i="11" s="1"/>
  <c r="R51" i="11"/>
  <c r="R52" i="11" s="1"/>
  <c r="R53" i="11" s="1"/>
  <c r="R54" i="11" s="1"/>
  <c r="Y32" i="11"/>
  <c r="Y33" i="11" s="1"/>
  <c r="Y34" i="11" s="1"/>
  <c r="Y35" i="11" s="1"/>
  <c r="K21" i="1"/>
  <c r="K39" i="1"/>
  <c r="R69" i="11" l="1"/>
  <c r="R70" i="11" s="1"/>
  <c r="R71" i="11" s="1"/>
  <c r="R68" i="11"/>
  <c r="H46" i="11"/>
  <c r="H44" i="11"/>
  <c r="H45" i="11" s="1"/>
  <c r="H48" i="11" s="1"/>
  <c r="H49" i="11" s="1"/>
  <c r="H50" i="11" s="1"/>
  <c r="H51" i="11" s="1"/>
  <c r="O32" i="11"/>
  <c r="O31" i="11"/>
  <c r="O34" i="11" s="1"/>
  <c r="O35" i="11" s="1"/>
  <c r="O36" i="11" s="1"/>
  <c r="O37" i="11" s="1"/>
  <c r="O30" i="11"/>
  <c r="K85" i="11"/>
  <c r="K86" i="11" s="1"/>
  <c r="K87" i="11" s="1"/>
  <c r="K84" i="11"/>
  <c r="H82" i="11"/>
  <c r="H80" i="11"/>
  <c r="H81" i="11" s="1"/>
  <c r="H84" i="11" s="1"/>
  <c r="H85" i="11" s="1"/>
  <c r="H86" i="11" s="1"/>
  <c r="H87" i="11" s="1"/>
  <c r="O64" i="11"/>
  <c r="O14" i="11"/>
  <c r="O12" i="11"/>
  <c r="O13" i="11" s="1"/>
  <c r="O16" i="11" s="1"/>
  <c r="O17" i="11" s="1"/>
  <c r="O18" i="11" s="1"/>
  <c r="O19" i="11" s="1"/>
  <c r="H64" i="11"/>
  <c r="H63" i="11"/>
  <c r="H66" i="11" s="1"/>
  <c r="H67" i="11" s="1"/>
  <c r="H68" i="11" s="1"/>
  <c r="H69" i="11" s="1"/>
  <c r="H62" i="11"/>
  <c r="BP21" i="10"/>
  <c r="O67" i="11" l="1"/>
  <c r="O65" i="11"/>
  <c r="O66" i="11" s="1"/>
  <c r="O68" i="11" s="1"/>
  <c r="O69" i="11" s="1"/>
  <c r="O70" i="11" s="1"/>
  <c r="O71" i="11" s="1"/>
  <c r="F13" i="1"/>
  <c r="J27" i="4" l="1"/>
  <c r="J28" i="4"/>
  <c r="K49" i="1"/>
  <c r="K55" i="1" l="1"/>
  <c r="BW21" i="10"/>
  <c r="BV21" i="10"/>
  <c r="BU21" i="10"/>
  <c r="BT21" i="10"/>
  <c r="BS21" i="10"/>
  <c r="BR21" i="10"/>
  <c r="BQ21" i="10"/>
  <c r="BY21" i="10"/>
  <c r="BY23" i="10" s="1"/>
  <c r="BW20" i="10"/>
  <c r="BV20" i="10"/>
  <c r="BU20" i="10"/>
  <c r="BT20" i="10"/>
  <c r="BS20" i="10"/>
  <c r="BR20" i="10"/>
  <c r="BQ20" i="10"/>
  <c r="BP20" i="10"/>
  <c r="BY17" i="10"/>
  <c r="BP17" i="10"/>
  <c r="BP16" i="10"/>
  <c r="C32" i="1" l="1"/>
  <c r="D31" i="1"/>
  <c r="C31" i="1"/>
  <c r="D32" i="1" l="1"/>
  <c r="D30" i="1" l="1"/>
  <c r="F27" i="4" l="1"/>
  <c r="J26" i="4"/>
  <c r="K52" i="1" s="1"/>
  <c r="D33" i="1" s="1"/>
  <c r="F26" i="4"/>
  <c r="E26" i="4"/>
  <c r="E27" i="4" s="1"/>
  <c r="D26" i="4"/>
  <c r="D27" i="4" s="1"/>
  <c r="C26" i="4"/>
  <c r="C27" i="4" s="1"/>
  <c r="F20" i="4"/>
  <c r="F21" i="4" s="1"/>
  <c r="E20" i="4"/>
  <c r="E21" i="4" s="1"/>
  <c r="D20" i="4"/>
  <c r="D21" i="4" s="1"/>
  <c r="C20" i="4"/>
  <c r="C21" i="4" s="1"/>
  <c r="N17" i="4"/>
  <c r="N18" i="4" s="1"/>
  <c r="M17" i="4"/>
  <c r="M18" i="4" s="1"/>
  <c r="L17" i="4"/>
  <c r="L18" i="4" s="1"/>
  <c r="K17" i="4"/>
  <c r="K18" i="4" s="1"/>
  <c r="F14" i="4"/>
  <c r="F15" i="4" s="1"/>
  <c r="E14" i="4"/>
  <c r="E15" i="4" s="1"/>
  <c r="D14" i="4"/>
  <c r="D15" i="4" s="1"/>
  <c r="C14" i="4"/>
  <c r="C15" i="4" s="1"/>
  <c r="N12" i="4"/>
  <c r="N13" i="4" s="1"/>
  <c r="M12" i="4"/>
  <c r="M13" i="4" s="1"/>
  <c r="L12" i="4"/>
  <c r="L13" i="4" s="1"/>
  <c r="K12" i="4"/>
  <c r="K13" i="4" s="1"/>
  <c r="F28" i="4" l="1"/>
  <c r="E28" i="4"/>
  <c r="C28" i="4"/>
  <c r="D28" i="4"/>
  <c r="F15" i="1" l="1"/>
  <c r="C15" i="1"/>
  <c r="I38" i="1"/>
  <c r="G5" i="1"/>
  <c r="G32" i="1" s="1"/>
  <c r="I32" i="1"/>
  <c r="I33" i="1"/>
  <c r="I34" i="1"/>
  <c r="I35" i="1"/>
  <c r="I36" i="1"/>
  <c r="I37" i="1"/>
  <c r="I39" i="1"/>
  <c r="I40" i="1"/>
  <c r="I41" i="1"/>
  <c r="I42" i="1"/>
  <c r="I43" i="1"/>
  <c r="I44" i="1"/>
  <c r="I45" i="1"/>
  <c r="I46" i="1"/>
  <c r="I47" i="1"/>
  <c r="I31" i="1"/>
  <c r="C9" i="1"/>
  <c r="C10" i="1"/>
  <c r="C11" i="1"/>
  <c r="C12" i="1"/>
  <c r="C13" i="1"/>
  <c r="C14" i="1"/>
  <c r="C16" i="1"/>
  <c r="C17" i="1"/>
  <c r="C18" i="1"/>
  <c r="C19" i="1"/>
  <c r="C20" i="1"/>
  <c r="C21" i="1"/>
  <c r="C22" i="1"/>
  <c r="C23" i="1"/>
  <c r="C24" i="1"/>
  <c r="C8" i="1"/>
  <c r="C30" i="1" l="1"/>
  <c r="C33" i="1"/>
  <c r="E9" i="1" l="1"/>
  <c r="F10" i="1"/>
  <c r="F12" i="1"/>
  <c r="F17" i="1"/>
  <c r="F20" i="1"/>
  <c r="F22" i="1"/>
  <c r="F23" i="1"/>
  <c r="F9" i="1"/>
  <c r="H79" i="1"/>
  <c r="G79" i="1"/>
  <c r="F79" i="1"/>
  <c r="E79" i="1"/>
  <c r="D79" i="1"/>
  <c r="C79" i="1"/>
  <c r="B79" i="1"/>
  <c r="I78" i="1" l="1"/>
  <c r="I79" i="1" s="1"/>
  <c r="I80" i="1" s="1"/>
  <c r="F14" i="1" s="1"/>
  <c r="C22" i="2" l="1"/>
  <c r="K17" i="1" s="1"/>
  <c r="E12" i="1" s="1"/>
  <c r="G12" i="1" s="1"/>
  <c r="H21" i="2"/>
  <c r="D21" i="2"/>
  <c r="D22" i="2" s="1"/>
  <c r="C20" i="2"/>
  <c r="K19" i="1" s="1"/>
  <c r="H19" i="2"/>
  <c r="J19" i="2" s="1"/>
  <c r="D19" i="2"/>
  <c r="D20" i="2" s="1"/>
  <c r="C18" i="2"/>
  <c r="K20" i="1" s="1"/>
  <c r="E15" i="1" s="1"/>
  <c r="G15" i="1" s="1"/>
  <c r="H17" i="2"/>
  <c r="D17" i="2"/>
  <c r="D18" i="2" s="1"/>
  <c r="C16" i="2"/>
  <c r="E10" i="1" s="1"/>
  <c r="H15" i="2"/>
  <c r="D15" i="2"/>
  <c r="J15" i="2" s="1"/>
  <c r="C14" i="2"/>
  <c r="H13" i="2"/>
  <c r="D13" i="2"/>
  <c r="D14" i="2" s="1"/>
  <c r="C12" i="2"/>
  <c r="H11" i="2"/>
  <c r="D11" i="2"/>
  <c r="D12" i="2" s="1"/>
  <c r="D9" i="2"/>
  <c r="D10" i="2" s="1"/>
  <c r="C9" i="2"/>
  <c r="C10" i="2" s="1"/>
  <c r="K25" i="1" s="1"/>
  <c r="E20" i="1" s="1"/>
  <c r="G20" i="1" s="1"/>
  <c r="C8" i="2"/>
  <c r="H7" i="2"/>
  <c r="D7" i="2"/>
  <c r="D8" i="2" s="1"/>
  <c r="C6" i="2"/>
  <c r="H5" i="2"/>
  <c r="D5" i="2"/>
  <c r="J5" i="2" s="1"/>
  <c r="C4" i="2"/>
  <c r="H3" i="2"/>
  <c r="D3" i="2"/>
  <c r="D4" i="2" s="1"/>
  <c r="J17" i="2" l="1"/>
  <c r="J7" i="2"/>
  <c r="E14" i="1"/>
  <c r="G14" i="1" s="1"/>
  <c r="E16" i="1"/>
  <c r="K22" i="1"/>
  <c r="E17" i="1" s="1"/>
  <c r="G17" i="1" s="1"/>
  <c r="K18" i="1"/>
  <c r="E13" i="1" s="1"/>
  <c r="G13" i="1" s="1"/>
  <c r="K27" i="1"/>
  <c r="E22" i="1" s="1"/>
  <c r="G22" i="1" s="1"/>
  <c r="K24" i="1"/>
  <c r="E19" i="1" s="1"/>
  <c r="C26" i="2"/>
  <c r="K28" i="1"/>
  <c r="E23" i="1" s="1"/>
  <c r="G23" i="1" s="1"/>
  <c r="K26" i="1"/>
  <c r="J11" i="2"/>
  <c r="D6" i="2"/>
  <c r="D16" i="2"/>
  <c r="J3" i="2"/>
  <c r="J13" i="2"/>
  <c r="J21" i="2"/>
  <c r="K29" i="1" l="1"/>
  <c r="E24" i="1" s="1"/>
  <c r="E21" i="1"/>
  <c r="H71" i="1"/>
  <c r="G71" i="1"/>
  <c r="F71" i="1"/>
  <c r="E71" i="1"/>
  <c r="D71" i="1"/>
  <c r="C71" i="1"/>
  <c r="B71" i="1"/>
  <c r="H64" i="1"/>
  <c r="G64" i="1"/>
  <c r="F64" i="1"/>
  <c r="E64" i="1"/>
  <c r="D64" i="1"/>
  <c r="C64" i="1"/>
  <c r="B64" i="1"/>
  <c r="E38" i="1"/>
  <c r="C38" i="1"/>
  <c r="E36" i="1"/>
  <c r="E26" i="1"/>
  <c r="K8" i="1"/>
  <c r="K7" i="1"/>
  <c r="K6" i="1"/>
  <c r="K5" i="1"/>
  <c r="G30" i="1" l="1"/>
  <c r="G33" i="1"/>
  <c r="I69" i="1"/>
  <c r="I70" i="1" s="1"/>
  <c r="I71" i="1" s="1"/>
  <c r="K44" i="1" s="1"/>
  <c r="F21" i="1" s="1"/>
  <c r="G21" i="1" s="1"/>
  <c r="I62" i="1"/>
  <c r="I63" i="1" s="1"/>
  <c r="G10" i="1"/>
  <c r="K9" i="1"/>
  <c r="K10" i="1" s="1"/>
  <c r="G9" i="1"/>
  <c r="K47" i="1" l="1"/>
  <c r="F24" i="1" s="1"/>
  <c r="F16" i="1"/>
  <c r="I64" i="1"/>
  <c r="G16" i="1" l="1"/>
  <c r="F19" i="1" l="1"/>
  <c r="G24" i="1"/>
  <c r="G19" i="1" l="1"/>
  <c r="G25" i="1" s="1"/>
  <c r="G31" i="1" s="1"/>
  <c r="F25" i="1"/>
  <c r="G26" i="1" l="1"/>
  <c r="G27" i="1" s="1"/>
  <c r="F27" i="1" l="1"/>
  <c r="G35" i="1"/>
  <c r="G36" i="1" s="1"/>
  <c r="G37" i="1" s="1"/>
  <c r="G38" i="1" l="1"/>
  <c r="G39" i="1" s="1"/>
  <c r="G40" i="1" s="1"/>
  <c r="G42" i="1" s="1"/>
  <c r="G41" i="1" l="1"/>
</calcChain>
</file>

<file path=xl/comments1.xml><?xml version="1.0" encoding="utf-8"?>
<comments xmlns="http://schemas.openxmlformats.org/spreadsheetml/2006/main">
  <authors>
    <author>Marie Lenane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Marie Lenane:</t>
        </r>
        <r>
          <rPr>
            <sz val="9"/>
            <color indexed="81"/>
            <rFont val="Tahoma"/>
            <family val="2"/>
          </rPr>
          <t xml:space="preserve">
formerly Clinical Dir. Sal $62,681, based on BLS rates increased by $20,664 annually)</t>
        </r>
      </text>
    </comment>
  </commentList>
</comments>
</file>

<file path=xl/sharedStrings.xml><?xml version="1.0" encoding="utf-8"?>
<sst xmlns="http://schemas.openxmlformats.org/spreadsheetml/2006/main" count="675" uniqueCount="327">
  <si>
    <t>Relief Assumptions</t>
  </si>
  <si>
    <t>Days</t>
  </si>
  <si>
    <t>Hours</t>
  </si>
  <si>
    <t>Beds:</t>
  </si>
  <si>
    <t>Bed Days:</t>
  </si>
  <si>
    <t>vacation</t>
  </si>
  <si>
    <t>sick/ personal</t>
  </si>
  <si>
    <t>Salary</t>
  </si>
  <si>
    <t>FTE</t>
  </si>
  <si>
    <t>Expense</t>
  </si>
  <si>
    <t>holidays</t>
  </si>
  <si>
    <t>training</t>
  </si>
  <si>
    <t>Total Hours per FTE:</t>
  </si>
  <si>
    <t>% of FTE:</t>
  </si>
  <si>
    <r>
      <t>Benchmark Salaries</t>
    </r>
    <r>
      <rPr>
        <b/>
        <sz val="9"/>
        <rFont val="Arial"/>
        <family val="2"/>
      </rPr>
      <t xml:space="preserve"> </t>
    </r>
  </si>
  <si>
    <t>Management</t>
  </si>
  <si>
    <t>Medical and Clinical</t>
  </si>
  <si>
    <t xml:space="preserve">Bench to MA BLS 2018 </t>
  </si>
  <si>
    <t xml:space="preserve">    Registered Nurse</t>
  </si>
  <si>
    <t>Total Program Staff</t>
  </si>
  <si>
    <t>Direct Care</t>
  </si>
  <si>
    <t>Expenses</t>
  </si>
  <si>
    <t>Tax and Fringe</t>
  </si>
  <si>
    <t>Total Compensation</t>
  </si>
  <si>
    <t>Unit Cost</t>
  </si>
  <si>
    <t>Benchmark FTEs</t>
  </si>
  <si>
    <t>Total Reimb excl M&amp;G</t>
  </si>
  <si>
    <t>Admin. Allocation</t>
  </si>
  <si>
    <t>Per Bed Day rate (100% utilization)</t>
  </si>
  <si>
    <t>Benchmark Expenses</t>
  </si>
  <si>
    <t>Per Bed Day rate (95% utilization)</t>
  </si>
  <si>
    <t>Per Bed Day rate (90% utilization)</t>
  </si>
  <si>
    <t>PFML Trust Contribution</t>
  </si>
  <si>
    <t>Occupancy (per bed day)</t>
  </si>
  <si>
    <t>S</t>
  </si>
  <si>
    <t>M</t>
  </si>
  <si>
    <t xml:space="preserve">T </t>
  </si>
  <si>
    <t>W</t>
  </si>
  <si>
    <t xml:space="preserve">TH </t>
  </si>
  <si>
    <t>F</t>
  </si>
  <si>
    <t>Shift 1</t>
  </si>
  <si>
    <t>Shift 2</t>
  </si>
  <si>
    <t>Shift 3</t>
  </si>
  <si>
    <t>total Shifts</t>
  </si>
  <si>
    <t>shift * 8 hours</t>
  </si>
  <si>
    <t>FTE needed</t>
  </si>
  <si>
    <t>Median</t>
  </si>
  <si>
    <t>BLS MA</t>
  </si>
  <si>
    <t>Position</t>
  </si>
  <si>
    <t>Avg</t>
  </si>
  <si>
    <t>Minimum Education and/or certification</t>
  </si>
  <si>
    <t>C.257 Average</t>
  </si>
  <si>
    <t>Hourly Difference b/w Avg &amp; C.257</t>
  </si>
  <si>
    <t>Direct Care I &amp; II Blend (hourly)</t>
  </si>
  <si>
    <t>Direct Care, Direct Care Blend, Non Specialized DC, Peer mentor, Family Specialist</t>
  </si>
  <si>
    <t>High School diploma / GED / State Training</t>
  </si>
  <si>
    <t>Direct Care I &amp; II Blend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</si>
  <si>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</si>
  <si>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</si>
  <si>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</si>
  <si>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</si>
  <si>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</si>
  <si>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</si>
  <si>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</si>
  <si>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</si>
  <si>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</si>
  <si>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</si>
  <si>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</si>
  <si>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</si>
  <si>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Case Manager / Social Worker / Clinical w/o independent License (hourly)</t>
  </si>
  <si>
    <t>LDAC1,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</si>
  <si>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</si>
  <si>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</si>
  <si>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</si>
  <si>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</si>
  <si>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</si>
  <si>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</si>
  <si>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</si>
  <si>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 (hourly)</t>
  </si>
  <si>
    <t>Clinical Manager, Clinical Director, Supervising Professional</t>
  </si>
  <si>
    <t>Masters with Licensure in Related Discipline and supervising/managerial related experience</t>
  </si>
  <si>
    <t>Clinical Manager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</si>
  <si>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</si>
  <si>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</si>
  <si>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</si>
  <si>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</si>
  <si>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</si>
  <si>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</si>
  <si>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</si>
  <si>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</si>
  <si>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</si>
  <si>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Support and Relief Staff are Benchmarked to Direct Care I &amp; II</t>
  </si>
  <si>
    <t xml:space="preserve">Overnight staff (asleep or awake) bench to $14.25 / hr </t>
  </si>
  <si>
    <t xml:space="preserve">Tax and Fringe  =  </t>
  </si>
  <si>
    <t>CAF =</t>
  </si>
  <si>
    <t>PFMLA =</t>
  </si>
  <si>
    <t>Recovery Specialist</t>
  </si>
  <si>
    <t xml:space="preserve">Youth Stabilization Residential (12 Bed) Model Budget 
</t>
  </si>
  <si>
    <t>Recovery Supervisor</t>
  </si>
  <si>
    <r>
      <t xml:space="preserve">    </t>
    </r>
    <r>
      <rPr>
        <sz val="9"/>
        <rFont val="Arial"/>
        <family val="2"/>
      </rPr>
      <t>Program Director</t>
    </r>
  </si>
  <si>
    <t xml:space="preserve">    Clinical Director</t>
  </si>
  <si>
    <t xml:space="preserve">    Recovery Specialist</t>
  </si>
  <si>
    <t xml:space="preserve">    Support Staff</t>
  </si>
  <si>
    <t xml:space="preserve">    Utilization Reviewer / MA Lvl Clinician</t>
  </si>
  <si>
    <t xml:space="preserve">    Clinician (MA Lvl)</t>
  </si>
  <si>
    <t xml:space="preserve">    Educational Coordinator</t>
  </si>
  <si>
    <t xml:space="preserve">    Caseworker</t>
  </si>
  <si>
    <t xml:space="preserve">    DC Relief staff</t>
  </si>
  <si>
    <t xml:space="preserve">    Recovery Specialist Supervisor</t>
  </si>
  <si>
    <t>Bench to MA BLS 2018 - DC III BA Level</t>
  </si>
  <si>
    <t>Bench to MA BLS 2018 Clinical (MA Lvl)</t>
  </si>
  <si>
    <t>Bench to MA BLS 2018 Case / Social worker(BA Lvl)</t>
  </si>
  <si>
    <t>FY21 Benchmark</t>
  </si>
  <si>
    <t>Meals (per bed day)</t>
  </si>
  <si>
    <t>Other Expenses (per bed day)</t>
  </si>
  <si>
    <t>Program Total</t>
  </si>
  <si>
    <t>Subtotal</t>
  </si>
  <si>
    <t xml:space="preserve">    APRN</t>
  </si>
  <si>
    <t xml:space="preserve">    Nurse Relief</t>
  </si>
  <si>
    <t xml:space="preserve">    Licensed Practical Nurse (LPN)</t>
  </si>
  <si>
    <t>WEEKLY COST</t>
  </si>
  <si>
    <t>AGE</t>
  </si>
  <si>
    <t>THRIFTY</t>
  </si>
  <si>
    <t xml:space="preserve">LOW </t>
  </si>
  <si>
    <t>MODERATE</t>
  </si>
  <si>
    <t>LIBERAL</t>
  </si>
  <si>
    <t>19-50 (M)</t>
  </si>
  <si>
    <t>2-3</t>
  </si>
  <si>
    <t>51-70 (M)</t>
  </si>
  <si>
    <t>4-5</t>
  </si>
  <si>
    <t>71+ (M)</t>
  </si>
  <si>
    <t>6-8</t>
  </si>
  <si>
    <t>Weekly AVG</t>
  </si>
  <si>
    <t>9-11</t>
  </si>
  <si>
    <t>Daily Avg</t>
  </si>
  <si>
    <t>19-50 (F)</t>
  </si>
  <si>
    <t>51-70 (F)</t>
  </si>
  <si>
    <t>Male:</t>
  </si>
  <si>
    <t>71+ (F)</t>
  </si>
  <si>
    <t>12-13</t>
  </si>
  <si>
    <t>14-18</t>
  </si>
  <si>
    <t>19-50</t>
  </si>
  <si>
    <t>Female:</t>
  </si>
  <si>
    <t>TOTAL AVG</t>
  </si>
  <si>
    <t>Massachusetts Economic Indicators</t>
  </si>
  <si>
    <t>Prepared by Michael Lynch, 781-301-9129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</si>
  <si>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</si>
  <si>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</si>
  <si>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</si>
  <si>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</si>
  <si>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</si>
  <si>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</si>
  <si>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</si>
  <si>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</si>
  <si>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</si>
  <si>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</si>
  <si>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</si>
  <si>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</si>
  <si>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</si>
  <si>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</si>
  <si>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</si>
  <si>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</si>
  <si>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</si>
  <si>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</si>
  <si>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</si>
  <si>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</si>
  <si>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</si>
  <si>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</si>
  <si>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</si>
  <si>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</si>
  <si>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</si>
  <si>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</si>
  <si>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</si>
  <si>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</si>
  <si>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</si>
  <si>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</si>
  <si>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</si>
  <si>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</si>
  <si>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</si>
  <si>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</si>
  <si>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</si>
  <si>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</si>
  <si>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</si>
  <si>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</si>
  <si>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</si>
  <si>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</si>
  <si>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</si>
  <si>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</si>
  <si>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</si>
  <si>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</si>
  <si>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</si>
  <si>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</si>
  <si>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</si>
  <si>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</si>
  <si>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</si>
  <si>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</si>
  <si>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</si>
  <si>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</si>
  <si>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</si>
  <si>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</si>
  <si>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</si>
  <si>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</si>
  <si>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</si>
  <si>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</si>
  <si>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</si>
  <si>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</si>
  <si>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</si>
  <si>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</si>
  <si>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</si>
  <si>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</si>
  <si>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</si>
  <si>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</si>
  <si>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</si>
  <si>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</si>
  <si>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</si>
  <si>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</si>
  <si>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</si>
  <si>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</si>
  <si>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</si>
  <si>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</si>
  <si>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</si>
  <si>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</si>
  <si>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</si>
  <si>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</si>
  <si>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</si>
  <si>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</si>
  <si>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</si>
  <si>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</si>
  <si>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</si>
  <si>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</si>
  <si>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</si>
  <si>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</si>
  <si>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</si>
  <si>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</si>
  <si>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</si>
  <si>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</si>
  <si>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</si>
  <si>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</si>
  <si>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</si>
  <si>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 October 1, 2020</t>
  </si>
  <si>
    <t xml:space="preserve">Base period: </t>
  </si>
  <si>
    <t>Average</t>
  </si>
  <si>
    <t xml:space="preserve">Prospective rate period: </t>
  </si>
  <si>
    <t>CAF:</t>
  </si>
  <si>
    <t>CAF</t>
  </si>
  <si>
    <t>Sp 2020 Projection</t>
  </si>
  <si>
    <t>IHS Markit, Spring 2020 Forecast</t>
  </si>
  <si>
    <t>FY20</t>
  </si>
  <si>
    <t>FY21</t>
  </si>
  <si>
    <t>FY22</t>
  </si>
  <si>
    <t>FY23</t>
  </si>
  <si>
    <t>10/1/20- 9/30/22</t>
  </si>
  <si>
    <t>2017 / 2018</t>
  </si>
  <si>
    <t xml:space="preserve">FY21 MA Comptroller </t>
  </si>
  <si>
    <t>Updated from Medical to APRN</t>
  </si>
  <si>
    <t>Benchmarked to COE/RRS</t>
  </si>
  <si>
    <t xml:space="preserve"> Benchmarked to USDA food March 2020</t>
  </si>
  <si>
    <t>Based on FY18 UFR Data  includes  transportation, other expenses, Prg Supplies &amp; Mats and Training</t>
  </si>
  <si>
    <t>FY21Q1</t>
  </si>
  <si>
    <t>Bench to MA BLS 2018 RN &amp; LPN wtg avg</t>
  </si>
  <si>
    <t>Nurse / LPN</t>
  </si>
  <si>
    <t>C.257 Benchmark</t>
  </si>
  <si>
    <t>days a week</t>
  </si>
  <si>
    <t xml:space="preserve">STAFFING SUPPORT </t>
  </si>
  <si>
    <t>Activity Code 2517</t>
  </si>
  <si>
    <t xml:space="preserve"> Hourly Rate </t>
  </si>
  <si>
    <t>Master Data Look-up Table</t>
  </si>
  <si>
    <t>Clinical Director</t>
  </si>
  <si>
    <t>Food Service I</t>
  </si>
  <si>
    <t>Benchmark Salary</t>
  </si>
  <si>
    <t>FY 21 Salaries</t>
  </si>
  <si>
    <t>Source</t>
  </si>
  <si>
    <t>PER DIEM</t>
  </si>
  <si>
    <t>HOURLY</t>
  </si>
  <si>
    <t>Clincal Director</t>
  </si>
  <si>
    <t>Benchmarked to BLS/OES Clinical Manager Annual Salary</t>
  </si>
  <si>
    <t>Service Unit - Day</t>
  </si>
  <si>
    <t>Total Days</t>
  </si>
  <si>
    <t>Service Unit - Hour</t>
  </si>
  <si>
    <t>Total Hours</t>
  </si>
  <si>
    <t>Clinician w/Independent Licensure</t>
  </si>
  <si>
    <t>Benchmarked to BLS/OES Clinical with Indpendent Licensure</t>
  </si>
  <si>
    <t>Direct Care Staff I</t>
  </si>
  <si>
    <t>Benchmarked to BLS/OES Workforce Initiative salaries for DC I staff</t>
  </si>
  <si>
    <t>Direct Care Staff III</t>
  </si>
  <si>
    <t xml:space="preserve">Benchmarked to BLS/OES Direct Care III Staff </t>
  </si>
  <si>
    <t>Relief</t>
  </si>
  <si>
    <t>Maintenance I General</t>
  </si>
  <si>
    <t xml:space="preserve">Benchmarked to Direct Care I </t>
  </si>
  <si>
    <t>Maintenance II Skilled</t>
  </si>
  <si>
    <t xml:space="preserve">BLS 2019: Janitors and Cleaners, except Maid and Housekeeping </t>
  </si>
  <si>
    <t>Taxes &amp; Fringe</t>
  </si>
  <si>
    <t>Maintenance III Licensed</t>
  </si>
  <si>
    <t>Benchmarked to Direct Care III</t>
  </si>
  <si>
    <t>PFMLA</t>
  </si>
  <si>
    <t>Food Service II</t>
  </si>
  <si>
    <t xml:space="preserve">BLS 2019: Cooks All Other </t>
  </si>
  <si>
    <t xml:space="preserve">Admin. Alloc. </t>
  </si>
  <si>
    <t>Food Service III</t>
  </si>
  <si>
    <t>BLS 2019: Cooks Institution and Cafeteria</t>
  </si>
  <si>
    <t>TOTAL</t>
  </si>
  <si>
    <t>Supplies***</t>
  </si>
  <si>
    <t>Transporter</t>
  </si>
  <si>
    <t>Security</t>
  </si>
  <si>
    <t>Per Diem Rate</t>
  </si>
  <si>
    <t>Trainer</t>
  </si>
  <si>
    <t>BLS 2019: Community and Social Service Specialists, all other</t>
  </si>
  <si>
    <t>Hourly Rate</t>
  </si>
  <si>
    <t>Clinician with Independent Licensure</t>
  </si>
  <si>
    <t>Relief ***</t>
  </si>
  <si>
    <t>Chapter 257 Benchmark</t>
  </si>
  <si>
    <t>Benchmarked to Comm Office of Comptroller T&amp;F 2021</t>
  </si>
  <si>
    <t>101 CMR 418.00: YSTS</t>
  </si>
  <si>
    <t>Rate Review FY19</t>
  </si>
  <si>
    <t xml:space="preserve">PFMLA </t>
  </si>
  <si>
    <t>Per the Grand Bargain Agreement</t>
  </si>
  <si>
    <t>CAF RR2021</t>
  </si>
  <si>
    <t>SP 2020 CAF Report</t>
  </si>
  <si>
    <t>Base FY19 Q1 - Prospective 10/1/18 - 9/30/20</t>
  </si>
  <si>
    <t>***</t>
  </si>
  <si>
    <t>Relief only applied to per diem, not hourly staff</t>
  </si>
  <si>
    <t>Maint Materials</t>
  </si>
  <si>
    <t>Maint Materials***</t>
  </si>
  <si>
    <t>TRAINER</t>
  </si>
  <si>
    <t>Clerical</t>
  </si>
  <si>
    <t>Clerical Support</t>
  </si>
  <si>
    <t>Supplies &amp; Mats***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</si>
</sst>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%"/>
    <numFmt numFmtId="166" formatCode="_(&quot;$&quot;* #,##0_);_(&quot;$&quot;* \(#,##0\);_(&quot;$&quot;* &quot;-&quot;??_);_(@_)"/>
    <numFmt numFmtId="167" formatCode="\$#,##0.00"/>
    <numFmt numFmtId="168" formatCode="&quot;$&quot;#,##0"/>
    <numFmt numFmtId="169" formatCode="[$-409]mmmm\ d\,\ yyyy;@"/>
    <numFmt numFmtId="170" formatCode="&quot;$&quot;#,##0.00"/>
    <numFmt numFmtId="171" formatCode="[$-409]mmmm\-yy;@"/>
    <numFmt numFmtId="172" formatCode="0.000"/>
    <numFmt numFmtId="173" formatCode="0.0"/>
    <numFmt numFmtId="174" formatCode="&quot;$&quot;#,##0.0000_);[Red]\(&quot;$&quot;#,##0.0000\)"/>
    <numFmt numFmtId="175" formatCode="0.0000"/>
    <numFmt numFmtId="176" formatCode="&quot;$&quot;#,##0.0000_);\(&quot;$&quot;#,##0.0000\)"/>
  </numFmts>
  <fonts count="7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</font>
    <font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8"/>
      </top>
      <bottom/>
      <diagonal/>
    </border>
    <border>
      <left/>
      <right/>
      <top style="thin">
        <color indexed="58"/>
      </top>
      <bottom/>
      <diagonal/>
    </border>
    <border>
      <left/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9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3" borderId="0" applyNumberFormat="0" applyBorder="0" applyAlignment="0" applyProtection="0"/>
    <xf numFmtId="0" fontId="23" fillId="7" borderId="0" applyNumberFormat="0" applyBorder="0" applyAlignment="0" applyProtection="0"/>
    <xf numFmtId="0" fontId="24" fillId="2" borderId="0" applyNumberFormat="0" applyBorder="0" applyAlignment="0" applyProtection="0"/>
    <xf numFmtId="0" fontId="25" fillId="0" borderId="30" applyNumberFormat="0" applyFont="0" applyProtection="0">
      <alignment wrapText="1"/>
    </xf>
    <xf numFmtId="0" fontId="26" fillId="24" borderId="31" applyNumberFormat="0" applyAlignment="0" applyProtection="0"/>
    <xf numFmtId="0" fontId="26" fillId="24" borderId="31" applyNumberFormat="0" applyAlignment="0" applyProtection="0"/>
    <xf numFmtId="0" fontId="26" fillId="24" borderId="31" applyNumberFormat="0" applyAlignment="0" applyProtection="0"/>
    <xf numFmtId="0" fontId="27" fillId="25" borderId="32" applyNumberFormat="0" applyAlignment="0" applyProtection="0"/>
    <xf numFmtId="41" fontId="1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33" applyNumberFormat="0" applyProtection="0">
      <alignment wrapText="1"/>
    </xf>
    <xf numFmtId="0" fontId="31" fillId="8" borderId="0" applyNumberFormat="0" applyBorder="0" applyAlignment="0" applyProtection="0"/>
    <xf numFmtId="0" fontId="32" fillId="0" borderId="34" applyNumberFormat="0" applyProtection="0">
      <alignment wrapText="1"/>
    </xf>
    <xf numFmtId="0" fontId="33" fillId="0" borderId="35" applyNumberFormat="0" applyFill="0" applyAlignment="0" applyProtection="0"/>
    <xf numFmtId="0" fontId="3" fillId="0" borderId="1" applyNumberFormat="0" applyFill="0" applyAlignment="0" applyProtection="0"/>
    <xf numFmtId="0" fontId="33" fillId="0" borderId="35" applyNumberFormat="0" applyFill="0" applyAlignment="0" applyProtection="0"/>
    <xf numFmtId="0" fontId="34" fillId="0" borderId="36" applyNumberFormat="0" applyFill="0" applyAlignment="0" applyProtection="0"/>
    <xf numFmtId="0" fontId="4" fillId="0" borderId="2" applyNumberFormat="0" applyFill="0" applyAlignment="0" applyProtection="0"/>
    <xf numFmtId="0" fontId="34" fillId="0" borderId="36" applyNumberFormat="0" applyFill="0" applyAlignment="0" applyProtection="0"/>
    <xf numFmtId="0" fontId="35" fillId="0" borderId="37" applyNumberFormat="0" applyFill="0" applyAlignment="0" applyProtection="0"/>
    <xf numFmtId="0" fontId="5" fillId="0" borderId="3" applyNumberFormat="0" applyFill="0" applyAlignment="0" applyProtection="0"/>
    <xf numFmtId="0" fontId="35" fillId="0" borderId="37" applyNumberFormat="0" applyFill="0" applyAlignment="0" applyProtection="0"/>
    <xf numFmtId="0" fontId="3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1" borderId="31" applyNumberFormat="0" applyAlignment="0" applyProtection="0"/>
    <xf numFmtId="0" fontId="37" fillId="11" borderId="31" applyNumberFormat="0" applyAlignment="0" applyProtection="0"/>
    <xf numFmtId="0" fontId="37" fillId="11" borderId="31" applyNumberFormat="0" applyAlignment="0" applyProtection="0"/>
    <xf numFmtId="0" fontId="38" fillId="0" borderId="38" applyNumberFormat="0" applyFill="0" applyAlignment="0" applyProtection="0"/>
    <xf numFmtId="0" fontId="6" fillId="0" borderId="4" applyNumberFormat="0" applyFill="0" applyAlignment="0" applyProtection="0"/>
    <xf numFmtId="0" fontId="38" fillId="0" borderId="38" applyNumberFormat="0" applyFill="0" applyAlignment="0" applyProtection="0"/>
    <xf numFmtId="0" fontId="39" fillId="26" borderId="0" applyNumberFormat="0" applyBorder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6" fillId="0" borderId="0"/>
    <xf numFmtId="0" fontId="29" fillId="0" borderId="0"/>
    <xf numFmtId="0" fontId="41" fillId="0" borderId="0"/>
    <xf numFmtId="0" fontId="21" fillId="0" borderId="0"/>
    <xf numFmtId="0" fontId="16" fillId="0" borderId="0"/>
    <xf numFmtId="0" fontId="16" fillId="0" borderId="0"/>
    <xf numFmtId="0" fontId="29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42" fillId="0" borderId="0"/>
    <xf numFmtId="0" fontId="41" fillId="0" borderId="0"/>
    <xf numFmtId="0" fontId="1" fillId="0" borderId="0"/>
    <xf numFmtId="0" fontId="43" fillId="0" borderId="0"/>
    <xf numFmtId="0" fontId="4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40" fillId="0" borderId="0">
      <alignment vertical="top"/>
    </xf>
    <xf numFmtId="0" fontId="43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29" fillId="0" borderId="0"/>
    <xf numFmtId="0" fontId="29" fillId="0" borderId="0"/>
    <xf numFmtId="0" fontId="1" fillId="0" borderId="0"/>
    <xf numFmtId="0" fontId="16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40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3" borderId="5" applyNumberFormat="0" applyFont="0" applyAlignment="0" applyProtection="0"/>
    <xf numFmtId="0" fontId="16" fillId="27" borderId="39" applyNumberFormat="0" applyFont="0" applyAlignment="0" applyProtection="0"/>
    <xf numFmtId="0" fontId="16" fillId="27" borderId="39" applyNumberFormat="0" applyFont="0" applyAlignment="0" applyProtection="0"/>
    <xf numFmtId="0" fontId="44" fillId="24" borderId="40" applyNumberFormat="0" applyAlignment="0" applyProtection="0"/>
    <xf numFmtId="0" fontId="44" fillId="24" borderId="40" applyNumberFormat="0" applyAlignment="0" applyProtection="0"/>
    <xf numFmtId="0" fontId="44" fillId="24" borderId="40" applyNumberFormat="0" applyAlignment="0" applyProtection="0"/>
    <xf numFmtId="0" fontId="32" fillId="0" borderId="41" applyNumberFormat="0" applyProtection="0">
      <alignment wrapText="1"/>
    </xf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6" fillId="0" borderId="0" applyNumberFormat="0" applyProtection="0">
      <alignment horizontal="left"/>
    </xf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42" applyNumberFormat="0" applyFill="0" applyAlignment="0" applyProtection="0"/>
    <xf numFmtId="0" fontId="9" fillId="0" borderId="6" applyNumberFormat="0" applyFill="0" applyAlignment="0" applyProtection="0"/>
    <xf numFmtId="0" fontId="48" fillId="0" borderId="42" applyNumberFormat="0" applyFill="0" applyAlignment="0" applyProtection="0"/>
    <xf numFmtId="0" fontId="49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61" fillId="0" borderId="0"/>
  </cellStyleXfs>
  <cellXfs count="433">
    <xf numFmtId="0" fontId="0" fillId="0" borderId="0" xfId="0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16" xfId="0" applyFont="1" applyFill="1" applyBorder="1" applyAlignment="1"/>
    <xf numFmtId="0" fontId="12" fillId="0" borderId="0" xfId="0" applyFont="1" applyFill="1" applyBorder="1" applyAlignment="1">
      <alignment horizontal="center"/>
    </xf>
    <xf numFmtId="164" fontId="12" fillId="0" borderId="17" xfId="0" applyNumberFormat="1" applyFont="1" applyFill="1" applyBorder="1" applyAlignment="1">
      <alignment horizontal="center"/>
    </xf>
    <xf numFmtId="0" fontId="12" fillId="0" borderId="18" xfId="0" applyFont="1" applyFill="1" applyBorder="1"/>
    <xf numFmtId="0" fontId="12" fillId="0" borderId="19" xfId="0" applyFont="1" applyFill="1" applyBorder="1" applyAlignment="1">
      <alignment horizontal="left"/>
    </xf>
    <xf numFmtId="0" fontId="12" fillId="0" borderId="19" xfId="0" applyFont="1" applyFill="1" applyBorder="1"/>
    <xf numFmtId="3" fontId="12" fillId="0" borderId="20" xfId="0" applyNumberFormat="1" applyFont="1" applyFill="1" applyBorder="1"/>
    <xf numFmtId="0" fontId="13" fillId="0" borderId="16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16" xfId="0" applyFont="1" applyFill="1" applyBorder="1"/>
    <xf numFmtId="0" fontId="13" fillId="0" borderId="0" xfId="0" applyFont="1" applyFill="1" applyBorder="1"/>
    <xf numFmtId="0" fontId="13" fillId="0" borderId="17" xfId="0" applyFont="1" applyFill="1" applyBorder="1"/>
    <xf numFmtId="0" fontId="12" fillId="0" borderId="16" xfId="0" applyFont="1" applyFill="1" applyBorder="1"/>
    <xf numFmtId="0" fontId="12" fillId="0" borderId="0" xfId="0" applyFont="1" applyFill="1" applyBorder="1"/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13" fillId="0" borderId="23" xfId="0" applyFont="1" applyFill="1" applyBorder="1" applyAlignment="1"/>
    <xf numFmtId="0" fontId="13" fillId="0" borderId="21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42" fontId="13" fillId="0" borderId="0" xfId="0" applyNumberFormat="1" applyFont="1" applyFill="1" applyBorder="1"/>
    <xf numFmtId="4" fontId="13" fillId="0" borderId="0" xfId="0" applyNumberFormat="1" applyFont="1" applyFill="1" applyBorder="1"/>
    <xf numFmtId="42" fontId="13" fillId="0" borderId="17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13" xfId="0" applyFont="1" applyFill="1" applyBorder="1" applyAlignment="1"/>
    <xf numFmtId="0" fontId="13" fillId="0" borderId="14" xfId="0" applyFont="1" applyFill="1" applyBorder="1" applyAlignment="1">
      <alignment horizontal="right"/>
    </xf>
    <xf numFmtId="165" fontId="13" fillId="0" borderId="15" xfId="2" applyNumberFormat="1" applyFont="1" applyFill="1" applyBorder="1" applyAlignment="1">
      <alignment horizontal="center"/>
    </xf>
    <xf numFmtId="0" fontId="11" fillId="0" borderId="16" xfId="0" applyFont="1" applyBorder="1"/>
    <xf numFmtId="0" fontId="11" fillId="0" borderId="0" xfId="0" applyFont="1" applyBorder="1"/>
    <xf numFmtId="0" fontId="11" fillId="0" borderId="17" xfId="0" applyFont="1" applyBorder="1"/>
    <xf numFmtId="0" fontId="15" fillId="0" borderId="0" xfId="0" applyFont="1" applyFill="1" applyAlignment="1">
      <alignment wrapText="1"/>
    </xf>
    <xf numFmtId="0" fontId="16" fillId="0" borderId="0" xfId="0" applyFont="1" applyFill="1"/>
    <xf numFmtId="0" fontId="17" fillId="0" borderId="0" xfId="0" applyFont="1" applyBorder="1"/>
    <xf numFmtId="166" fontId="17" fillId="0" borderId="17" xfId="0" applyNumberFormat="1" applyFont="1" applyBorder="1"/>
    <xf numFmtId="42" fontId="13" fillId="0" borderId="17" xfId="0" applyNumberFormat="1" applyFont="1" applyFill="1" applyBorder="1" applyAlignment="1">
      <alignment horizontal="center"/>
    </xf>
    <xf numFmtId="0" fontId="12" fillId="0" borderId="24" xfId="0" applyFont="1" applyFill="1" applyBorder="1"/>
    <xf numFmtId="0" fontId="12" fillId="0" borderId="25" xfId="0" applyFont="1" applyFill="1" applyBorder="1"/>
    <xf numFmtId="4" fontId="12" fillId="0" borderId="25" xfId="0" applyNumberFormat="1" applyFont="1" applyFill="1" applyBorder="1"/>
    <xf numFmtId="42" fontId="12" fillId="0" borderId="26" xfId="0" applyNumberFormat="1" applyFont="1" applyFill="1" applyBorder="1"/>
    <xf numFmtId="10" fontId="13" fillId="0" borderId="0" xfId="0" applyNumberFormat="1" applyFont="1" applyFill="1" applyBorder="1"/>
    <xf numFmtId="10" fontId="17" fillId="0" borderId="0" xfId="2" applyNumberFormat="1" applyFont="1" applyBorder="1"/>
    <xf numFmtId="44" fontId="12" fillId="0" borderId="25" xfId="0" applyNumberFormat="1" applyFont="1" applyFill="1" applyBorder="1"/>
    <xf numFmtId="0" fontId="13" fillId="0" borderId="14" xfId="0" applyFont="1" applyFill="1" applyBorder="1"/>
    <xf numFmtId="42" fontId="13" fillId="0" borderId="15" xfId="0" applyNumberFormat="1" applyFont="1" applyFill="1" applyBorder="1"/>
    <xf numFmtId="42" fontId="12" fillId="0" borderId="17" xfId="0" applyNumberFormat="1" applyFont="1" applyFill="1" applyBorder="1"/>
    <xf numFmtId="44" fontId="13" fillId="0" borderId="0" xfId="0" applyNumberFormat="1" applyFont="1" applyFill="1" applyBorder="1"/>
    <xf numFmtId="166" fontId="13" fillId="0" borderId="17" xfId="0" applyNumberFormat="1" applyFont="1" applyFill="1" applyBorder="1"/>
    <xf numFmtId="2" fontId="13" fillId="0" borderId="0" xfId="0" applyNumberFormat="1" applyFont="1" applyFill="1" applyBorder="1" applyAlignment="1">
      <alignment horizontal="center" wrapText="1"/>
    </xf>
    <xf numFmtId="2" fontId="13" fillId="0" borderId="17" xfId="0" applyNumberFormat="1" applyFont="1" applyFill="1" applyBorder="1" applyAlignment="1">
      <alignment horizontal="center" wrapText="1"/>
    </xf>
    <xf numFmtId="0" fontId="0" fillId="0" borderId="27" xfId="0" applyBorder="1"/>
    <xf numFmtId="0" fontId="0" fillId="0" borderId="0" xfId="0" applyBorder="1"/>
    <xf numFmtId="44" fontId="13" fillId="0" borderId="0" xfId="1" applyFont="1" applyFill="1" applyBorder="1"/>
    <xf numFmtId="167" fontId="12" fillId="0" borderId="10" xfId="0" applyNumberFormat="1" applyFont="1" applyFill="1" applyBorder="1" applyAlignment="1"/>
    <xf numFmtId="9" fontId="12" fillId="0" borderId="11" xfId="0" applyNumberFormat="1" applyFont="1" applyFill="1" applyBorder="1" applyAlignment="1"/>
    <xf numFmtId="164" fontId="12" fillId="0" borderId="11" xfId="0" applyNumberFormat="1" applyFont="1" applyFill="1" applyBorder="1" applyAlignment="1"/>
    <xf numFmtId="44" fontId="12" fillId="0" borderId="11" xfId="1" applyFont="1" applyFill="1" applyBorder="1" applyAlignment="1"/>
    <xf numFmtId="2" fontId="13" fillId="0" borderId="14" xfId="0" applyNumberFormat="1" applyFont="1" applyFill="1" applyBorder="1" applyAlignment="1">
      <alignment horizontal="center" wrapText="1"/>
    </xf>
    <xf numFmtId="2" fontId="13" fillId="0" borderId="15" xfId="0" applyNumberFormat="1" applyFont="1" applyFill="1" applyBorder="1" applyAlignment="1">
      <alignment horizontal="center" wrapText="1"/>
    </xf>
    <xf numFmtId="44" fontId="12" fillId="0" borderId="12" xfId="1" applyNumberFormat="1" applyFont="1" applyFill="1" applyBorder="1"/>
    <xf numFmtId="9" fontId="12" fillId="0" borderId="11" xfId="2" applyFont="1" applyFill="1" applyBorder="1" applyAlignment="1"/>
    <xf numFmtId="10" fontId="13" fillId="0" borderId="17" xfId="2" applyNumberFormat="1" applyFont="1" applyFill="1" applyBorder="1"/>
    <xf numFmtId="10" fontId="13" fillId="0" borderId="17" xfId="0" applyNumberFormat="1" applyFont="1" applyFill="1" applyBorder="1"/>
    <xf numFmtId="44" fontId="13" fillId="0" borderId="17" xfId="1" applyNumberFormat="1" applyFont="1" applyFill="1" applyBorder="1"/>
    <xf numFmtId="0" fontId="11" fillId="0" borderId="0" xfId="0" applyFont="1" applyFill="1"/>
    <xf numFmtId="0" fontId="13" fillId="0" borderId="16" xfId="0" applyFont="1" applyBorder="1"/>
    <xf numFmtId="165" fontId="13" fillId="0" borderId="17" xfId="2" applyNumberFormat="1" applyFont="1" applyBorder="1"/>
    <xf numFmtId="0" fontId="13" fillId="0" borderId="13" xfId="0" applyFont="1" applyBorder="1"/>
    <xf numFmtId="0" fontId="0" fillId="0" borderId="14" xfId="0" applyBorder="1"/>
    <xf numFmtId="10" fontId="13" fillId="0" borderId="15" xfId="0" applyNumberFormat="1" applyFont="1" applyBorder="1"/>
    <xf numFmtId="0" fontId="18" fillId="0" borderId="27" xfId="0" applyFont="1" applyBorder="1"/>
    <xf numFmtId="0" fontId="19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8" fillId="0" borderId="29" xfId="0" applyFont="1" applyBorder="1" applyAlignment="1">
      <alignment horizontal="center"/>
    </xf>
    <xf numFmtId="10" fontId="0" fillId="0" borderId="0" xfId="2" applyNumberFormat="1" applyFont="1"/>
    <xf numFmtId="0" fontId="16" fillId="0" borderId="27" xfId="0" applyFont="1" applyFill="1" applyBorder="1"/>
    <xf numFmtId="0" fontId="0" fillId="0" borderId="0" xfId="0" applyAlignment="1">
      <alignment horizontal="center"/>
    </xf>
    <xf numFmtId="0" fontId="18" fillId="0" borderId="0" xfId="0" applyFont="1"/>
    <xf numFmtId="169" fontId="9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50" fillId="0" borderId="7" xfId="0" applyFont="1" applyBorder="1"/>
    <xf numFmtId="170" fontId="50" fillId="0" borderId="19" xfId="0" applyNumberFormat="1" applyFont="1" applyBorder="1" applyAlignment="1">
      <alignment horizontal="center"/>
    </xf>
    <xf numFmtId="0" fontId="50" fillId="0" borderId="8" xfId="0" applyFont="1" applyBorder="1"/>
    <xf numFmtId="170" fontId="0" fillId="0" borderId="43" xfId="0" applyNumberFormat="1" applyBorder="1"/>
    <xf numFmtId="170" fontId="0" fillId="0" borderId="0" xfId="0" applyNumberFormat="1"/>
    <xf numFmtId="0" fontId="50" fillId="0" borderId="16" xfId="0" applyFont="1" applyBorder="1"/>
    <xf numFmtId="168" fontId="50" fillId="0" borderId="0" xfId="0" applyNumberFormat="1" applyFont="1" applyBorder="1" applyAlignment="1">
      <alignment horizontal="center"/>
    </xf>
    <xf numFmtId="168" fontId="50" fillId="0" borderId="0" xfId="0" applyNumberFormat="1" applyFont="1" applyFill="1" applyBorder="1" applyAlignment="1">
      <alignment horizontal="center"/>
    </xf>
    <xf numFmtId="0" fontId="50" fillId="0" borderId="0" xfId="0" applyFont="1" applyBorder="1"/>
    <xf numFmtId="168" fontId="0" fillId="0" borderId="44" xfId="0" applyNumberFormat="1" applyBorder="1"/>
    <xf numFmtId="170" fontId="50" fillId="0" borderId="19" xfId="0" applyNumberFormat="1" applyFont="1" applyFill="1" applyBorder="1" applyAlignment="1">
      <alignment horizontal="center"/>
    </xf>
    <xf numFmtId="0" fontId="50" fillId="0" borderId="13" xfId="0" applyFont="1" applyBorder="1"/>
    <xf numFmtId="168" fontId="50" fillId="0" borderId="14" xfId="0" applyNumberFormat="1" applyFont="1" applyBorder="1" applyAlignment="1">
      <alignment horizontal="center"/>
    </xf>
    <xf numFmtId="168" fontId="50" fillId="0" borderId="14" xfId="0" applyNumberFormat="1" applyFont="1" applyFill="1" applyBorder="1" applyAlignment="1">
      <alignment horizontal="center"/>
    </xf>
    <xf numFmtId="0" fontId="50" fillId="0" borderId="14" xfId="0" applyFont="1" applyBorder="1"/>
    <xf numFmtId="0" fontId="50" fillId="0" borderId="8" xfId="0" applyFont="1" applyFill="1" applyBorder="1"/>
    <xf numFmtId="170" fontId="7" fillId="0" borderId="0" xfId="0" applyNumberFormat="1" applyFont="1"/>
    <xf numFmtId="0" fontId="50" fillId="0" borderId="16" xfId="0" applyFont="1" applyBorder="1" applyAlignment="1">
      <alignment wrapText="1"/>
    </xf>
    <xf numFmtId="170" fontId="50" fillId="0" borderId="21" xfId="0" applyNumberFormat="1" applyFont="1" applyBorder="1" applyAlignment="1">
      <alignment horizontal="center"/>
    </xf>
    <xf numFmtId="170" fontId="50" fillId="0" borderId="21" xfId="0" applyNumberFormat="1" applyFont="1" applyFill="1" applyBorder="1" applyAlignment="1">
      <alignment horizontal="center"/>
    </xf>
    <xf numFmtId="170" fontId="0" fillId="0" borderId="45" xfId="0" applyNumberFormat="1" applyBorder="1"/>
    <xf numFmtId="0" fontId="50" fillId="0" borderId="0" xfId="0" applyFont="1" applyAlignment="1">
      <alignment horizontal="right"/>
    </xf>
    <xf numFmtId="168" fontId="50" fillId="0" borderId="0" xfId="0" applyNumberFormat="1" applyFont="1" applyAlignment="1">
      <alignment horizontal="center"/>
    </xf>
    <xf numFmtId="0" fontId="50" fillId="0" borderId="0" xfId="0" applyFont="1"/>
    <xf numFmtId="10" fontId="50" fillId="0" borderId="0" xfId="0" applyNumberFormat="1" applyFont="1" applyAlignment="1">
      <alignment horizontal="center"/>
    </xf>
    <xf numFmtId="0" fontId="50" fillId="0" borderId="0" xfId="0" applyFont="1" applyFill="1" applyAlignment="1">
      <alignment horizontal="right"/>
    </xf>
    <xf numFmtId="167" fontId="12" fillId="0" borderId="0" xfId="0" applyNumberFormat="1" applyFont="1" applyFill="1" applyBorder="1" applyAlignment="1"/>
    <xf numFmtId="9" fontId="12" fillId="0" borderId="0" xfId="0" applyNumberFormat="1" applyFont="1" applyFill="1" applyBorder="1" applyAlignment="1"/>
    <xf numFmtId="9" fontId="12" fillId="0" borderId="0" xfId="2" applyFont="1" applyFill="1" applyBorder="1" applyAlignment="1"/>
    <xf numFmtId="44" fontId="12" fillId="0" borderId="0" xfId="1" applyFont="1" applyFill="1" applyBorder="1" applyAlignment="1"/>
    <xf numFmtId="44" fontId="12" fillId="0" borderId="0" xfId="1" applyNumberFormat="1" applyFont="1" applyFill="1" applyBorder="1"/>
    <xf numFmtId="0" fontId="40" fillId="0" borderId="16" xfId="208" applyFont="1" applyFill="1" applyBorder="1"/>
    <xf numFmtId="44" fontId="13" fillId="0" borderId="17" xfId="1" applyFont="1" applyFill="1" applyBorder="1"/>
    <xf numFmtId="44" fontId="0" fillId="0" borderId="0" xfId="1" applyFont="1" applyBorder="1"/>
    <xf numFmtId="10" fontId="0" fillId="0" borderId="0" xfId="2" applyNumberFormat="1" applyFont="1" applyBorder="1"/>
    <xf numFmtId="0" fontId="12" fillId="0" borderId="46" xfId="0" applyFont="1" applyFill="1" applyBorder="1"/>
    <xf numFmtId="0" fontId="13" fillId="0" borderId="47" xfId="0" applyFont="1" applyFill="1" applyBorder="1"/>
    <xf numFmtId="44" fontId="13" fillId="0" borderId="47" xfId="1" applyFont="1" applyFill="1" applyBorder="1"/>
    <xf numFmtId="42" fontId="13" fillId="0" borderId="48" xfId="0" applyNumberFormat="1" applyFont="1" applyFill="1" applyBorder="1"/>
    <xf numFmtId="166" fontId="51" fillId="0" borderId="28" xfId="1" applyNumberFormat="1" applyFont="1" applyBorder="1"/>
    <xf numFmtId="166" fontId="13" fillId="0" borderId="49" xfId="1" applyNumberFormat="1" applyFont="1" applyFill="1" applyBorder="1" applyAlignment="1">
      <alignment horizontal="right"/>
    </xf>
    <xf numFmtId="9" fontId="0" fillId="0" borderId="0" xfId="0" applyNumberFormat="1" applyBorder="1"/>
    <xf numFmtId="44" fontId="0" fillId="0" borderId="0" xfId="0" applyNumberFormat="1" applyBorder="1"/>
    <xf numFmtId="9" fontId="0" fillId="0" borderId="0" xfId="2" applyNumberFormat="1" applyFont="1" applyBorder="1"/>
    <xf numFmtId="2" fontId="9" fillId="0" borderId="0" xfId="0" applyNumberFormat="1" applyFont="1" applyAlignment="1">
      <alignment horizontal="center"/>
    </xf>
    <xf numFmtId="171" fontId="52" fillId="0" borderId="7" xfId="0" applyNumberFormat="1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49" fontId="0" fillId="0" borderId="7" xfId="0" applyNumberFormat="1" applyBorder="1"/>
    <xf numFmtId="8" fontId="0" fillId="0" borderId="8" xfId="0" applyNumberFormat="1" applyBorder="1"/>
    <xf numFmtId="8" fontId="0" fillId="0" borderId="9" xfId="0" applyNumberFormat="1" applyBorder="1"/>
    <xf numFmtId="8" fontId="0" fillId="0" borderId="0" xfId="0" applyNumberFormat="1"/>
    <xf numFmtId="49" fontId="0" fillId="0" borderId="16" xfId="0" applyNumberFormat="1" applyBorder="1"/>
    <xf numFmtId="8" fontId="0" fillId="0" borderId="0" xfId="0" applyNumberFormat="1" applyBorder="1"/>
    <xf numFmtId="8" fontId="0" fillId="0" borderId="17" xfId="0" applyNumberFormat="1" applyBorder="1"/>
    <xf numFmtId="49" fontId="9" fillId="28" borderId="13" xfId="0" applyNumberFormat="1" applyFont="1" applyFill="1" applyBorder="1"/>
    <xf numFmtId="8" fontId="0" fillId="0" borderId="14" xfId="0" applyNumberFormat="1" applyBorder="1"/>
    <xf numFmtId="8" fontId="0" fillId="0" borderId="15" xfId="0" applyNumberFormat="1" applyBorder="1"/>
    <xf numFmtId="8" fontId="9" fillId="28" borderId="14" xfId="0" applyNumberFormat="1" applyFont="1" applyFill="1" applyBorder="1"/>
    <xf numFmtId="8" fontId="9" fillId="28" borderId="15" xfId="0" applyNumberFormat="1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0" fillId="5" borderId="16" xfId="0" applyNumberFormat="1" applyFill="1" applyBorder="1"/>
    <xf numFmtId="8" fontId="0" fillId="5" borderId="0" xfId="0" applyNumberFormat="1" applyFill="1" applyBorder="1"/>
    <xf numFmtId="8" fontId="0" fillId="5" borderId="17" xfId="0" applyNumberFormat="1" applyFill="1" applyBorder="1"/>
    <xf numFmtId="49" fontId="9" fillId="29" borderId="10" xfId="0" applyNumberFormat="1" applyFont="1" applyFill="1" applyBorder="1"/>
    <xf numFmtId="8" fontId="9" fillId="29" borderId="11" xfId="0" applyNumberFormat="1" applyFont="1" applyFill="1" applyBorder="1"/>
    <xf numFmtId="8" fontId="9" fillId="29" borderId="12" xfId="0" applyNumberFormat="1" applyFont="1" applyFill="1" applyBorder="1"/>
    <xf numFmtId="8" fontId="13" fillId="0" borderId="17" xfId="1" applyNumberFormat="1" applyFont="1" applyFill="1" applyBorder="1"/>
    <xf numFmtId="10" fontId="13" fillId="0" borderId="0" xfId="1" applyNumberFormat="1" applyFont="1" applyFill="1" applyBorder="1"/>
    <xf numFmtId="44" fontId="55" fillId="0" borderId="0" xfId="1" applyNumberFormat="1" applyFont="1" applyFill="1" applyBorder="1"/>
    <xf numFmtId="44" fontId="16" fillId="0" borderId="0" xfId="1" applyNumberFormat="1" applyFont="1" applyFill="1" applyBorder="1"/>
    <xf numFmtId="0" fontId="53" fillId="30" borderId="8" xfId="297" applyFont="1" applyFill="1" applyBorder="1"/>
    <xf numFmtId="0" fontId="54" fillId="30" borderId="9" xfId="297" applyFont="1" applyFill="1" applyBorder="1"/>
    <xf numFmtId="0" fontId="61" fillId="0" borderId="0" xfId="297"/>
    <xf numFmtId="0" fontId="54" fillId="30" borderId="0" xfId="297" applyFont="1" applyFill="1" applyBorder="1"/>
    <xf numFmtId="0" fontId="55" fillId="30" borderId="17" xfId="297" applyFont="1" applyFill="1" applyBorder="1"/>
    <xf numFmtId="0" fontId="56" fillId="30" borderId="14" xfId="297" applyFont="1" applyFill="1" applyBorder="1"/>
    <xf numFmtId="0" fontId="55" fillId="30" borderId="15" xfId="297" applyFont="1" applyFill="1" applyBorder="1"/>
    <xf numFmtId="0" fontId="55" fillId="0" borderId="0" xfId="297" applyFont="1"/>
    <xf numFmtId="0" fontId="62" fillId="32" borderId="0" xfId="222" applyFont="1" applyFill="1"/>
    <xf numFmtId="0" fontId="62" fillId="31" borderId="0" xfId="222" applyFont="1" applyFill="1"/>
    <xf numFmtId="0" fontId="62" fillId="33" borderId="0" xfId="222" applyFont="1" applyFill="1"/>
    <xf numFmtId="0" fontId="62" fillId="34" borderId="0" xfId="222" applyFont="1" applyFill="1"/>
    <xf numFmtId="14" fontId="55" fillId="0" borderId="0" xfId="297" applyNumberFormat="1" applyFont="1"/>
    <xf numFmtId="172" fontId="61" fillId="0" borderId="0" xfId="297" applyNumberFormat="1"/>
    <xf numFmtId="2" fontId="61" fillId="0" borderId="0" xfId="297" applyNumberFormat="1"/>
    <xf numFmtId="0" fontId="55" fillId="0" borderId="0" xfId="207" applyFont="1"/>
    <xf numFmtId="0" fontId="16" fillId="0" borderId="0" xfId="207"/>
    <xf numFmtId="0" fontId="57" fillId="0" borderId="0" xfId="207" applyFont="1"/>
    <xf numFmtId="0" fontId="58" fillId="0" borderId="0" xfId="207" applyFont="1"/>
    <xf numFmtId="0" fontId="16" fillId="0" borderId="51" xfId="207" applyBorder="1"/>
    <xf numFmtId="0" fontId="16" fillId="0" borderId="52" xfId="207" applyBorder="1"/>
    <xf numFmtId="0" fontId="16" fillId="0" borderId="53" xfId="207" applyBorder="1"/>
    <xf numFmtId="0" fontId="16" fillId="0" borderId="27" xfId="207" applyBorder="1"/>
    <xf numFmtId="0" fontId="16" fillId="0" borderId="0" xfId="207" applyBorder="1" applyAlignment="1">
      <alignment horizontal="right"/>
    </xf>
    <xf numFmtId="0" fontId="16" fillId="0" borderId="0" xfId="207" applyBorder="1"/>
    <xf numFmtId="0" fontId="16" fillId="0" borderId="54" xfId="207" applyBorder="1"/>
    <xf numFmtId="0" fontId="59" fillId="0" borderId="54" xfId="207" applyFont="1" applyBorder="1" applyAlignment="1">
      <alignment horizontal="center"/>
    </xf>
    <xf numFmtId="173" fontId="61" fillId="0" borderId="0" xfId="297" applyNumberFormat="1"/>
    <xf numFmtId="172" fontId="61" fillId="0" borderId="50" xfId="297" applyNumberFormat="1" applyBorder="1"/>
    <xf numFmtId="0" fontId="16" fillId="0" borderId="55" xfId="207" applyBorder="1"/>
    <xf numFmtId="172" fontId="16" fillId="0" borderId="54" xfId="207" applyNumberFormat="1" applyBorder="1" applyAlignment="1">
      <alignment horizontal="center"/>
    </xf>
    <xf numFmtId="0" fontId="16" fillId="0" borderId="54" xfId="207" applyBorder="1" applyAlignment="1">
      <alignment horizontal="center"/>
    </xf>
    <xf numFmtId="0" fontId="55" fillId="5" borderId="0" xfId="207" applyFont="1" applyFill="1" applyBorder="1" applyAlignment="1">
      <alignment horizontal="right"/>
    </xf>
    <xf numFmtId="10" fontId="55" fillId="5" borderId="54" xfId="251" applyNumberFormat="1" applyFont="1" applyFill="1" applyBorder="1" applyAlignment="1">
      <alignment horizontal="center"/>
    </xf>
    <xf numFmtId="0" fontId="16" fillId="0" borderId="56" xfId="207" applyBorder="1"/>
    <xf numFmtId="0" fontId="16" fillId="0" borderId="21" xfId="207" applyBorder="1"/>
    <xf numFmtId="0" fontId="16" fillId="0" borderId="28" xfId="207" applyBorder="1"/>
    <xf numFmtId="44" fontId="12" fillId="5" borderId="12" xfId="1" applyNumberFormat="1" applyFont="1" applyFill="1" applyBorder="1"/>
    <xf numFmtId="13" fontId="9" fillId="0" borderId="0" xfId="0" applyNumberFormat="1" applyFont="1" applyAlignment="1">
      <alignment horizontal="center"/>
    </xf>
    <xf numFmtId="0" fontId="15" fillId="0" borderId="0" xfId="0" applyFont="1" applyAlignment="1">
      <alignment wrapText="1"/>
    </xf>
    <xf numFmtId="166" fontId="13" fillId="0" borderId="17" xfId="0" applyNumberFormat="1" applyFont="1" applyFill="1" applyBorder="1" applyAlignment="1">
      <alignment horizontal="center"/>
    </xf>
    <xf numFmtId="0" fontId="60" fillId="0" borderId="0" xfId="0" applyFont="1" applyFill="1" applyBorder="1" applyAlignment="1">
      <alignment horizontal="center"/>
    </xf>
    <xf numFmtId="10" fontId="60" fillId="0" borderId="0" xfId="2" applyNumberFormat="1" applyFont="1" applyFill="1" applyBorder="1"/>
    <xf numFmtId="0" fontId="50" fillId="0" borderId="9" xfId="0" applyFont="1" applyBorder="1" applyAlignment="1">
      <alignment horizontal="left" vertical="center" wrapText="1"/>
    </xf>
    <xf numFmtId="0" fontId="50" fillId="0" borderId="15" xfId="0" applyFont="1" applyBorder="1" applyAlignment="1">
      <alignment horizontal="left" vertical="center" wrapText="1"/>
    </xf>
    <xf numFmtId="0" fontId="50" fillId="0" borderId="17" xfId="0" applyFont="1" applyBorder="1" applyAlignment="1">
      <alignment horizontal="left" vertical="center" wrapText="1"/>
    </xf>
    <xf numFmtId="0" fontId="50" fillId="0" borderId="8" xfId="0" applyFont="1" applyBorder="1" applyAlignment="1">
      <alignment vertical="top" wrapText="1"/>
    </xf>
    <xf numFmtId="0" fontId="50" fillId="0" borderId="14" xfId="0" applyFont="1" applyBorder="1" applyAlignment="1">
      <alignment vertical="top" wrapText="1"/>
    </xf>
    <xf numFmtId="170" fontId="0" fillId="0" borderId="43" xfId="0" applyNumberFormat="1" applyBorder="1" applyAlignment="1">
      <alignment horizontal="right" vertical="center"/>
    </xf>
    <xf numFmtId="170" fontId="0" fillId="0" borderId="44" xfId="0" applyNumberFormat="1" applyBorder="1" applyAlignment="1">
      <alignment horizontal="right" vertical="center"/>
    </xf>
    <xf numFmtId="0" fontId="50" fillId="0" borderId="8" xfId="0" applyFont="1" applyBorder="1" applyAlignment="1">
      <alignment horizontal="left" vertical="top" wrapText="1"/>
    </xf>
    <xf numFmtId="0" fontId="50" fillId="0" borderId="14" xfId="0" applyFont="1" applyBorder="1" applyAlignment="1">
      <alignment horizontal="left" vertical="top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6" fillId="0" borderId="27" xfId="207" applyBorder="1" applyAlignment="1">
      <alignment horizontal="right"/>
    </xf>
    <xf numFmtId="0" fontId="16" fillId="0" borderId="0" xfId="207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3" fillId="0" borderId="0" xfId="0" applyFont="1"/>
    <xf numFmtId="0" fontId="63" fillId="0" borderId="0" xfId="0" applyFont="1" applyAlignment="1">
      <alignment horizontal="center"/>
    </xf>
    <xf numFmtId="0" fontId="64" fillId="0" borderId="0" xfId="0" applyFont="1"/>
    <xf numFmtId="0" fontId="0" fillId="0" borderId="0" xfId="0" applyFont="1"/>
    <xf numFmtId="0" fontId="9" fillId="0" borderId="14" xfId="0" applyFont="1" applyBorder="1" applyAlignment="1">
      <alignment horizontal="left"/>
    </xf>
    <xf numFmtId="0" fontId="9" fillId="0" borderId="0" xfId="0" applyFont="1" applyFill="1"/>
    <xf numFmtId="1" fontId="65" fillId="0" borderId="10" xfId="0" applyNumberFormat="1" applyFont="1" applyFill="1" applyBorder="1" applyAlignment="1">
      <alignment horizontal="center"/>
    </xf>
    <xf numFmtId="1" fontId="65" fillId="0" borderId="11" xfId="0" applyNumberFormat="1" applyFont="1" applyFill="1" applyBorder="1" applyAlignment="1">
      <alignment horizontal="center"/>
    </xf>
    <xf numFmtId="1" fontId="65" fillId="0" borderId="12" xfId="0" applyNumberFormat="1" applyFont="1" applyFill="1" applyBorder="1" applyAlignment="1">
      <alignment horizontal="center"/>
    </xf>
    <xf numFmtId="0" fontId="0" fillId="0" borderId="0" xfId="0" applyFill="1" applyBorder="1"/>
    <xf numFmtId="1" fontId="65" fillId="0" borderId="0" xfId="0" applyNumberFormat="1" applyFont="1" applyFill="1" applyBorder="1" applyAlignment="1">
      <alignment horizontal="center"/>
    </xf>
    <xf numFmtId="164" fontId="66" fillId="0" borderId="10" xfId="0" applyNumberFormat="1" applyFont="1" applyBorder="1" applyAlignment="1">
      <alignment horizontal="center" vertical="center"/>
    </xf>
    <xf numFmtId="164" fontId="66" fillId="0" borderId="12" xfId="0" applyNumberFormat="1" applyFont="1" applyBorder="1" applyAlignment="1">
      <alignment horizontal="center" vertical="center"/>
    </xf>
    <xf numFmtId="164" fontId="66" fillId="0" borderId="57" xfId="0" applyNumberFormat="1" applyFont="1" applyBorder="1" applyAlignment="1">
      <alignment horizontal="center" vertical="center"/>
    </xf>
    <xf numFmtId="164" fontId="67" fillId="0" borderId="0" xfId="0" applyNumberFormat="1" applyFont="1" applyFill="1" applyBorder="1" applyAlignment="1">
      <alignment vertical="center"/>
    </xf>
    <xf numFmtId="164" fontId="66" fillId="0" borderId="7" xfId="0" applyNumberFormat="1" applyFont="1" applyBorder="1" applyAlignment="1">
      <alignment horizontal="center" vertical="center"/>
    </xf>
    <xf numFmtId="164" fontId="66" fillId="0" borderId="8" xfId="0" applyNumberFormat="1" applyFont="1" applyBorder="1" applyAlignment="1">
      <alignment horizontal="center" vertical="center"/>
    </xf>
    <xf numFmtId="164" fontId="66" fillId="0" borderId="58" xfId="0" applyNumberFormat="1" applyFont="1" applyBorder="1" applyAlignment="1">
      <alignment horizontal="center" vertical="center"/>
    </xf>
    <xf numFmtId="1" fontId="68" fillId="0" borderId="16" xfId="0" applyNumberFormat="1" applyFont="1" applyFill="1" applyBorder="1" applyAlignment="1">
      <alignment horizontal="left"/>
    </xf>
    <xf numFmtId="1" fontId="68" fillId="0" borderId="0" xfId="0" applyNumberFormat="1" applyFont="1" applyFill="1" applyBorder="1" applyAlignment="1">
      <alignment horizontal="center"/>
    </xf>
    <xf numFmtId="1" fontId="68" fillId="0" borderId="17" xfId="0" applyNumberFormat="1" applyFont="1" applyFill="1" applyBorder="1" applyAlignment="1">
      <alignment horizontal="center"/>
    </xf>
    <xf numFmtId="3" fontId="68" fillId="0" borderId="17" xfId="0" applyNumberFormat="1" applyFont="1" applyFill="1" applyBorder="1" applyAlignment="1">
      <alignment horizontal="center"/>
    </xf>
    <xf numFmtId="164" fontId="66" fillId="0" borderId="16" xfId="0" applyNumberFormat="1" applyFont="1" applyBorder="1" applyAlignment="1">
      <alignment horizontal="center" vertical="center" wrapText="1"/>
    </xf>
    <xf numFmtId="164" fontId="66" fillId="0" borderId="0" xfId="0" applyNumberFormat="1" applyFont="1" applyBorder="1" applyAlignment="1">
      <alignment horizontal="center" vertical="center"/>
    </xf>
    <xf numFmtId="0" fontId="9" fillId="0" borderId="59" xfId="0" applyFont="1" applyBorder="1" applyAlignment="1">
      <alignment horizontal="center"/>
    </xf>
    <xf numFmtId="0" fontId="69" fillId="0" borderId="23" xfId="0" applyFont="1" applyFill="1" applyBorder="1" applyAlignment="1">
      <alignment horizontal="center"/>
    </xf>
    <xf numFmtId="164" fontId="69" fillId="0" borderId="21" xfId="0" applyNumberFormat="1" applyFont="1" applyFill="1" applyBorder="1" applyAlignment="1">
      <alignment horizontal="center"/>
    </xf>
    <xf numFmtId="164" fontId="69" fillId="0" borderId="22" xfId="0" applyNumberFormat="1" applyFont="1" applyBorder="1" applyAlignment="1">
      <alignment horizontal="center"/>
    </xf>
    <xf numFmtId="164" fontId="69" fillId="0" borderId="0" xfId="0" applyNumberFormat="1" applyFont="1" applyBorder="1" applyAlignment="1">
      <alignment horizontal="center"/>
    </xf>
    <xf numFmtId="0" fontId="69" fillId="0" borderId="23" xfId="0" applyFont="1" applyBorder="1" applyAlignment="1">
      <alignment horizontal="center"/>
    </xf>
    <xf numFmtId="164" fontId="69" fillId="0" borderId="21" xfId="0" applyNumberFormat="1" applyFont="1" applyBorder="1" applyAlignment="1">
      <alignment horizontal="center"/>
    </xf>
    <xf numFmtId="164" fontId="66" fillId="0" borderId="16" xfId="0" applyNumberFormat="1" applyFont="1" applyBorder="1" applyAlignment="1">
      <alignment horizontal="center" vertical="center"/>
    </xf>
    <xf numFmtId="164" fontId="6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64" fontId="68" fillId="0" borderId="16" xfId="0" applyNumberFormat="1" applyFont="1" applyFill="1" applyBorder="1" applyAlignment="1">
      <alignment horizontal="left"/>
    </xf>
    <xf numFmtId="164" fontId="68" fillId="0" borderId="0" xfId="0" applyNumberFormat="1" applyFont="1" applyFill="1" applyBorder="1" applyAlignment="1">
      <alignment horizontal="center"/>
    </xf>
    <xf numFmtId="164" fontId="68" fillId="0" borderId="17" xfId="0" applyNumberFormat="1" applyFont="1" applyBorder="1" applyAlignment="1">
      <alignment horizontal="center"/>
    </xf>
    <xf numFmtId="164" fontId="68" fillId="0" borderId="0" xfId="0" applyNumberFormat="1" applyFont="1" applyBorder="1" applyAlignment="1">
      <alignment horizontal="center"/>
    </xf>
    <xf numFmtId="164" fontId="68" fillId="0" borderId="16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164" fontId="66" fillId="0" borderId="59" xfId="0" applyNumberFormat="1" applyFont="1" applyBorder="1" applyAlignment="1">
      <alignment horizontal="center" vertical="center"/>
    </xf>
    <xf numFmtId="164" fontId="68" fillId="0" borderId="23" xfId="0" applyNumberFormat="1" applyFont="1" applyFill="1" applyBorder="1" applyAlignment="1">
      <alignment horizontal="left"/>
    </xf>
    <xf numFmtId="164" fontId="68" fillId="0" borderId="21" xfId="0" applyNumberFormat="1" applyFont="1" applyFill="1" applyBorder="1" applyAlignment="1">
      <alignment horizontal="center"/>
    </xf>
    <xf numFmtId="164" fontId="68" fillId="0" borderId="22" xfId="0" applyNumberFormat="1" applyFont="1" applyBorder="1" applyAlignment="1">
      <alignment horizontal="center"/>
    </xf>
    <xf numFmtId="0" fontId="68" fillId="0" borderId="16" xfId="0" applyFont="1" applyFill="1" applyBorder="1"/>
    <xf numFmtId="10" fontId="68" fillId="0" borderId="0" xfId="0" applyNumberFormat="1" applyFont="1" applyBorder="1" applyAlignment="1">
      <alignment horizontal="center"/>
    </xf>
    <xf numFmtId="10" fontId="0" fillId="0" borderId="0" xfId="0" applyNumberFormat="1" applyFont="1" applyBorder="1" applyAlignment="1">
      <alignment horizontal="center"/>
    </xf>
    <xf numFmtId="164" fontId="68" fillId="0" borderId="16" xfId="0" applyNumberFormat="1" applyFont="1" applyFill="1" applyBorder="1" applyAlignment="1">
      <alignment horizontal="right"/>
    </xf>
    <xf numFmtId="164" fontId="68" fillId="0" borderId="23" xfId="0" applyNumberFormat="1" applyFont="1" applyBorder="1" applyAlignment="1">
      <alignment horizontal="left"/>
    </xf>
    <xf numFmtId="164" fontId="68" fillId="0" borderId="21" xfId="0" applyNumberFormat="1" applyFont="1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0" fontId="68" fillId="0" borderId="0" xfId="0" applyNumberFormat="1" applyFont="1" applyFill="1" applyBorder="1" applyAlignment="1">
      <alignment horizontal="center"/>
    </xf>
    <xf numFmtId="164" fontId="68" fillId="0" borderId="16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70" fillId="0" borderId="10" xfId="0" applyFont="1" applyFill="1" applyBorder="1"/>
    <xf numFmtId="10" fontId="68" fillId="0" borderId="11" xfId="0" applyNumberFormat="1" applyFont="1" applyFill="1" applyBorder="1" applyAlignment="1">
      <alignment horizontal="center"/>
    </xf>
    <xf numFmtId="164" fontId="68" fillId="0" borderId="12" xfId="0" applyNumberFormat="1" applyFont="1" applyBorder="1" applyAlignment="1">
      <alignment horizontal="center"/>
    </xf>
    <xf numFmtId="0" fontId="68" fillId="0" borderId="10" xfId="0" applyFont="1" applyFill="1" applyBorder="1"/>
    <xf numFmtId="10" fontId="68" fillId="0" borderId="1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0" fontId="68" fillId="0" borderId="0" xfId="266" applyNumberFormat="1" applyFont="1" applyFill="1" applyBorder="1" applyAlignment="1">
      <alignment horizontal="center"/>
    </xf>
    <xf numFmtId="164" fontId="68" fillId="0" borderId="17" xfId="0" applyNumberFormat="1" applyFont="1" applyFill="1" applyBorder="1" applyAlignment="1">
      <alignment horizontal="center"/>
    </xf>
    <xf numFmtId="168" fontId="0" fillId="0" borderId="17" xfId="0" applyNumberFormat="1" applyFont="1" applyBorder="1" applyAlignment="1">
      <alignment horizontal="center"/>
    </xf>
    <xf numFmtId="0" fontId="69" fillId="0" borderId="60" xfId="0" applyFont="1" applyFill="1" applyBorder="1"/>
    <xf numFmtId="164" fontId="70" fillId="0" borderId="61" xfId="0" applyNumberFormat="1" applyFont="1" applyFill="1" applyBorder="1" applyAlignment="1">
      <alignment horizontal="center"/>
    </xf>
    <xf numFmtId="164" fontId="70" fillId="0" borderId="62" xfId="0" applyNumberFormat="1" applyFont="1" applyBorder="1" applyAlignment="1">
      <alignment horizontal="center"/>
    </xf>
    <xf numFmtId="164" fontId="70" fillId="0" borderId="0" xfId="0" applyNumberFormat="1" applyFont="1" applyBorder="1" applyAlignment="1">
      <alignment horizontal="center"/>
    </xf>
    <xf numFmtId="0" fontId="42" fillId="0" borderId="10" xfId="0" applyFont="1" applyFill="1" applyBorder="1"/>
    <xf numFmtId="10" fontId="68" fillId="0" borderId="11" xfId="2" applyNumberFormat="1" applyFont="1" applyFill="1" applyBorder="1" applyAlignment="1">
      <alignment horizontal="center"/>
    </xf>
    <xf numFmtId="5" fontId="68" fillId="0" borderId="12" xfId="119" applyNumberFormat="1" applyFont="1" applyBorder="1" applyAlignment="1">
      <alignment horizontal="center"/>
    </xf>
    <xf numFmtId="5" fontId="68" fillId="0" borderId="0" xfId="119" applyNumberFormat="1" applyFont="1" applyFill="1" applyBorder="1" applyAlignment="1">
      <alignment horizontal="center"/>
    </xf>
    <xf numFmtId="5" fontId="68" fillId="0" borderId="0" xfId="119" applyNumberFormat="1" applyFont="1" applyBorder="1" applyAlignment="1">
      <alignment horizontal="center"/>
    </xf>
    <xf numFmtId="0" fontId="68" fillId="0" borderId="16" xfId="0" applyFont="1" applyBorder="1"/>
    <xf numFmtId="0" fontId="9" fillId="0" borderId="10" xfId="0" applyFont="1" applyBorder="1"/>
    <xf numFmtId="10" fontId="9" fillId="0" borderId="11" xfId="0" applyNumberFormat="1" applyFont="1" applyBorder="1" applyAlignment="1">
      <alignment horizontal="center"/>
    </xf>
    <xf numFmtId="8" fontId="9" fillId="5" borderId="12" xfId="0" applyNumberFormat="1" applyFont="1" applyFill="1" applyBorder="1" applyAlignment="1">
      <alignment horizontal="center"/>
    </xf>
    <xf numFmtId="8" fontId="9" fillId="0" borderId="0" xfId="0" applyNumberFormat="1" applyFont="1" applyFill="1" applyBorder="1" applyAlignment="1">
      <alignment horizontal="center"/>
    </xf>
    <xf numFmtId="9" fontId="9" fillId="0" borderId="0" xfId="0" applyNumberFormat="1" applyFont="1" applyFill="1" applyBorder="1" applyAlignment="1">
      <alignment horizontal="center"/>
    </xf>
    <xf numFmtId="0" fontId="69" fillId="0" borderId="63" xfId="0" applyFont="1" applyBorder="1"/>
    <xf numFmtId="164" fontId="70" fillId="0" borderId="64" xfId="0" applyNumberFormat="1" applyFont="1" applyBorder="1" applyAlignment="1">
      <alignment horizontal="center"/>
    </xf>
    <xf numFmtId="0" fontId="69" fillId="0" borderId="65" xfId="0" applyFont="1" applyBorder="1" applyAlignment="1">
      <alignment horizontal="center"/>
    </xf>
    <xf numFmtId="164" fontId="69" fillId="0" borderId="49" xfId="0" applyNumberFormat="1" applyFont="1" applyBorder="1" applyAlignment="1">
      <alignment horizontal="center"/>
    </xf>
    <xf numFmtId="164" fontId="70" fillId="0" borderId="16" xfId="0" applyNumberFormat="1" applyFont="1" applyBorder="1" applyAlignment="1">
      <alignment horizontal="center"/>
    </xf>
    <xf numFmtId="164" fontId="70" fillId="0" borderId="0" xfId="0" applyNumberFormat="1" applyFont="1" applyFill="1" applyBorder="1" applyAlignment="1">
      <alignment horizontal="center"/>
    </xf>
    <xf numFmtId="49" fontId="9" fillId="0" borderId="59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Font="1" applyFill="1" applyAlignment="1">
      <alignment horizontal="center"/>
    </xf>
    <xf numFmtId="0" fontId="69" fillId="0" borderId="16" xfId="0" applyFont="1" applyBorder="1"/>
    <xf numFmtId="10" fontId="68" fillId="0" borderId="0" xfId="2" applyNumberFormat="1" applyFont="1" applyBorder="1" applyAlignment="1">
      <alignment horizontal="center"/>
    </xf>
    <xf numFmtId="10" fontId="42" fillId="0" borderId="0" xfId="0" applyNumberFormat="1" applyFont="1" applyBorder="1" applyAlignment="1">
      <alignment horizontal="center"/>
    </xf>
    <xf numFmtId="164" fontId="42" fillId="0" borderId="17" xfId="0" applyNumberFormat="1" applyFont="1" applyBorder="1" applyAlignment="1">
      <alignment horizontal="center"/>
    </xf>
    <xf numFmtId="174" fontId="0" fillId="0" borderId="0" xfId="0" applyNumberFormat="1"/>
    <xf numFmtId="0" fontId="66" fillId="0" borderId="10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10" fontId="68" fillId="0" borderId="0" xfId="2" applyNumberFormat="1" applyFont="1" applyAlignment="1">
      <alignment horizontal="center"/>
    </xf>
    <xf numFmtId="164" fontId="0" fillId="0" borderId="0" xfId="0" applyNumberFormat="1" applyFont="1" applyFill="1" applyAlignment="1">
      <alignment horizontal="center"/>
    </xf>
    <xf numFmtId="172" fontId="0" fillId="0" borderId="0" xfId="0" applyNumberFormat="1"/>
    <xf numFmtId="0" fontId="66" fillId="0" borderId="16" xfId="0" applyFont="1" applyBorder="1" applyAlignment="1">
      <alignment horizontal="left"/>
    </xf>
    <xf numFmtId="5" fontId="66" fillId="0" borderId="0" xfId="119" applyNumberFormat="1" applyFont="1" applyBorder="1" applyAlignment="1">
      <alignment horizontal="center"/>
    </xf>
    <xf numFmtId="0" fontId="9" fillId="0" borderId="59" xfId="0" applyFont="1" applyBorder="1" applyAlignment="1">
      <alignment vertical="center"/>
    </xf>
    <xf numFmtId="0" fontId="9" fillId="0" borderId="0" xfId="0" applyFont="1" applyBorder="1"/>
    <xf numFmtId="170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8" fontId="0" fillId="0" borderId="0" xfId="0" applyNumberFormat="1" applyFont="1" applyFill="1" applyBorder="1" applyAlignment="1">
      <alignment horizontal="center"/>
    </xf>
    <xf numFmtId="0" fontId="9" fillId="0" borderId="16" xfId="0" applyFont="1" applyBorder="1"/>
    <xf numFmtId="10" fontId="70" fillId="0" borderId="0" xfId="0" applyNumberFormat="1" applyFont="1" applyBorder="1" applyAlignment="1">
      <alignment horizontal="center"/>
    </xf>
    <xf numFmtId="0" fontId="9" fillId="0" borderId="0" xfId="0" applyFont="1" applyFill="1" applyBorder="1"/>
    <xf numFmtId="10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0" fontId="1" fillId="0" borderId="0" xfId="119" applyNumberFormat="1" applyFont="1" applyFill="1" applyBorder="1" applyAlignment="1">
      <alignment horizontal="center"/>
    </xf>
    <xf numFmtId="0" fontId="70" fillId="0" borderId="16" xfId="0" applyFont="1" applyFill="1" applyBorder="1" applyAlignment="1">
      <alignment horizontal="left"/>
    </xf>
    <xf numFmtId="10" fontId="70" fillId="0" borderId="0" xfId="0" applyNumberFormat="1" applyFont="1" applyFill="1" applyBorder="1" applyAlignment="1">
      <alignment horizontal="center" vertical="center"/>
    </xf>
    <xf numFmtId="164" fontId="69" fillId="0" borderId="0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0" borderId="66" xfId="0" applyFont="1" applyFill="1" applyBorder="1" applyAlignment="1">
      <alignment horizontal="left"/>
    </xf>
    <xf numFmtId="10" fontId="9" fillId="0" borderId="67" xfId="0" applyNumberFormat="1" applyFont="1" applyFill="1" applyBorder="1" applyAlignment="1">
      <alignment horizontal="right"/>
    </xf>
    <xf numFmtId="0" fontId="9" fillId="0" borderId="68" xfId="0" applyFont="1" applyFill="1" applyBorder="1" applyAlignment="1">
      <alignment horizontal="left"/>
    </xf>
    <xf numFmtId="0" fontId="0" fillId="0" borderId="44" xfId="0" applyFont="1" applyBorder="1"/>
    <xf numFmtId="10" fontId="70" fillId="0" borderId="15" xfId="257" applyNumberFormat="1" applyFont="1" applyFill="1" applyBorder="1" applyAlignment="1">
      <alignment horizontal="right"/>
    </xf>
    <xf numFmtId="0" fontId="9" fillId="0" borderId="22" xfId="0" applyFont="1" applyBorder="1" applyAlignment="1">
      <alignment horizontal="left"/>
    </xf>
    <xf numFmtId="0" fontId="9" fillId="0" borderId="13" xfId="0" applyFont="1" applyBorder="1"/>
    <xf numFmtId="10" fontId="9" fillId="0" borderId="44" xfId="0" applyNumberFormat="1" applyFont="1" applyBorder="1"/>
    <xf numFmtId="0" fontId="71" fillId="0" borderId="15" xfId="0" applyFont="1" applyBorder="1" applyAlignment="1">
      <alignment horizontal="left"/>
    </xf>
    <xf numFmtId="0" fontId="64" fillId="0" borderId="10" xfId="0" applyFont="1" applyBorder="1" applyAlignment="1">
      <alignment horizontal="left"/>
    </xf>
    <xf numFmtId="0" fontId="64" fillId="0" borderId="12" xfId="0" applyFont="1" applyBorder="1" applyAlignment="1">
      <alignment horizontal="left"/>
    </xf>
    <xf numFmtId="0" fontId="64" fillId="0" borderId="12" xfId="0" applyFont="1" applyBorder="1"/>
    <xf numFmtId="1" fontId="0" fillId="0" borderId="0" xfId="0" applyNumberFormat="1"/>
    <xf numFmtId="0" fontId="69" fillId="0" borderId="60" xfId="0" applyFont="1" applyBorder="1"/>
    <xf numFmtId="164" fontId="70" fillId="0" borderId="61" xfId="0" applyNumberFormat="1" applyFont="1" applyBorder="1" applyAlignment="1">
      <alignment horizontal="center"/>
    </xf>
    <xf numFmtId="0" fontId="72" fillId="0" borderId="16" xfId="0" applyFont="1" applyFill="1" applyBorder="1" applyAlignment="1"/>
    <xf numFmtId="0" fontId="72" fillId="0" borderId="0" xfId="0" applyFont="1" applyFill="1" applyBorder="1" applyAlignment="1">
      <alignment horizontal="center"/>
    </xf>
    <xf numFmtId="0" fontId="72" fillId="0" borderId="17" xfId="0" applyFont="1" applyFill="1" applyBorder="1" applyAlignment="1">
      <alignment horizontal="center"/>
    </xf>
    <xf numFmtId="0" fontId="42" fillId="0" borderId="10" xfId="0" applyFont="1" applyBorder="1"/>
    <xf numFmtId="10" fontId="68" fillId="0" borderId="11" xfId="2" applyNumberFormat="1" applyFont="1" applyBorder="1" applyAlignment="1">
      <alignment horizontal="center"/>
    </xf>
    <xf numFmtId="5" fontId="68" fillId="0" borderId="0" xfId="119" applyNumberFormat="1" applyFont="1" applyFill="1" applyBorder="1" applyAlignment="1">
      <alignment horizontal="center"/>
    </xf>
    <xf numFmtId="10" fontId="0" fillId="0" borderId="11" xfId="0" applyNumberFormat="1" applyFont="1" applyBorder="1" applyAlignment="1">
      <alignment horizontal="center"/>
    </xf>
    <xf numFmtId="7" fontId="9" fillId="5" borderId="12" xfId="119" applyNumberFormat="1" applyFont="1" applyFill="1" applyBorder="1" applyAlignment="1">
      <alignment horizontal="center"/>
    </xf>
    <xf numFmtId="7" fontId="9" fillId="0" borderId="0" xfId="119" applyNumberFormat="1" applyFont="1" applyFill="1" applyBorder="1" applyAlignment="1">
      <alignment horizontal="center"/>
    </xf>
    <xf numFmtId="9" fontId="9" fillId="0" borderId="0" xfId="119" applyNumberFormat="1" applyFont="1" applyFill="1" applyBorder="1" applyAlignment="1">
      <alignment horizontal="center"/>
    </xf>
    <xf numFmtId="170" fontId="0" fillId="0" borderId="0" xfId="0" applyNumberFormat="1" applyFont="1"/>
    <xf numFmtId="10" fontId="0" fillId="0" borderId="0" xfId="2" applyNumberFormat="1" applyFont="1" applyBorder="1" applyAlignment="1">
      <alignment horizontal="center"/>
    </xf>
    <xf numFmtId="0" fontId="72" fillId="0" borderId="23" xfId="0" applyFont="1" applyFill="1" applyBorder="1" applyAlignment="1"/>
    <xf numFmtId="0" fontId="72" fillId="0" borderId="21" xfId="0" applyFont="1" applyFill="1" applyBorder="1" applyAlignment="1">
      <alignment horizontal="center"/>
    </xf>
    <xf numFmtId="0" fontId="72" fillId="0" borderId="22" xfId="0" applyFont="1" applyFill="1" applyBorder="1" applyAlignment="1">
      <alignment horizontal="center"/>
    </xf>
    <xf numFmtId="10" fontId="0" fillId="0" borderId="0" xfId="0" applyNumberFormat="1" applyFont="1"/>
    <xf numFmtId="0" fontId="72" fillId="0" borderId="0" xfId="0" applyFont="1" applyFill="1" applyBorder="1" applyAlignment="1">
      <alignment horizontal="right"/>
    </xf>
    <xf numFmtId="8" fontId="0" fillId="0" borderId="0" xfId="0" applyNumberFormat="1" applyFont="1"/>
    <xf numFmtId="0" fontId="72" fillId="0" borderId="13" xfId="0" applyFont="1" applyFill="1" applyBorder="1" applyAlignment="1"/>
    <xf numFmtId="0" fontId="72" fillId="0" borderId="14" xfId="0" applyFont="1" applyFill="1" applyBorder="1" applyAlignment="1">
      <alignment horizontal="right"/>
    </xf>
    <xf numFmtId="165" fontId="72" fillId="5" borderId="15" xfId="2" applyNumberFormat="1" applyFont="1" applyFill="1" applyBorder="1" applyAlignment="1">
      <alignment horizontal="center"/>
    </xf>
    <xf numFmtId="1" fontId="65" fillId="0" borderId="10" xfId="0" applyNumberFormat="1" applyFont="1" applyFill="1" applyBorder="1" applyAlignment="1">
      <alignment horizontal="center"/>
    </xf>
    <xf numFmtId="1" fontId="65" fillId="0" borderId="11" xfId="0" applyNumberFormat="1" applyFont="1" applyFill="1" applyBorder="1" applyAlignment="1">
      <alignment horizontal="center"/>
    </xf>
    <xf numFmtId="1" fontId="65" fillId="0" borderId="12" xfId="0" applyNumberFormat="1" applyFont="1" applyFill="1" applyBorder="1" applyAlignment="1">
      <alignment horizontal="center"/>
    </xf>
    <xf numFmtId="10" fontId="0" fillId="0" borderId="0" xfId="0" applyNumberFormat="1"/>
    <xf numFmtId="0" fontId="0" fillId="0" borderId="0" xfId="0" applyFont="1" applyFill="1" applyBorder="1" applyAlignment="1">
      <alignment horizontal="center"/>
    </xf>
    <xf numFmtId="10" fontId="9" fillId="0" borderId="0" xfId="119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0" fontId="68" fillId="0" borderId="0" xfId="266" applyNumberFormat="1" applyFont="1" applyBorder="1" applyAlignment="1">
      <alignment horizontal="center"/>
    </xf>
    <xf numFmtId="10" fontId="0" fillId="0" borderId="0" xfId="266" applyNumberFormat="1" applyFont="1" applyBorder="1" applyAlignment="1">
      <alignment horizontal="center"/>
    </xf>
    <xf numFmtId="175" fontId="0" fillId="0" borderId="0" xfId="0" applyNumberFormat="1"/>
    <xf numFmtId="176" fontId="0" fillId="0" borderId="0" xfId="0" applyNumberFormat="1" applyFont="1"/>
    <xf numFmtId="7" fontId="9" fillId="5" borderId="11" xfId="119" applyNumberFormat="1" applyFont="1" applyFill="1" applyBorder="1" applyAlignment="1">
      <alignment horizontal="center"/>
    </xf>
    <xf numFmtId="0" fontId="9" fillId="0" borderId="10" xfId="0" applyFont="1" applyBorder="1" applyAlignment="1"/>
    <xf numFmtId="0" fontId="9" fillId="0" borderId="12" xfId="0" applyFont="1" applyBorder="1" applyAlignment="1"/>
    <xf numFmtId="0" fontId="9" fillId="0" borderId="0" xfId="0" applyFont="1" applyBorder="1" applyAlignment="1"/>
    <xf numFmtId="170" fontId="0" fillId="0" borderId="0" xfId="0" applyNumberFormat="1" applyFont="1" applyFill="1" applyBorder="1" applyAlignment="1">
      <alignment horizontal="center"/>
    </xf>
    <xf numFmtId="168" fontId="68" fillId="0" borderId="0" xfId="0" applyNumberFormat="1" applyFont="1" applyBorder="1" applyAlignment="1">
      <alignment horizontal="center"/>
    </xf>
    <xf numFmtId="174" fontId="0" fillId="0" borderId="0" xfId="0" applyNumberFormat="1" applyFont="1"/>
    <xf numFmtId="164" fontId="69" fillId="0" borderId="17" xfId="0" applyNumberFormat="1" applyFont="1" applyBorder="1" applyAlignment="1">
      <alignment horizontal="center"/>
    </xf>
    <xf numFmtId="175" fontId="0" fillId="0" borderId="0" xfId="0" applyNumberFormat="1" applyFont="1"/>
    <xf numFmtId="7" fontId="1" fillId="0" borderId="0" xfId="119" applyNumberFormat="1" applyFont="1" applyFill="1" applyBorder="1" applyAlignment="1">
      <alignment horizontal="center"/>
    </xf>
    <xf numFmtId="10" fontId="42" fillId="0" borderId="0" xfId="2" applyNumberFormat="1" applyFont="1" applyBorder="1" applyAlignment="1">
      <alignment horizontal="center"/>
    </xf>
    <xf numFmtId="10" fontId="0" fillId="0" borderId="0" xfId="0" applyNumberFormat="1" applyBorder="1"/>
    <xf numFmtId="5" fontId="1" fillId="0" borderId="0" xfId="102" applyNumberFormat="1" applyFont="1" applyBorder="1" applyAlignment="1">
      <alignment horizontal="center"/>
    </xf>
    <xf numFmtId="170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/>
    <xf numFmtId="1" fontId="65" fillId="0" borderId="0" xfId="0" applyNumberFormat="1" applyFont="1" applyFill="1" applyBorder="1" applyAlignment="1">
      <alignment horizontal="center"/>
    </xf>
    <xf numFmtId="1" fontId="68" fillId="0" borderId="0" xfId="0" applyNumberFormat="1" applyFont="1" applyFill="1" applyBorder="1" applyAlignment="1">
      <alignment horizontal="left"/>
    </xf>
    <xf numFmtId="3" fontId="68" fillId="0" borderId="0" xfId="0" applyNumberFormat="1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/>
    </xf>
    <xf numFmtId="164" fontId="68" fillId="0" borderId="0" xfId="0" applyNumberFormat="1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/>
    </xf>
    <xf numFmtId="164" fontId="68" fillId="0" borderId="0" xfId="0" applyNumberFormat="1" applyFont="1" applyFill="1" applyBorder="1" applyAlignment="1">
      <alignment horizontal="right"/>
    </xf>
    <xf numFmtId="0" fontId="68" fillId="0" borderId="0" xfId="0" applyFont="1" applyFill="1" applyBorder="1"/>
    <xf numFmtId="176" fontId="0" fillId="0" borderId="0" xfId="0" applyNumberFormat="1"/>
    <xf numFmtId="168" fontId="0" fillId="0" borderId="0" xfId="0" applyNumberFormat="1" applyFont="1" applyFill="1" applyBorder="1" applyAlignment="1">
      <alignment horizontal="center"/>
    </xf>
    <xf numFmtId="0" fontId="69" fillId="0" borderId="0" xfId="0" applyFont="1" applyFill="1" applyBorder="1"/>
    <xf numFmtId="167" fontId="69" fillId="0" borderId="0" xfId="0" applyNumberFormat="1" applyFont="1" applyFill="1" applyBorder="1"/>
    <xf numFmtId="167" fontId="42" fillId="0" borderId="0" xfId="0" applyNumberFormat="1" applyFont="1" applyFill="1" applyBorder="1"/>
    <xf numFmtId="10" fontId="0" fillId="0" borderId="14" xfId="0" applyNumberFormat="1" applyFont="1" applyBorder="1" applyAlignment="1">
      <alignment horizontal="center"/>
    </xf>
    <xf numFmtId="6" fontId="0" fillId="0" borderId="15" xfId="0" applyNumberFormat="1" applyFont="1" applyBorder="1" applyAlignment="1">
      <alignment horizontal="center"/>
    </xf>
    <xf numFmtId="170" fontId="0" fillId="0" borderId="0" xfId="0" applyNumberFormat="1" applyFont="1" applyFill="1" applyBorder="1"/>
    <xf numFmtId="7" fontId="9" fillId="5" borderId="12" xfId="102" applyNumberFormat="1" applyFont="1" applyFill="1" applyBorder="1" applyAlignment="1">
      <alignment horizontal="center"/>
    </xf>
    <xf numFmtId="9" fontId="0" fillId="0" borderId="11" xfId="0" applyNumberFormat="1" applyFont="1" applyBorder="1" applyAlignment="1">
      <alignment horizontal="center"/>
    </xf>
    <xf numFmtId="7" fontId="9" fillId="0" borderId="0" xfId="102" applyNumberFormat="1" applyFont="1" applyFill="1" applyBorder="1" applyAlignment="1">
      <alignment horizontal="center"/>
    </xf>
    <xf numFmtId="9" fontId="0" fillId="0" borderId="0" xfId="0" applyNumberFormat="1" applyFont="1" applyFill="1" applyBorder="1" applyAlignment="1">
      <alignment horizontal="center"/>
    </xf>
  </cellXfs>
  <cellStyles count="298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Bad 3" xfId="28"/>
    <cellStyle name="Body: normal cell" xfId="29"/>
    <cellStyle name="Calculation 2" xfId="30"/>
    <cellStyle name="Calculation 2 2" xfId="31"/>
    <cellStyle name="Calculation 2 3" xfId="32"/>
    <cellStyle name="Check Cell 2" xfId="33"/>
    <cellStyle name="Comma [0] 2" xfId="34"/>
    <cellStyle name="Comma 10" xfId="35"/>
    <cellStyle name="Comma 11" xfId="36"/>
    <cellStyle name="Comma 2" xfId="37"/>
    <cellStyle name="Comma 2 2" xfId="38"/>
    <cellStyle name="Comma 2 2 2" xfId="39"/>
    <cellStyle name="Comma 2 3" xfId="40"/>
    <cellStyle name="Comma 3" xfId="41"/>
    <cellStyle name="Comma 3 2" xfId="42"/>
    <cellStyle name="Comma 3 3" xfId="43"/>
    <cellStyle name="Comma 3 4" xfId="44"/>
    <cellStyle name="Comma 4" xfId="45"/>
    <cellStyle name="Comma 4 2" xfId="46"/>
    <cellStyle name="Comma 5" xfId="47"/>
    <cellStyle name="Comma 5 2" xfId="48"/>
    <cellStyle name="Comma 5 3" xfId="49"/>
    <cellStyle name="Comma 6" xfId="50"/>
    <cellStyle name="Comma 6 2" xfId="51"/>
    <cellStyle name="Comma 7" xfId="52"/>
    <cellStyle name="Comma 7 2" xfId="53"/>
    <cellStyle name="Comma 8" xfId="54"/>
    <cellStyle name="Comma 9" xfId="55"/>
    <cellStyle name="Currency" xfId="1" builtinId="4"/>
    <cellStyle name="Currency [0] 2" xfId="56"/>
    <cellStyle name="Currency 10" xfId="57"/>
    <cellStyle name="Currency 11" xfId="58"/>
    <cellStyle name="Currency 12" xfId="59"/>
    <cellStyle name="Currency 13" xfId="60"/>
    <cellStyle name="Currency 14" xfId="61"/>
    <cellStyle name="Currency 15" xfId="62"/>
    <cellStyle name="Currency 16" xfId="63"/>
    <cellStyle name="Currency 17" xfId="64"/>
    <cellStyle name="Currency 18" xfId="65"/>
    <cellStyle name="Currency 19" xfId="66"/>
    <cellStyle name="Currency 2" xfId="67"/>
    <cellStyle name="Currency 2 2" xfId="68"/>
    <cellStyle name="Currency 2 2 2" xfId="69"/>
    <cellStyle name="Currency 2 2 2 2" xfId="70"/>
    <cellStyle name="Currency 2 2 2 3" xfId="71"/>
    <cellStyle name="Currency 2 3" xfId="72"/>
    <cellStyle name="Currency 2 4" xfId="73"/>
    <cellStyle name="Currency 2 4 2" xfId="74"/>
    <cellStyle name="Currency 2 5" xfId="75"/>
    <cellStyle name="Currency 20" xfId="76"/>
    <cellStyle name="Currency 21" xfId="77"/>
    <cellStyle name="Currency 22" xfId="78"/>
    <cellStyle name="Currency 23" xfId="79"/>
    <cellStyle name="Currency 24" xfId="80"/>
    <cellStyle name="Currency 25" xfId="81"/>
    <cellStyle name="Currency 26" xfId="82"/>
    <cellStyle name="Currency 27" xfId="83"/>
    <cellStyle name="Currency 28" xfId="84"/>
    <cellStyle name="Currency 29" xfId="85"/>
    <cellStyle name="Currency 3" xfId="86"/>
    <cellStyle name="Currency 3 2" xfId="87"/>
    <cellStyle name="Currency 3 3" xfId="88"/>
    <cellStyle name="Currency 3 4" xfId="89"/>
    <cellStyle name="Currency 3 5" xfId="90"/>
    <cellStyle name="Currency 30" xfId="91"/>
    <cellStyle name="Currency 31" xfId="92"/>
    <cellStyle name="Currency 32" xfId="93"/>
    <cellStyle name="Currency 33" xfId="94"/>
    <cellStyle name="Currency 34" xfId="95"/>
    <cellStyle name="Currency 35" xfId="96"/>
    <cellStyle name="Currency 36" xfId="97"/>
    <cellStyle name="Currency 37" xfId="98"/>
    <cellStyle name="Currency 38" xfId="99"/>
    <cellStyle name="Currency 39" xfId="100"/>
    <cellStyle name="Currency 4" xfId="101"/>
    <cellStyle name="Currency 4 2" xfId="102"/>
    <cellStyle name="Currency 4 2 2" xfId="103"/>
    <cellStyle name="Currency 4 2 2 2" xfId="104"/>
    <cellStyle name="Currency 4 2 2 3" xfId="105"/>
    <cellStyle name="Currency 4 2 3" xfId="106"/>
    <cellStyle name="Currency 4 3" xfId="107"/>
    <cellStyle name="Currency 4 3 2" xfId="108"/>
    <cellStyle name="Currency 4 3 3" xfId="109"/>
    <cellStyle name="Currency 4 4" xfId="110"/>
    <cellStyle name="Currency 4 5" xfId="111"/>
    <cellStyle name="Currency 40" xfId="112"/>
    <cellStyle name="Currency 41" xfId="113"/>
    <cellStyle name="Currency 42" xfId="114"/>
    <cellStyle name="Currency 43" xfId="115"/>
    <cellStyle name="Currency 44" xfId="116"/>
    <cellStyle name="Currency 45" xfId="117"/>
    <cellStyle name="Currency 46" xfId="118"/>
    <cellStyle name="Currency 5" xfId="119"/>
    <cellStyle name="Currency 5 2" xfId="120"/>
    <cellStyle name="Currency 5 2 2" xfId="121"/>
    <cellStyle name="Currency 5 3" xfId="122"/>
    <cellStyle name="Currency 5 3 2" xfId="123"/>
    <cellStyle name="Currency 5 3 3" xfId="124"/>
    <cellStyle name="Currency 5 4" xfId="125"/>
    <cellStyle name="Currency 5 5" xfId="126"/>
    <cellStyle name="Currency 5 6" xfId="127"/>
    <cellStyle name="Currency 6" xfId="128"/>
    <cellStyle name="Currency 6 2" xfId="129"/>
    <cellStyle name="Currency 6 3" xfId="130"/>
    <cellStyle name="Currency 7" xfId="131"/>
    <cellStyle name="Currency 7 2" xfId="132"/>
    <cellStyle name="Currency 7 3" xfId="133"/>
    <cellStyle name="Currency 8" xfId="134"/>
    <cellStyle name="Currency 8 2" xfId="135"/>
    <cellStyle name="Currency 9" xfId="136"/>
    <cellStyle name="Explanatory Text 2" xfId="137"/>
    <cellStyle name="Explanatory Text 2 2" xfId="138"/>
    <cellStyle name="Explanatory Text 2 3" xfId="139"/>
    <cellStyle name="Font: Calibri, 9pt regular" xfId="140"/>
    <cellStyle name="Footnotes: top row" xfId="141"/>
    <cellStyle name="Good 2" xfId="142"/>
    <cellStyle name="Header: bottom row" xfId="143"/>
    <cellStyle name="Heading 1 2" xfId="144"/>
    <cellStyle name="Heading 1 2 2" xfId="145"/>
    <cellStyle name="Heading 1 2 3" xfId="146"/>
    <cellStyle name="Heading 2 2" xfId="147"/>
    <cellStyle name="Heading 2 2 2" xfId="148"/>
    <cellStyle name="Heading 2 2 3" xfId="149"/>
    <cellStyle name="Heading 3 2" xfId="150"/>
    <cellStyle name="Heading 3 2 2" xfId="151"/>
    <cellStyle name="Heading 3 2 3" xfId="152"/>
    <cellStyle name="Heading 4 2" xfId="153"/>
    <cellStyle name="Heading 4 2 2" xfId="154"/>
    <cellStyle name="Heading 4 2 3" xfId="155"/>
    <cellStyle name="Hyperlink 2" xfId="156"/>
    <cellStyle name="Input 2" xfId="157"/>
    <cellStyle name="Input 2 2" xfId="158"/>
    <cellStyle name="Input 2 3" xfId="159"/>
    <cellStyle name="Linked Cell 2" xfId="160"/>
    <cellStyle name="Linked Cell 2 2" xfId="161"/>
    <cellStyle name="Linked Cell 2 3" xfId="162"/>
    <cellStyle name="Neutral 2" xfId="163"/>
    <cellStyle name="Normal" xfId="0" builtinId="0"/>
    <cellStyle name="Normal 10" xfId="164"/>
    <cellStyle name="Normal 10 2" xfId="165"/>
    <cellStyle name="Normal 10 3" xfId="166"/>
    <cellStyle name="Normal 10 3 2" xfId="167"/>
    <cellStyle name="Normal 11" xfId="168"/>
    <cellStyle name="Normal 11 2" xfId="169"/>
    <cellStyle name="Normal 11 2 2" xfId="170"/>
    <cellStyle name="Normal 12" xfId="171"/>
    <cellStyle name="Normal 13" xfId="172"/>
    <cellStyle name="Normal 13 2" xfId="173"/>
    <cellStyle name="Normal 14" xfId="174"/>
    <cellStyle name="Normal 14 2" xfId="175"/>
    <cellStyle name="Normal 15" xfId="176"/>
    <cellStyle name="Normal 16" xfId="177"/>
    <cellStyle name="Normal 17" xfId="178"/>
    <cellStyle name="Normal 17 2" xfId="179"/>
    <cellStyle name="Normal 18" xfId="180"/>
    <cellStyle name="Normal 19" xfId="181"/>
    <cellStyle name="Normal 2" xfId="182"/>
    <cellStyle name="Normal 2 2" xfId="183"/>
    <cellStyle name="Normal 2 2 2" xfId="184"/>
    <cellStyle name="Normal 2 2 3" xfId="185"/>
    <cellStyle name="Normal 2 3" xfId="186"/>
    <cellStyle name="Normal 2 3 2" xfId="187"/>
    <cellStyle name="Normal 2 4" xfId="188"/>
    <cellStyle name="Normal 2 4 2" xfId="189"/>
    <cellStyle name="Normal 2 4 3" xfId="190"/>
    <cellStyle name="Normal 2 5" xfId="191"/>
    <cellStyle name="Normal 2 5 2" xfId="192"/>
    <cellStyle name="Normal 20" xfId="193"/>
    <cellStyle name="Normal 21" xfId="194"/>
    <cellStyle name="Normal 22" xfId="195"/>
    <cellStyle name="Normal 23" xfId="297"/>
    <cellStyle name="Normal 3" xfId="196"/>
    <cellStyle name="Normal 3 2" xfId="197"/>
    <cellStyle name="Normal 3 2 2" xfId="198"/>
    <cellStyle name="Normal 3 2 3" xfId="199"/>
    <cellStyle name="Normal 3 2 4" xfId="200"/>
    <cellStyle name="Normal 3 3" xfId="201"/>
    <cellStyle name="Normal 3 3 2" xfId="202"/>
    <cellStyle name="Normal 3 4" xfId="203"/>
    <cellStyle name="Normal 3 4 2" xfId="204"/>
    <cellStyle name="Normal 3 5" xfId="205"/>
    <cellStyle name="Normal 3 9" xfId="206"/>
    <cellStyle name="Normal 4" xfId="207"/>
    <cellStyle name="Normal 4 2" xfId="208"/>
    <cellStyle name="Normal 4 2 2" xfId="209"/>
    <cellStyle name="Normal 4 2 2 2" xfId="210"/>
    <cellStyle name="Normal 4 2 3" xfId="211"/>
    <cellStyle name="Normal 4 2 3 2" xfId="212"/>
    <cellStyle name="Normal 4 3" xfId="213"/>
    <cellStyle name="Normal 4 3 2" xfId="214"/>
    <cellStyle name="Normal 4 3 3" xfId="215"/>
    <cellStyle name="Normal 4 4" xfId="216"/>
    <cellStyle name="Normal 5" xfId="217"/>
    <cellStyle name="Normal 5 2" xfId="218"/>
    <cellStyle name="Normal 6" xfId="219"/>
    <cellStyle name="Normal 6 2" xfId="220"/>
    <cellStyle name="Normal 6 2 2" xfId="221"/>
    <cellStyle name="Normal 6 2 2 2" xfId="222"/>
    <cellStyle name="Normal 6 2 3" xfId="223"/>
    <cellStyle name="Normal 6 2 4" xfId="224"/>
    <cellStyle name="Normal 6 3" xfId="225"/>
    <cellStyle name="Normal 6 4" xfId="226"/>
    <cellStyle name="Normal 7" xfId="227"/>
    <cellStyle name="Normal 7 2" xfId="228"/>
    <cellStyle name="Normal 7 3" xfId="229"/>
    <cellStyle name="Normal 8" xfId="230"/>
    <cellStyle name="Normal 8 2" xfId="231"/>
    <cellStyle name="Normal 8 3" xfId="232"/>
    <cellStyle name="Normal 8 4" xfId="233"/>
    <cellStyle name="Normal 8 5" xfId="234"/>
    <cellStyle name="Normal 9" xfId="235"/>
    <cellStyle name="Normal 9 2" xfId="236"/>
    <cellStyle name="Normal 9 2 2" xfId="237"/>
    <cellStyle name="Normal 9 2 3" xfId="238"/>
    <cellStyle name="Normal 9 3" xfId="239"/>
    <cellStyle name="Note 2" xfId="240"/>
    <cellStyle name="Note 2 2" xfId="241"/>
    <cellStyle name="Note 2 3" xfId="242"/>
    <cellStyle name="Output 2" xfId="243"/>
    <cellStyle name="Output 2 2" xfId="244"/>
    <cellStyle name="Output 2 3" xfId="245"/>
    <cellStyle name="Parent row" xfId="246"/>
    <cellStyle name="Percent" xfId="2" builtinId="5"/>
    <cellStyle name="Percent 10" xfId="247"/>
    <cellStyle name="Percent 10 2" xfId="248"/>
    <cellStyle name="Percent 11" xfId="249"/>
    <cellStyle name="Percent 2" xfId="250"/>
    <cellStyle name="Percent 2 2" xfId="251"/>
    <cellStyle name="Percent 2 2 2" xfId="252"/>
    <cellStyle name="Percent 2 2 3" xfId="253"/>
    <cellStyle name="Percent 2 3" xfId="254"/>
    <cellStyle name="Percent 2 4" xfId="255"/>
    <cellStyle name="Percent 2 5" xfId="256"/>
    <cellStyle name="Percent 3" xfId="257"/>
    <cellStyle name="Percent 3 2" xfId="258"/>
    <cellStyle name="Percent 3 2 2" xfId="259"/>
    <cellStyle name="Percent 3 2 3" xfId="260"/>
    <cellStyle name="Percent 3 3" xfId="261"/>
    <cellStyle name="Percent 4" xfId="262"/>
    <cellStyle name="Percent 4 2" xfId="263"/>
    <cellStyle name="Percent 4 2 2" xfId="264"/>
    <cellStyle name="Percent 4 2 3" xfId="265"/>
    <cellStyle name="Percent 4 3" xfId="266"/>
    <cellStyle name="Percent 4 3 2" xfId="296"/>
    <cellStyle name="Percent 5" xfId="267"/>
    <cellStyle name="Percent 5 2" xfId="268"/>
    <cellStyle name="Percent 5 2 2" xfId="269"/>
    <cellStyle name="Percent 5 3" xfId="270"/>
    <cellStyle name="Percent 5 4" xfId="271"/>
    <cellStyle name="Percent 5 5" xfId="272"/>
    <cellStyle name="Percent 6" xfId="273"/>
    <cellStyle name="Percent 6 2" xfId="274"/>
    <cellStyle name="Percent 6 3" xfId="275"/>
    <cellStyle name="Percent 6 4" xfId="276"/>
    <cellStyle name="Percent 7" xfId="277"/>
    <cellStyle name="Percent 7 2" xfId="278"/>
    <cellStyle name="Percent 7 3" xfId="279"/>
    <cellStyle name="Percent 7 4" xfId="280"/>
    <cellStyle name="Percent 8" xfId="281"/>
    <cellStyle name="Percent 8 2" xfId="282"/>
    <cellStyle name="Percent 8 3" xfId="283"/>
    <cellStyle name="Percent 9" xfId="284"/>
    <cellStyle name="Percent 9 2" xfId="285"/>
    <cellStyle name="Table title" xfId="286"/>
    <cellStyle name="Title 2" xfId="287"/>
    <cellStyle name="Title 2 2" xfId="288"/>
    <cellStyle name="Title 2 3" xfId="289"/>
    <cellStyle name="Total 2" xfId="290"/>
    <cellStyle name="Total 2 2" xfId="291"/>
    <cellStyle name="Total 2 3" xfId="292"/>
    <cellStyle name="Warning Text 2" xfId="293"/>
    <cellStyle name="Warning Text 2 2" xfId="294"/>
    <cellStyle name="Warning Text 2 3" xfId="2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Youth%20Short%20Term%20Stabilization-CMR%20418\YSTS%20Rate%20Review%20Oct%202020\3.%20Signoff\Website\FIOA%20StaffSupports%20PH9.11.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/X/Data%20&amp;%20Reporting%20Tools/STARR%20Utilization/STARR%20Utilization%20Tool%20FY10%20Ju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E\X\Data%20&amp;%20Reporting%20Tools\STARR%20Utilization\STARR%20Utilization%20Tool%20FY10%20Ju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Admin%20&amp;%20Staff/Kara/Workforce%20Initiatives/3.%20Benchmark%20Analysis%2010.1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Staffing Supports  "/>
      <sheetName val="CAF"/>
    </sheetNames>
    <sheetDataSet>
      <sheetData sheetId="0">
        <row r="4">
          <cell r="C4">
            <v>32198.400000000001</v>
          </cell>
        </row>
        <row r="6">
          <cell r="C6">
            <v>41516.800000000003</v>
          </cell>
        </row>
      </sheetData>
      <sheetData sheetId="1"/>
      <sheetData sheetId="2">
        <row r="23">
          <cell r="BY23">
            <v>2.6081907729015665E-2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"/>
      <sheetName val="DC I &amp; II"/>
      <sheetName val="DC II ks"/>
      <sheetName val="DC III "/>
      <sheetName val="CNA"/>
      <sheetName val="Caseworker BA"/>
      <sheetName val="Casemanager MA "/>
      <sheetName val="Clinician w indep Lic"/>
      <sheetName val="Clinical Manager"/>
      <sheetName val="LPN"/>
      <sheetName val="BS RN"/>
      <sheetName val="MS RN. APRN"/>
    </sheetNames>
    <sheetDataSet>
      <sheetData sheetId="0"/>
      <sheetData sheetId="1">
        <row r="12">
          <cell r="J12">
            <v>16.796506410256413</v>
          </cell>
        </row>
      </sheetData>
      <sheetData sheetId="2" refreshError="1"/>
      <sheetData sheetId="3">
        <row r="11">
          <cell r="J11">
            <v>20.893115384615385</v>
          </cell>
        </row>
      </sheetData>
      <sheetData sheetId="4">
        <row r="13">
          <cell r="L13">
            <v>16.170000000000002</v>
          </cell>
        </row>
      </sheetData>
      <sheetData sheetId="5">
        <row r="9">
          <cell r="J9">
            <v>22.073999999999998</v>
          </cell>
          <cell r="L9">
            <v>21.14</v>
          </cell>
        </row>
      </sheetData>
      <sheetData sheetId="6">
        <row r="13">
          <cell r="J13">
            <v>26.866666666666664</v>
          </cell>
        </row>
      </sheetData>
      <sheetData sheetId="7">
        <row r="13">
          <cell r="O13">
            <v>30.101111111111109</v>
          </cell>
        </row>
      </sheetData>
      <sheetData sheetId="8">
        <row r="6">
          <cell r="I6">
            <v>42.94</v>
          </cell>
        </row>
      </sheetData>
      <sheetData sheetId="9">
        <row r="6">
          <cell r="H6">
            <v>28.36</v>
          </cell>
        </row>
      </sheetData>
      <sheetData sheetId="10">
        <row r="16">
          <cell r="K16">
            <v>44.3</v>
          </cell>
        </row>
      </sheetData>
      <sheetData sheetId="11">
        <row r="15">
          <cell r="K15">
            <v>59.01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J33"/>
  <sheetViews>
    <sheetView zoomScale="90" zoomScaleNormal="90" workbookViewId="0">
      <selection activeCell="B1" sqref="B1"/>
    </sheetView>
  </sheetViews>
  <sheetFormatPr defaultRowHeight="14.4"/>
  <cols>
    <col min="1" max="1" width="5.5546875" customWidth="1"/>
    <col min="2" max="2" width="58" customWidth="1"/>
    <col min="3" max="3" width="16.109375" customWidth="1"/>
    <col min="4" max="4" width="10" hidden="1" customWidth="1"/>
    <col min="5" max="5" width="1.6640625" customWidth="1"/>
    <col min="6" max="6" width="50.5546875" customWidth="1"/>
    <col min="7" max="7" width="65" style="85" customWidth="1"/>
    <col min="8" max="8" width="14.6640625" hidden="1" customWidth="1"/>
    <col min="9" max="9" width="0" hidden="1" customWidth="1"/>
    <col min="10" max="10" width="11" hidden="1" customWidth="1"/>
    <col min="11" max="11" width="0" hidden="1" customWidth="1"/>
  </cols>
  <sheetData>
    <row r="1" spans="2:10" ht="57" customHeight="1">
      <c r="B1" s="83"/>
      <c r="C1" s="84" t="s">
        <v>46</v>
      </c>
      <c r="D1" s="84" t="s">
        <v>47</v>
      </c>
    </row>
    <row r="2" spans="2:10" ht="15" thickBot="1">
      <c r="B2" s="2" t="s">
        <v>48</v>
      </c>
      <c r="C2" s="198" t="s">
        <v>252</v>
      </c>
      <c r="D2" s="84" t="s">
        <v>49</v>
      </c>
      <c r="G2" s="86" t="s">
        <v>50</v>
      </c>
      <c r="H2" s="84" t="s">
        <v>51</v>
      </c>
      <c r="J2" t="s">
        <v>52</v>
      </c>
    </row>
    <row r="3" spans="2:10" ht="31.2" customHeight="1">
      <c r="B3" s="87" t="s">
        <v>53</v>
      </c>
      <c r="C3" s="88">
        <v>15.48</v>
      </c>
      <c r="D3" s="88">
        <f>'[9]DC I &amp; II'!J12</f>
        <v>16.796506410256413</v>
      </c>
      <c r="E3" s="89"/>
      <c r="F3" s="210" t="s">
        <v>54</v>
      </c>
      <c r="G3" s="203" t="s">
        <v>55</v>
      </c>
      <c r="H3" s="90">
        <f>H4/2080</f>
        <v>15.480288461538462</v>
      </c>
      <c r="J3" s="91">
        <f>D3-H3</f>
        <v>1.3162179487179504</v>
      </c>
    </row>
    <row r="4" spans="2:10" ht="16.2" thickBot="1">
      <c r="B4" s="92" t="s">
        <v>56</v>
      </c>
      <c r="C4" s="93">
        <f>C3*2080</f>
        <v>32198.400000000001</v>
      </c>
      <c r="D4" s="94">
        <f>D3*2080</f>
        <v>34936.733333333337</v>
      </c>
      <c r="E4" s="95"/>
      <c r="F4" s="211"/>
      <c r="G4" s="204"/>
      <c r="H4" s="96">
        <v>32199</v>
      </c>
      <c r="J4" s="91"/>
    </row>
    <row r="5" spans="2:10" ht="15.6">
      <c r="B5" s="87" t="s">
        <v>57</v>
      </c>
      <c r="C5" s="88">
        <v>19.96</v>
      </c>
      <c r="D5" s="97">
        <f>'[9]DC III '!J11</f>
        <v>20.893115384615385</v>
      </c>
      <c r="E5" s="89"/>
      <c r="F5" s="89" t="s">
        <v>58</v>
      </c>
      <c r="G5" s="203" t="s">
        <v>59</v>
      </c>
      <c r="H5" s="90">
        <f>H6/2080</f>
        <v>18.400480769230768</v>
      </c>
      <c r="J5" s="91">
        <f>D5-H5</f>
        <v>2.4926346153846168</v>
      </c>
    </row>
    <row r="6" spans="2:10" ht="16.2" thickBot="1">
      <c r="B6" s="98" t="s">
        <v>60</v>
      </c>
      <c r="C6" s="99">
        <f>C5*2080</f>
        <v>41516.800000000003</v>
      </c>
      <c r="D6" s="100">
        <f>D5*2080</f>
        <v>43457.68</v>
      </c>
      <c r="E6" s="101"/>
      <c r="F6" s="101"/>
      <c r="G6" s="204"/>
      <c r="H6" s="96">
        <v>38273</v>
      </c>
      <c r="J6" s="91"/>
    </row>
    <row r="7" spans="2:10" ht="15.6">
      <c r="B7" s="87" t="s">
        <v>61</v>
      </c>
      <c r="C7" s="88">
        <v>15.53</v>
      </c>
      <c r="D7" s="97">
        <f>[9]CNA!L13</f>
        <v>16.170000000000002</v>
      </c>
      <c r="E7" s="89"/>
      <c r="F7" s="102"/>
      <c r="G7" s="203" t="s">
        <v>62</v>
      </c>
      <c r="H7" s="90">
        <f>H8/2080</f>
        <v>20.43028846153846</v>
      </c>
      <c r="J7" s="103">
        <f>D7-H7</f>
        <v>-4.2602884615384582</v>
      </c>
    </row>
    <row r="8" spans="2:10" ht="16.2" thickBot="1">
      <c r="B8" s="98" t="s">
        <v>63</v>
      </c>
      <c r="C8" s="99">
        <f>C7*2080</f>
        <v>32302.399999999998</v>
      </c>
      <c r="D8" s="100">
        <f>D7*2080</f>
        <v>33633.600000000006</v>
      </c>
      <c r="E8" s="101"/>
      <c r="F8" s="101"/>
      <c r="G8" s="204"/>
      <c r="H8" s="96">
        <v>42495</v>
      </c>
      <c r="J8" s="91"/>
    </row>
    <row r="9" spans="2:10" ht="15.6">
      <c r="B9" s="87" t="s">
        <v>64</v>
      </c>
      <c r="C9" s="88">
        <f>'[9]Caseworker BA'!L9</f>
        <v>21.14</v>
      </c>
      <c r="D9" s="97">
        <f>'[9]Caseworker BA'!J9</f>
        <v>22.073999999999998</v>
      </c>
      <c r="E9" s="89"/>
      <c r="F9" s="89" t="s">
        <v>65</v>
      </c>
      <c r="G9" s="203" t="s">
        <v>66</v>
      </c>
      <c r="H9" s="208" t="s">
        <v>67</v>
      </c>
      <c r="J9" s="91"/>
    </row>
    <row r="10" spans="2:10" ht="16.2" thickBot="1">
      <c r="B10" s="98" t="s">
        <v>68</v>
      </c>
      <c r="C10" s="99">
        <f>C9*2080</f>
        <v>43971.200000000004</v>
      </c>
      <c r="D10" s="100">
        <f>D9*2080</f>
        <v>45913.919999999998</v>
      </c>
      <c r="E10" s="101"/>
      <c r="F10" s="101"/>
      <c r="G10" s="204"/>
      <c r="H10" s="209"/>
      <c r="J10" s="91"/>
    </row>
    <row r="11" spans="2:10" ht="31.2">
      <c r="B11" s="104" t="s">
        <v>69</v>
      </c>
      <c r="C11" s="105">
        <v>25.32</v>
      </c>
      <c r="D11" s="106">
        <f>'[9]Casemanager MA '!J13</f>
        <v>26.866666666666664</v>
      </c>
      <c r="E11" s="95"/>
      <c r="F11" s="95" t="s">
        <v>70</v>
      </c>
      <c r="G11" s="205" t="s">
        <v>71</v>
      </c>
      <c r="H11" s="90">
        <f>H12/2080</f>
        <v>19.703365384615385</v>
      </c>
      <c r="J11" s="91">
        <f>D11-H11</f>
        <v>7.1633012820512789</v>
      </c>
    </row>
    <row r="12" spans="2:10" ht="31.8" thickBot="1">
      <c r="B12" s="104" t="s">
        <v>72</v>
      </c>
      <c r="C12" s="99">
        <f>C11*2080</f>
        <v>52665.599999999999</v>
      </c>
      <c r="D12" s="100">
        <f>D11*2080</f>
        <v>55882.666666666657</v>
      </c>
      <c r="E12" s="101"/>
      <c r="F12" s="101" t="s">
        <v>73</v>
      </c>
      <c r="G12" s="204"/>
      <c r="H12" s="96">
        <v>40983</v>
      </c>
      <c r="J12" s="91"/>
    </row>
    <row r="13" spans="2:10" ht="15.6">
      <c r="B13" s="87" t="s">
        <v>74</v>
      </c>
      <c r="C13" s="88">
        <v>29.29</v>
      </c>
      <c r="D13" s="97">
        <f>'[9]Clinician w indep Lic'!O13</f>
        <v>30.101111111111109</v>
      </c>
      <c r="E13" s="89"/>
      <c r="F13" s="89" t="s">
        <v>75</v>
      </c>
      <c r="G13" s="203" t="s">
        <v>76</v>
      </c>
      <c r="H13" s="90">
        <f>H14/2080</f>
        <v>27.190865384615385</v>
      </c>
      <c r="J13" s="91">
        <f>D13-H13</f>
        <v>2.9102457264957238</v>
      </c>
    </row>
    <row r="14" spans="2:10" ht="16.2" thickBot="1">
      <c r="B14" s="98" t="s">
        <v>77</v>
      </c>
      <c r="C14" s="99">
        <f>C13*2080</f>
        <v>60923.199999999997</v>
      </c>
      <c r="D14" s="100">
        <f>D13*2080</f>
        <v>62610.311111111107</v>
      </c>
      <c r="E14" s="101"/>
      <c r="F14" s="101"/>
      <c r="G14" s="204"/>
      <c r="H14" s="96">
        <v>56557</v>
      </c>
      <c r="J14" s="91"/>
    </row>
    <row r="15" spans="2:10" ht="15.6">
      <c r="B15" s="87" t="s">
        <v>78</v>
      </c>
      <c r="C15" s="88">
        <v>40.06</v>
      </c>
      <c r="D15" s="97">
        <f>'[9]Clinical Manager'!I6</f>
        <v>42.94</v>
      </c>
      <c r="E15" s="89"/>
      <c r="F15" s="206" t="s">
        <v>79</v>
      </c>
      <c r="G15" s="203" t="s">
        <v>80</v>
      </c>
      <c r="H15" s="90">
        <f>H16/2080</f>
        <v>33.217788461538461</v>
      </c>
      <c r="J15" s="91">
        <f>D15-H15</f>
        <v>9.7222115384615364</v>
      </c>
    </row>
    <row r="16" spans="2:10" ht="16.2" thickBot="1">
      <c r="B16" s="98" t="s">
        <v>81</v>
      </c>
      <c r="C16" s="99">
        <f>C15*2080</f>
        <v>83324.800000000003</v>
      </c>
      <c r="D16" s="100">
        <f>D15*2080</f>
        <v>89315.199999999997</v>
      </c>
      <c r="E16" s="101"/>
      <c r="F16" s="207"/>
      <c r="G16" s="204"/>
      <c r="H16" s="96">
        <v>69093</v>
      </c>
      <c r="J16" s="91"/>
    </row>
    <row r="17" spans="2:10" ht="15.6">
      <c r="B17" s="87" t="s">
        <v>82</v>
      </c>
      <c r="C17" s="88">
        <v>27.62</v>
      </c>
      <c r="D17" s="97">
        <f>[9]LPN!H6</f>
        <v>28.36</v>
      </c>
      <c r="E17" s="89"/>
      <c r="F17" s="89"/>
      <c r="G17" s="203" t="s">
        <v>83</v>
      </c>
      <c r="H17" s="90">
        <f>H18/2080</f>
        <v>25.143750000000001</v>
      </c>
      <c r="J17" s="91">
        <f>D17-H17</f>
        <v>3.2162499999999987</v>
      </c>
    </row>
    <row r="18" spans="2:10" ht="16.2" thickBot="1">
      <c r="B18" s="98" t="s">
        <v>84</v>
      </c>
      <c r="C18" s="99">
        <f>C17*2080</f>
        <v>57449.599999999999</v>
      </c>
      <c r="D18" s="100">
        <f>D17*2080</f>
        <v>58988.799999999996</v>
      </c>
      <c r="E18" s="101"/>
      <c r="F18" s="101"/>
      <c r="G18" s="204"/>
      <c r="H18" s="96">
        <v>52299</v>
      </c>
      <c r="J18" s="91"/>
    </row>
    <row r="19" spans="2:10" ht="15.6">
      <c r="B19" s="87" t="s">
        <v>85</v>
      </c>
      <c r="C19" s="88">
        <v>41.76</v>
      </c>
      <c r="D19" s="97">
        <f>'[9]BS RN'!K16</f>
        <v>44.3</v>
      </c>
      <c r="E19" s="89"/>
      <c r="F19" s="89"/>
      <c r="G19" s="203" t="s">
        <v>86</v>
      </c>
      <c r="H19" s="107">
        <f>H20/2080</f>
        <v>33.460576923076921</v>
      </c>
      <c r="J19" s="91">
        <f>D19-H19</f>
        <v>10.839423076923076</v>
      </c>
    </row>
    <row r="20" spans="2:10" ht="16.2" thickBot="1">
      <c r="B20" s="98" t="s">
        <v>87</v>
      </c>
      <c r="C20" s="99">
        <f>C19*2080</f>
        <v>86860.800000000003</v>
      </c>
      <c r="D20" s="100">
        <f>D19*2080</f>
        <v>92144</v>
      </c>
      <c r="E20" s="101"/>
      <c r="F20" s="101"/>
      <c r="G20" s="204"/>
      <c r="H20" s="96">
        <v>69598</v>
      </c>
      <c r="J20" s="91"/>
    </row>
    <row r="21" spans="2:10" ht="15.6">
      <c r="B21" s="87" t="s">
        <v>88</v>
      </c>
      <c r="C21" s="88">
        <v>57.41</v>
      </c>
      <c r="D21" s="97">
        <f>'[9]MS RN. APRN'!K15</f>
        <v>59.01</v>
      </c>
      <c r="E21" s="89"/>
      <c r="F21" s="89"/>
      <c r="G21" s="203" t="s">
        <v>89</v>
      </c>
      <c r="H21" s="90">
        <f>H22/2080</f>
        <v>48.354326923076925</v>
      </c>
      <c r="J21" s="91">
        <f>D21-H21</f>
        <v>10.655673076923073</v>
      </c>
    </row>
    <row r="22" spans="2:10" ht="16.2" thickBot="1">
      <c r="B22" s="98" t="s">
        <v>90</v>
      </c>
      <c r="C22" s="99">
        <f>C21*2080</f>
        <v>119412.79999999999</v>
      </c>
      <c r="D22" s="100">
        <f>D21*2080</f>
        <v>122740.8</v>
      </c>
      <c r="E22" s="101"/>
      <c r="F22" s="101"/>
      <c r="G22" s="204"/>
      <c r="H22" s="96">
        <v>100577</v>
      </c>
      <c r="J22" s="91"/>
    </row>
    <row r="26" spans="2:10" ht="15.6">
      <c r="B26" s="108" t="s">
        <v>91</v>
      </c>
      <c r="C26" s="109">
        <f>C4</f>
        <v>32198.400000000001</v>
      </c>
    </row>
    <row r="27" spans="2:10" ht="15.6">
      <c r="B27" s="110"/>
      <c r="C27" s="110"/>
    </row>
    <row r="28" spans="2:10" ht="15.6">
      <c r="B28" s="108" t="s">
        <v>92</v>
      </c>
      <c r="C28" s="109">
        <v>29640</v>
      </c>
    </row>
    <row r="29" spans="2:10" ht="15.6">
      <c r="B29" s="110"/>
      <c r="C29" s="110"/>
    </row>
    <row r="30" spans="2:10" ht="15.6">
      <c r="B30" s="108"/>
      <c r="C30" s="111"/>
    </row>
    <row r="31" spans="2:10" ht="15.6">
      <c r="B31" s="108" t="s">
        <v>93</v>
      </c>
      <c r="C31" s="111">
        <v>0.224</v>
      </c>
      <c r="F31" t="s">
        <v>253</v>
      </c>
    </row>
    <row r="32" spans="2:10" ht="15.6">
      <c r="B32" s="108" t="s">
        <v>94</v>
      </c>
      <c r="C32" s="111">
        <v>1.78E-2</v>
      </c>
    </row>
    <row r="33" spans="2:3" ht="15.6">
      <c r="B33" s="112" t="s">
        <v>95</v>
      </c>
      <c r="C33" s="111">
        <v>3.7000000000000002E-3</v>
      </c>
    </row>
  </sheetData>
  <mergeCells count="13">
    <mergeCell ref="H9:H10"/>
    <mergeCell ref="F3:F4"/>
    <mergeCell ref="G3:G4"/>
    <mergeCell ref="G5:G6"/>
    <mergeCell ref="G7:G8"/>
    <mergeCell ref="G9:G10"/>
    <mergeCell ref="G21:G22"/>
    <mergeCell ref="G11:G12"/>
    <mergeCell ref="G13:G14"/>
    <mergeCell ref="F15:F16"/>
    <mergeCell ref="G15:G16"/>
    <mergeCell ref="G17:G18"/>
    <mergeCell ref="G19:G20"/>
  </mergeCells>
  <pageMargins left="0.25" right="0.25" top="0.75" bottom="0.75" header="0.3" footer="0.3"/>
  <pageSetup scale="69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40"/>
  <sheetViews>
    <sheetView topLeftCell="A40" zoomScaleNormal="100" workbookViewId="0">
      <selection activeCell="K54" sqref="K54"/>
    </sheetView>
  </sheetViews>
  <sheetFormatPr defaultRowHeight="14.4"/>
  <cols>
    <col min="2" max="2" width="11.44140625" customWidth="1"/>
    <col min="3" max="3" width="33.6640625" customWidth="1"/>
    <col min="4" max="4" width="10" bestFit="1" customWidth="1"/>
    <col min="5" max="5" width="12.33203125" customWidth="1"/>
    <col min="6" max="6" width="14" customWidth="1"/>
    <col min="7" max="7" width="12" bestFit="1" customWidth="1"/>
    <col min="8" max="8" width="4.88671875" customWidth="1"/>
    <col min="9" max="9" width="28.5546875" customWidth="1"/>
    <col min="10" max="10" width="8" customWidth="1"/>
    <col min="11" max="11" width="13" customWidth="1"/>
    <col min="12" max="12" width="31.5546875" style="199" customWidth="1"/>
    <col min="14" max="14" width="18.109375" customWidth="1"/>
    <col min="15" max="15" width="10.109375" customWidth="1"/>
  </cols>
  <sheetData>
    <row r="2" spans="3:12" ht="15" thickBot="1">
      <c r="C2" s="1"/>
    </row>
    <row r="3" spans="3:12" ht="15" thickBot="1">
      <c r="C3" s="212" t="s">
        <v>97</v>
      </c>
      <c r="D3" s="213"/>
      <c r="E3" s="213"/>
      <c r="F3" s="213"/>
      <c r="G3" s="214"/>
      <c r="H3" s="3"/>
      <c r="I3" s="218" t="s">
        <v>0</v>
      </c>
      <c r="J3" s="219"/>
      <c r="K3" s="220"/>
    </row>
    <row r="4" spans="3:12" ht="15" thickBot="1">
      <c r="C4" s="215"/>
      <c r="D4" s="216"/>
      <c r="E4" s="216"/>
      <c r="F4" s="216"/>
      <c r="G4" s="217"/>
      <c r="H4" s="3"/>
      <c r="I4" s="4"/>
      <c r="J4" s="5" t="s">
        <v>1</v>
      </c>
      <c r="K4" s="6" t="s">
        <v>2</v>
      </c>
    </row>
    <row r="5" spans="3:12">
      <c r="C5" s="7" t="s">
        <v>3</v>
      </c>
      <c r="D5" s="8">
        <v>12</v>
      </c>
      <c r="E5" s="9"/>
      <c r="F5" s="9" t="s">
        <v>4</v>
      </c>
      <c r="G5" s="10">
        <f>D5*365</f>
        <v>4380</v>
      </c>
      <c r="H5" s="3"/>
      <c r="I5" s="11" t="s">
        <v>5</v>
      </c>
      <c r="J5" s="12">
        <v>15</v>
      </c>
      <c r="K5" s="13">
        <f>J5*8</f>
        <v>120</v>
      </c>
    </row>
    <row r="6" spans="3:12">
      <c r="C6" s="14"/>
      <c r="D6" s="15"/>
      <c r="E6" s="15"/>
      <c r="F6" s="15"/>
      <c r="G6" s="16"/>
      <c r="H6" s="3"/>
      <c r="I6" s="11" t="s">
        <v>6</v>
      </c>
      <c r="J6" s="12">
        <v>8</v>
      </c>
      <c r="K6" s="13">
        <f>J6*8</f>
        <v>64</v>
      </c>
    </row>
    <row r="7" spans="3:12">
      <c r="C7" s="17"/>
      <c r="D7" s="18"/>
      <c r="E7" s="19" t="s">
        <v>7</v>
      </c>
      <c r="F7" s="19" t="s">
        <v>8</v>
      </c>
      <c r="G7" s="20" t="s">
        <v>9</v>
      </c>
      <c r="H7" s="3"/>
      <c r="I7" s="11" t="s">
        <v>10</v>
      </c>
      <c r="J7" s="12">
        <v>10</v>
      </c>
      <c r="K7" s="13">
        <f>J7*8</f>
        <v>80</v>
      </c>
    </row>
    <row r="8" spans="3:12">
      <c r="C8" s="4" t="str">
        <f>I13</f>
        <v>Management</v>
      </c>
      <c r="D8" s="15"/>
      <c r="E8" s="5"/>
      <c r="F8" s="5"/>
      <c r="G8" s="21"/>
      <c r="H8" s="3"/>
      <c r="I8" s="22" t="s">
        <v>11</v>
      </c>
      <c r="J8" s="23">
        <v>5</v>
      </c>
      <c r="K8" s="24">
        <f>J8*8</f>
        <v>40</v>
      </c>
    </row>
    <row r="9" spans="3:12">
      <c r="C9" s="11" t="str">
        <f t="shared" ref="C9:C15" si="0">I14</f>
        <v xml:space="preserve">    Program Director</v>
      </c>
      <c r="D9" s="15"/>
      <c r="E9" s="25">
        <f>K14</f>
        <v>63244</v>
      </c>
      <c r="F9" s="26">
        <f>K32</f>
        <v>1</v>
      </c>
      <c r="G9" s="27">
        <f>E9*F9</f>
        <v>63244</v>
      </c>
      <c r="H9" s="3"/>
      <c r="I9" s="11"/>
      <c r="J9" s="28" t="s">
        <v>12</v>
      </c>
      <c r="K9" s="13">
        <f>SUM(K5:K8)</f>
        <v>304</v>
      </c>
    </row>
    <row r="10" spans="3:12" ht="15" thickBot="1">
      <c r="C10" s="11" t="str">
        <f t="shared" si="0"/>
        <v xml:space="preserve">    Clinical Director</v>
      </c>
      <c r="D10" s="15"/>
      <c r="E10" s="25">
        <f t="shared" ref="E10:E14" si="1">K15</f>
        <v>83324.800000000003</v>
      </c>
      <c r="F10" s="26">
        <f t="shared" ref="F10:F14" si="2">K33</f>
        <v>1</v>
      </c>
      <c r="G10" s="27">
        <f>F10*E10</f>
        <v>83324.800000000003</v>
      </c>
      <c r="H10" s="3"/>
      <c r="I10" s="29"/>
      <c r="J10" s="30" t="s">
        <v>13</v>
      </c>
      <c r="K10" s="31">
        <f>K9/(52*40)</f>
        <v>0.14615384615384616</v>
      </c>
    </row>
    <row r="11" spans="3:12" ht="15" thickBot="1">
      <c r="C11" s="4" t="str">
        <f t="shared" si="0"/>
        <v>Medical and Clinical</v>
      </c>
      <c r="D11" s="15"/>
      <c r="E11" s="25"/>
      <c r="F11" s="26"/>
      <c r="G11" s="27"/>
      <c r="H11" s="3"/>
      <c r="I11" s="32"/>
      <c r="J11" s="33"/>
      <c r="K11" s="34"/>
    </row>
    <row r="12" spans="3:12" ht="15" thickBot="1">
      <c r="C12" s="11" t="str">
        <f t="shared" si="0"/>
        <v xml:space="preserve">    APRN</v>
      </c>
      <c r="D12" s="15"/>
      <c r="E12" s="25">
        <f t="shared" si="1"/>
        <v>119412.79999999999</v>
      </c>
      <c r="F12" s="26">
        <f t="shared" si="2"/>
        <v>1</v>
      </c>
      <c r="G12" s="27">
        <f t="shared" ref="G12:G24" si="3">F12*E12</f>
        <v>119412.79999999999</v>
      </c>
      <c r="H12" s="3"/>
      <c r="I12" s="221" t="s">
        <v>14</v>
      </c>
      <c r="J12" s="222"/>
      <c r="K12" s="223"/>
      <c r="L12" s="35"/>
    </row>
    <row r="13" spans="3:12">
      <c r="C13" s="11" t="str">
        <f t="shared" si="0"/>
        <v xml:space="preserve">    Clinician (MA Lvl)</v>
      </c>
      <c r="D13" s="15"/>
      <c r="E13" s="25">
        <f t="shared" si="1"/>
        <v>52665.599999999999</v>
      </c>
      <c r="F13" s="26">
        <f t="shared" si="2"/>
        <v>2</v>
      </c>
      <c r="G13" s="27">
        <f t="shared" si="3"/>
        <v>105331.2</v>
      </c>
      <c r="H13" s="3"/>
      <c r="I13" s="4" t="s">
        <v>15</v>
      </c>
      <c r="J13" s="15"/>
      <c r="K13" s="27"/>
      <c r="L13" s="35"/>
    </row>
    <row r="14" spans="3:12">
      <c r="C14" s="11" t="str">
        <f t="shared" si="0"/>
        <v xml:space="preserve">    Registered Nurse</v>
      </c>
      <c r="D14" s="15"/>
      <c r="E14" s="25">
        <f t="shared" si="1"/>
        <v>86860.800000000003</v>
      </c>
      <c r="F14" s="26">
        <f t="shared" si="2"/>
        <v>2.8</v>
      </c>
      <c r="G14" s="27">
        <f t="shared" si="3"/>
        <v>243210.23999999999</v>
      </c>
      <c r="H14" s="3"/>
      <c r="I14" s="4" t="s">
        <v>99</v>
      </c>
      <c r="J14" s="15"/>
      <c r="K14" s="27">
        <v>63244</v>
      </c>
      <c r="L14" s="35" t="s">
        <v>255</v>
      </c>
    </row>
    <row r="15" spans="3:12">
      <c r="C15" s="11" t="str">
        <f t="shared" si="0"/>
        <v xml:space="preserve">    Licensed Practical Nurse (LPN)</v>
      </c>
      <c r="D15" s="15"/>
      <c r="E15" s="25">
        <f>K20</f>
        <v>57449.599999999999</v>
      </c>
      <c r="F15" s="26">
        <f>K38</f>
        <v>1.4</v>
      </c>
      <c r="G15" s="27">
        <f t="shared" si="3"/>
        <v>80429.439999999988</v>
      </c>
      <c r="H15" s="3"/>
      <c r="I15" s="11" t="s">
        <v>100</v>
      </c>
      <c r="J15" s="15"/>
      <c r="K15" s="27">
        <f>'Salary Bench Chart'!C16</f>
        <v>83324.800000000003</v>
      </c>
      <c r="L15" s="35" t="s">
        <v>17</v>
      </c>
    </row>
    <row r="16" spans="3:12">
      <c r="C16" s="11" t="str">
        <f t="shared" ref="C16:C24" si="4">I21</f>
        <v xml:space="preserve">    Nurse Relief</v>
      </c>
      <c r="D16" s="15"/>
      <c r="E16" s="25">
        <f>K21</f>
        <v>77057.066666666666</v>
      </c>
      <c r="F16" s="26">
        <f>K39</f>
        <v>0.61384615384615382</v>
      </c>
      <c r="G16" s="27">
        <f t="shared" si="3"/>
        <v>47301.183999999994</v>
      </c>
      <c r="H16" s="3"/>
      <c r="I16" s="4" t="s">
        <v>16</v>
      </c>
      <c r="J16" s="15"/>
      <c r="K16" s="27"/>
      <c r="L16" s="35"/>
    </row>
    <row r="17" spans="3:17">
      <c r="C17" s="11" t="str">
        <f t="shared" si="4"/>
        <v xml:space="preserve">    Utilization Reviewer / MA Lvl Clinician</v>
      </c>
      <c r="D17" s="15"/>
      <c r="E17" s="25">
        <f>K22</f>
        <v>52665.599999999999</v>
      </c>
      <c r="F17" s="26">
        <f>K40</f>
        <v>0.5</v>
      </c>
      <c r="G17" s="27">
        <f t="shared" si="3"/>
        <v>26332.799999999999</v>
      </c>
      <c r="H17" s="3"/>
      <c r="I17" s="11" t="s">
        <v>117</v>
      </c>
      <c r="J17" s="15"/>
      <c r="K17" s="27">
        <f>'Salary Bench Chart'!C22</f>
        <v>119412.79999999999</v>
      </c>
      <c r="L17" s="35" t="s">
        <v>254</v>
      </c>
      <c r="M17" s="36"/>
      <c r="N17" s="36"/>
      <c r="O17" s="36"/>
      <c r="P17" s="36"/>
      <c r="Q17" s="36"/>
    </row>
    <row r="18" spans="3:17">
      <c r="C18" s="4" t="str">
        <f t="shared" si="4"/>
        <v>Direct Care</v>
      </c>
      <c r="D18" s="15"/>
      <c r="E18" s="25"/>
      <c r="F18" s="26"/>
      <c r="G18" s="27"/>
      <c r="H18" s="3"/>
      <c r="I18" s="11" t="s">
        <v>104</v>
      </c>
      <c r="J18" s="15"/>
      <c r="K18" s="27">
        <f>'Salary Bench Chart'!C12</f>
        <v>52665.599999999999</v>
      </c>
      <c r="L18" s="35" t="s">
        <v>110</v>
      </c>
      <c r="M18" s="36"/>
      <c r="N18" s="36"/>
      <c r="O18" s="36"/>
      <c r="P18" s="36"/>
      <c r="Q18" s="36"/>
    </row>
    <row r="19" spans="3:17">
      <c r="C19" s="11" t="str">
        <f t="shared" si="4"/>
        <v xml:space="preserve">    Recovery Specialist Supervisor</v>
      </c>
      <c r="D19" s="15"/>
      <c r="E19" s="25">
        <f t="shared" ref="E19:E24" si="5">K24</f>
        <v>41516.800000000003</v>
      </c>
      <c r="F19" s="26">
        <f t="shared" ref="F19:F24" si="6">K42</f>
        <v>1.8</v>
      </c>
      <c r="G19" s="27">
        <f t="shared" si="3"/>
        <v>74730.240000000005</v>
      </c>
      <c r="H19" s="3"/>
      <c r="I19" s="11" t="s">
        <v>18</v>
      </c>
      <c r="J19" s="15"/>
      <c r="K19" s="39">
        <f>'Salary Bench Chart'!C20</f>
        <v>86860.800000000003</v>
      </c>
      <c r="L19" s="35" t="s">
        <v>17</v>
      </c>
      <c r="M19" s="36"/>
      <c r="N19" s="36"/>
      <c r="O19" s="36"/>
      <c r="P19" s="36"/>
      <c r="Q19" s="36"/>
    </row>
    <row r="20" spans="3:17">
      <c r="C20" s="11" t="str">
        <f t="shared" si="4"/>
        <v xml:space="preserve">    Caseworker</v>
      </c>
      <c r="D20" s="15"/>
      <c r="E20" s="25">
        <f t="shared" si="5"/>
        <v>43971.200000000004</v>
      </c>
      <c r="F20" s="26">
        <f t="shared" si="6"/>
        <v>1</v>
      </c>
      <c r="G20" s="27">
        <f t="shared" si="3"/>
        <v>43971.200000000004</v>
      </c>
      <c r="H20" s="3"/>
      <c r="I20" s="11" t="s">
        <v>119</v>
      </c>
      <c r="J20" s="15"/>
      <c r="K20" s="39">
        <f>'Salary Bench Chart'!C18</f>
        <v>57449.599999999999</v>
      </c>
      <c r="L20" s="35" t="s">
        <v>17</v>
      </c>
      <c r="M20" s="36"/>
      <c r="N20" s="36"/>
      <c r="O20" s="36"/>
      <c r="P20" s="36"/>
      <c r="Q20" s="36"/>
    </row>
    <row r="21" spans="3:17">
      <c r="C21" s="11" t="str">
        <f t="shared" si="4"/>
        <v xml:space="preserve">    Recovery Specialist</v>
      </c>
      <c r="D21" s="15"/>
      <c r="E21" s="25">
        <f t="shared" si="5"/>
        <v>32198.400000000001</v>
      </c>
      <c r="F21" s="26">
        <f t="shared" si="6"/>
        <v>15.4</v>
      </c>
      <c r="G21" s="27">
        <f t="shared" si="3"/>
        <v>495855.36000000004</v>
      </c>
      <c r="H21" s="3"/>
      <c r="I21" s="11" t="s">
        <v>118</v>
      </c>
      <c r="J21" s="15"/>
      <c r="K21" s="200">
        <f>((K19*2)+K20)/3</f>
        <v>77057.066666666666</v>
      </c>
      <c r="L21" s="35" t="s">
        <v>259</v>
      </c>
    </row>
    <row r="22" spans="3:17">
      <c r="C22" s="11" t="str">
        <f t="shared" si="4"/>
        <v xml:space="preserve">    Educational Coordinator</v>
      </c>
      <c r="D22" s="15"/>
      <c r="E22" s="25">
        <f t="shared" si="5"/>
        <v>41516.800000000003</v>
      </c>
      <c r="F22" s="26">
        <f t="shared" si="6"/>
        <v>0.5</v>
      </c>
      <c r="G22" s="27">
        <f t="shared" si="3"/>
        <v>20758.400000000001</v>
      </c>
      <c r="H22" s="3"/>
      <c r="I22" s="11" t="s">
        <v>103</v>
      </c>
      <c r="J22" s="15"/>
      <c r="K22" s="27">
        <f>'Salary Bench Chart'!C12</f>
        <v>52665.599999999999</v>
      </c>
      <c r="L22" s="35" t="s">
        <v>110</v>
      </c>
    </row>
    <row r="23" spans="3:17">
      <c r="C23" s="11" t="str">
        <f t="shared" si="4"/>
        <v xml:space="preserve">    Support Staff</v>
      </c>
      <c r="D23" s="15"/>
      <c r="E23" s="25">
        <f t="shared" si="5"/>
        <v>32198.400000000001</v>
      </c>
      <c r="F23" s="26">
        <f t="shared" si="6"/>
        <v>1.5</v>
      </c>
      <c r="G23" s="27">
        <f t="shared" si="3"/>
        <v>48297.600000000006</v>
      </c>
      <c r="H23" s="3"/>
      <c r="I23" s="4" t="s">
        <v>20</v>
      </c>
      <c r="J23" s="15"/>
      <c r="K23" s="27"/>
      <c r="L23" s="35"/>
    </row>
    <row r="24" spans="3:17">
      <c r="C24" s="11" t="str">
        <f t="shared" si="4"/>
        <v xml:space="preserve">    DC Relief staff</v>
      </c>
      <c r="D24" s="15"/>
      <c r="E24" s="25">
        <f t="shared" si="5"/>
        <v>32198.400000000001</v>
      </c>
      <c r="F24" s="26">
        <f t="shared" si="6"/>
        <v>2.2507692307692309</v>
      </c>
      <c r="G24" s="27">
        <f t="shared" si="3"/>
        <v>72471.168000000005</v>
      </c>
      <c r="H24" s="3"/>
      <c r="I24" s="11" t="s">
        <v>108</v>
      </c>
      <c r="J24" s="15"/>
      <c r="K24" s="27">
        <f>'Salary Bench Chart'!C6</f>
        <v>41516.800000000003</v>
      </c>
      <c r="L24" s="35" t="s">
        <v>109</v>
      </c>
    </row>
    <row r="25" spans="3:17" ht="24.6">
      <c r="C25" s="40" t="s">
        <v>19</v>
      </c>
      <c r="D25" s="41"/>
      <c r="E25" s="41"/>
      <c r="F25" s="42">
        <f>SUM(F9:F24)</f>
        <v>32.764615384615382</v>
      </c>
      <c r="G25" s="43">
        <f>SUM(G9:G24)</f>
        <v>1524670.432</v>
      </c>
      <c r="H25" s="3"/>
      <c r="I25" s="11" t="s">
        <v>106</v>
      </c>
      <c r="J25" s="15"/>
      <c r="K25" s="27">
        <f>'Salary Bench Chart'!C10</f>
        <v>43971.200000000004</v>
      </c>
      <c r="L25" s="35" t="s">
        <v>111</v>
      </c>
    </row>
    <row r="26" spans="3:17">
      <c r="C26" s="14" t="s">
        <v>22</v>
      </c>
      <c r="D26" s="15"/>
      <c r="E26" s="45">
        <f>K49</f>
        <v>0.224</v>
      </c>
      <c r="F26" s="37"/>
      <c r="G26" s="38">
        <f>G25*E26</f>
        <v>341526.176768</v>
      </c>
      <c r="H26" s="3"/>
      <c r="I26" s="11" t="s">
        <v>101</v>
      </c>
      <c r="J26" s="15"/>
      <c r="K26" s="27">
        <f>'Salary Bench Chart'!C4</f>
        <v>32198.400000000001</v>
      </c>
      <c r="L26" s="35" t="s">
        <v>17</v>
      </c>
    </row>
    <row r="27" spans="3:17">
      <c r="C27" s="40" t="s">
        <v>23</v>
      </c>
      <c r="D27" s="41"/>
      <c r="E27" s="41"/>
      <c r="F27" s="46">
        <f>G27/G5</f>
        <v>426.07228510684934</v>
      </c>
      <c r="G27" s="43">
        <f>G25+G26</f>
        <v>1866196.608768</v>
      </c>
      <c r="H27" s="3"/>
      <c r="I27" s="11" t="s">
        <v>105</v>
      </c>
      <c r="J27" s="15"/>
      <c r="K27" s="27">
        <f>'Salary Bench Chart'!C6</f>
        <v>41516.800000000003</v>
      </c>
      <c r="L27" s="35" t="s">
        <v>109</v>
      </c>
    </row>
    <row r="28" spans="3:17">
      <c r="C28" s="17" t="s">
        <v>21</v>
      </c>
      <c r="D28" s="18"/>
      <c r="E28" s="18"/>
      <c r="F28" s="18" t="s">
        <v>24</v>
      </c>
      <c r="G28" s="49"/>
      <c r="H28" s="3"/>
      <c r="I28" s="11" t="s">
        <v>102</v>
      </c>
      <c r="J28" s="15"/>
      <c r="K28" s="27">
        <f>'Salary Bench Chart'!C4</f>
        <v>32198.400000000001</v>
      </c>
      <c r="L28" s="35" t="s">
        <v>17</v>
      </c>
    </row>
    <row r="29" spans="3:17" ht="15" thickBot="1">
      <c r="C29" s="14"/>
      <c r="D29" s="44"/>
      <c r="E29" s="15"/>
      <c r="F29" s="50"/>
      <c r="G29" s="51"/>
      <c r="H29" s="3"/>
      <c r="I29" s="11" t="s">
        <v>107</v>
      </c>
      <c r="J29" s="47"/>
      <c r="K29" s="48">
        <f>K26</f>
        <v>32198.400000000001</v>
      </c>
      <c r="L29" s="35"/>
    </row>
    <row r="30" spans="3:17" ht="15" thickBot="1">
      <c r="C30" s="14" t="str">
        <f t="shared" ref="C30" si="7">I51</f>
        <v>Occupancy (per bed day)</v>
      </c>
      <c r="D30" s="56">
        <f t="shared" ref="D30" si="8">K51</f>
        <v>30.57</v>
      </c>
      <c r="E30" s="15"/>
      <c r="F30" s="50"/>
      <c r="G30" s="51">
        <f>D30*G5</f>
        <v>133896.6</v>
      </c>
      <c r="H30" s="3"/>
      <c r="I30" s="221" t="s">
        <v>25</v>
      </c>
      <c r="J30" s="222"/>
      <c r="K30" s="223"/>
      <c r="L30" s="35"/>
    </row>
    <row r="31" spans="3:17">
      <c r="C31" s="14" t="str">
        <f>I50</f>
        <v>PFML Trust Contribution</v>
      </c>
      <c r="D31" s="157">
        <f>K50</f>
        <v>3.7000000000000002E-3</v>
      </c>
      <c r="E31" s="15"/>
      <c r="F31" s="50"/>
      <c r="G31" s="51">
        <f>G25*D31</f>
        <v>5641.2805984000006</v>
      </c>
      <c r="H31" s="3"/>
      <c r="I31" s="4" t="str">
        <f t="shared" ref="I31:I38" si="9">I13</f>
        <v>Management</v>
      </c>
      <c r="J31" s="52"/>
      <c r="K31" s="53"/>
      <c r="L31" s="35"/>
    </row>
    <row r="32" spans="3:17">
      <c r="C32" s="14" t="str">
        <f>I53</f>
        <v>Other Expenses (per bed day)</v>
      </c>
      <c r="D32" s="56">
        <f>K53</f>
        <v>3.76</v>
      </c>
      <c r="E32" s="15"/>
      <c r="F32" s="50"/>
      <c r="G32" s="51">
        <f>D32*G5</f>
        <v>16468.8</v>
      </c>
      <c r="H32" s="3"/>
      <c r="I32" s="11" t="str">
        <f t="shared" si="9"/>
        <v xml:space="preserve">    Program Director</v>
      </c>
      <c r="J32" s="52"/>
      <c r="K32" s="53">
        <v>1</v>
      </c>
      <c r="L32" s="35"/>
    </row>
    <row r="33" spans="3:16">
      <c r="C33" s="14" t="str">
        <f>I52</f>
        <v>Meals (per bed day)</v>
      </c>
      <c r="D33" s="56">
        <f>K52</f>
        <v>8.2950684931506853</v>
      </c>
      <c r="E33" s="15"/>
      <c r="F33" s="50"/>
      <c r="G33" s="51">
        <f>D33*G5</f>
        <v>36332.400000000001</v>
      </c>
      <c r="H33" s="3"/>
      <c r="I33" s="11" t="str">
        <f t="shared" si="9"/>
        <v xml:space="preserve">    Clinical Director</v>
      </c>
      <c r="J33" s="52"/>
      <c r="K33" s="53">
        <v>1</v>
      </c>
      <c r="L33" s="35"/>
    </row>
    <row r="34" spans="3:16">
      <c r="C34" s="14"/>
      <c r="D34" s="56"/>
      <c r="E34" s="15"/>
      <c r="F34" s="50"/>
      <c r="G34" s="51"/>
      <c r="H34" s="3"/>
      <c r="I34" s="4" t="str">
        <f t="shared" si="9"/>
        <v>Medical and Clinical</v>
      </c>
      <c r="J34" s="52"/>
      <c r="K34" s="53"/>
      <c r="L34" s="35"/>
    </row>
    <row r="35" spans="3:16">
      <c r="C35" s="40" t="s">
        <v>26</v>
      </c>
      <c r="D35" s="41"/>
      <c r="E35" s="41"/>
      <c r="F35" s="41"/>
      <c r="G35" s="43">
        <f>SUM(G27:G34)</f>
        <v>2058535.6893664</v>
      </c>
      <c r="H35" s="3"/>
      <c r="I35" s="11" t="str">
        <f t="shared" si="9"/>
        <v xml:space="preserve">    APRN</v>
      </c>
      <c r="J35" s="52"/>
      <c r="K35" s="53">
        <v>1</v>
      </c>
      <c r="L35" s="35"/>
    </row>
    <row r="36" spans="3:16">
      <c r="C36" s="14" t="s">
        <v>27</v>
      </c>
      <c r="D36" s="15"/>
      <c r="E36" s="44">
        <f>K54</f>
        <v>0.12</v>
      </c>
      <c r="F36" s="15"/>
      <c r="G36" s="27">
        <f>E36*G35</f>
        <v>247024.282723968</v>
      </c>
      <c r="H36" s="3"/>
      <c r="I36" s="11" t="str">
        <f t="shared" si="9"/>
        <v xml:space="preserve">    Clinician (MA Lvl)</v>
      </c>
      <c r="J36" s="52"/>
      <c r="K36" s="53">
        <v>2</v>
      </c>
      <c r="L36" s="35"/>
    </row>
    <row r="37" spans="3:16">
      <c r="C37" s="122" t="s">
        <v>116</v>
      </c>
      <c r="D37" s="123"/>
      <c r="E37" s="123"/>
      <c r="F37" s="123"/>
      <c r="G37" s="125">
        <f>SUM(G35:G36)</f>
        <v>2305559.9720903682</v>
      </c>
      <c r="H37" s="3"/>
      <c r="I37" s="11" t="str">
        <f t="shared" si="9"/>
        <v xml:space="preserve">    Registered Nurse</v>
      </c>
      <c r="J37" s="52"/>
      <c r="K37" s="53">
        <v>2.8</v>
      </c>
      <c r="L37" s="35"/>
      <c r="N37" s="55"/>
      <c r="O37" s="120"/>
      <c r="P37" s="121"/>
    </row>
    <row r="38" spans="3:16" ht="15" thickBot="1">
      <c r="C38" s="14" t="str">
        <f>I55</f>
        <v>CAF</v>
      </c>
      <c r="D38" s="15"/>
      <c r="E38" s="44">
        <f>K55</f>
        <v>2.6081907729015665E-2</v>
      </c>
      <c r="F38" s="15"/>
      <c r="G38" s="127">
        <f>(G37*E38)-(G25*E38)</f>
        <v>20367.088931190461</v>
      </c>
      <c r="H38" s="3"/>
      <c r="I38" s="11" t="str">
        <f t="shared" si="9"/>
        <v xml:space="preserve">    Licensed Practical Nurse (LPN)</v>
      </c>
      <c r="J38" s="52"/>
      <c r="K38" s="53">
        <v>1.4</v>
      </c>
      <c r="L38" s="35"/>
      <c r="N38" s="55"/>
      <c r="O38" s="55"/>
      <c r="P38" s="55"/>
    </row>
    <row r="39" spans="3:16" ht="15.6" thickTop="1" thickBot="1">
      <c r="C39" s="122" t="s">
        <v>115</v>
      </c>
      <c r="D39" s="123"/>
      <c r="E39" s="123"/>
      <c r="F39" s="124"/>
      <c r="G39" s="126">
        <f>G38+G37</f>
        <v>2325927.0610215585</v>
      </c>
      <c r="H39" s="3"/>
      <c r="I39" s="11" t="str">
        <f t="shared" ref="I39:I47" si="10">I21</f>
        <v xml:space="preserve">    Nurse Relief</v>
      </c>
      <c r="J39" s="52"/>
      <c r="K39" s="53">
        <f>K10*(K37+K38)</f>
        <v>0.61384615384615382</v>
      </c>
      <c r="L39" s="35"/>
      <c r="N39" s="128"/>
      <c r="O39" s="129"/>
      <c r="P39" s="130"/>
    </row>
    <row r="40" spans="3:16" ht="15" thickBot="1">
      <c r="C40" s="57" t="s">
        <v>28</v>
      </c>
      <c r="D40" s="58"/>
      <c r="E40" s="59"/>
      <c r="F40" s="60"/>
      <c r="G40" s="63">
        <f>G39/G5</f>
        <v>531.03357557569825</v>
      </c>
      <c r="H40" s="3"/>
      <c r="I40" s="11" t="str">
        <f t="shared" si="10"/>
        <v xml:space="preserve">    Utilization Reviewer / MA Lvl Clinician</v>
      </c>
      <c r="J40" s="52"/>
      <c r="K40" s="53">
        <v>0.5</v>
      </c>
      <c r="L40" s="35"/>
      <c r="N40" s="128"/>
      <c r="O40" s="129"/>
      <c r="P40" s="130"/>
    </row>
    <row r="41" spans="3:16" ht="15" thickBot="1">
      <c r="C41" s="57" t="s">
        <v>30</v>
      </c>
      <c r="D41" s="58"/>
      <c r="E41" s="64">
        <v>0.95</v>
      </c>
      <c r="F41" s="60"/>
      <c r="G41" s="63">
        <f>G40/E41</f>
        <v>558.98271113231397</v>
      </c>
      <c r="H41" s="3"/>
      <c r="I41" s="4" t="str">
        <f t="shared" si="10"/>
        <v>Direct Care</v>
      </c>
      <c r="J41" s="52"/>
      <c r="K41" s="53"/>
      <c r="L41" s="35"/>
      <c r="N41" s="128"/>
      <c r="O41" s="129"/>
      <c r="P41" s="130"/>
    </row>
    <row r="42" spans="3:16" ht="15" thickBot="1">
      <c r="C42" s="57" t="s">
        <v>31</v>
      </c>
      <c r="D42" s="58"/>
      <c r="E42" s="64">
        <v>0.9</v>
      </c>
      <c r="F42" s="60"/>
      <c r="G42" s="197">
        <f>G40/E42</f>
        <v>590.03730619522025</v>
      </c>
      <c r="H42" s="3"/>
      <c r="I42" s="11" t="str">
        <f t="shared" si="10"/>
        <v xml:space="preserve">    Recovery Specialist Supervisor</v>
      </c>
      <c r="J42" s="52"/>
      <c r="K42" s="53">
        <v>1.8</v>
      </c>
      <c r="L42" s="35"/>
      <c r="N42" s="128"/>
      <c r="O42" s="129"/>
      <c r="P42" s="130"/>
    </row>
    <row r="43" spans="3:16">
      <c r="C43" s="113"/>
      <c r="D43" s="114"/>
      <c r="E43" s="115"/>
      <c r="F43" s="116"/>
      <c r="G43" s="117"/>
      <c r="H43" s="3"/>
      <c r="I43" s="11" t="str">
        <f t="shared" si="10"/>
        <v xml:space="preserve">    Caseworker</v>
      </c>
      <c r="J43" s="52"/>
      <c r="K43" s="53">
        <v>1</v>
      </c>
      <c r="L43" s="35"/>
    </row>
    <row r="44" spans="3:16">
      <c r="C44" s="113"/>
      <c r="D44" s="114"/>
      <c r="E44" s="115"/>
      <c r="F44" s="116"/>
      <c r="G44" s="117"/>
      <c r="H44" s="3"/>
      <c r="I44" s="11" t="str">
        <f t="shared" si="10"/>
        <v xml:space="preserve">    Recovery Specialist</v>
      </c>
      <c r="J44" s="52"/>
      <c r="K44" s="53">
        <f>I71</f>
        <v>15.4</v>
      </c>
      <c r="L44" s="35"/>
    </row>
    <row r="45" spans="3:16">
      <c r="C45" s="113"/>
      <c r="D45" s="114"/>
      <c r="E45" s="115"/>
      <c r="F45" s="116"/>
      <c r="G45" s="117"/>
      <c r="H45" s="3"/>
      <c r="I45" s="11" t="str">
        <f t="shared" si="10"/>
        <v xml:space="preserve">    Educational Coordinator</v>
      </c>
      <c r="J45" s="52"/>
      <c r="K45" s="53">
        <v>0.5</v>
      </c>
    </row>
    <row r="46" spans="3:16">
      <c r="C46" s="113"/>
      <c r="D46" s="114"/>
      <c r="E46" s="115"/>
      <c r="F46" s="201"/>
      <c r="G46" s="159"/>
      <c r="H46" s="3"/>
      <c r="I46" s="11" t="str">
        <f t="shared" si="10"/>
        <v xml:space="preserve">    Support Staff</v>
      </c>
      <c r="J46" s="52"/>
      <c r="K46" s="53">
        <v>1.5</v>
      </c>
      <c r="L46" s="35"/>
    </row>
    <row r="47" spans="3:16" ht="15" thickBot="1">
      <c r="C47" s="113"/>
      <c r="D47" s="114"/>
      <c r="E47" s="115"/>
      <c r="F47" s="201"/>
      <c r="G47" s="159"/>
      <c r="H47" s="3"/>
      <c r="I47" s="11" t="str">
        <f t="shared" si="10"/>
        <v xml:space="preserve">    DC Relief staff</v>
      </c>
      <c r="J47" s="61"/>
      <c r="K47" s="62">
        <f>K10*K44</f>
        <v>2.2507692307692309</v>
      </c>
      <c r="L47" s="35"/>
    </row>
    <row r="48" spans="3:16" ht="15" thickBot="1">
      <c r="C48" s="68"/>
      <c r="D48" s="68"/>
      <c r="E48" s="68"/>
      <c r="F48" s="201"/>
      <c r="G48" s="158"/>
      <c r="H48" s="3"/>
      <c r="I48" s="221" t="s">
        <v>29</v>
      </c>
      <c r="J48" s="222"/>
      <c r="K48" s="223"/>
      <c r="L48" s="35"/>
    </row>
    <row r="49" spans="1:12">
      <c r="C49" s="68"/>
      <c r="D49" s="68"/>
      <c r="E49" s="68"/>
      <c r="F49" s="201"/>
      <c r="G49" s="202"/>
      <c r="H49" s="3"/>
      <c r="I49" s="14" t="s">
        <v>22</v>
      </c>
      <c r="J49" s="15"/>
      <c r="K49" s="65">
        <f>'Salary Bench Chart'!C31</f>
        <v>0.224</v>
      </c>
      <c r="L49" s="35" t="s">
        <v>112</v>
      </c>
    </row>
    <row r="50" spans="1:12">
      <c r="C50" s="68"/>
      <c r="D50" s="68"/>
      <c r="E50" s="68"/>
      <c r="H50" s="3"/>
      <c r="I50" s="14" t="s">
        <v>32</v>
      </c>
      <c r="J50" s="15"/>
      <c r="K50" s="66">
        <v>3.7000000000000002E-3</v>
      </c>
      <c r="L50" s="35"/>
    </row>
    <row r="51" spans="1:12">
      <c r="C51" s="68"/>
      <c r="D51" s="68"/>
      <c r="E51" s="68"/>
      <c r="F51" s="68"/>
      <c r="G51" s="68"/>
      <c r="H51" s="3"/>
      <c r="I51" s="14" t="s">
        <v>33</v>
      </c>
      <c r="J51" s="15"/>
      <c r="K51" s="119">
        <v>30.57</v>
      </c>
      <c r="L51" s="35"/>
    </row>
    <row r="52" spans="1:12">
      <c r="C52" s="68"/>
      <c r="D52" s="68"/>
      <c r="E52" s="68"/>
      <c r="F52" s="68"/>
      <c r="G52" s="68"/>
      <c r="H52" s="3"/>
      <c r="I52" s="118" t="s">
        <v>113</v>
      </c>
      <c r="J52" s="15"/>
      <c r="K52" s="156">
        <f>'USDA Food'!J28</f>
        <v>8.2950684931506853</v>
      </c>
      <c r="L52" s="35" t="s">
        <v>256</v>
      </c>
    </row>
    <row r="53" spans="1:12" ht="36.6">
      <c r="C53" s="68"/>
      <c r="D53" s="68"/>
      <c r="E53" s="68"/>
      <c r="F53" s="68"/>
      <c r="G53" s="68"/>
      <c r="H53" s="3"/>
      <c r="I53" s="118" t="s">
        <v>114</v>
      </c>
      <c r="J53" s="15"/>
      <c r="K53" s="67">
        <v>3.76</v>
      </c>
      <c r="L53" s="35" t="s">
        <v>257</v>
      </c>
    </row>
    <row r="54" spans="1:12">
      <c r="C54" s="68"/>
      <c r="D54" s="68"/>
      <c r="E54" s="68"/>
      <c r="F54" s="68"/>
      <c r="G54" s="68"/>
      <c r="H54" s="3"/>
      <c r="I54" s="69" t="s">
        <v>27</v>
      </c>
      <c r="J54" s="55"/>
      <c r="K54" s="70">
        <v>0.12</v>
      </c>
      <c r="L54" s="199" t="s">
        <v>261</v>
      </c>
    </row>
    <row r="55" spans="1:12" ht="15" thickBot="1">
      <c r="C55" s="68"/>
      <c r="D55" s="68"/>
      <c r="E55" s="68"/>
      <c r="F55" s="68"/>
      <c r="G55" s="68"/>
      <c r="H55" s="3"/>
      <c r="I55" s="71" t="s">
        <v>244</v>
      </c>
      <c r="J55" s="72"/>
      <c r="K55" s="73">
        <f>'CAF Spring 2020'!BY23</f>
        <v>2.6081907729015665E-2</v>
      </c>
      <c r="L55" s="35" t="s">
        <v>245</v>
      </c>
    </row>
    <row r="56" spans="1:12">
      <c r="C56" s="3"/>
      <c r="D56" s="3"/>
      <c r="E56" s="2"/>
      <c r="F56" s="2"/>
      <c r="G56" s="2"/>
      <c r="H56" s="3"/>
      <c r="L56" s="35"/>
    </row>
    <row r="57" spans="1:12">
      <c r="C57" s="3"/>
      <c r="D57" s="3"/>
      <c r="H57" s="3"/>
      <c r="L57" s="35"/>
    </row>
    <row r="58" spans="1:12" hidden="1">
      <c r="A58" s="54"/>
      <c r="C58" s="3"/>
      <c r="D58" s="3"/>
      <c r="H58" s="3"/>
      <c r="L58" s="35"/>
    </row>
    <row r="59" spans="1:12" hidden="1">
      <c r="A59" s="74"/>
      <c r="B59" t="s">
        <v>98</v>
      </c>
      <c r="C59" s="36"/>
      <c r="D59" s="36"/>
      <c r="E59" s="36"/>
      <c r="F59" s="36"/>
      <c r="G59" s="36"/>
      <c r="L59" s="35"/>
    </row>
    <row r="60" spans="1:12" hidden="1">
      <c r="A60" s="74"/>
      <c r="B60" s="75" t="s">
        <v>34</v>
      </c>
      <c r="C60" s="76" t="s">
        <v>35</v>
      </c>
      <c r="D60" s="76" t="s">
        <v>36</v>
      </c>
      <c r="E60" s="76" t="s">
        <v>37</v>
      </c>
      <c r="F60" s="76" t="s">
        <v>38</v>
      </c>
      <c r="G60" s="76" t="s">
        <v>39</v>
      </c>
      <c r="H60" s="76" t="s">
        <v>34</v>
      </c>
      <c r="L60" s="35"/>
    </row>
    <row r="61" spans="1:12" hidden="1">
      <c r="A61" s="74" t="s">
        <v>40</v>
      </c>
      <c r="B61" s="77">
        <v>1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1</v>
      </c>
      <c r="L61" s="35"/>
    </row>
    <row r="62" spans="1:12" hidden="1">
      <c r="A62" s="74" t="s">
        <v>41</v>
      </c>
      <c r="B62" s="77">
        <v>1</v>
      </c>
      <c r="C62" s="77">
        <v>1</v>
      </c>
      <c r="D62" s="77">
        <v>1</v>
      </c>
      <c r="E62" s="77">
        <v>1</v>
      </c>
      <c r="F62" s="77">
        <v>1</v>
      </c>
      <c r="G62" s="77">
        <v>1</v>
      </c>
      <c r="H62" s="77">
        <v>1</v>
      </c>
      <c r="I62" s="77">
        <f>SUM(B64:H64)</f>
        <v>9</v>
      </c>
      <c r="L62" s="35"/>
    </row>
    <row r="63" spans="1:12" ht="15" hidden="1" thickBot="1">
      <c r="A63" s="74" t="s">
        <v>42</v>
      </c>
      <c r="B63" s="78">
        <v>0</v>
      </c>
      <c r="C63" s="78">
        <v>0</v>
      </c>
      <c r="D63" s="78">
        <v>0</v>
      </c>
      <c r="E63" s="78">
        <v>0</v>
      </c>
      <c r="F63" s="78">
        <v>0</v>
      </c>
      <c r="G63" s="78">
        <v>0</v>
      </c>
      <c r="H63" s="78">
        <v>0</v>
      </c>
      <c r="I63" s="81">
        <f>I62*8</f>
        <v>72</v>
      </c>
      <c r="K63" s="79"/>
      <c r="L63" s="35"/>
    </row>
    <row r="64" spans="1:12" ht="15" hidden="1" thickTop="1">
      <c r="A64" s="74"/>
      <c r="B64" s="77">
        <f>SUM(B61:B63)</f>
        <v>2</v>
      </c>
      <c r="C64" s="77">
        <f t="shared" ref="C64:H64" si="11">SUM(C61:C63)</f>
        <v>1</v>
      </c>
      <c r="D64" s="77">
        <f t="shared" si="11"/>
        <v>1</v>
      </c>
      <c r="E64" s="77">
        <f t="shared" si="11"/>
        <v>1</v>
      </c>
      <c r="F64" s="77">
        <f t="shared" si="11"/>
        <v>1</v>
      </c>
      <c r="G64" s="77">
        <f t="shared" si="11"/>
        <v>1</v>
      </c>
      <c r="H64" s="77">
        <f t="shared" si="11"/>
        <v>2</v>
      </c>
      <c r="I64" s="131">
        <f>I63/40</f>
        <v>1.8</v>
      </c>
      <c r="L64" s="35"/>
    </row>
    <row r="65" spans="1:12" hidden="1">
      <c r="A65" s="80"/>
      <c r="B65" s="36"/>
      <c r="C65" s="36"/>
      <c r="D65" s="36"/>
      <c r="E65" s="36"/>
      <c r="F65" s="36"/>
      <c r="G65" s="36"/>
      <c r="L65" s="35"/>
    </row>
    <row r="66" spans="1:12" hidden="1">
      <c r="A66" s="54"/>
      <c r="B66" t="s">
        <v>96</v>
      </c>
      <c r="C66" s="36"/>
      <c r="D66" s="36"/>
      <c r="E66" s="36"/>
      <c r="F66" s="36"/>
      <c r="G66" s="36"/>
    </row>
    <row r="67" spans="1:12" hidden="1">
      <c r="A67" s="74"/>
      <c r="B67" s="75" t="s">
        <v>34</v>
      </c>
      <c r="C67" s="76" t="s">
        <v>35</v>
      </c>
      <c r="D67" s="76" t="s">
        <v>36</v>
      </c>
      <c r="E67" s="76" t="s">
        <v>37</v>
      </c>
      <c r="F67" s="76" t="s">
        <v>38</v>
      </c>
      <c r="G67" s="76" t="s">
        <v>39</v>
      </c>
      <c r="H67" s="76" t="s">
        <v>34</v>
      </c>
      <c r="L67" s="35"/>
    </row>
    <row r="68" spans="1:12" hidden="1">
      <c r="A68" s="74" t="s">
        <v>40</v>
      </c>
      <c r="B68" s="77">
        <v>4</v>
      </c>
      <c r="C68" s="77">
        <v>4</v>
      </c>
      <c r="D68" s="77">
        <v>4</v>
      </c>
      <c r="E68" s="77">
        <v>4</v>
      </c>
      <c r="F68" s="77">
        <v>4</v>
      </c>
      <c r="G68" s="77">
        <v>4</v>
      </c>
      <c r="H68" s="77">
        <v>4</v>
      </c>
      <c r="L68" s="35"/>
    </row>
    <row r="69" spans="1:12" hidden="1">
      <c r="A69" s="74" t="s">
        <v>41</v>
      </c>
      <c r="B69" s="77">
        <v>4</v>
      </c>
      <c r="C69" s="77">
        <v>4</v>
      </c>
      <c r="D69" s="77">
        <v>4</v>
      </c>
      <c r="E69" s="77">
        <v>4</v>
      </c>
      <c r="F69" s="77">
        <v>4</v>
      </c>
      <c r="G69" s="77">
        <v>4</v>
      </c>
      <c r="H69" s="77">
        <v>4</v>
      </c>
      <c r="I69" s="81">
        <f>SUM(B71:H71)</f>
        <v>77</v>
      </c>
      <c r="L69" s="35"/>
    </row>
    <row r="70" spans="1:12" ht="15" hidden="1" thickBot="1">
      <c r="A70" s="74" t="s">
        <v>42</v>
      </c>
      <c r="B70" s="78">
        <v>3</v>
      </c>
      <c r="C70" s="78">
        <v>3</v>
      </c>
      <c r="D70" s="78">
        <v>3</v>
      </c>
      <c r="E70" s="78">
        <v>3</v>
      </c>
      <c r="F70" s="78">
        <v>3</v>
      </c>
      <c r="G70" s="78">
        <v>3</v>
      </c>
      <c r="H70" s="78">
        <v>3</v>
      </c>
      <c r="I70" s="81">
        <f>I69*8</f>
        <v>616</v>
      </c>
      <c r="L70" s="35"/>
    </row>
    <row r="71" spans="1:12" ht="15" hidden="1" thickTop="1">
      <c r="A71" s="74"/>
      <c r="B71" s="77">
        <f>SUM(B68:B70)</f>
        <v>11</v>
      </c>
      <c r="C71" s="77">
        <f t="shared" ref="C71:H71" si="12">SUM(C68:C70)</f>
        <v>11</v>
      </c>
      <c r="D71" s="77">
        <f t="shared" si="12"/>
        <v>11</v>
      </c>
      <c r="E71" s="77">
        <f t="shared" si="12"/>
        <v>11</v>
      </c>
      <c r="F71" s="77">
        <f t="shared" si="12"/>
        <v>11</v>
      </c>
      <c r="G71" s="77">
        <f t="shared" si="12"/>
        <v>11</v>
      </c>
      <c r="H71" s="77">
        <f t="shared" si="12"/>
        <v>11</v>
      </c>
      <c r="I71" s="131">
        <f>I70/40</f>
        <v>15.4</v>
      </c>
      <c r="J71" t="s">
        <v>43</v>
      </c>
      <c r="L71" s="35"/>
    </row>
    <row r="72" spans="1:12" hidden="1">
      <c r="A72" s="74"/>
      <c r="B72" s="82"/>
      <c r="C72" s="82"/>
      <c r="D72" s="82"/>
      <c r="E72" s="82"/>
      <c r="F72" s="82"/>
      <c r="G72" s="82"/>
      <c r="H72" s="82"/>
      <c r="J72" t="s">
        <v>44</v>
      </c>
      <c r="L72" s="35"/>
    </row>
    <row r="73" spans="1:12" hidden="1">
      <c r="A73" s="74"/>
      <c r="B73" s="82"/>
      <c r="C73" s="82"/>
      <c r="D73" s="82"/>
      <c r="E73" s="82"/>
      <c r="F73" s="82"/>
      <c r="G73" s="82"/>
      <c r="H73" s="82"/>
      <c r="J73" t="s">
        <v>45</v>
      </c>
    </row>
    <row r="74" spans="1:12" hidden="1">
      <c r="A74" s="74"/>
      <c r="B74" s="82" t="s">
        <v>260</v>
      </c>
      <c r="C74" s="82"/>
      <c r="D74" s="82"/>
      <c r="E74" s="82"/>
      <c r="F74" s="82"/>
      <c r="G74" s="82"/>
      <c r="H74" s="82"/>
    </row>
    <row r="75" spans="1:12" hidden="1">
      <c r="A75" s="74"/>
      <c r="B75" s="75" t="s">
        <v>34</v>
      </c>
      <c r="C75" s="76" t="s">
        <v>35</v>
      </c>
      <c r="D75" s="76" t="s">
        <v>36</v>
      </c>
      <c r="E75" s="76" t="s">
        <v>37</v>
      </c>
      <c r="F75" s="76" t="s">
        <v>38</v>
      </c>
      <c r="G75" s="76" t="s">
        <v>39</v>
      </c>
      <c r="H75" s="76" t="s">
        <v>34</v>
      </c>
    </row>
    <row r="76" spans="1:12" hidden="1">
      <c r="A76" s="74" t="s">
        <v>40</v>
      </c>
      <c r="B76" s="77">
        <v>1</v>
      </c>
      <c r="C76" s="77">
        <v>1</v>
      </c>
      <c r="D76" s="77">
        <v>1</v>
      </c>
      <c r="E76" s="77">
        <v>1</v>
      </c>
      <c r="F76" s="77">
        <v>1</v>
      </c>
      <c r="G76" s="77">
        <v>1</v>
      </c>
      <c r="H76" s="77">
        <v>1</v>
      </c>
    </row>
    <row r="77" spans="1:12" hidden="1">
      <c r="A77" s="74" t="s">
        <v>41</v>
      </c>
      <c r="B77" s="77">
        <v>1</v>
      </c>
      <c r="C77" s="77">
        <v>1</v>
      </c>
      <c r="D77" s="77">
        <v>1</v>
      </c>
      <c r="E77" s="77">
        <v>1</v>
      </c>
      <c r="F77" s="77">
        <v>1</v>
      </c>
      <c r="G77" s="77">
        <v>1</v>
      </c>
      <c r="H77" s="77">
        <v>1</v>
      </c>
    </row>
    <row r="78" spans="1:12" ht="15" hidden="1" thickBot="1">
      <c r="A78" s="74" t="s">
        <v>42</v>
      </c>
      <c r="B78" s="78">
        <v>1</v>
      </c>
      <c r="C78" s="78">
        <v>1</v>
      </c>
      <c r="D78" s="78">
        <v>1</v>
      </c>
      <c r="E78" s="78">
        <v>1</v>
      </c>
      <c r="F78" s="78">
        <v>1</v>
      </c>
      <c r="G78" s="78">
        <v>1</v>
      </c>
      <c r="H78" s="78">
        <v>1</v>
      </c>
      <c r="I78" s="77">
        <f>SUM(B79:H79)</f>
        <v>21</v>
      </c>
    </row>
    <row r="79" spans="1:12" ht="15" hidden="1" thickTop="1">
      <c r="A79" s="74"/>
      <c r="B79" s="77">
        <f>SUM(B76:B78)</f>
        <v>3</v>
      </c>
      <c r="C79" s="77">
        <f t="shared" ref="C79:H79" si="13">SUM(C76:C78)</f>
        <v>3</v>
      </c>
      <c r="D79" s="77">
        <f t="shared" si="13"/>
        <v>3</v>
      </c>
      <c r="E79" s="77">
        <f t="shared" si="13"/>
        <v>3</v>
      </c>
      <c r="F79" s="77">
        <f t="shared" si="13"/>
        <v>3</v>
      </c>
      <c r="G79" s="77">
        <f t="shared" si="13"/>
        <v>3</v>
      </c>
      <c r="H79" s="77">
        <f t="shared" si="13"/>
        <v>3</v>
      </c>
      <c r="I79" s="81">
        <f>I78*8</f>
        <v>168</v>
      </c>
    </row>
    <row r="80" spans="1:12" hidden="1">
      <c r="A80" s="80"/>
      <c r="B80" s="36"/>
      <c r="C80" s="36"/>
      <c r="D80" s="36"/>
      <c r="E80" s="36"/>
      <c r="F80" s="36"/>
      <c r="G80" s="36"/>
      <c r="I80" s="131">
        <f>I79/40</f>
        <v>4.2</v>
      </c>
    </row>
    <row r="81" spans="1:7" hidden="1">
      <c r="A81" s="54"/>
      <c r="C81" s="36"/>
      <c r="D81" s="36"/>
      <c r="E81" s="36"/>
      <c r="F81" s="36"/>
      <c r="G81" s="36"/>
    </row>
    <row r="82" spans="1:7" hidden="1"/>
    <row r="83" spans="1:7" hidden="1"/>
    <row r="84" spans="1:7" hidden="1"/>
    <row r="85" spans="1:7" hidden="1"/>
    <row r="86" spans="1:7" hidden="1"/>
    <row r="87" spans="1:7" hidden="1"/>
    <row r="88" spans="1:7" hidden="1"/>
    <row r="89" spans="1:7" hidden="1"/>
    <row r="90" spans="1:7" hidden="1"/>
    <row r="91" spans="1:7" hidden="1"/>
    <row r="92" spans="1:7" hidden="1"/>
    <row r="93" spans="1:7" hidden="1"/>
    <row r="94" spans="1:7" hidden="1"/>
    <row r="95" spans="1:7" hidden="1"/>
    <row r="96" spans="1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</sheetData>
  <mergeCells count="5">
    <mergeCell ref="C3:G4"/>
    <mergeCell ref="I3:K3"/>
    <mergeCell ref="I12:K12"/>
    <mergeCell ref="I30:K30"/>
    <mergeCell ref="I48:K48"/>
  </mergeCells>
  <pageMargins left="0.2" right="0.2" top="0.2" bottom="0.2" header="0" footer="0"/>
  <pageSetup scale="71" orientation="landscape" r:id="rId1"/>
  <ignoredErrors>
    <ignoredError sqref="C31:D31 K27 C32:D3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18"/>
  <sheetViews>
    <sheetView tabSelected="1" zoomScale="70" zoomScaleNormal="70" workbookViewId="0">
      <selection activeCell="E15" sqref="E15"/>
    </sheetView>
  </sheetViews>
  <sheetFormatPr defaultRowHeight="14.4"/>
  <cols>
    <col min="2" max="2" width="26.109375" customWidth="1"/>
    <col min="3" max="3" width="14.5546875" style="81" customWidth="1"/>
    <col min="4" max="4" width="83.33203125" style="81" customWidth="1"/>
    <col min="5" max="5" width="22.5546875" customWidth="1"/>
    <col min="6" max="6" width="28.6640625" style="231" customWidth="1"/>
    <col min="7" max="7" width="13.5546875" style="231" customWidth="1"/>
    <col min="8" max="8" width="12.5546875" style="231" bestFit="1" customWidth="1"/>
    <col min="9" max="9" width="19" style="231" customWidth="1"/>
    <col min="10" max="10" width="17.109375" style="231" customWidth="1"/>
    <col min="11" max="11" width="11.88671875" style="231" customWidth="1"/>
    <col min="12" max="12" width="15.109375" style="231" customWidth="1"/>
    <col min="13" max="13" width="23.109375" bestFit="1" customWidth="1"/>
    <col min="14" max="14" width="10" bestFit="1" customWidth="1"/>
    <col min="15" max="15" width="11.88671875" customWidth="1"/>
    <col min="16" max="16" width="21.88671875" bestFit="1" customWidth="1"/>
    <col min="18" max="18" width="15.109375" customWidth="1"/>
    <col min="19" max="19" width="9.109375" bestFit="1" customWidth="1"/>
    <col min="20" max="20" width="16.33203125" customWidth="1"/>
    <col min="21" max="21" width="13.33203125" customWidth="1"/>
    <col min="22" max="22" width="11.44140625" customWidth="1"/>
    <col min="23" max="23" width="16.33203125" customWidth="1"/>
    <col min="24" max="24" width="14" customWidth="1"/>
    <col min="25" max="25" width="12.33203125" customWidth="1"/>
  </cols>
  <sheetData>
    <row r="1" spans="1:18" ht="18">
      <c r="A1" s="228"/>
      <c r="B1" s="228"/>
      <c r="C1" s="229"/>
      <c r="D1" s="229"/>
      <c r="E1" s="230"/>
    </row>
    <row r="3" spans="1:18" ht="15" thickBot="1">
      <c r="B3" s="2" t="s">
        <v>263</v>
      </c>
      <c r="C3" s="232" t="s">
        <v>264</v>
      </c>
      <c r="D3" s="232"/>
      <c r="E3" s="233"/>
      <c r="F3" s="233" t="s">
        <v>265</v>
      </c>
      <c r="G3" s="233"/>
    </row>
    <row r="4" spans="1:18" ht="15" thickBot="1">
      <c r="B4" s="234" t="s">
        <v>266</v>
      </c>
      <c r="C4" s="235"/>
      <c r="D4" s="236"/>
      <c r="E4" s="237"/>
      <c r="F4" s="234" t="s">
        <v>267</v>
      </c>
      <c r="G4" s="235"/>
      <c r="H4" s="236"/>
      <c r="I4" s="238"/>
      <c r="J4" s="238"/>
      <c r="K4" s="238"/>
      <c r="M4" s="234" t="s">
        <v>268</v>
      </c>
      <c r="N4" s="235"/>
      <c r="O4" s="235"/>
      <c r="P4" s="235"/>
      <c r="Q4" s="235"/>
      <c r="R4" s="236"/>
    </row>
    <row r="5" spans="1:18" ht="15" thickBot="1">
      <c r="B5" s="239" t="s">
        <v>269</v>
      </c>
      <c r="C5" s="240" t="s">
        <v>270</v>
      </c>
      <c r="D5" s="241" t="s">
        <v>271</v>
      </c>
      <c r="E5" s="242"/>
      <c r="F5" s="234" t="s">
        <v>272</v>
      </c>
      <c r="G5" s="235"/>
      <c r="H5" s="236"/>
      <c r="I5" s="238"/>
      <c r="J5" s="238"/>
      <c r="K5" s="238"/>
      <c r="M5" s="234" t="s">
        <v>272</v>
      </c>
      <c r="N5" s="235"/>
      <c r="O5" s="236"/>
      <c r="P5" s="234" t="s">
        <v>273</v>
      </c>
      <c r="Q5" s="235"/>
      <c r="R5" s="236"/>
    </row>
    <row r="6" spans="1:18">
      <c r="B6" s="243" t="s">
        <v>274</v>
      </c>
      <c r="C6" s="244">
        <v>83325</v>
      </c>
      <c r="D6" s="245" t="s">
        <v>275</v>
      </c>
      <c r="E6" s="237"/>
      <c r="F6" s="246" t="s">
        <v>276</v>
      </c>
      <c r="G6" s="247" t="s">
        <v>277</v>
      </c>
      <c r="H6" s="248">
        <v>260</v>
      </c>
      <c r="I6" s="247"/>
      <c r="J6" s="247"/>
      <c r="K6" s="247"/>
      <c r="M6" s="246" t="s">
        <v>276</v>
      </c>
      <c r="N6" s="247" t="s">
        <v>277</v>
      </c>
      <c r="O6" s="247">
        <v>260</v>
      </c>
      <c r="P6" s="246" t="s">
        <v>278</v>
      </c>
      <c r="Q6" s="247" t="s">
        <v>279</v>
      </c>
      <c r="R6" s="249">
        <f>O6*8</f>
        <v>2080</v>
      </c>
    </row>
    <row r="7" spans="1:18" ht="28.8">
      <c r="B7" s="250" t="s">
        <v>280</v>
      </c>
      <c r="C7" s="251">
        <v>60923</v>
      </c>
      <c r="D7" s="252" t="s">
        <v>281</v>
      </c>
      <c r="E7" s="237"/>
      <c r="F7" s="253"/>
      <c r="G7" s="254" t="s">
        <v>7</v>
      </c>
      <c r="H7" s="255" t="s">
        <v>9</v>
      </c>
      <c r="I7" s="256"/>
      <c r="J7" s="256"/>
      <c r="K7" s="256"/>
      <c r="M7" s="257"/>
      <c r="N7" s="258" t="s">
        <v>7</v>
      </c>
      <c r="O7" s="258" t="s">
        <v>9</v>
      </c>
      <c r="P7" s="257"/>
      <c r="Q7" s="258" t="s">
        <v>7</v>
      </c>
      <c r="R7" s="255" t="s">
        <v>9</v>
      </c>
    </row>
    <row r="8" spans="1:18">
      <c r="B8" s="259" t="s">
        <v>282</v>
      </c>
      <c r="C8" s="260">
        <v>32198</v>
      </c>
      <c r="D8" s="252" t="s">
        <v>283</v>
      </c>
      <c r="E8" s="261"/>
      <c r="F8" s="262" t="str">
        <f>B6</f>
        <v>Clincal Director</v>
      </c>
      <c r="G8" s="263">
        <f>C6</f>
        <v>83325</v>
      </c>
      <c r="H8" s="264">
        <f>G8</f>
        <v>83325</v>
      </c>
      <c r="I8" s="265"/>
      <c r="J8" s="265"/>
      <c r="K8" s="265"/>
      <c r="M8" s="266" t="str">
        <f>B13</f>
        <v>Food Service I</v>
      </c>
      <c r="N8" s="265">
        <f>C13</f>
        <v>32198</v>
      </c>
      <c r="O8" s="265">
        <f>N8</f>
        <v>32198</v>
      </c>
      <c r="P8" s="266" t="str">
        <f>M8</f>
        <v>Food Service I</v>
      </c>
      <c r="Q8" s="267">
        <f>C13</f>
        <v>32198</v>
      </c>
      <c r="R8" s="268">
        <f>Q8</f>
        <v>32198</v>
      </c>
    </row>
    <row r="9" spans="1:18">
      <c r="B9" s="259" t="s">
        <v>284</v>
      </c>
      <c r="C9" s="260">
        <f>[10]Chart!C6</f>
        <v>41516.800000000003</v>
      </c>
      <c r="D9" s="269" t="s">
        <v>285</v>
      </c>
      <c r="E9" s="261"/>
      <c r="F9" s="270"/>
      <c r="G9" s="271"/>
      <c r="H9" s="272"/>
      <c r="I9" s="265"/>
      <c r="J9" s="265"/>
      <c r="K9" s="265"/>
      <c r="M9" s="273" t="s">
        <v>286</v>
      </c>
      <c r="N9" s="274">
        <f>C21</f>
        <v>0.14615384615384616</v>
      </c>
      <c r="O9" s="265">
        <f>N8*N9</f>
        <v>4705.8615384615387</v>
      </c>
      <c r="P9" s="273"/>
      <c r="Q9" s="275"/>
      <c r="R9" s="268"/>
    </row>
    <row r="10" spans="1:18">
      <c r="B10" s="259" t="s">
        <v>287</v>
      </c>
      <c r="C10" s="260">
        <v>32198</v>
      </c>
      <c r="D10" s="269" t="s">
        <v>288</v>
      </c>
      <c r="E10" s="261"/>
      <c r="F10" s="276" t="s">
        <v>116</v>
      </c>
      <c r="G10" s="263"/>
      <c r="H10" s="264">
        <f>SUM(H8:H9)</f>
        <v>83325</v>
      </c>
      <c r="I10" s="265"/>
      <c r="J10" s="265"/>
      <c r="K10" s="265"/>
      <c r="M10" s="277"/>
      <c r="N10" s="278"/>
      <c r="O10" s="278"/>
      <c r="P10" s="277"/>
      <c r="Q10" s="279"/>
      <c r="R10" s="280"/>
    </row>
    <row r="11" spans="1:18" ht="15" thickBot="1">
      <c r="B11" s="259" t="s">
        <v>289</v>
      </c>
      <c r="C11" s="260">
        <v>36890</v>
      </c>
      <c r="D11" s="269" t="s">
        <v>290</v>
      </c>
      <c r="E11" s="261"/>
      <c r="F11" s="273" t="s">
        <v>291</v>
      </c>
      <c r="G11" s="281">
        <f>C22</f>
        <v>0.224</v>
      </c>
      <c r="H11" s="264">
        <f>G11*H10</f>
        <v>18664.8</v>
      </c>
      <c r="I11" s="265"/>
      <c r="J11" s="265"/>
      <c r="K11" s="265"/>
      <c r="M11" s="282" t="s">
        <v>116</v>
      </c>
      <c r="N11" s="265"/>
      <c r="O11" s="265">
        <f>O8+O9+O10</f>
        <v>36903.86153846154</v>
      </c>
      <c r="P11" s="282" t="s">
        <v>116</v>
      </c>
      <c r="Q11" s="283"/>
      <c r="R11" s="268">
        <f>SUM(R8:R10)</f>
        <v>32198</v>
      </c>
    </row>
    <row r="12" spans="1:18" ht="15" thickBot="1">
      <c r="B12" s="259" t="s">
        <v>292</v>
      </c>
      <c r="C12" s="260">
        <f>[10]Chart!C6</f>
        <v>41516.800000000003</v>
      </c>
      <c r="D12" s="269" t="s">
        <v>293</v>
      </c>
      <c r="E12" s="261"/>
      <c r="F12" s="284" t="s">
        <v>23</v>
      </c>
      <c r="G12" s="285"/>
      <c r="H12" s="286">
        <f>H10+H11</f>
        <v>101989.8</v>
      </c>
      <c r="I12" s="265"/>
      <c r="J12" s="265"/>
      <c r="K12" s="265"/>
      <c r="M12" s="273" t="s">
        <v>291</v>
      </c>
      <c r="N12" s="274">
        <f>C22</f>
        <v>0.224</v>
      </c>
      <c r="O12" s="265">
        <f>N12*O11</f>
        <v>8266.4649846153861</v>
      </c>
      <c r="P12" s="273" t="s">
        <v>291</v>
      </c>
      <c r="Q12" s="275">
        <f>N12</f>
        <v>0.224</v>
      </c>
      <c r="R12" s="268">
        <f>N12*R11</f>
        <v>7212.3519999999999</v>
      </c>
    </row>
    <row r="13" spans="1:18" ht="15" thickBot="1">
      <c r="B13" s="259" t="s">
        <v>268</v>
      </c>
      <c r="C13" s="260">
        <v>32198</v>
      </c>
      <c r="D13" s="269" t="s">
        <v>288</v>
      </c>
      <c r="E13" s="261"/>
      <c r="F13" s="273" t="s">
        <v>294</v>
      </c>
      <c r="G13" s="281">
        <f>C25</f>
        <v>3.7000000000000002E-3</v>
      </c>
      <c r="H13" s="264">
        <f>H10*G13</f>
        <v>308.30250000000001</v>
      </c>
      <c r="I13" s="265"/>
      <c r="J13" s="265"/>
      <c r="K13" s="265"/>
      <c r="M13" s="287" t="s">
        <v>23</v>
      </c>
      <c r="N13" s="288"/>
      <c r="O13" s="286">
        <f>O11+O12</f>
        <v>45170.326523076925</v>
      </c>
      <c r="P13" s="287" t="s">
        <v>23</v>
      </c>
      <c r="Q13" s="289"/>
      <c r="R13" s="290">
        <f>R11+R12</f>
        <v>39410.351999999999</v>
      </c>
    </row>
    <row r="14" spans="1:18">
      <c r="B14" s="259" t="s">
        <v>295</v>
      </c>
      <c r="C14" s="260">
        <v>35970</v>
      </c>
      <c r="D14" s="269" t="s">
        <v>296</v>
      </c>
      <c r="E14" s="261"/>
      <c r="F14" s="273" t="s">
        <v>297</v>
      </c>
      <c r="G14" s="291">
        <f>C23</f>
        <v>0.12</v>
      </c>
      <c r="H14" s="292">
        <f>(H12+H13)*G14</f>
        <v>12275.772300000001</v>
      </c>
      <c r="I14" s="263"/>
      <c r="J14" s="263"/>
      <c r="K14" s="263"/>
      <c r="M14" s="273" t="str">
        <f>B25</f>
        <v xml:space="preserve">PFMLA </v>
      </c>
      <c r="N14" s="274">
        <f>C25</f>
        <v>3.7000000000000002E-3</v>
      </c>
      <c r="O14" s="265">
        <f>O11*N14</f>
        <v>136.54428769230771</v>
      </c>
      <c r="P14" s="273" t="str">
        <f>B25</f>
        <v xml:space="preserve">PFMLA </v>
      </c>
      <c r="Q14" s="275">
        <f>C25</f>
        <v>3.7000000000000002E-3</v>
      </c>
      <c r="R14" s="293">
        <f>R11*Q14</f>
        <v>119.13260000000001</v>
      </c>
    </row>
    <row r="15" spans="1:18" ht="15" thickBot="1">
      <c r="B15" s="259" t="s">
        <v>298</v>
      </c>
      <c r="C15" s="251">
        <v>38900</v>
      </c>
      <c r="D15" s="269" t="s">
        <v>299</v>
      </c>
      <c r="E15" s="261"/>
      <c r="F15" s="294" t="s">
        <v>300</v>
      </c>
      <c r="G15" s="295"/>
      <c r="H15" s="296">
        <f>H14+H13+H12</f>
        <v>114573.87480000001</v>
      </c>
      <c r="I15" s="297"/>
      <c r="J15" s="297"/>
      <c r="K15" s="297"/>
      <c r="M15" s="273" t="s">
        <v>301</v>
      </c>
      <c r="N15" s="274"/>
      <c r="O15" s="265">
        <v>8200</v>
      </c>
      <c r="P15" s="273"/>
      <c r="Q15" s="275"/>
      <c r="R15" s="293"/>
    </row>
    <row r="16" spans="1:18" ht="15" thickBot="1">
      <c r="B16" s="259" t="s">
        <v>302</v>
      </c>
      <c r="C16" s="251">
        <v>32198</v>
      </c>
      <c r="D16" s="269" t="s">
        <v>288</v>
      </c>
      <c r="E16" s="261"/>
      <c r="F16" s="298" t="s">
        <v>244</v>
      </c>
      <c r="G16" s="299">
        <f>C26</f>
        <v>2.6081907729015665E-2</v>
      </c>
      <c r="H16" s="300">
        <f>H15+(H15*G16)-(H10*G16)</f>
        <v>115388.90506916917</v>
      </c>
      <c r="I16" s="301"/>
      <c r="J16" s="301"/>
      <c r="K16" s="302"/>
      <c r="M16" s="303" t="s">
        <v>297</v>
      </c>
      <c r="N16" s="291">
        <f>C23</f>
        <v>0.12</v>
      </c>
      <c r="O16" s="263">
        <f>(O13+O14)*N16</f>
        <v>5436.8244972923076</v>
      </c>
      <c r="P16" s="303" t="s">
        <v>297</v>
      </c>
      <c r="Q16" s="275">
        <f>N16</f>
        <v>0.12</v>
      </c>
      <c r="R16" s="268">
        <f>(R13+R14)*Q16</f>
        <v>4743.5381519999992</v>
      </c>
    </row>
    <row r="17" spans="2:25" ht="15" thickBot="1">
      <c r="B17" s="259" t="s">
        <v>303</v>
      </c>
      <c r="C17" s="251">
        <f>[10]Chart!C4</f>
        <v>32198.400000000001</v>
      </c>
      <c r="D17" s="269" t="s">
        <v>288</v>
      </c>
      <c r="F17" s="304" t="s">
        <v>304</v>
      </c>
      <c r="G17" s="305"/>
      <c r="H17" s="306">
        <f>H16/H6</f>
        <v>443.80348103526603</v>
      </c>
      <c r="I17" s="307"/>
      <c r="J17" s="308"/>
      <c r="K17" s="307"/>
      <c r="M17" s="309" t="s">
        <v>300</v>
      </c>
      <c r="N17" s="310"/>
      <c r="O17" s="310">
        <f>O16+O13+O14+O15</f>
        <v>58943.695308061535</v>
      </c>
      <c r="P17" s="309" t="s">
        <v>300</v>
      </c>
      <c r="Q17" s="311"/>
      <c r="R17" s="312">
        <f>R13+R16+R14+R15</f>
        <v>44273.022751999997</v>
      </c>
    </row>
    <row r="18" spans="2:25" ht="15" thickBot="1">
      <c r="B18" s="313" t="s">
        <v>305</v>
      </c>
      <c r="C18" s="314">
        <v>46031</v>
      </c>
      <c r="D18" s="315" t="s">
        <v>306</v>
      </c>
      <c r="G18" s="316"/>
      <c r="H18" s="317"/>
      <c r="I18" s="318"/>
      <c r="J18" s="318"/>
      <c r="K18" s="318"/>
      <c r="M18" s="319" t="s">
        <v>244</v>
      </c>
      <c r="N18" s="320">
        <f>C26</f>
        <v>2.6081907729015665E-2</v>
      </c>
      <c r="O18" s="265">
        <f>O17+(O17*N18)-(O11*N18)</f>
        <v>59518.536218803085</v>
      </c>
      <c r="P18" s="319" t="s">
        <v>244</v>
      </c>
      <c r="Q18" s="321">
        <f>N18</f>
        <v>2.6081907729015665E-2</v>
      </c>
      <c r="R18" s="322">
        <f>R17+(R17*Q18)-(R11*Q18)</f>
        <v>44587.962381243429</v>
      </c>
      <c r="T18" s="323"/>
    </row>
    <row r="19" spans="2:25" ht="15" thickBot="1">
      <c r="B19" s="324" t="s">
        <v>29</v>
      </c>
      <c r="C19" s="325"/>
      <c r="D19" s="241" t="s">
        <v>271</v>
      </c>
      <c r="G19" s="326"/>
      <c r="H19" s="327"/>
      <c r="I19" s="328"/>
      <c r="J19" s="328"/>
      <c r="K19" s="328"/>
      <c r="M19" s="304" t="s">
        <v>304</v>
      </c>
      <c r="N19" s="289"/>
      <c r="O19" s="306">
        <f>O18/O6</f>
        <v>228.91744699539649</v>
      </c>
      <c r="P19" s="304" t="s">
        <v>307</v>
      </c>
      <c r="Q19" s="289"/>
      <c r="R19" s="306">
        <f>R18/R6</f>
        <v>21.436520375597802</v>
      </c>
      <c r="S19" s="329"/>
    </row>
    <row r="20" spans="2:25" ht="15" thickBot="1">
      <c r="B20" s="330"/>
      <c r="C20" s="331"/>
      <c r="D20" s="332"/>
      <c r="F20" s="234" t="s">
        <v>308</v>
      </c>
      <c r="G20" s="235"/>
      <c r="H20" s="236"/>
      <c r="I20" s="238"/>
      <c r="J20" s="238"/>
      <c r="K20" s="238"/>
      <c r="M20" s="333"/>
      <c r="N20" s="334"/>
      <c r="O20" s="334"/>
      <c r="P20" s="335"/>
      <c r="Q20" s="283"/>
      <c r="R20" s="336"/>
      <c r="T20" s="234" t="s">
        <v>298</v>
      </c>
      <c r="U20" s="235"/>
      <c r="V20" s="235"/>
      <c r="W20" s="235"/>
      <c r="X20" s="235"/>
      <c r="Y20" s="236"/>
    </row>
    <row r="21" spans="2:25" ht="15" thickBot="1">
      <c r="B21" s="337" t="s">
        <v>309</v>
      </c>
      <c r="C21" s="338">
        <f>D37</f>
        <v>0.14615384615384616</v>
      </c>
      <c r="D21" s="332" t="s">
        <v>310</v>
      </c>
      <c r="F21" s="234" t="s">
        <v>272</v>
      </c>
      <c r="G21" s="235"/>
      <c r="H21" s="236"/>
      <c r="I21" s="238"/>
      <c r="J21" s="238"/>
      <c r="K21" s="238"/>
      <c r="M21" s="339"/>
      <c r="N21" s="340"/>
      <c r="O21" s="340"/>
      <c r="P21" s="341"/>
      <c r="Q21" s="340"/>
      <c r="R21" s="342"/>
      <c r="T21" s="234" t="s">
        <v>272</v>
      </c>
      <c r="U21" s="235"/>
      <c r="V21" s="236"/>
      <c r="W21" s="234" t="s">
        <v>273</v>
      </c>
      <c r="X21" s="235"/>
      <c r="Y21" s="236"/>
    </row>
    <row r="22" spans="2:25" ht="15" thickBot="1">
      <c r="B22" s="343" t="s">
        <v>291</v>
      </c>
      <c r="C22" s="344">
        <v>0.224</v>
      </c>
      <c r="D22" s="332" t="s">
        <v>311</v>
      </c>
      <c r="F22" s="246" t="s">
        <v>276</v>
      </c>
      <c r="G22" s="247" t="s">
        <v>277</v>
      </c>
      <c r="H22" s="248">
        <v>260</v>
      </c>
      <c r="I22" s="247"/>
      <c r="J22" s="247"/>
      <c r="K22" s="247"/>
      <c r="M22" s="234" t="s">
        <v>295</v>
      </c>
      <c r="N22" s="235"/>
      <c r="O22" s="235"/>
      <c r="P22" s="235"/>
      <c r="Q22" s="235"/>
      <c r="R22" s="236"/>
      <c r="T22" s="246" t="s">
        <v>276</v>
      </c>
      <c r="U22" s="247" t="s">
        <v>277</v>
      </c>
      <c r="V22" s="247">
        <v>260</v>
      </c>
      <c r="W22" s="246" t="s">
        <v>278</v>
      </c>
      <c r="X22" s="247" t="s">
        <v>279</v>
      </c>
      <c r="Y22" s="249">
        <f>V22*8</f>
        <v>2080</v>
      </c>
    </row>
    <row r="23" spans="2:25" ht="15" thickBot="1">
      <c r="B23" s="337" t="s">
        <v>27</v>
      </c>
      <c r="C23" s="344">
        <v>0.12</v>
      </c>
      <c r="D23" s="332" t="s">
        <v>312</v>
      </c>
      <c r="F23" s="257"/>
      <c r="G23" s="258" t="s">
        <v>7</v>
      </c>
      <c r="H23" s="255" t="s">
        <v>9</v>
      </c>
      <c r="I23" s="345"/>
      <c r="J23" s="345"/>
      <c r="K23" s="345"/>
      <c r="M23" s="234" t="s">
        <v>272</v>
      </c>
      <c r="N23" s="235"/>
      <c r="O23" s="236"/>
      <c r="P23" s="234" t="s">
        <v>273</v>
      </c>
      <c r="Q23" s="235"/>
      <c r="R23" s="236"/>
      <c r="T23" s="257"/>
      <c r="U23" s="258" t="s">
        <v>7</v>
      </c>
      <c r="V23" s="258" t="s">
        <v>9</v>
      </c>
      <c r="W23" s="257"/>
      <c r="X23" s="258" t="s">
        <v>7</v>
      </c>
      <c r="Y23" s="255" t="s">
        <v>9</v>
      </c>
    </row>
    <row r="24" spans="2:25" ht="15" thickBot="1">
      <c r="B24" s="346" t="s">
        <v>313</v>
      </c>
      <c r="C24" s="347"/>
      <c r="D24" s="348"/>
      <c r="F24" s="266" t="str">
        <f>B7</f>
        <v>Clinician w/Independent Licensure</v>
      </c>
      <c r="G24" s="265">
        <f>C7</f>
        <v>60923</v>
      </c>
      <c r="H24" s="264">
        <f>G24</f>
        <v>60923</v>
      </c>
      <c r="I24" s="263"/>
      <c r="J24" s="263"/>
      <c r="K24" s="263"/>
      <c r="M24" s="246" t="s">
        <v>276</v>
      </c>
      <c r="N24" s="247" t="s">
        <v>277</v>
      </c>
      <c r="O24" s="247">
        <v>260</v>
      </c>
      <c r="P24" s="246" t="s">
        <v>278</v>
      </c>
      <c r="Q24" s="247" t="s">
        <v>279</v>
      </c>
      <c r="R24" s="249">
        <f>O24*8</f>
        <v>2080</v>
      </c>
      <c r="T24" s="266" t="str">
        <f>B15</f>
        <v>Food Service III</v>
      </c>
      <c r="U24" s="265">
        <f>C15</f>
        <v>38900</v>
      </c>
      <c r="V24" s="265">
        <f>U24</f>
        <v>38900</v>
      </c>
      <c r="W24" s="266" t="str">
        <f>T24</f>
        <v>Food Service III</v>
      </c>
      <c r="X24" s="267">
        <f>C15</f>
        <v>38900</v>
      </c>
      <c r="Y24" s="268">
        <f>X24</f>
        <v>38900</v>
      </c>
    </row>
    <row r="25" spans="2:25">
      <c r="B25" s="349" t="s">
        <v>314</v>
      </c>
      <c r="C25" s="350">
        <v>3.7000000000000002E-3</v>
      </c>
      <c r="D25" s="351" t="s">
        <v>315</v>
      </c>
      <c r="F25" s="277"/>
      <c r="G25" s="278"/>
      <c r="H25" s="272"/>
      <c r="I25" s="263"/>
      <c r="J25" s="263"/>
      <c r="K25" s="263"/>
      <c r="M25" s="257"/>
      <c r="N25" s="258" t="s">
        <v>7</v>
      </c>
      <c r="O25" s="258" t="s">
        <v>9</v>
      </c>
      <c r="P25" s="257"/>
      <c r="Q25" s="258" t="s">
        <v>7</v>
      </c>
      <c r="R25" s="255" t="s">
        <v>9</v>
      </c>
      <c r="T25" s="273" t="s">
        <v>286</v>
      </c>
      <c r="U25" s="274">
        <f>C21</f>
        <v>0.14615384615384616</v>
      </c>
      <c r="V25" s="265">
        <f>U24*U25</f>
        <v>5685.3846153846162</v>
      </c>
      <c r="W25" s="273"/>
      <c r="X25" s="275"/>
      <c r="Y25" s="268"/>
    </row>
    <row r="26" spans="2:25" ht="15" thickBot="1">
      <c r="B26" s="352" t="s">
        <v>316</v>
      </c>
      <c r="C26" s="353">
        <f>[10]CAF!BY23</f>
        <v>2.6081907729015665E-2</v>
      </c>
      <c r="D26" s="354" t="s">
        <v>317</v>
      </c>
      <c r="F26" s="282" t="s">
        <v>116</v>
      </c>
      <c r="G26" s="265"/>
      <c r="H26" s="264">
        <f>SUM(H24:H25)</f>
        <v>60923</v>
      </c>
      <c r="I26" s="263"/>
      <c r="J26" s="263"/>
      <c r="K26" s="263"/>
      <c r="M26" s="266" t="str">
        <f>B14</f>
        <v>Food Service II</v>
      </c>
      <c r="N26" s="265">
        <f>C14</f>
        <v>35970</v>
      </c>
      <c r="O26" s="265">
        <f>N26</f>
        <v>35970</v>
      </c>
      <c r="P26" s="266" t="str">
        <f>M26</f>
        <v>Food Service II</v>
      </c>
      <c r="Q26" s="267">
        <f>C14</f>
        <v>35970</v>
      </c>
      <c r="R26" s="268">
        <f>Q26</f>
        <v>35970</v>
      </c>
      <c r="T26" s="277"/>
      <c r="U26" s="278"/>
      <c r="V26" s="278"/>
      <c r="W26" s="277"/>
      <c r="X26" s="279"/>
      <c r="Y26" s="280"/>
    </row>
    <row r="27" spans="2:25" ht="16.2" thickBot="1">
      <c r="B27" s="355" t="s">
        <v>244</v>
      </c>
      <c r="C27" s="356">
        <v>2.4899999999999999E-2</v>
      </c>
      <c r="D27" s="357" t="s">
        <v>318</v>
      </c>
      <c r="F27" s="273" t="s">
        <v>291</v>
      </c>
      <c r="G27" s="274">
        <f>C22</f>
        <v>0.224</v>
      </c>
      <c r="H27" s="264">
        <f>G27*H26</f>
        <v>13646.752</v>
      </c>
      <c r="I27" s="263"/>
      <c r="J27" s="263"/>
      <c r="K27" s="263"/>
      <c r="M27" s="273" t="s">
        <v>286</v>
      </c>
      <c r="N27" s="274">
        <f>C21</f>
        <v>0.14615384615384616</v>
      </c>
      <c r="O27" s="265">
        <f>N26*N27</f>
        <v>5257.1538461538466</v>
      </c>
      <c r="P27" s="273"/>
      <c r="Q27" s="275"/>
      <c r="R27" s="268"/>
      <c r="T27" s="282" t="s">
        <v>116</v>
      </c>
      <c r="U27" s="265"/>
      <c r="V27" s="265">
        <f>SUM(V24:V26)</f>
        <v>44585.384615384617</v>
      </c>
      <c r="W27" s="282" t="s">
        <v>116</v>
      </c>
      <c r="X27" s="283"/>
      <c r="Y27" s="268">
        <f>SUM(Y24:Y26)</f>
        <v>38900</v>
      </c>
    </row>
    <row r="28" spans="2:25" ht="18.600000000000001" thickBot="1">
      <c r="B28" s="358" t="s">
        <v>319</v>
      </c>
      <c r="C28" s="359"/>
      <c r="D28" s="360" t="s">
        <v>320</v>
      </c>
      <c r="F28" s="287" t="s">
        <v>23</v>
      </c>
      <c r="G28" s="288"/>
      <c r="H28" s="286">
        <f>H26+H27</f>
        <v>74569.752000000008</v>
      </c>
      <c r="I28" s="263"/>
      <c r="J28" s="263"/>
      <c r="K28" s="263"/>
      <c r="M28" s="277"/>
      <c r="N28" s="278"/>
      <c r="O28" s="278"/>
      <c r="P28" s="277"/>
      <c r="Q28" s="279"/>
      <c r="R28" s="280"/>
      <c r="T28" s="273" t="s">
        <v>291</v>
      </c>
      <c r="U28" s="274">
        <f>C22</f>
        <v>0.224</v>
      </c>
      <c r="V28" s="265">
        <f>U28*V27</f>
        <v>9987.1261538461549</v>
      </c>
      <c r="W28" s="273" t="s">
        <v>291</v>
      </c>
      <c r="X28" s="275">
        <f>N30</f>
        <v>0.224</v>
      </c>
      <c r="Y28" s="268">
        <f>U28*Y27</f>
        <v>8713.6</v>
      </c>
    </row>
    <row r="29" spans="2:25" ht="15" thickBot="1">
      <c r="C29" s="361"/>
      <c r="D29"/>
      <c r="F29" s="273" t="s">
        <v>294</v>
      </c>
      <c r="G29" s="274">
        <f>C25</f>
        <v>3.7000000000000002E-3</v>
      </c>
      <c r="H29" s="264">
        <f>H26*G29</f>
        <v>225.41510000000002</v>
      </c>
      <c r="I29" s="263"/>
      <c r="J29" s="263"/>
      <c r="K29" s="263"/>
      <c r="M29" s="282" t="s">
        <v>116</v>
      </c>
      <c r="N29" s="265"/>
      <c r="O29" s="265">
        <f>SUM(O26:O28)</f>
        <v>41227.153846153844</v>
      </c>
      <c r="P29" s="282" t="s">
        <v>116</v>
      </c>
      <c r="Q29" s="283"/>
      <c r="R29" s="268">
        <f>SUM(R26:R28)</f>
        <v>35970</v>
      </c>
      <c r="T29" s="287" t="s">
        <v>23</v>
      </c>
      <c r="U29" s="288"/>
      <c r="V29" s="286">
        <f>V27+V28</f>
        <v>54572.510769230772</v>
      </c>
      <c r="W29" s="287" t="s">
        <v>23</v>
      </c>
      <c r="X29" s="289"/>
      <c r="Y29" s="290">
        <f>Y27+Y28</f>
        <v>47613.599999999999</v>
      </c>
    </row>
    <row r="30" spans="2:25" ht="15" thickBot="1">
      <c r="B30" s="218" t="s">
        <v>0</v>
      </c>
      <c r="C30" s="219"/>
      <c r="D30" s="220"/>
      <c r="F30" s="303" t="s">
        <v>297</v>
      </c>
      <c r="G30" s="291">
        <f>C23</f>
        <v>0.12</v>
      </c>
      <c r="H30" s="292">
        <f>(H28+H29)*G30</f>
        <v>8975.4200519999995</v>
      </c>
      <c r="I30" s="263"/>
      <c r="J30" s="263"/>
      <c r="K30" s="263"/>
      <c r="M30" s="273" t="s">
        <v>291</v>
      </c>
      <c r="N30" s="274">
        <f>C22</f>
        <v>0.224</v>
      </c>
      <c r="O30" s="265">
        <f>N30*O29</f>
        <v>9234.8824615384619</v>
      </c>
      <c r="P30" s="273" t="s">
        <v>291</v>
      </c>
      <c r="Q30" s="275">
        <f>C22</f>
        <v>0.224</v>
      </c>
      <c r="R30" s="268">
        <f>N30*R29</f>
        <v>8057.28</v>
      </c>
      <c r="T30" s="273" t="str">
        <f>B25</f>
        <v xml:space="preserve">PFMLA </v>
      </c>
      <c r="U30" s="274">
        <f>C25</f>
        <v>3.7000000000000002E-3</v>
      </c>
      <c r="V30" s="265">
        <f>V27*U30</f>
        <v>164.9659230769231</v>
      </c>
      <c r="W30" s="273" t="str">
        <f>B25</f>
        <v xml:space="preserve">PFMLA </v>
      </c>
      <c r="X30" s="275">
        <f>C25</f>
        <v>3.7000000000000002E-3</v>
      </c>
      <c r="Y30" s="293">
        <f>Y27*X30</f>
        <v>143.93</v>
      </c>
    </row>
    <row r="31" spans="2:25" ht="15" thickBot="1">
      <c r="B31" s="4"/>
      <c r="C31" s="5" t="s">
        <v>1</v>
      </c>
      <c r="D31" s="6" t="s">
        <v>2</v>
      </c>
      <c r="F31" s="362" t="s">
        <v>300</v>
      </c>
      <c r="G31" s="363"/>
      <c r="H31" s="296">
        <f>H30+H28+H29</f>
        <v>83770.587152000007</v>
      </c>
      <c r="I31" s="314"/>
      <c r="J31" s="314"/>
      <c r="K31" s="314"/>
      <c r="M31" s="287" t="s">
        <v>23</v>
      </c>
      <c r="N31" s="288"/>
      <c r="O31" s="286">
        <f>O29+O30</f>
        <v>50462.036307692309</v>
      </c>
      <c r="P31" s="287" t="s">
        <v>23</v>
      </c>
      <c r="Q31" s="289"/>
      <c r="R31" s="290">
        <f>R29+R30</f>
        <v>44027.28</v>
      </c>
      <c r="T31" s="273" t="s">
        <v>301</v>
      </c>
      <c r="U31" s="274"/>
      <c r="V31" s="265">
        <v>8200</v>
      </c>
      <c r="W31" s="273"/>
      <c r="X31" s="275"/>
      <c r="Y31" s="293"/>
    </row>
    <row r="32" spans="2:25" ht="15" thickBot="1">
      <c r="B32" s="364" t="s">
        <v>5</v>
      </c>
      <c r="C32" s="365">
        <v>15</v>
      </c>
      <c r="D32" s="366">
        <f>C32*8</f>
        <v>120</v>
      </c>
      <c r="F32" s="367" t="s">
        <v>244</v>
      </c>
      <c r="G32" s="368">
        <f>C26</f>
        <v>2.6081907729015665E-2</v>
      </c>
      <c r="H32" s="300">
        <f>H31+(H31*G32)-(H26*G32)</f>
        <v>84366.495811929111</v>
      </c>
      <c r="I32" s="301"/>
      <c r="J32" s="301"/>
      <c r="K32" s="369"/>
      <c r="M32" s="273" t="str">
        <f>B25</f>
        <v xml:space="preserve">PFMLA </v>
      </c>
      <c r="N32" s="274">
        <f>C25</f>
        <v>3.7000000000000002E-3</v>
      </c>
      <c r="O32" s="265">
        <f>O29*N32</f>
        <v>152.54046923076922</v>
      </c>
      <c r="P32" s="273" t="str">
        <f>B25</f>
        <v xml:space="preserve">PFMLA </v>
      </c>
      <c r="Q32" s="275">
        <f>C25</f>
        <v>3.7000000000000002E-3</v>
      </c>
      <c r="R32" s="293">
        <f>R29*Q32</f>
        <v>133.089</v>
      </c>
      <c r="T32" s="303" t="s">
        <v>297</v>
      </c>
      <c r="U32" s="291">
        <f>C23</f>
        <v>0.12</v>
      </c>
      <c r="V32" s="263">
        <f>(V29+V30)*U32</f>
        <v>6568.4972030769231</v>
      </c>
      <c r="W32" s="303" t="s">
        <v>297</v>
      </c>
      <c r="X32" s="275">
        <f>U32</f>
        <v>0.12</v>
      </c>
      <c r="Y32" s="268">
        <f>(Y29+Y30)*X32</f>
        <v>5730.9035999999996</v>
      </c>
    </row>
    <row r="33" spans="2:26" ht="15" thickBot="1">
      <c r="B33" s="364" t="s">
        <v>6</v>
      </c>
      <c r="C33" s="365">
        <v>8</v>
      </c>
      <c r="D33" s="366">
        <f>C33*8</f>
        <v>64</v>
      </c>
      <c r="F33" s="304" t="s">
        <v>304</v>
      </c>
      <c r="G33" s="370"/>
      <c r="H33" s="371">
        <f>H32/H22</f>
        <v>324.48652235357349</v>
      </c>
      <c r="I33" s="372"/>
      <c r="J33" s="373"/>
      <c r="K33" s="372"/>
      <c r="M33" s="273" t="s">
        <v>301</v>
      </c>
      <c r="N33" s="274"/>
      <c r="O33" s="265">
        <v>8200</v>
      </c>
      <c r="P33" s="273"/>
      <c r="Q33" s="275"/>
      <c r="R33" s="293"/>
      <c r="T33" s="309" t="s">
        <v>300</v>
      </c>
      <c r="U33" s="310"/>
      <c r="V33" s="310">
        <f>V32+V29+V30+V31</f>
        <v>69505.97389538461</v>
      </c>
      <c r="W33" s="309" t="s">
        <v>300</v>
      </c>
      <c r="X33" s="311"/>
      <c r="Y33" s="312">
        <f>Y29+Y32+Y30</f>
        <v>53488.433599999997</v>
      </c>
    </row>
    <row r="34" spans="2:26" ht="15" thickBot="1">
      <c r="B34" s="364" t="s">
        <v>10</v>
      </c>
      <c r="C34" s="365">
        <v>10</v>
      </c>
      <c r="D34" s="366">
        <f>C34*8</f>
        <v>80</v>
      </c>
      <c r="G34" s="316"/>
      <c r="H34" s="374"/>
      <c r="M34" s="303" t="s">
        <v>297</v>
      </c>
      <c r="N34" s="291">
        <f>C23</f>
        <v>0.12</v>
      </c>
      <c r="O34" s="263">
        <f>(O31+O32)*N34</f>
        <v>6073.7492132307698</v>
      </c>
      <c r="P34" s="303" t="s">
        <v>297</v>
      </c>
      <c r="Q34" s="275">
        <f>C23</f>
        <v>0.12</v>
      </c>
      <c r="R34" s="268">
        <f>(R31+R32)*Q34</f>
        <v>5299.2442799999999</v>
      </c>
      <c r="T34" s="319" t="s">
        <v>244</v>
      </c>
      <c r="U34" s="320">
        <f>C26</f>
        <v>2.6081907729015665E-2</v>
      </c>
      <c r="V34" s="302">
        <f>V33+(V33*U34)-(V27*U34)</f>
        <v>70155.950405538257</v>
      </c>
      <c r="W34" s="319" t="s">
        <v>244</v>
      </c>
      <c r="X34" s="375">
        <f>U34</f>
        <v>2.6081907729015665E-2</v>
      </c>
      <c r="Y34" s="293">
        <f>Y33+(Y33*X34)-(Y27*X34)</f>
        <v>53868.927779066071</v>
      </c>
    </row>
    <row r="35" spans="2:26" ht="15" thickBot="1">
      <c r="B35" s="376" t="s">
        <v>11</v>
      </c>
      <c r="C35" s="377">
        <v>5</v>
      </c>
      <c r="D35" s="378">
        <f>C35*8</f>
        <v>40</v>
      </c>
      <c r="H35" s="379"/>
      <c r="M35" s="309" t="s">
        <v>300</v>
      </c>
      <c r="N35" s="310"/>
      <c r="O35" s="310">
        <f>O34+O31+O32+O33</f>
        <v>64888.325990153848</v>
      </c>
      <c r="P35" s="309" t="s">
        <v>300</v>
      </c>
      <c r="Q35" s="311"/>
      <c r="R35" s="312">
        <f>R31+R34+R32+R33</f>
        <v>49459.613279999998</v>
      </c>
      <c r="T35" s="304" t="s">
        <v>304</v>
      </c>
      <c r="U35" s="289"/>
      <c r="V35" s="306">
        <f>V34/V22</f>
        <v>269.83057848283943</v>
      </c>
      <c r="W35" s="304" t="s">
        <v>307</v>
      </c>
      <c r="X35" s="289"/>
      <c r="Y35" s="306">
        <f>Y34/Y22</f>
        <v>25.898522970704843</v>
      </c>
      <c r="Z35" s="329"/>
    </row>
    <row r="36" spans="2:26" ht="15" customHeight="1" thickTop="1" thickBot="1">
      <c r="B36" s="364"/>
      <c r="C36" s="380" t="s">
        <v>12</v>
      </c>
      <c r="D36" s="366">
        <f>SUM(D32:D35)</f>
        <v>304</v>
      </c>
      <c r="F36" s="234" t="s">
        <v>287</v>
      </c>
      <c r="G36" s="235"/>
      <c r="H36" s="235"/>
      <c r="I36" s="235"/>
      <c r="J36" s="235"/>
      <c r="K36" s="236"/>
      <c r="L36" s="381"/>
      <c r="M36" s="319" t="s">
        <v>244</v>
      </c>
      <c r="N36" s="320">
        <f>C26</f>
        <v>2.6081907729015665E-2</v>
      </c>
      <c r="O36" s="302">
        <f>O35+(O35*N36)-(O29*N36)</f>
        <v>65505.454498774016</v>
      </c>
      <c r="P36" s="319" t="s">
        <v>244</v>
      </c>
      <c r="Q36" s="375">
        <f>N36</f>
        <v>2.6081907729015665E-2</v>
      </c>
      <c r="R36" s="293">
        <f>R35+(R35*Q36)-(R29*Q36)</f>
        <v>49811.448128869059</v>
      </c>
      <c r="U36" s="91"/>
      <c r="Y36" s="91"/>
    </row>
    <row r="37" spans="2:26" ht="15.75" customHeight="1" thickBot="1">
      <c r="B37" s="382"/>
      <c r="C37" s="383" t="s">
        <v>13</v>
      </c>
      <c r="D37" s="384">
        <f>D36/(52*40)</f>
        <v>0.14615384615384616</v>
      </c>
      <c r="F37" s="234" t="s">
        <v>272</v>
      </c>
      <c r="G37" s="235"/>
      <c r="H37" s="236"/>
      <c r="I37" s="385" t="s">
        <v>273</v>
      </c>
      <c r="J37" s="386"/>
      <c r="K37" s="387"/>
      <c r="M37" s="304" t="s">
        <v>304</v>
      </c>
      <c r="N37" s="289"/>
      <c r="O37" s="306">
        <f>O36/O24</f>
        <v>251.94405576451544</v>
      </c>
      <c r="P37" s="304" t="s">
        <v>307</v>
      </c>
      <c r="Q37" s="289"/>
      <c r="R37" s="306">
        <f>R36/R24-0.01</f>
        <v>23.937811600417817</v>
      </c>
      <c r="S37" s="329"/>
      <c r="U37" s="388"/>
      <c r="Y37" s="388"/>
    </row>
    <row r="38" spans="2:26">
      <c r="C38"/>
      <c r="D38"/>
      <c r="F38" s="246" t="s">
        <v>276</v>
      </c>
      <c r="G38" s="247" t="s">
        <v>277</v>
      </c>
      <c r="H38" s="247">
        <v>260</v>
      </c>
      <c r="I38" s="246" t="s">
        <v>278</v>
      </c>
      <c r="J38" s="247" t="s">
        <v>279</v>
      </c>
      <c r="K38" s="249">
        <f>H38*8</f>
        <v>2080</v>
      </c>
      <c r="M38" s="333"/>
      <c r="N38" s="334"/>
      <c r="O38" s="307"/>
      <c r="P38" s="339"/>
      <c r="Q38" s="389"/>
      <c r="R38" s="307"/>
    </row>
    <row r="39" spans="2:26" ht="15" thickBot="1">
      <c r="C39"/>
      <c r="D39"/>
      <c r="F39" s="257"/>
      <c r="G39" s="258" t="s">
        <v>7</v>
      </c>
      <c r="H39" s="258" t="s">
        <v>9</v>
      </c>
      <c r="I39" s="257"/>
      <c r="J39" s="258" t="s">
        <v>7</v>
      </c>
      <c r="K39" s="255" t="s">
        <v>9</v>
      </c>
      <c r="M39" s="339"/>
      <c r="N39" s="340"/>
      <c r="O39" s="372"/>
      <c r="P39" s="339"/>
      <c r="Q39" s="340"/>
      <c r="R39" s="390"/>
    </row>
    <row r="40" spans="2:26" ht="15" thickBot="1">
      <c r="F40" s="266" t="str">
        <f>B10</f>
        <v>Maintenance I General</v>
      </c>
      <c r="G40" s="265">
        <f>C10</f>
        <v>32198</v>
      </c>
      <c r="H40" s="265">
        <f>G40</f>
        <v>32198</v>
      </c>
      <c r="I40" s="266" t="str">
        <f>F40</f>
        <v>Maintenance I General</v>
      </c>
      <c r="J40" s="267">
        <f>C10</f>
        <v>32198</v>
      </c>
      <c r="K40" s="268">
        <f>J40</f>
        <v>32198</v>
      </c>
      <c r="M40" s="234" t="s">
        <v>302</v>
      </c>
      <c r="N40" s="235"/>
      <c r="O40" s="235"/>
      <c r="P40" s="235"/>
      <c r="Q40" s="235"/>
      <c r="R40" s="236"/>
    </row>
    <row r="41" spans="2:26" ht="15" thickBot="1">
      <c r="F41" s="273" t="s">
        <v>286</v>
      </c>
      <c r="G41" s="274">
        <f>C21</f>
        <v>0.14615384615384616</v>
      </c>
      <c r="H41" s="265">
        <f>G40*G41</f>
        <v>4705.8615384615387</v>
      </c>
      <c r="I41" s="273"/>
      <c r="J41" s="274"/>
      <c r="K41" s="268"/>
      <c r="M41" s="234" t="s">
        <v>272</v>
      </c>
      <c r="N41" s="235"/>
      <c r="O41" s="236"/>
      <c r="P41" s="234" t="s">
        <v>273</v>
      </c>
      <c r="Q41" s="235"/>
      <c r="R41" s="236"/>
    </row>
    <row r="42" spans="2:26">
      <c r="E42" s="391"/>
      <c r="F42" s="277"/>
      <c r="G42" s="278"/>
      <c r="H42" s="278"/>
      <c r="I42" s="277"/>
      <c r="J42" s="279"/>
      <c r="K42" s="280"/>
      <c r="M42" s="246" t="s">
        <v>276</v>
      </c>
      <c r="N42" s="247" t="s">
        <v>277</v>
      </c>
      <c r="O42" s="247">
        <v>260</v>
      </c>
      <c r="P42" s="246" t="s">
        <v>278</v>
      </c>
      <c r="Q42" s="247" t="s">
        <v>279</v>
      </c>
      <c r="R42" s="249">
        <f>O42*8</f>
        <v>2080</v>
      </c>
    </row>
    <row r="43" spans="2:26">
      <c r="F43" s="282" t="s">
        <v>116</v>
      </c>
      <c r="G43" s="265"/>
      <c r="H43" s="265">
        <f>SUM(H40:H42)</f>
        <v>36903.86153846154</v>
      </c>
      <c r="I43" s="282" t="s">
        <v>116</v>
      </c>
      <c r="J43" s="283"/>
      <c r="K43" s="268">
        <f>K40+K41+K42</f>
        <v>32198</v>
      </c>
      <c r="M43" s="257"/>
      <c r="N43" s="258" t="s">
        <v>7</v>
      </c>
      <c r="O43" s="258" t="s">
        <v>9</v>
      </c>
      <c r="P43" s="257"/>
      <c r="Q43" s="258" t="s">
        <v>7</v>
      </c>
      <c r="R43" s="255" t="s">
        <v>9</v>
      </c>
    </row>
    <row r="44" spans="2:26" ht="15" thickBot="1">
      <c r="D44" s="392"/>
      <c r="F44" s="273" t="s">
        <v>291</v>
      </c>
      <c r="G44" s="274">
        <f>C22</f>
        <v>0.224</v>
      </c>
      <c r="H44" s="265">
        <f>G44*H43</f>
        <v>8266.4649846153861</v>
      </c>
      <c r="I44" s="273" t="s">
        <v>291</v>
      </c>
      <c r="J44" s="275">
        <f>C22</f>
        <v>0.224</v>
      </c>
      <c r="K44" s="268">
        <f>G44*K43</f>
        <v>7212.3519999999999</v>
      </c>
      <c r="M44" s="266" t="str">
        <f>B16</f>
        <v>Transporter</v>
      </c>
      <c r="N44" s="265">
        <f>C16</f>
        <v>32198</v>
      </c>
      <c r="O44" s="265">
        <f>N44</f>
        <v>32198</v>
      </c>
      <c r="P44" s="266" t="str">
        <f>M44</f>
        <v>Transporter</v>
      </c>
      <c r="Q44" s="267">
        <f>C16</f>
        <v>32198</v>
      </c>
      <c r="R44" s="268">
        <f>Q44</f>
        <v>32198</v>
      </c>
    </row>
    <row r="45" spans="2:26" ht="15" thickBot="1">
      <c r="F45" s="287" t="s">
        <v>23</v>
      </c>
      <c r="G45" s="288"/>
      <c r="H45" s="286">
        <f>H43+H44</f>
        <v>45170.326523076925</v>
      </c>
      <c r="I45" s="287" t="s">
        <v>23</v>
      </c>
      <c r="J45" s="289"/>
      <c r="K45" s="290">
        <f>K43+K44</f>
        <v>39410.351999999999</v>
      </c>
      <c r="M45" s="266" t="s">
        <v>286</v>
      </c>
      <c r="N45" s="393">
        <f>C21</f>
        <v>0.14615384615384616</v>
      </c>
      <c r="O45" s="265">
        <f>N44*N45</f>
        <v>4705.8615384615387</v>
      </c>
      <c r="P45" s="266"/>
      <c r="Q45" s="394"/>
      <c r="R45" s="268"/>
      <c r="T45" s="395"/>
    </row>
    <row r="46" spans="2:26">
      <c r="F46" s="273" t="str">
        <f>B25</f>
        <v xml:space="preserve">PFMLA </v>
      </c>
      <c r="G46" s="274">
        <f>C25</f>
        <v>3.7000000000000002E-3</v>
      </c>
      <c r="H46" s="265">
        <f>H43*G46</f>
        <v>136.54428769230771</v>
      </c>
      <c r="I46" s="273" t="str">
        <f>B25</f>
        <v xml:space="preserve">PFMLA </v>
      </c>
      <c r="J46" s="275">
        <f>C25</f>
        <v>3.7000000000000002E-3</v>
      </c>
      <c r="K46" s="293">
        <f>J46*K43</f>
        <v>119.13260000000001</v>
      </c>
      <c r="M46" s="277"/>
      <c r="N46" s="278"/>
      <c r="O46" s="278"/>
      <c r="P46" s="277"/>
      <c r="Q46" s="279"/>
      <c r="R46" s="280"/>
    </row>
    <row r="47" spans="2:26">
      <c r="F47" s="273" t="s">
        <v>321</v>
      </c>
      <c r="G47" s="274"/>
      <c r="H47" s="265">
        <v>2100</v>
      </c>
      <c r="I47" s="273"/>
      <c r="J47" s="275"/>
      <c r="K47" s="293"/>
      <c r="M47" s="282" t="s">
        <v>116</v>
      </c>
      <c r="N47" s="265"/>
      <c r="O47" s="265">
        <f>SUM(O44:O46)</f>
        <v>36903.86153846154</v>
      </c>
      <c r="P47" s="282" t="s">
        <v>116</v>
      </c>
      <c r="Q47" s="283"/>
      <c r="R47" s="268">
        <f>R44+R46+R45</f>
        <v>32198</v>
      </c>
    </row>
    <row r="48" spans="2:26" ht="15" thickBot="1">
      <c r="F48" s="303" t="s">
        <v>297</v>
      </c>
      <c r="G48" s="291">
        <f>C23</f>
        <v>0.12</v>
      </c>
      <c r="H48" s="263">
        <f>(H45+H46)*G48</f>
        <v>5436.8244972923076</v>
      </c>
      <c r="I48" s="303" t="s">
        <v>297</v>
      </c>
      <c r="J48" s="275">
        <f>C23</f>
        <v>0.12</v>
      </c>
      <c r="K48" s="268">
        <f>(K45+K46)*J48</f>
        <v>4743.5381519999992</v>
      </c>
      <c r="M48" s="273" t="s">
        <v>291</v>
      </c>
      <c r="N48" s="274">
        <f>C22</f>
        <v>0.224</v>
      </c>
      <c r="O48" s="265">
        <f>N48*O47</f>
        <v>8266.4649846153861</v>
      </c>
      <c r="P48" s="273" t="s">
        <v>291</v>
      </c>
      <c r="Q48" s="275">
        <f>N48</f>
        <v>0.224</v>
      </c>
      <c r="R48" s="268">
        <f>R47*Q48</f>
        <v>7212.3519999999999</v>
      </c>
    </row>
    <row r="49" spans="6:20" ht="15" thickBot="1">
      <c r="F49" s="309" t="s">
        <v>300</v>
      </c>
      <c r="G49" s="310"/>
      <c r="H49" s="310">
        <f>H48+H45+H46+H47</f>
        <v>52843.695308061535</v>
      </c>
      <c r="I49" s="309" t="s">
        <v>300</v>
      </c>
      <c r="J49" s="311"/>
      <c r="K49" s="312">
        <f>K45+K48+K46+K47</f>
        <v>44273.022751999997</v>
      </c>
      <c r="M49" s="287" t="s">
        <v>23</v>
      </c>
      <c r="N49" s="288"/>
      <c r="O49" s="286">
        <f>O47+O48</f>
        <v>45170.326523076925</v>
      </c>
      <c r="P49" s="287" t="s">
        <v>23</v>
      </c>
      <c r="Q49" s="289"/>
      <c r="R49" s="290">
        <f>R47+R48</f>
        <v>39410.351999999999</v>
      </c>
    </row>
    <row r="50" spans="6:20" ht="15.6" thickTop="1" thickBot="1">
      <c r="F50" s="319" t="s">
        <v>244</v>
      </c>
      <c r="G50" s="274">
        <f>C26</f>
        <v>2.6081907729015665E-2</v>
      </c>
      <c r="H50" s="302">
        <f>H49+(H49*G50)-(H43*G50)</f>
        <v>53259.436581656089</v>
      </c>
      <c r="I50" s="319" t="s">
        <v>244</v>
      </c>
      <c r="J50" s="275">
        <f>G50</f>
        <v>2.6081907729015665E-2</v>
      </c>
      <c r="K50" s="293">
        <f>K49+(K49*J50)-(K43*J50)</f>
        <v>44587.962381243429</v>
      </c>
      <c r="L50" s="396"/>
      <c r="M50" s="273" t="str">
        <f>B25</f>
        <v xml:space="preserve">PFMLA </v>
      </c>
      <c r="N50" s="274">
        <f>C25</f>
        <v>3.7000000000000002E-3</v>
      </c>
      <c r="O50" s="265">
        <f>O47*N50</f>
        <v>136.54428769230771</v>
      </c>
      <c r="P50" s="273" t="str">
        <f>B25</f>
        <v xml:space="preserve">PFMLA </v>
      </c>
      <c r="Q50" s="275">
        <f>C25</f>
        <v>3.7000000000000002E-3</v>
      </c>
      <c r="R50" s="293">
        <f>R47*Q50</f>
        <v>119.13260000000001</v>
      </c>
    </row>
    <row r="51" spans="6:20" ht="15" thickBot="1">
      <c r="F51" s="304" t="s">
        <v>304</v>
      </c>
      <c r="G51" s="370"/>
      <c r="H51" s="397">
        <f>H50/H38</f>
        <v>204.84398685252341</v>
      </c>
      <c r="I51" s="398" t="s">
        <v>307</v>
      </c>
      <c r="J51" s="399"/>
      <c r="K51" s="371">
        <f>K50/K38</f>
        <v>21.436520375597802</v>
      </c>
      <c r="M51" s="303" t="s">
        <v>297</v>
      </c>
      <c r="N51" s="291">
        <f>C23</f>
        <v>0.12</v>
      </c>
      <c r="O51" s="263">
        <f>(O49+O50)*N51</f>
        <v>5436.8244972923076</v>
      </c>
      <c r="P51" s="303" t="s">
        <v>297</v>
      </c>
      <c r="Q51" s="275">
        <f>N51</f>
        <v>0.12</v>
      </c>
      <c r="R51" s="268">
        <f>(R49+R50)*Q51</f>
        <v>4743.5381519999992</v>
      </c>
      <c r="T51" s="323"/>
    </row>
    <row r="52" spans="6:20" ht="15" thickBot="1">
      <c r="H52" s="374"/>
      <c r="I52" s="400"/>
      <c r="J52" s="400"/>
      <c r="M52" s="309" t="s">
        <v>300</v>
      </c>
      <c r="N52" s="310"/>
      <c r="O52" s="310">
        <f>O51+O49+O50</f>
        <v>50743.695308061535</v>
      </c>
      <c r="P52" s="309" t="s">
        <v>300</v>
      </c>
      <c r="Q52" s="311"/>
      <c r="R52" s="312">
        <f>R49+R51+R50</f>
        <v>44273.022751999997</v>
      </c>
    </row>
    <row r="53" spans="6:20" ht="15.6" customHeight="1" thickTop="1" thickBot="1">
      <c r="H53" s="379"/>
      <c r="K53" s="379"/>
      <c r="M53" s="319" t="s">
        <v>244</v>
      </c>
      <c r="N53" s="320">
        <f>C26</f>
        <v>2.6081907729015665E-2</v>
      </c>
      <c r="O53" s="265">
        <f>O52+(O52*N53)-(O47*N53)</f>
        <v>51104.664575425159</v>
      </c>
      <c r="P53" s="319" t="s">
        <v>244</v>
      </c>
      <c r="Q53" s="321">
        <f>N53</f>
        <v>2.6081907729015665E-2</v>
      </c>
      <c r="R53" s="322">
        <f>R52+(R52*Q53)-(R47*Q53)</f>
        <v>44587.962381243429</v>
      </c>
    </row>
    <row r="54" spans="6:20" ht="15.75" customHeight="1" thickBot="1">
      <c r="F54" s="234" t="s">
        <v>289</v>
      </c>
      <c r="G54" s="235"/>
      <c r="H54" s="235"/>
      <c r="I54" s="235"/>
      <c r="J54" s="235"/>
      <c r="K54" s="236"/>
      <c r="M54" s="304" t="s">
        <v>304</v>
      </c>
      <c r="N54" s="289"/>
      <c r="O54" s="306">
        <f>O53/O42</f>
        <v>196.5564022131737</v>
      </c>
      <c r="P54" s="304" t="s">
        <v>307</v>
      </c>
      <c r="Q54" s="289"/>
      <c r="R54" s="306">
        <f>R53/R42</f>
        <v>21.436520375597802</v>
      </c>
    </row>
    <row r="55" spans="6:20" ht="15" thickBot="1">
      <c r="F55" s="234" t="s">
        <v>272</v>
      </c>
      <c r="G55" s="235"/>
      <c r="H55" s="236"/>
      <c r="I55" s="385" t="s">
        <v>273</v>
      </c>
      <c r="J55" s="386"/>
      <c r="K55" s="387"/>
      <c r="M55" s="339"/>
      <c r="N55" s="401"/>
      <c r="O55" s="401"/>
      <c r="P55" s="339"/>
      <c r="Q55" s="340"/>
      <c r="R55" s="372"/>
    </row>
    <row r="56" spans="6:20" ht="15" thickBot="1">
      <c r="F56" s="246" t="s">
        <v>276</v>
      </c>
      <c r="G56" s="247" t="s">
        <v>277</v>
      </c>
      <c r="H56" s="247">
        <v>260</v>
      </c>
      <c r="I56" s="246" t="s">
        <v>278</v>
      </c>
      <c r="J56" s="247" t="s">
        <v>279</v>
      </c>
      <c r="K56" s="249">
        <f>H56*8</f>
        <v>2080</v>
      </c>
      <c r="N56" s="388"/>
      <c r="O56" s="388"/>
      <c r="R56" s="388"/>
    </row>
    <row r="57" spans="6:20" ht="15" thickBot="1">
      <c r="F57" s="257"/>
      <c r="G57" s="258" t="s">
        <v>7</v>
      </c>
      <c r="H57" s="258" t="s">
        <v>9</v>
      </c>
      <c r="I57" s="257"/>
      <c r="J57" s="258" t="s">
        <v>7</v>
      </c>
      <c r="K57" s="255" t="s">
        <v>9</v>
      </c>
      <c r="M57" s="234" t="s">
        <v>303</v>
      </c>
      <c r="N57" s="235"/>
      <c r="O57" s="235"/>
      <c r="P57" s="235"/>
      <c r="Q57" s="235"/>
      <c r="R57" s="236"/>
    </row>
    <row r="58" spans="6:20" ht="15" thickBot="1">
      <c r="F58" s="266" t="str">
        <f>B11</f>
        <v>Maintenance II Skilled</v>
      </c>
      <c r="G58" s="265">
        <f>C11</f>
        <v>36890</v>
      </c>
      <c r="H58" s="265">
        <f>G58</f>
        <v>36890</v>
      </c>
      <c r="I58" s="266" t="str">
        <f>F58</f>
        <v>Maintenance II Skilled</v>
      </c>
      <c r="J58" s="267">
        <f>C11</f>
        <v>36890</v>
      </c>
      <c r="K58" s="268">
        <f>J58</f>
        <v>36890</v>
      </c>
      <c r="M58" s="234" t="s">
        <v>272</v>
      </c>
      <c r="N58" s="235"/>
      <c r="O58" s="236"/>
      <c r="P58" s="234" t="s">
        <v>273</v>
      </c>
      <c r="Q58" s="235"/>
      <c r="R58" s="236"/>
    </row>
    <row r="59" spans="6:20">
      <c r="F59" s="273" t="s">
        <v>286</v>
      </c>
      <c r="G59" s="274">
        <f>G41</f>
        <v>0.14615384615384616</v>
      </c>
      <c r="H59" s="265">
        <f>G58*G59</f>
        <v>5391.6153846153848</v>
      </c>
      <c r="I59" s="273"/>
      <c r="J59" s="275"/>
      <c r="K59" s="268"/>
      <c r="M59" s="246" t="s">
        <v>276</v>
      </c>
      <c r="N59" s="247" t="s">
        <v>277</v>
      </c>
      <c r="O59" s="247">
        <v>260</v>
      </c>
      <c r="P59" s="246" t="s">
        <v>278</v>
      </c>
      <c r="Q59" s="247" t="s">
        <v>279</v>
      </c>
      <c r="R59" s="249">
        <f>O59*8</f>
        <v>2080</v>
      </c>
    </row>
    <row r="60" spans="6:20">
      <c r="F60" s="277"/>
      <c r="G60" s="278"/>
      <c r="H60" s="278"/>
      <c r="I60" s="277"/>
      <c r="J60" s="279"/>
      <c r="K60" s="280"/>
      <c r="M60" s="257"/>
      <c r="N60" s="258" t="s">
        <v>7</v>
      </c>
      <c r="O60" s="258" t="s">
        <v>9</v>
      </c>
      <c r="P60" s="257"/>
      <c r="Q60" s="258" t="s">
        <v>7</v>
      </c>
      <c r="R60" s="255" t="s">
        <v>9</v>
      </c>
    </row>
    <row r="61" spans="6:20">
      <c r="F61" s="282" t="s">
        <v>116</v>
      </c>
      <c r="G61" s="265"/>
      <c r="H61" s="265">
        <f>SUM(H58:H60)</f>
        <v>42281.615384615383</v>
      </c>
      <c r="I61" s="282" t="s">
        <v>116</v>
      </c>
      <c r="J61" s="283"/>
      <c r="K61" s="268">
        <f>SUM(K58:K60)</f>
        <v>36890</v>
      </c>
      <c r="M61" s="266" t="str">
        <f>B17</f>
        <v>Security</v>
      </c>
      <c r="N61" s="265">
        <f>C17</f>
        <v>32198.400000000001</v>
      </c>
      <c r="O61" s="265">
        <f>N61</f>
        <v>32198.400000000001</v>
      </c>
      <c r="P61" s="266" t="str">
        <f>M61</f>
        <v>Security</v>
      </c>
      <c r="Q61" s="267">
        <f>C17</f>
        <v>32198.400000000001</v>
      </c>
      <c r="R61" s="268">
        <f>Q61</f>
        <v>32198.400000000001</v>
      </c>
    </row>
    <row r="62" spans="6:20" ht="15" thickBot="1">
      <c r="F62" s="273" t="s">
        <v>291</v>
      </c>
      <c r="G62" s="274">
        <f>C22</f>
        <v>0.224</v>
      </c>
      <c r="H62" s="402">
        <f>H61*G62</f>
        <v>9471.0818461538456</v>
      </c>
      <c r="I62" s="273" t="s">
        <v>291</v>
      </c>
      <c r="J62" s="275">
        <f>C22</f>
        <v>0.224</v>
      </c>
      <c r="K62" s="268">
        <f>G62*K61</f>
        <v>8263.36</v>
      </c>
      <c r="M62" s="266" t="s">
        <v>286</v>
      </c>
      <c r="N62" s="393">
        <f>C21</f>
        <v>0.14615384615384616</v>
      </c>
      <c r="O62" s="265">
        <f>N61*N62</f>
        <v>4705.92</v>
      </c>
      <c r="P62" s="266"/>
      <c r="Q62" s="394"/>
      <c r="R62" s="268"/>
    </row>
    <row r="63" spans="6:20" ht="15" thickBot="1">
      <c r="F63" s="287" t="s">
        <v>23</v>
      </c>
      <c r="G63" s="288"/>
      <c r="H63" s="286">
        <f>H61+H62</f>
        <v>51752.697230769227</v>
      </c>
      <c r="I63" s="287" t="s">
        <v>23</v>
      </c>
      <c r="J63" s="289"/>
      <c r="K63" s="290">
        <f>K61+K62</f>
        <v>45153.36</v>
      </c>
      <c r="M63" s="277"/>
      <c r="N63" s="278"/>
      <c r="O63" s="278"/>
      <c r="P63" s="277"/>
      <c r="Q63" s="279"/>
      <c r="R63" s="280"/>
    </row>
    <row r="64" spans="6:20">
      <c r="F64" s="273" t="str">
        <f>B25</f>
        <v xml:space="preserve">PFMLA </v>
      </c>
      <c r="G64" s="274">
        <f>C25</f>
        <v>3.7000000000000002E-3</v>
      </c>
      <c r="H64" s="265">
        <f>H61*G64</f>
        <v>156.44197692307694</v>
      </c>
      <c r="I64" s="273" t="str">
        <f>B25</f>
        <v xml:space="preserve">PFMLA </v>
      </c>
      <c r="J64" s="275">
        <f>C25</f>
        <v>3.7000000000000002E-3</v>
      </c>
      <c r="K64" s="293">
        <f>K61*J64</f>
        <v>136.49299999999999</v>
      </c>
      <c r="M64" s="282" t="s">
        <v>116</v>
      </c>
      <c r="N64" s="265"/>
      <c r="O64" s="265">
        <f>SUM(O61:O63)</f>
        <v>36904.32</v>
      </c>
      <c r="P64" s="282" t="s">
        <v>116</v>
      </c>
      <c r="Q64" s="283"/>
      <c r="R64" s="268">
        <f>R61+R63</f>
        <v>32198.400000000001</v>
      </c>
    </row>
    <row r="65" spans="6:20" ht="15" thickBot="1">
      <c r="F65" s="273" t="s">
        <v>322</v>
      </c>
      <c r="G65" s="274"/>
      <c r="H65" s="265">
        <v>8250</v>
      </c>
      <c r="I65" s="273"/>
      <c r="J65" s="275"/>
      <c r="K65" s="293"/>
      <c r="M65" s="273" t="s">
        <v>291</v>
      </c>
      <c r="N65" s="274">
        <f>C22</f>
        <v>0.224</v>
      </c>
      <c r="O65" s="265">
        <f>N65*O64</f>
        <v>8266.5676800000001</v>
      </c>
      <c r="P65" s="273" t="s">
        <v>291</v>
      </c>
      <c r="Q65" s="275">
        <f>N65</f>
        <v>0.224</v>
      </c>
      <c r="R65" s="268">
        <f>N65*R64</f>
        <v>7212.4416000000001</v>
      </c>
    </row>
    <row r="66" spans="6:20" ht="15" thickBot="1">
      <c r="F66" s="303" t="s">
        <v>297</v>
      </c>
      <c r="G66" s="291">
        <f>C23</f>
        <v>0.12</v>
      </c>
      <c r="H66" s="263">
        <f>(H63+H64)*G66</f>
        <v>6229.0967049230758</v>
      </c>
      <c r="I66" s="303" t="s">
        <v>297</v>
      </c>
      <c r="J66" s="275">
        <f>C23</f>
        <v>0.12</v>
      </c>
      <c r="K66" s="268">
        <f>(K63+K64)*J66</f>
        <v>5434.7823600000002</v>
      </c>
      <c r="M66" s="287" t="s">
        <v>23</v>
      </c>
      <c r="N66" s="288"/>
      <c r="O66" s="286">
        <f>O64+O65</f>
        <v>45170.88768</v>
      </c>
      <c r="P66" s="287" t="s">
        <v>23</v>
      </c>
      <c r="Q66" s="289"/>
      <c r="R66" s="290">
        <f>R64+R65</f>
        <v>39410.8416</v>
      </c>
    </row>
    <row r="67" spans="6:20" ht="15" thickBot="1">
      <c r="F67" s="309" t="s">
        <v>300</v>
      </c>
      <c r="G67" s="310"/>
      <c r="H67" s="310">
        <f>H66+H63+H64+H65</f>
        <v>66388.235912615375</v>
      </c>
      <c r="I67" s="309" t="s">
        <v>300</v>
      </c>
      <c r="J67" s="311"/>
      <c r="K67" s="312">
        <f>K63+K66+K64+K65</f>
        <v>50724.63536</v>
      </c>
      <c r="L67" s="403"/>
      <c r="M67" s="273" t="str">
        <f>B25</f>
        <v xml:space="preserve">PFMLA </v>
      </c>
      <c r="N67" s="274">
        <f>C25</f>
        <v>3.7000000000000002E-3</v>
      </c>
      <c r="O67" s="265">
        <f>O64*N67</f>
        <v>136.545984</v>
      </c>
      <c r="P67" s="273" t="str">
        <f>B25</f>
        <v xml:space="preserve">PFMLA </v>
      </c>
      <c r="Q67" s="275">
        <f>C25</f>
        <v>3.7000000000000002E-3</v>
      </c>
      <c r="R67" s="293">
        <f>R64*Q67</f>
        <v>119.13408000000001</v>
      </c>
    </row>
    <row r="68" spans="6:20" ht="15.6" thickTop="1" thickBot="1">
      <c r="F68" s="319" t="s">
        <v>244</v>
      </c>
      <c r="G68" s="320">
        <f>C26</f>
        <v>2.6081907729015665E-2</v>
      </c>
      <c r="H68" s="297">
        <f>H67+(H67*G68)-(H61*G68)</f>
        <v>67016.982564885053</v>
      </c>
      <c r="I68" s="319" t="s">
        <v>244</v>
      </c>
      <c r="J68" s="321">
        <f>G68</f>
        <v>2.6081907729015665E-2</v>
      </c>
      <c r="K68" s="404">
        <f>K67+(K67*J68)-(K61*J68)</f>
        <v>51085.469042924102</v>
      </c>
      <c r="M68" s="303" t="s">
        <v>297</v>
      </c>
      <c r="N68" s="291">
        <f>C23</f>
        <v>0.12</v>
      </c>
      <c r="O68" s="263">
        <f>(O66+O67)*N68</f>
        <v>5436.8920396799995</v>
      </c>
      <c r="P68" s="303" t="s">
        <v>297</v>
      </c>
      <c r="Q68" s="275">
        <f>N68</f>
        <v>0.12</v>
      </c>
      <c r="R68" s="268">
        <f>(R66+R67)*Q68</f>
        <v>4743.5970815999999</v>
      </c>
      <c r="T68" s="323"/>
    </row>
    <row r="69" spans="6:20" ht="15" thickBot="1">
      <c r="F69" s="304" t="s">
        <v>304</v>
      </c>
      <c r="G69" s="289"/>
      <c r="H69" s="306">
        <f>H68/H56</f>
        <v>257.75762524955792</v>
      </c>
      <c r="I69" s="304" t="s">
        <v>307</v>
      </c>
      <c r="J69" s="289"/>
      <c r="K69" s="306">
        <f>K68/K56</f>
        <v>24.560321655251972</v>
      </c>
      <c r="L69" s="405"/>
      <c r="M69" s="309" t="s">
        <v>300</v>
      </c>
      <c r="N69" s="310"/>
      <c r="O69" s="310">
        <f>O68+O66+O67</f>
        <v>50744.325703679999</v>
      </c>
      <c r="P69" s="309" t="s">
        <v>300</v>
      </c>
      <c r="Q69" s="311"/>
      <c r="R69" s="312">
        <f>R66+R68+R67</f>
        <v>44273.5727616</v>
      </c>
    </row>
    <row r="70" spans="6:20" ht="15" thickBot="1">
      <c r="F70" s="339"/>
      <c r="G70" s="340"/>
      <c r="H70" s="406"/>
      <c r="I70" s="341"/>
      <c r="J70" s="341"/>
      <c r="K70" s="406"/>
      <c r="M70" s="319" t="s">
        <v>244</v>
      </c>
      <c r="N70" s="320">
        <f>C26</f>
        <v>2.6081907729015665E-2</v>
      </c>
      <c r="O70" s="265">
        <f>O69+(O69*N70)-(O64*N70)</f>
        <v>51105.299455412431</v>
      </c>
      <c r="P70" s="319" t="s">
        <v>244</v>
      </c>
      <c r="Q70" s="407">
        <f>N70</f>
        <v>2.6081907729015665E-2</v>
      </c>
      <c r="R70" s="322">
        <f>R69+(R69*Q70)-(R64*Q70)</f>
        <v>44588.516303379976</v>
      </c>
    </row>
    <row r="71" spans="6:20" ht="15.75" customHeight="1" thickBot="1">
      <c r="H71" s="379"/>
      <c r="K71" s="379"/>
      <c r="M71" s="304" t="s">
        <v>304</v>
      </c>
      <c r="N71" s="289"/>
      <c r="O71" s="306">
        <f>O70/O59</f>
        <v>196.55884405927858</v>
      </c>
      <c r="P71" s="304" t="s">
        <v>307</v>
      </c>
      <c r="Q71" s="289"/>
      <c r="R71" s="306">
        <f>R70/R59</f>
        <v>21.436786684317298</v>
      </c>
      <c r="T71" s="395"/>
    </row>
    <row r="72" spans="6:20" ht="15" thickBot="1">
      <c r="F72" s="234" t="s">
        <v>292</v>
      </c>
      <c r="G72" s="235"/>
      <c r="H72" s="235"/>
      <c r="I72" s="235"/>
      <c r="J72" s="235"/>
      <c r="K72" s="236"/>
      <c r="M72" s="339"/>
      <c r="N72" s="401"/>
      <c r="O72" s="372"/>
      <c r="P72" s="339"/>
      <c r="Q72" s="340"/>
      <c r="R72" s="372"/>
    </row>
    <row r="73" spans="6:20" ht="15" thickBot="1">
      <c r="F73" s="234" t="s">
        <v>272</v>
      </c>
      <c r="G73" s="235"/>
      <c r="H73" s="236"/>
      <c r="I73" s="385" t="s">
        <v>273</v>
      </c>
      <c r="J73" s="386"/>
      <c r="K73" s="387"/>
      <c r="M73" s="55"/>
      <c r="N73" s="408"/>
      <c r="O73" s="55"/>
      <c r="P73" s="55"/>
      <c r="Q73" s="55"/>
      <c r="R73" s="408"/>
    </row>
    <row r="74" spans="6:20" ht="15" thickBot="1">
      <c r="F74" s="246" t="s">
        <v>276</v>
      </c>
      <c r="G74" s="247" t="s">
        <v>277</v>
      </c>
      <c r="H74" s="247">
        <v>260</v>
      </c>
      <c r="I74" s="246" t="s">
        <v>278</v>
      </c>
      <c r="J74" s="247" t="s">
        <v>279</v>
      </c>
      <c r="K74" s="249">
        <f>H74*8</f>
        <v>2080</v>
      </c>
      <c r="M74" s="234" t="s">
        <v>323</v>
      </c>
      <c r="N74" s="235"/>
      <c r="O74" s="235"/>
      <c r="P74" s="235"/>
      <c r="Q74" s="235"/>
      <c r="R74" s="236"/>
    </row>
    <row r="75" spans="6:20" ht="15" thickBot="1">
      <c r="F75" s="257"/>
      <c r="G75" s="258" t="s">
        <v>7</v>
      </c>
      <c r="H75" s="258" t="s">
        <v>9</v>
      </c>
      <c r="I75" s="257"/>
      <c r="J75" s="258" t="s">
        <v>7</v>
      </c>
      <c r="K75" s="255" t="s">
        <v>9</v>
      </c>
      <c r="M75" s="234" t="s">
        <v>272</v>
      </c>
      <c r="N75" s="235"/>
      <c r="O75" s="236"/>
      <c r="P75" s="234" t="s">
        <v>273</v>
      </c>
      <c r="Q75" s="235"/>
      <c r="R75" s="236"/>
    </row>
    <row r="76" spans="6:20">
      <c r="F76" s="266" t="str">
        <f>B12</f>
        <v>Maintenance III Licensed</v>
      </c>
      <c r="G76" s="265">
        <f>C12</f>
        <v>41516.800000000003</v>
      </c>
      <c r="H76" s="265">
        <f>G76</f>
        <v>41516.800000000003</v>
      </c>
      <c r="I76" s="266" t="str">
        <f>F76</f>
        <v>Maintenance III Licensed</v>
      </c>
      <c r="J76" s="267">
        <f>C12</f>
        <v>41516.800000000003</v>
      </c>
      <c r="K76" s="268">
        <f>J76</f>
        <v>41516.800000000003</v>
      </c>
      <c r="M76" s="246" t="s">
        <v>276</v>
      </c>
      <c r="N76" s="247" t="s">
        <v>277</v>
      </c>
      <c r="O76" s="247">
        <v>260</v>
      </c>
      <c r="P76" s="246" t="s">
        <v>278</v>
      </c>
      <c r="Q76" s="247" t="s">
        <v>279</v>
      </c>
      <c r="R76" s="249">
        <f>O76*8</f>
        <v>2080</v>
      </c>
    </row>
    <row r="77" spans="6:20">
      <c r="F77" s="266" t="str">
        <f>F59</f>
        <v>Relief</v>
      </c>
      <c r="G77" s="274">
        <f>G59</f>
        <v>0.14615384615384616</v>
      </c>
      <c r="H77" s="265">
        <f>G76*G77</f>
        <v>6067.8400000000011</v>
      </c>
      <c r="I77" s="266"/>
      <c r="J77" s="275"/>
      <c r="K77" s="268"/>
      <c r="M77" s="257"/>
      <c r="N77" s="258" t="s">
        <v>7</v>
      </c>
      <c r="O77" s="258" t="s">
        <v>9</v>
      </c>
      <c r="P77" s="257"/>
      <c r="Q77" s="258" t="s">
        <v>7</v>
      </c>
      <c r="R77" s="255" t="s">
        <v>9</v>
      </c>
    </row>
    <row r="78" spans="6:20">
      <c r="F78" s="277"/>
      <c r="G78" s="278"/>
      <c r="H78" s="278"/>
      <c r="I78" s="277"/>
      <c r="J78" s="279"/>
      <c r="K78" s="280"/>
      <c r="M78" s="266" t="s">
        <v>305</v>
      </c>
      <c r="N78" s="265">
        <f>C18</f>
        <v>46031</v>
      </c>
      <c r="O78" s="265">
        <f>N78</f>
        <v>46031</v>
      </c>
      <c r="P78" s="266" t="s">
        <v>305</v>
      </c>
      <c r="Q78" s="267">
        <f>C18</f>
        <v>46031</v>
      </c>
      <c r="R78" s="268">
        <f>Q78</f>
        <v>46031</v>
      </c>
    </row>
    <row r="79" spans="6:20">
      <c r="F79" s="282" t="s">
        <v>116</v>
      </c>
      <c r="G79" s="265"/>
      <c r="H79" s="265">
        <f>SUM(H76:H78)</f>
        <v>47584.640000000007</v>
      </c>
      <c r="I79" s="282" t="s">
        <v>116</v>
      </c>
      <c r="J79" s="283"/>
      <c r="K79" s="268">
        <f>SUM(K76:K78)</f>
        <v>41516.800000000003</v>
      </c>
      <c r="M79" s="266" t="str">
        <f>F77</f>
        <v>Relief</v>
      </c>
      <c r="N79" s="320">
        <f>C21</f>
        <v>0.14615384615384616</v>
      </c>
      <c r="O79" s="265">
        <f>O78*N79</f>
        <v>6727.6076923076926</v>
      </c>
      <c r="P79" s="266"/>
      <c r="Q79" s="267"/>
      <c r="R79" s="268"/>
    </row>
    <row r="80" spans="6:20" ht="15" thickBot="1">
      <c r="F80" s="273" t="s">
        <v>291</v>
      </c>
      <c r="G80" s="274">
        <f>C22</f>
        <v>0.224</v>
      </c>
      <c r="H80" s="265">
        <f>H79*G80</f>
        <v>10658.959360000003</v>
      </c>
      <c r="I80" s="273" t="s">
        <v>291</v>
      </c>
      <c r="J80" s="275">
        <f>C22</f>
        <v>0.224</v>
      </c>
      <c r="K80" s="268">
        <f>G80*K79</f>
        <v>9299.7632000000012</v>
      </c>
      <c r="M80" s="277"/>
      <c r="N80" s="278"/>
      <c r="O80" s="278"/>
      <c r="P80" s="277"/>
      <c r="Q80" s="279"/>
      <c r="R80" s="280"/>
    </row>
    <row r="81" spans="6:20" ht="15" thickBot="1">
      <c r="F81" s="287" t="s">
        <v>23</v>
      </c>
      <c r="G81" s="288"/>
      <c r="H81" s="286">
        <f>H79+H80</f>
        <v>58243.599360000007</v>
      </c>
      <c r="I81" s="287" t="s">
        <v>23</v>
      </c>
      <c r="J81" s="289"/>
      <c r="K81" s="290">
        <f>K79+K80</f>
        <v>50816.563200000004</v>
      </c>
      <c r="M81" s="282" t="s">
        <v>116</v>
      </c>
      <c r="N81" s="265"/>
      <c r="O81" s="265">
        <f>SUM(O78:O80)</f>
        <v>52758.607692307691</v>
      </c>
      <c r="P81" s="282" t="s">
        <v>116</v>
      </c>
      <c r="Q81" s="283"/>
      <c r="R81" s="268">
        <f>R78+R80</f>
        <v>46031</v>
      </c>
    </row>
    <row r="82" spans="6:20" ht="15" thickBot="1">
      <c r="F82" s="273" t="str">
        <f>B25</f>
        <v xml:space="preserve">PFMLA </v>
      </c>
      <c r="G82" s="274">
        <f>C25</f>
        <v>3.7000000000000002E-3</v>
      </c>
      <c r="H82" s="265">
        <f>H79*G82</f>
        <v>176.06316800000002</v>
      </c>
      <c r="I82" s="273" t="str">
        <f>B25</f>
        <v xml:space="preserve">PFMLA </v>
      </c>
      <c r="J82" s="275">
        <f>C25</f>
        <v>3.7000000000000002E-3</v>
      </c>
      <c r="K82" s="293">
        <f>K79*J82</f>
        <v>153.61216000000002</v>
      </c>
      <c r="M82" s="273" t="s">
        <v>291</v>
      </c>
      <c r="N82" s="274">
        <f>N65</f>
        <v>0.224</v>
      </c>
      <c r="O82" s="265">
        <f>N82*O81</f>
        <v>11817.928123076923</v>
      </c>
      <c r="P82" s="273" t="s">
        <v>291</v>
      </c>
      <c r="Q82" s="275">
        <f>N82</f>
        <v>0.224</v>
      </c>
      <c r="R82" s="268">
        <f>Q82*R81</f>
        <v>10310.944</v>
      </c>
    </row>
    <row r="83" spans="6:20" ht="15" thickBot="1">
      <c r="F83" s="273" t="s">
        <v>322</v>
      </c>
      <c r="G83" s="274"/>
      <c r="H83" s="265">
        <v>8250</v>
      </c>
      <c r="I83" s="273"/>
      <c r="J83" s="275"/>
      <c r="K83" s="293"/>
      <c r="M83" s="287" t="s">
        <v>23</v>
      </c>
      <c r="N83" s="288"/>
      <c r="O83" s="286">
        <f>O81+O82</f>
        <v>64576.535815384617</v>
      </c>
      <c r="P83" s="287" t="s">
        <v>23</v>
      </c>
      <c r="Q83" s="289"/>
      <c r="R83" s="290">
        <f>R81+R82</f>
        <v>56341.944000000003</v>
      </c>
    </row>
    <row r="84" spans="6:20">
      <c r="F84" s="303" t="s">
        <v>297</v>
      </c>
      <c r="G84" s="291">
        <f>C23</f>
        <v>0.12</v>
      </c>
      <c r="H84" s="263">
        <f>(H81+H82)*G84</f>
        <v>7010.3595033600004</v>
      </c>
      <c r="I84" s="303" t="s">
        <v>297</v>
      </c>
      <c r="J84" s="275">
        <f>C23</f>
        <v>0.12</v>
      </c>
      <c r="K84" s="268">
        <f>(K81+K82)*J84</f>
        <v>6116.4210432</v>
      </c>
      <c r="L84" s="403"/>
      <c r="M84" s="273" t="str">
        <f>B25</f>
        <v xml:space="preserve">PFMLA </v>
      </c>
      <c r="N84" s="274">
        <f>C25</f>
        <v>3.7000000000000002E-3</v>
      </c>
      <c r="O84" s="265">
        <f>O81*N84</f>
        <v>195.20684846153847</v>
      </c>
      <c r="P84" s="273" t="str">
        <f>B25</f>
        <v xml:space="preserve">PFMLA </v>
      </c>
      <c r="Q84" s="275">
        <f>C25</f>
        <v>3.7000000000000002E-3</v>
      </c>
      <c r="R84" s="293">
        <f>R81*Q84</f>
        <v>170.31470000000002</v>
      </c>
      <c r="T84" s="323"/>
    </row>
    <row r="85" spans="6:20" ht="15" thickBot="1">
      <c r="F85" s="309" t="s">
        <v>300</v>
      </c>
      <c r="G85" s="310"/>
      <c r="H85" s="310">
        <f>H84+H81+H83</f>
        <v>73503.958863360007</v>
      </c>
      <c r="I85" s="309" t="s">
        <v>300</v>
      </c>
      <c r="J85" s="311"/>
      <c r="K85" s="312">
        <f>K81+K84+K82+K83</f>
        <v>57086.596403199997</v>
      </c>
      <c r="M85" s="303" t="s">
        <v>297</v>
      </c>
      <c r="N85" s="291">
        <f>N68</f>
        <v>0.12</v>
      </c>
      <c r="O85" s="263">
        <f>(O83+O84)*N85</f>
        <v>7772.609119661538</v>
      </c>
      <c r="P85" s="303" t="s">
        <v>297</v>
      </c>
      <c r="Q85" s="275">
        <f>N85</f>
        <v>0.12</v>
      </c>
      <c r="R85" s="268">
        <f>(R83+R84)*Q85</f>
        <v>6781.4710440000008</v>
      </c>
    </row>
    <row r="86" spans="6:20" ht="15.6" thickTop="1" thickBot="1">
      <c r="F86" s="319" t="s">
        <v>244</v>
      </c>
      <c r="G86" s="320">
        <f>C26</f>
        <v>2.6081907729015665E-2</v>
      </c>
      <c r="H86" s="265">
        <f>H85+(H85*G86)-(H79*G86)</f>
        <v>74179.98414635309</v>
      </c>
      <c r="I86" s="319" t="s">
        <v>244</v>
      </c>
      <c r="J86" s="321">
        <f>G86</f>
        <v>2.6081907729015665E-2</v>
      </c>
      <c r="K86" s="322">
        <f>K85+(K85*J86)-(K79*J86)</f>
        <v>57492.686396347817</v>
      </c>
      <c r="M86" s="309" t="s">
        <v>300</v>
      </c>
      <c r="N86" s="310"/>
      <c r="O86" s="310">
        <f>O85+O83+O84</f>
        <v>72544.351783507693</v>
      </c>
      <c r="P86" s="309" t="s">
        <v>300</v>
      </c>
      <c r="Q86" s="311"/>
      <c r="R86" s="312">
        <f>R83+R85+R84</f>
        <v>63293.729744000004</v>
      </c>
    </row>
    <row r="87" spans="6:20" ht="15.6" thickTop="1" thickBot="1">
      <c r="F87" s="304" t="s">
        <v>304</v>
      </c>
      <c r="G87" s="289"/>
      <c r="H87" s="306">
        <f>H86/H74</f>
        <v>285.30763133212724</v>
      </c>
      <c r="I87" s="304" t="s">
        <v>307</v>
      </c>
      <c r="J87" s="289"/>
      <c r="K87" s="306">
        <f>K86/K74</f>
        <v>27.640714613628759</v>
      </c>
      <c r="L87" s="405"/>
      <c r="M87" s="319" t="s">
        <v>244</v>
      </c>
      <c r="N87" s="274">
        <f>C26</f>
        <v>2.6081907729015665E-2</v>
      </c>
      <c r="O87" s="409">
        <f>O86+(O86*N87)-(O81*N87)</f>
        <v>73060.401735244275</v>
      </c>
      <c r="P87" s="319" t="s">
        <v>244</v>
      </c>
      <c r="Q87" s="275">
        <f>N87</f>
        <v>2.6081907729015665E-2</v>
      </c>
      <c r="R87" s="293">
        <f>R86+(R86*Q87)-(R81*Q87)</f>
        <v>63743.974668333947</v>
      </c>
    </row>
    <row r="88" spans="6:20" ht="15" thickBot="1">
      <c r="F88" s="339"/>
      <c r="G88" s="340"/>
      <c r="H88" s="406"/>
      <c r="I88" s="339"/>
      <c r="J88" s="340"/>
      <c r="K88" s="372"/>
      <c r="M88" s="304" t="s">
        <v>304</v>
      </c>
      <c r="N88" s="289"/>
      <c r="O88" s="306">
        <f>O87/O76</f>
        <v>281.00154513555492</v>
      </c>
      <c r="P88" s="304" t="s">
        <v>307</v>
      </c>
      <c r="Q88" s="289"/>
      <c r="R88" s="306">
        <f>R87/R76-0.01</f>
        <v>30.636141667468241</v>
      </c>
      <c r="S88" s="323"/>
    </row>
    <row r="89" spans="6:20">
      <c r="H89" s="379"/>
      <c r="K89" s="379"/>
      <c r="M89" s="231"/>
      <c r="N89" s="410"/>
      <c r="O89" s="316"/>
      <c r="P89" s="231"/>
      <c r="Q89" s="316"/>
      <c r="R89" s="410"/>
    </row>
    <row r="90" spans="6:20" ht="15" thickBot="1">
      <c r="M90" s="231"/>
      <c r="N90" s="326"/>
      <c r="O90" s="411"/>
      <c r="P90" s="412"/>
      <c r="Q90" s="316"/>
      <c r="R90" s="326"/>
    </row>
    <row r="91" spans="6:20" ht="15" thickBot="1">
      <c r="F91" s="413"/>
      <c r="G91" s="413"/>
      <c r="H91" s="413"/>
      <c r="I91" s="413"/>
      <c r="J91" s="413"/>
      <c r="K91" s="413"/>
      <c r="M91" s="234" t="s">
        <v>324</v>
      </c>
      <c r="N91" s="235"/>
      <c r="O91" s="235"/>
      <c r="P91" s="235"/>
      <c r="Q91" s="235"/>
      <c r="R91" s="236"/>
    </row>
    <row r="92" spans="6:20" ht="15" thickBot="1">
      <c r="F92" s="413"/>
      <c r="G92" s="413"/>
      <c r="H92" s="413"/>
      <c r="I92" s="413"/>
      <c r="J92" s="413"/>
      <c r="K92" s="413"/>
      <c r="M92" s="234" t="s">
        <v>272</v>
      </c>
      <c r="N92" s="235"/>
      <c r="O92" s="236"/>
      <c r="P92" s="234" t="s">
        <v>273</v>
      </c>
      <c r="Q92" s="235"/>
      <c r="R92" s="236"/>
    </row>
    <row r="93" spans="6:20">
      <c r="F93" s="414"/>
      <c r="G93" s="247"/>
      <c r="H93" s="247"/>
      <c r="I93" s="414"/>
      <c r="J93" s="247"/>
      <c r="K93" s="415"/>
      <c r="M93" s="246" t="s">
        <v>276</v>
      </c>
      <c r="N93" s="247" t="s">
        <v>277</v>
      </c>
      <c r="O93" s="247">
        <v>260</v>
      </c>
      <c r="P93" s="246" t="s">
        <v>278</v>
      </c>
      <c r="Q93" s="247" t="s">
        <v>279</v>
      </c>
      <c r="R93" s="249">
        <f>O93*8</f>
        <v>2080</v>
      </c>
    </row>
    <row r="94" spans="6:20">
      <c r="F94" s="416"/>
      <c r="G94" s="345"/>
      <c r="H94" s="345"/>
      <c r="I94" s="416"/>
      <c r="J94" s="345"/>
      <c r="K94" s="345"/>
      <c r="M94" s="257"/>
      <c r="N94" s="258" t="s">
        <v>7</v>
      </c>
      <c r="O94" s="258" t="s">
        <v>9</v>
      </c>
      <c r="P94" s="257"/>
      <c r="Q94" s="258" t="s">
        <v>7</v>
      </c>
      <c r="R94" s="255" t="s">
        <v>9</v>
      </c>
    </row>
    <row r="95" spans="6:20">
      <c r="F95" s="417"/>
      <c r="G95" s="263"/>
      <c r="H95" s="263"/>
      <c r="I95" s="417"/>
      <c r="J95" s="418"/>
      <c r="K95" s="418"/>
      <c r="M95" s="266" t="s">
        <v>325</v>
      </c>
      <c r="N95" s="265">
        <f>C8</f>
        <v>32198</v>
      </c>
      <c r="O95" s="265">
        <f>N95</f>
        <v>32198</v>
      </c>
      <c r="P95" s="266" t="str">
        <f>M95</f>
        <v>Clerical Support</v>
      </c>
      <c r="Q95" s="267">
        <f>C8</f>
        <v>32198</v>
      </c>
      <c r="R95" s="268">
        <f>Q95</f>
        <v>32198</v>
      </c>
    </row>
    <row r="96" spans="6:20">
      <c r="F96" s="417"/>
      <c r="G96" s="281"/>
      <c r="H96" s="263"/>
      <c r="I96" s="417"/>
      <c r="J96" s="418"/>
      <c r="K96" s="418"/>
      <c r="M96" s="266" t="str">
        <f>F77</f>
        <v>Relief</v>
      </c>
      <c r="N96" s="320">
        <f>C21</f>
        <v>0.14615384615384616</v>
      </c>
      <c r="O96" s="265">
        <f>O95*N96</f>
        <v>4705.8615384615387</v>
      </c>
      <c r="P96" s="266"/>
      <c r="Q96" s="267"/>
      <c r="R96" s="268"/>
    </row>
    <row r="97" spans="6:20">
      <c r="F97" s="417"/>
      <c r="G97" s="263"/>
      <c r="H97" s="263"/>
      <c r="I97" s="417"/>
      <c r="J97" s="418"/>
      <c r="K97" s="418"/>
      <c r="M97" s="277"/>
      <c r="N97" s="278"/>
      <c r="O97" s="278"/>
      <c r="P97" s="277"/>
      <c r="Q97" s="279"/>
      <c r="R97" s="280"/>
    </row>
    <row r="98" spans="6:20">
      <c r="F98" s="419"/>
      <c r="G98" s="263"/>
      <c r="H98" s="263"/>
      <c r="I98" s="419"/>
      <c r="J98" s="389"/>
      <c r="K98" s="418"/>
      <c r="M98" s="282" t="s">
        <v>116</v>
      </c>
      <c r="N98" s="265"/>
      <c r="O98" s="265">
        <f>SUM(O95:O97)</f>
        <v>36903.86153846154</v>
      </c>
      <c r="P98" s="282" t="s">
        <v>116</v>
      </c>
      <c r="Q98" s="283"/>
      <c r="R98" s="268">
        <f>R95+R97</f>
        <v>32198</v>
      </c>
    </row>
    <row r="99" spans="6:20" ht="15" thickBot="1">
      <c r="F99" s="420"/>
      <c r="G99" s="281"/>
      <c r="H99" s="263"/>
      <c r="I99" s="420"/>
      <c r="J99" s="340"/>
      <c r="K99" s="418"/>
      <c r="M99" s="273" t="s">
        <v>291</v>
      </c>
      <c r="N99" s="274">
        <f>C22</f>
        <v>0.224</v>
      </c>
      <c r="O99" s="265">
        <f>N99*O98</f>
        <v>8266.4649846153861</v>
      </c>
      <c r="P99" s="273" t="s">
        <v>291</v>
      </c>
      <c r="Q99" s="275">
        <f>C22</f>
        <v>0.224</v>
      </c>
      <c r="R99" s="268">
        <f>Q99*R98</f>
        <v>7212.3519999999999</v>
      </c>
    </row>
    <row r="100" spans="6:20" ht="15" thickBot="1">
      <c r="F100" s="420"/>
      <c r="G100" s="281"/>
      <c r="H100" s="263"/>
      <c r="I100" s="420"/>
      <c r="J100" s="389"/>
      <c r="K100" s="418"/>
      <c r="L100" s="403"/>
      <c r="M100" s="287" t="s">
        <v>23</v>
      </c>
      <c r="N100" s="288"/>
      <c r="O100" s="286">
        <f>O98+O99</f>
        <v>45170.326523076925</v>
      </c>
      <c r="P100" s="287" t="s">
        <v>23</v>
      </c>
      <c r="Q100" s="289"/>
      <c r="R100" s="290">
        <f>R98+R99</f>
        <v>39410.351999999999</v>
      </c>
      <c r="T100" s="421"/>
    </row>
    <row r="101" spans="6:20" ht="13.95" customHeight="1">
      <c r="F101" s="420"/>
      <c r="G101" s="281"/>
      <c r="H101" s="263"/>
      <c r="I101" s="420"/>
      <c r="J101" s="340"/>
      <c r="K101" s="422"/>
      <c r="M101" s="273" t="str">
        <f>B25</f>
        <v xml:space="preserve">PFMLA </v>
      </c>
      <c r="N101" s="274">
        <f>C25</f>
        <v>3.7000000000000002E-3</v>
      </c>
      <c r="O101" s="265">
        <f>O98*N101</f>
        <v>136.54428769230771</v>
      </c>
      <c r="P101" s="273" t="str">
        <f>B25</f>
        <v xml:space="preserve">PFMLA </v>
      </c>
      <c r="Q101" s="275">
        <f>C25</f>
        <v>3.7000000000000002E-3</v>
      </c>
      <c r="R101" s="293">
        <f>R98*Q101</f>
        <v>119.13260000000001</v>
      </c>
    </row>
    <row r="102" spans="6:20">
      <c r="F102" s="420"/>
      <c r="G102" s="291"/>
      <c r="H102" s="263"/>
      <c r="I102" s="420"/>
      <c r="J102" s="340"/>
      <c r="K102" s="418"/>
      <c r="M102" s="273" t="s">
        <v>326</v>
      </c>
      <c r="N102" s="274"/>
      <c r="O102" s="265">
        <v>250</v>
      </c>
      <c r="P102" s="273"/>
      <c r="Q102" s="275"/>
      <c r="R102" s="293"/>
    </row>
    <row r="103" spans="6:20">
      <c r="F103" s="423"/>
      <c r="G103" s="314"/>
      <c r="H103" s="314"/>
      <c r="I103" s="423"/>
      <c r="J103" s="416"/>
      <c r="K103" s="345"/>
      <c r="M103" s="303" t="s">
        <v>297</v>
      </c>
      <c r="N103" s="291">
        <f>C23</f>
        <v>0.12</v>
      </c>
      <c r="O103" s="263">
        <f>(O100+O101)*N103</f>
        <v>5436.8244972923076</v>
      </c>
      <c r="P103" s="303" t="s">
        <v>297</v>
      </c>
      <c r="Q103" s="275">
        <f>N103</f>
        <v>0.12</v>
      </c>
      <c r="R103" s="268">
        <f>(R100+R101)*Q103</f>
        <v>4743.5381519999992</v>
      </c>
    </row>
    <row r="104" spans="6:20" ht="15" thickBot="1">
      <c r="F104" s="424"/>
      <c r="G104" s="281"/>
      <c r="H104" s="418"/>
      <c r="I104" s="425"/>
      <c r="J104" s="340"/>
      <c r="K104" s="418"/>
      <c r="M104" s="309" t="s">
        <v>300</v>
      </c>
      <c r="N104" s="310"/>
      <c r="O104" s="310">
        <f>O103+O100+O101+O102</f>
        <v>50993.695308061535</v>
      </c>
      <c r="P104" s="309" t="s">
        <v>300</v>
      </c>
      <c r="Q104" s="311"/>
      <c r="R104" s="312">
        <f>R100+R103+R101</f>
        <v>44273.022751999997</v>
      </c>
    </row>
    <row r="105" spans="6:20" ht="15.6" thickTop="1" thickBot="1">
      <c r="F105" s="339"/>
      <c r="G105" s="340"/>
      <c r="H105" s="372"/>
      <c r="I105" s="339"/>
      <c r="J105" s="340"/>
      <c r="K105" s="372"/>
      <c r="M105" s="319" t="s">
        <v>244</v>
      </c>
      <c r="N105" s="426">
        <f>C26</f>
        <v>2.6081907729015665E-2</v>
      </c>
      <c r="O105" s="427">
        <f>O104+(O104*N105)-(O98*N105)</f>
        <v>51361.18505235741</v>
      </c>
      <c r="P105" s="319" t="s">
        <v>244</v>
      </c>
      <c r="Q105" s="426">
        <f>N105</f>
        <v>2.6081907729015665E-2</v>
      </c>
      <c r="R105" s="427">
        <f>R104+(R104*Q105)-(R98*Q105)</f>
        <v>44587.962381243429</v>
      </c>
    </row>
    <row r="106" spans="6:20" ht="15" thickBot="1">
      <c r="F106" s="341"/>
      <c r="G106" s="341"/>
      <c r="H106" s="341"/>
      <c r="I106" s="341"/>
      <c r="J106" s="341"/>
      <c r="K106" s="428"/>
      <c r="M106" s="304" t="s">
        <v>304</v>
      </c>
      <c r="N106" s="370"/>
      <c r="O106" s="429">
        <f>O105/O93</f>
        <v>197.54301943214389</v>
      </c>
      <c r="P106" s="304" t="s">
        <v>307</v>
      </c>
      <c r="Q106" s="430"/>
      <c r="R106" s="429">
        <f>R105/R93</f>
        <v>21.436520375597802</v>
      </c>
    </row>
    <row r="107" spans="6:20">
      <c r="H107" s="379"/>
      <c r="K107" s="379"/>
      <c r="M107" s="333"/>
      <c r="N107" s="275"/>
      <c r="O107" s="431"/>
      <c r="P107" s="339"/>
      <c r="Q107" s="432"/>
      <c r="R107" s="431"/>
    </row>
    <row r="108" spans="6:20">
      <c r="N108" s="91"/>
    </row>
    <row r="109" spans="6:20">
      <c r="N109" s="388"/>
      <c r="R109" s="388"/>
    </row>
    <row r="110" spans="6:20">
      <c r="M110" s="333"/>
      <c r="N110" s="275"/>
      <c r="O110" s="431"/>
      <c r="P110" s="339"/>
      <c r="Q110" s="432"/>
      <c r="R110" s="431"/>
    </row>
    <row r="111" spans="6:20">
      <c r="N111" s="91"/>
    </row>
    <row r="112" spans="6:20">
      <c r="N112" s="388"/>
      <c r="R112" s="388"/>
    </row>
    <row r="117" spans="12:20">
      <c r="L117" s="396"/>
    </row>
    <row r="118" spans="12:20">
      <c r="T118" s="421"/>
    </row>
  </sheetData>
  <mergeCells count="42">
    <mergeCell ref="F92:H92"/>
    <mergeCell ref="I92:K92"/>
    <mergeCell ref="M92:O92"/>
    <mergeCell ref="P92:R92"/>
    <mergeCell ref="F73:H73"/>
    <mergeCell ref="M74:R74"/>
    <mergeCell ref="M75:O75"/>
    <mergeCell ref="P75:R75"/>
    <mergeCell ref="F91:K91"/>
    <mergeCell ref="M91:R91"/>
    <mergeCell ref="F54:K54"/>
    <mergeCell ref="F55:H55"/>
    <mergeCell ref="M57:R57"/>
    <mergeCell ref="M58:O58"/>
    <mergeCell ref="P58:R58"/>
    <mergeCell ref="F72:K72"/>
    <mergeCell ref="I32:J32"/>
    <mergeCell ref="F36:K36"/>
    <mergeCell ref="F37:H37"/>
    <mergeCell ref="M40:R40"/>
    <mergeCell ref="M41:O41"/>
    <mergeCell ref="P41:R41"/>
    <mergeCell ref="M22:R22"/>
    <mergeCell ref="M23:O23"/>
    <mergeCell ref="P23:R23"/>
    <mergeCell ref="B24:D24"/>
    <mergeCell ref="B28:C28"/>
    <mergeCell ref="B30:D30"/>
    <mergeCell ref="I16:J16"/>
    <mergeCell ref="B19:C19"/>
    <mergeCell ref="F20:H20"/>
    <mergeCell ref="T20:Y20"/>
    <mergeCell ref="F21:H21"/>
    <mergeCell ref="T21:V21"/>
    <mergeCell ref="W21:Y21"/>
    <mergeCell ref="C3:D3"/>
    <mergeCell ref="B4:D4"/>
    <mergeCell ref="F4:H4"/>
    <mergeCell ref="M4:R4"/>
    <mergeCell ref="F5:H5"/>
    <mergeCell ref="M5:O5"/>
    <mergeCell ref="P5:R5"/>
  </mergeCells>
  <pageMargins left="0.25" right="0.25" top="0.75" bottom="0.75" header="0.3" footer="0.3"/>
  <pageSetup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24"/>
  <sheetViews>
    <sheetView topLeftCell="BK3" workbookViewId="0">
      <selection activeCell="CC19" sqref="CC19"/>
    </sheetView>
  </sheetViews>
  <sheetFormatPr defaultRowHeight="13.2"/>
  <cols>
    <col min="1" max="1" width="38.44140625" style="162" customWidth="1"/>
    <col min="2" max="2" width="12.88671875" style="167" customWidth="1"/>
    <col min="3" max="67" width="7.6640625" style="162" customWidth="1"/>
    <col min="68" max="68" width="8.109375" style="162" bestFit="1" customWidth="1"/>
    <col min="69" max="82" width="7.6640625" style="162" customWidth="1"/>
    <col min="83" max="256" width="9.109375" style="162"/>
    <col min="257" max="257" width="38.44140625" style="162" customWidth="1"/>
    <col min="258" max="258" width="12.88671875" style="162" customWidth="1"/>
    <col min="259" max="323" width="7.6640625" style="162" customWidth="1"/>
    <col min="324" max="324" width="8.109375" style="162" bestFit="1" customWidth="1"/>
    <col min="325" max="338" width="7.6640625" style="162" customWidth="1"/>
    <col min="339" max="512" width="9.109375" style="162"/>
    <col min="513" max="513" width="38.44140625" style="162" customWidth="1"/>
    <col min="514" max="514" width="12.88671875" style="162" customWidth="1"/>
    <col min="515" max="579" width="7.6640625" style="162" customWidth="1"/>
    <col min="580" max="580" width="8.109375" style="162" bestFit="1" customWidth="1"/>
    <col min="581" max="594" width="7.6640625" style="162" customWidth="1"/>
    <col min="595" max="768" width="9.109375" style="162"/>
    <col min="769" max="769" width="38.44140625" style="162" customWidth="1"/>
    <col min="770" max="770" width="12.88671875" style="162" customWidth="1"/>
    <col min="771" max="835" width="7.6640625" style="162" customWidth="1"/>
    <col min="836" max="836" width="8.109375" style="162" bestFit="1" customWidth="1"/>
    <col min="837" max="850" width="7.6640625" style="162" customWidth="1"/>
    <col min="851" max="1024" width="9.109375" style="162"/>
    <col min="1025" max="1025" width="38.44140625" style="162" customWidth="1"/>
    <col min="1026" max="1026" width="12.88671875" style="162" customWidth="1"/>
    <col min="1027" max="1091" width="7.6640625" style="162" customWidth="1"/>
    <col min="1092" max="1092" width="8.109375" style="162" bestFit="1" customWidth="1"/>
    <col min="1093" max="1106" width="7.6640625" style="162" customWidth="1"/>
    <col min="1107" max="1280" width="9.109375" style="162"/>
    <col min="1281" max="1281" width="38.44140625" style="162" customWidth="1"/>
    <col min="1282" max="1282" width="12.88671875" style="162" customWidth="1"/>
    <col min="1283" max="1347" width="7.6640625" style="162" customWidth="1"/>
    <col min="1348" max="1348" width="8.109375" style="162" bestFit="1" customWidth="1"/>
    <col min="1349" max="1362" width="7.6640625" style="162" customWidth="1"/>
    <col min="1363" max="1536" width="9.109375" style="162"/>
    <col min="1537" max="1537" width="38.44140625" style="162" customWidth="1"/>
    <col min="1538" max="1538" width="12.88671875" style="162" customWidth="1"/>
    <col min="1539" max="1603" width="7.6640625" style="162" customWidth="1"/>
    <col min="1604" max="1604" width="8.109375" style="162" bestFit="1" customWidth="1"/>
    <col min="1605" max="1618" width="7.6640625" style="162" customWidth="1"/>
    <col min="1619" max="1792" width="9.109375" style="162"/>
    <col min="1793" max="1793" width="38.44140625" style="162" customWidth="1"/>
    <col min="1794" max="1794" width="12.88671875" style="162" customWidth="1"/>
    <col min="1795" max="1859" width="7.6640625" style="162" customWidth="1"/>
    <col min="1860" max="1860" width="8.109375" style="162" bestFit="1" customWidth="1"/>
    <col min="1861" max="1874" width="7.6640625" style="162" customWidth="1"/>
    <col min="1875" max="2048" width="9.109375" style="162"/>
    <col min="2049" max="2049" width="38.44140625" style="162" customWidth="1"/>
    <col min="2050" max="2050" width="12.88671875" style="162" customWidth="1"/>
    <col min="2051" max="2115" width="7.6640625" style="162" customWidth="1"/>
    <col min="2116" max="2116" width="8.109375" style="162" bestFit="1" customWidth="1"/>
    <col min="2117" max="2130" width="7.6640625" style="162" customWidth="1"/>
    <col min="2131" max="2304" width="9.109375" style="162"/>
    <col min="2305" max="2305" width="38.44140625" style="162" customWidth="1"/>
    <col min="2306" max="2306" width="12.88671875" style="162" customWidth="1"/>
    <col min="2307" max="2371" width="7.6640625" style="162" customWidth="1"/>
    <col min="2372" max="2372" width="8.109375" style="162" bestFit="1" customWidth="1"/>
    <col min="2373" max="2386" width="7.6640625" style="162" customWidth="1"/>
    <col min="2387" max="2560" width="9.109375" style="162"/>
    <col min="2561" max="2561" width="38.44140625" style="162" customWidth="1"/>
    <col min="2562" max="2562" width="12.88671875" style="162" customWidth="1"/>
    <col min="2563" max="2627" width="7.6640625" style="162" customWidth="1"/>
    <col min="2628" max="2628" width="8.109375" style="162" bestFit="1" customWidth="1"/>
    <col min="2629" max="2642" width="7.6640625" style="162" customWidth="1"/>
    <col min="2643" max="2816" width="9.109375" style="162"/>
    <col min="2817" max="2817" width="38.44140625" style="162" customWidth="1"/>
    <col min="2818" max="2818" width="12.88671875" style="162" customWidth="1"/>
    <col min="2819" max="2883" width="7.6640625" style="162" customWidth="1"/>
    <col min="2884" max="2884" width="8.109375" style="162" bestFit="1" customWidth="1"/>
    <col min="2885" max="2898" width="7.6640625" style="162" customWidth="1"/>
    <col min="2899" max="3072" width="9.109375" style="162"/>
    <col min="3073" max="3073" width="38.44140625" style="162" customWidth="1"/>
    <col min="3074" max="3074" width="12.88671875" style="162" customWidth="1"/>
    <col min="3075" max="3139" width="7.6640625" style="162" customWidth="1"/>
    <col min="3140" max="3140" width="8.109375" style="162" bestFit="1" customWidth="1"/>
    <col min="3141" max="3154" width="7.6640625" style="162" customWidth="1"/>
    <col min="3155" max="3328" width="9.109375" style="162"/>
    <col min="3329" max="3329" width="38.44140625" style="162" customWidth="1"/>
    <col min="3330" max="3330" width="12.88671875" style="162" customWidth="1"/>
    <col min="3331" max="3395" width="7.6640625" style="162" customWidth="1"/>
    <col min="3396" max="3396" width="8.109375" style="162" bestFit="1" customWidth="1"/>
    <col min="3397" max="3410" width="7.6640625" style="162" customWidth="1"/>
    <col min="3411" max="3584" width="9.109375" style="162"/>
    <col min="3585" max="3585" width="38.44140625" style="162" customWidth="1"/>
    <col min="3586" max="3586" width="12.88671875" style="162" customWidth="1"/>
    <col min="3587" max="3651" width="7.6640625" style="162" customWidth="1"/>
    <col min="3652" max="3652" width="8.109375" style="162" bestFit="1" customWidth="1"/>
    <col min="3653" max="3666" width="7.6640625" style="162" customWidth="1"/>
    <col min="3667" max="3840" width="9.109375" style="162"/>
    <col min="3841" max="3841" width="38.44140625" style="162" customWidth="1"/>
    <col min="3842" max="3842" width="12.88671875" style="162" customWidth="1"/>
    <col min="3843" max="3907" width="7.6640625" style="162" customWidth="1"/>
    <col min="3908" max="3908" width="8.109375" style="162" bestFit="1" customWidth="1"/>
    <col min="3909" max="3922" width="7.6640625" style="162" customWidth="1"/>
    <col min="3923" max="4096" width="9.109375" style="162"/>
    <col min="4097" max="4097" width="38.44140625" style="162" customWidth="1"/>
    <col min="4098" max="4098" width="12.88671875" style="162" customWidth="1"/>
    <col min="4099" max="4163" width="7.6640625" style="162" customWidth="1"/>
    <col min="4164" max="4164" width="8.109375" style="162" bestFit="1" customWidth="1"/>
    <col min="4165" max="4178" width="7.6640625" style="162" customWidth="1"/>
    <col min="4179" max="4352" width="9.109375" style="162"/>
    <col min="4353" max="4353" width="38.44140625" style="162" customWidth="1"/>
    <col min="4354" max="4354" width="12.88671875" style="162" customWidth="1"/>
    <col min="4355" max="4419" width="7.6640625" style="162" customWidth="1"/>
    <col min="4420" max="4420" width="8.109375" style="162" bestFit="1" customWidth="1"/>
    <col min="4421" max="4434" width="7.6640625" style="162" customWidth="1"/>
    <col min="4435" max="4608" width="9.109375" style="162"/>
    <col min="4609" max="4609" width="38.44140625" style="162" customWidth="1"/>
    <col min="4610" max="4610" width="12.88671875" style="162" customWidth="1"/>
    <col min="4611" max="4675" width="7.6640625" style="162" customWidth="1"/>
    <col min="4676" max="4676" width="8.109375" style="162" bestFit="1" customWidth="1"/>
    <col min="4677" max="4690" width="7.6640625" style="162" customWidth="1"/>
    <col min="4691" max="4864" width="9.109375" style="162"/>
    <col min="4865" max="4865" width="38.44140625" style="162" customWidth="1"/>
    <col min="4866" max="4866" width="12.88671875" style="162" customWidth="1"/>
    <col min="4867" max="4931" width="7.6640625" style="162" customWidth="1"/>
    <col min="4932" max="4932" width="8.109375" style="162" bestFit="1" customWidth="1"/>
    <col min="4933" max="4946" width="7.6640625" style="162" customWidth="1"/>
    <col min="4947" max="5120" width="9.109375" style="162"/>
    <col min="5121" max="5121" width="38.44140625" style="162" customWidth="1"/>
    <col min="5122" max="5122" width="12.88671875" style="162" customWidth="1"/>
    <col min="5123" max="5187" width="7.6640625" style="162" customWidth="1"/>
    <col min="5188" max="5188" width="8.109375" style="162" bestFit="1" customWidth="1"/>
    <col min="5189" max="5202" width="7.6640625" style="162" customWidth="1"/>
    <col min="5203" max="5376" width="9.109375" style="162"/>
    <col min="5377" max="5377" width="38.44140625" style="162" customWidth="1"/>
    <col min="5378" max="5378" width="12.88671875" style="162" customWidth="1"/>
    <col min="5379" max="5443" width="7.6640625" style="162" customWidth="1"/>
    <col min="5444" max="5444" width="8.109375" style="162" bestFit="1" customWidth="1"/>
    <col min="5445" max="5458" width="7.6640625" style="162" customWidth="1"/>
    <col min="5459" max="5632" width="9.109375" style="162"/>
    <col min="5633" max="5633" width="38.44140625" style="162" customWidth="1"/>
    <col min="5634" max="5634" width="12.88671875" style="162" customWidth="1"/>
    <col min="5635" max="5699" width="7.6640625" style="162" customWidth="1"/>
    <col min="5700" max="5700" width="8.109375" style="162" bestFit="1" customWidth="1"/>
    <col min="5701" max="5714" width="7.6640625" style="162" customWidth="1"/>
    <col min="5715" max="5888" width="9.109375" style="162"/>
    <col min="5889" max="5889" width="38.44140625" style="162" customWidth="1"/>
    <col min="5890" max="5890" width="12.88671875" style="162" customWidth="1"/>
    <col min="5891" max="5955" width="7.6640625" style="162" customWidth="1"/>
    <col min="5956" max="5956" width="8.109375" style="162" bestFit="1" customWidth="1"/>
    <col min="5957" max="5970" width="7.6640625" style="162" customWidth="1"/>
    <col min="5971" max="6144" width="9.109375" style="162"/>
    <col min="6145" max="6145" width="38.44140625" style="162" customWidth="1"/>
    <col min="6146" max="6146" width="12.88671875" style="162" customWidth="1"/>
    <col min="6147" max="6211" width="7.6640625" style="162" customWidth="1"/>
    <col min="6212" max="6212" width="8.109375" style="162" bestFit="1" customWidth="1"/>
    <col min="6213" max="6226" width="7.6640625" style="162" customWidth="1"/>
    <col min="6227" max="6400" width="9.109375" style="162"/>
    <col min="6401" max="6401" width="38.44140625" style="162" customWidth="1"/>
    <col min="6402" max="6402" width="12.88671875" style="162" customWidth="1"/>
    <col min="6403" max="6467" width="7.6640625" style="162" customWidth="1"/>
    <col min="6468" max="6468" width="8.109375" style="162" bestFit="1" customWidth="1"/>
    <col min="6469" max="6482" width="7.6640625" style="162" customWidth="1"/>
    <col min="6483" max="6656" width="9.109375" style="162"/>
    <col min="6657" max="6657" width="38.44140625" style="162" customWidth="1"/>
    <col min="6658" max="6658" width="12.88671875" style="162" customWidth="1"/>
    <col min="6659" max="6723" width="7.6640625" style="162" customWidth="1"/>
    <col min="6724" max="6724" width="8.109375" style="162" bestFit="1" customWidth="1"/>
    <col min="6725" max="6738" width="7.6640625" style="162" customWidth="1"/>
    <col min="6739" max="6912" width="9.109375" style="162"/>
    <col min="6913" max="6913" width="38.44140625" style="162" customWidth="1"/>
    <col min="6914" max="6914" width="12.88671875" style="162" customWidth="1"/>
    <col min="6915" max="6979" width="7.6640625" style="162" customWidth="1"/>
    <col min="6980" max="6980" width="8.109375" style="162" bestFit="1" customWidth="1"/>
    <col min="6981" max="6994" width="7.6640625" style="162" customWidth="1"/>
    <col min="6995" max="7168" width="9.109375" style="162"/>
    <col min="7169" max="7169" width="38.44140625" style="162" customWidth="1"/>
    <col min="7170" max="7170" width="12.88671875" style="162" customWidth="1"/>
    <col min="7171" max="7235" width="7.6640625" style="162" customWidth="1"/>
    <col min="7236" max="7236" width="8.109375" style="162" bestFit="1" customWidth="1"/>
    <col min="7237" max="7250" width="7.6640625" style="162" customWidth="1"/>
    <col min="7251" max="7424" width="9.109375" style="162"/>
    <col min="7425" max="7425" width="38.44140625" style="162" customWidth="1"/>
    <col min="7426" max="7426" width="12.88671875" style="162" customWidth="1"/>
    <col min="7427" max="7491" width="7.6640625" style="162" customWidth="1"/>
    <col min="7492" max="7492" width="8.109375" style="162" bestFit="1" customWidth="1"/>
    <col min="7493" max="7506" width="7.6640625" style="162" customWidth="1"/>
    <col min="7507" max="7680" width="9.109375" style="162"/>
    <col min="7681" max="7681" width="38.44140625" style="162" customWidth="1"/>
    <col min="7682" max="7682" width="12.88671875" style="162" customWidth="1"/>
    <col min="7683" max="7747" width="7.6640625" style="162" customWidth="1"/>
    <col min="7748" max="7748" width="8.109375" style="162" bestFit="1" customWidth="1"/>
    <col min="7749" max="7762" width="7.6640625" style="162" customWidth="1"/>
    <col min="7763" max="7936" width="9.109375" style="162"/>
    <col min="7937" max="7937" width="38.44140625" style="162" customWidth="1"/>
    <col min="7938" max="7938" width="12.88671875" style="162" customWidth="1"/>
    <col min="7939" max="8003" width="7.6640625" style="162" customWidth="1"/>
    <col min="8004" max="8004" width="8.109375" style="162" bestFit="1" customWidth="1"/>
    <col min="8005" max="8018" width="7.6640625" style="162" customWidth="1"/>
    <col min="8019" max="8192" width="9.109375" style="162"/>
    <col min="8193" max="8193" width="38.44140625" style="162" customWidth="1"/>
    <col min="8194" max="8194" width="12.88671875" style="162" customWidth="1"/>
    <col min="8195" max="8259" width="7.6640625" style="162" customWidth="1"/>
    <col min="8260" max="8260" width="8.109375" style="162" bestFit="1" customWidth="1"/>
    <col min="8261" max="8274" width="7.6640625" style="162" customWidth="1"/>
    <col min="8275" max="8448" width="9.109375" style="162"/>
    <col min="8449" max="8449" width="38.44140625" style="162" customWidth="1"/>
    <col min="8450" max="8450" width="12.88671875" style="162" customWidth="1"/>
    <col min="8451" max="8515" width="7.6640625" style="162" customWidth="1"/>
    <col min="8516" max="8516" width="8.109375" style="162" bestFit="1" customWidth="1"/>
    <col min="8517" max="8530" width="7.6640625" style="162" customWidth="1"/>
    <col min="8531" max="8704" width="9.109375" style="162"/>
    <col min="8705" max="8705" width="38.44140625" style="162" customWidth="1"/>
    <col min="8706" max="8706" width="12.88671875" style="162" customWidth="1"/>
    <col min="8707" max="8771" width="7.6640625" style="162" customWidth="1"/>
    <col min="8772" max="8772" width="8.109375" style="162" bestFit="1" customWidth="1"/>
    <col min="8773" max="8786" width="7.6640625" style="162" customWidth="1"/>
    <col min="8787" max="8960" width="9.109375" style="162"/>
    <col min="8961" max="8961" width="38.44140625" style="162" customWidth="1"/>
    <col min="8962" max="8962" width="12.88671875" style="162" customWidth="1"/>
    <col min="8963" max="9027" width="7.6640625" style="162" customWidth="1"/>
    <col min="9028" max="9028" width="8.109375" style="162" bestFit="1" customWidth="1"/>
    <col min="9029" max="9042" width="7.6640625" style="162" customWidth="1"/>
    <col min="9043" max="9216" width="9.109375" style="162"/>
    <col min="9217" max="9217" width="38.44140625" style="162" customWidth="1"/>
    <col min="9218" max="9218" width="12.88671875" style="162" customWidth="1"/>
    <col min="9219" max="9283" width="7.6640625" style="162" customWidth="1"/>
    <col min="9284" max="9284" width="8.109375" style="162" bestFit="1" customWidth="1"/>
    <col min="9285" max="9298" width="7.6640625" style="162" customWidth="1"/>
    <col min="9299" max="9472" width="9.109375" style="162"/>
    <col min="9473" max="9473" width="38.44140625" style="162" customWidth="1"/>
    <col min="9474" max="9474" width="12.88671875" style="162" customWidth="1"/>
    <col min="9475" max="9539" width="7.6640625" style="162" customWidth="1"/>
    <col min="9540" max="9540" width="8.109375" style="162" bestFit="1" customWidth="1"/>
    <col min="9541" max="9554" width="7.6640625" style="162" customWidth="1"/>
    <col min="9555" max="9728" width="9.109375" style="162"/>
    <col min="9729" max="9729" width="38.44140625" style="162" customWidth="1"/>
    <col min="9730" max="9730" width="12.88671875" style="162" customWidth="1"/>
    <col min="9731" max="9795" width="7.6640625" style="162" customWidth="1"/>
    <col min="9796" max="9796" width="8.109375" style="162" bestFit="1" customWidth="1"/>
    <col min="9797" max="9810" width="7.6640625" style="162" customWidth="1"/>
    <col min="9811" max="9984" width="9.109375" style="162"/>
    <col min="9985" max="9985" width="38.44140625" style="162" customWidth="1"/>
    <col min="9986" max="9986" width="12.88671875" style="162" customWidth="1"/>
    <col min="9987" max="10051" width="7.6640625" style="162" customWidth="1"/>
    <col min="10052" max="10052" width="8.109375" style="162" bestFit="1" customWidth="1"/>
    <col min="10053" max="10066" width="7.6640625" style="162" customWidth="1"/>
    <col min="10067" max="10240" width="9.109375" style="162"/>
    <col min="10241" max="10241" width="38.44140625" style="162" customWidth="1"/>
    <col min="10242" max="10242" width="12.88671875" style="162" customWidth="1"/>
    <col min="10243" max="10307" width="7.6640625" style="162" customWidth="1"/>
    <col min="10308" max="10308" width="8.109375" style="162" bestFit="1" customWidth="1"/>
    <col min="10309" max="10322" width="7.6640625" style="162" customWidth="1"/>
    <col min="10323" max="10496" width="9.109375" style="162"/>
    <col min="10497" max="10497" width="38.44140625" style="162" customWidth="1"/>
    <col min="10498" max="10498" width="12.88671875" style="162" customWidth="1"/>
    <col min="10499" max="10563" width="7.6640625" style="162" customWidth="1"/>
    <col min="10564" max="10564" width="8.109375" style="162" bestFit="1" customWidth="1"/>
    <col min="10565" max="10578" width="7.6640625" style="162" customWidth="1"/>
    <col min="10579" max="10752" width="9.109375" style="162"/>
    <col min="10753" max="10753" width="38.44140625" style="162" customWidth="1"/>
    <col min="10754" max="10754" width="12.88671875" style="162" customWidth="1"/>
    <col min="10755" max="10819" width="7.6640625" style="162" customWidth="1"/>
    <col min="10820" max="10820" width="8.109375" style="162" bestFit="1" customWidth="1"/>
    <col min="10821" max="10834" width="7.6640625" style="162" customWidth="1"/>
    <col min="10835" max="11008" width="9.109375" style="162"/>
    <col min="11009" max="11009" width="38.44140625" style="162" customWidth="1"/>
    <col min="11010" max="11010" width="12.88671875" style="162" customWidth="1"/>
    <col min="11011" max="11075" width="7.6640625" style="162" customWidth="1"/>
    <col min="11076" max="11076" width="8.109375" style="162" bestFit="1" customWidth="1"/>
    <col min="11077" max="11090" width="7.6640625" style="162" customWidth="1"/>
    <col min="11091" max="11264" width="9.109375" style="162"/>
    <col min="11265" max="11265" width="38.44140625" style="162" customWidth="1"/>
    <col min="11266" max="11266" width="12.88671875" style="162" customWidth="1"/>
    <col min="11267" max="11331" width="7.6640625" style="162" customWidth="1"/>
    <col min="11332" max="11332" width="8.109375" style="162" bestFit="1" customWidth="1"/>
    <col min="11333" max="11346" width="7.6640625" style="162" customWidth="1"/>
    <col min="11347" max="11520" width="9.109375" style="162"/>
    <col min="11521" max="11521" width="38.44140625" style="162" customWidth="1"/>
    <col min="11522" max="11522" width="12.88671875" style="162" customWidth="1"/>
    <col min="11523" max="11587" width="7.6640625" style="162" customWidth="1"/>
    <col min="11588" max="11588" width="8.109375" style="162" bestFit="1" customWidth="1"/>
    <col min="11589" max="11602" width="7.6640625" style="162" customWidth="1"/>
    <col min="11603" max="11776" width="9.109375" style="162"/>
    <col min="11777" max="11777" width="38.44140625" style="162" customWidth="1"/>
    <col min="11778" max="11778" width="12.88671875" style="162" customWidth="1"/>
    <col min="11779" max="11843" width="7.6640625" style="162" customWidth="1"/>
    <col min="11844" max="11844" width="8.109375" style="162" bestFit="1" customWidth="1"/>
    <col min="11845" max="11858" width="7.6640625" style="162" customWidth="1"/>
    <col min="11859" max="12032" width="9.109375" style="162"/>
    <col min="12033" max="12033" width="38.44140625" style="162" customWidth="1"/>
    <col min="12034" max="12034" width="12.88671875" style="162" customWidth="1"/>
    <col min="12035" max="12099" width="7.6640625" style="162" customWidth="1"/>
    <col min="12100" max="12100" width="8.109375" style="162" bestFit="1" customWidth="1"/>
    <col min="12101" max="12114" width="7.6640625" style="162" customWidth="1"/>
    <col min="12115" max="12288" width="9.109375" style="162"/>
    <col min="12289" max="12289" width="38.44140625" style="162" customWidth="1"/>
    <col min="12290" max="12290" width="12.88671875" style="162" customWidth="1"/>
    <col min="12291" max="12355" width="7.6640625" style="162" customWidth="1"/>
    <col min="12356" max="12356" width="8.109375" style="162" bestFit="1" customWidth="1"/>
    <col min="12357" max="12370" width="7.6640625" style="162" customWidth="1"/>
    <col min="12371" max="12544" width="9.109375" style="162"/>
    <col min="12545" max="12545" width="38.44140625" style="162" customWidth="1"/>
    <col min="12546" max="12546" width="12.88671875" style="162" customWidth="1"/>
    <col min="12547" max="12611" width="7.6640625" style="162" customWidth="1"/>
    <col min="12612" max="12612" width="8.109375" style="162" bestFit="1" customWidth="1"/>
    <col min="12613" max="12626" width="7.6640625" style="162" customWidth="1"/>
    <col min="12627" max="12800" width="9.109375" style="162"/>
    <col min="12801" max="12801" width="38.44140625" style="162" customWidth="1"/>
    <col min="12802" max="12802" width="12.88671875" style="162" customWidth="1"/>
    <col min="12803" max="12867" width="7.6640625" style="162" customWidth="1"/>
    <col min="12868" max="12868" width="8.109375" style="162" bestFit="1" customWidth="1"/>
    <col min="12869" max="12882" width="7.6640625" style="162" customWidth="1"/>
    <col min="12883" max="13056" width="9.109375" style="162"/>
    <col min="13057" max="13057" width="38.44140625" style="162" customWidth="1"/>
    <col min="13058" max="13058" width="12.88671875" style="162" customWidth="1"/>
    <col min="13059" max="13123" width="7.6640625" style="162" customWidth="1"/>
    <col min="13124" max="13124" width="8.109375" style="162" bestFit="1" customWidth="1"/>
    <col min="13125" max="13138" width="7.6640625" style="162" customWidth="1"/>
    <col min="13139" max="13312" width="9.109375" style="162"/>
    <col min="13313" max="13313" width="38.44140625" style="162" customWidth="1"/>
    <col min="13314" max="13314" width="12.88671875" style="162" customWidth="1"/>
    <col min="13315" max="13379" width="7.6640625" style="162" customWidth="1"/>
    <col min="13380" max="13380" width="8.109375" style="162" bestFit="1" customWidth="1"/>
    <col min="13381" max="13394" width="7.6640625" style="162" customWidth="1"/>
    <col min="13395" max="13568" width="9.109375" style="162"/>
    <col min="13569" max="13569" width="38.44140625" style="162" customWidth="1"/>
    <col min="13570" max="13570" width="12.88671875" style="162" customWidth="1"/>
    <col min="13571" max="13635" width="7.6640625" style="162" customWidth="1"/>
    <col min="13636" max="13636" width="8.109375" style="162" bestFit="1" customWidth="1"/>
    <col min="13637" max="13650" width="7.6640625" style="162" customWidth="1"/>
    <col min="13651" max="13824" width="9.109375" style="162"/>
    <col min="13825" max="13825" width="38.44140625" style="162" customWidth="1"/>
    <col min="13826" max="13826" width="12.88671875" style="162" customWidth="1"/>
    <col min="13827" max="13891" width="7.6640625" style="162" customWidth="1"/>
    <col min="13892" max="13892" width="8.109375" style="162" bestFit="1" customWidth="1"/>
    <col min="13893" max="13906" width="7.6640625" style="162" customWidth="1"/>
    <col min="13907" max="14080" width="9.109375" style="162"/>
    <col min="14081" max="14081" width="38.44140625" style="162" customWidth="1"/>
    <col min="14082" max="14082" width="12.88671875" style="162" customWidth="1"/>
    <col min="14083" max="14147" width="7.6640625" style="162" customWidth="1"/>
    <col min="14148" max="14148" width="8.109375" style="162" bestFit="1" customWidth="1"/>
    <col min="14149" max="14162" width="7.6640625" style="162" customWidth="1"/>
    <col min="14163" max="14336" width="9.109375" style="162"/>
    <col min="14337" max="14337" width="38.44140625" style="162" customWidth="1"/>
    <col min="14338" max="14338" width="12.88671875" style="162" customWidth="1"/>
    <col min="14339" max="14403" width="7.6640625" style="162" customWidth="1"/>
    <col min="14404" max="14404" width="8.109375" style="162" bestFit="1" customWidth="1"/>
    <col min="14405" max="14418" width="7.6640625" style="162" customWidth="1"/>
    <col min="14419" max="14592" width="9.109375" style="162"/>
    <col min="14593" max="14593" width="38.44140625" style="162" customWidth="1"/>
    <col min="14594" max="14594" width="12.88671875" style="162" customWidth="1"/>
    <col min="14595" max="14659" width="7.6640625" style="162" customWidth="1"/>
    <col min="14660" max="14660" width="8.109375" style="162" bestFit="1" customWidth="1"/>
    <col min="14661" max="14674" width="7.6640625" style="162" customWidth="1"/>
    <col min="14675" max="14848" width="9.109375" style="162"/>
    <col min="14849" max="14849" width="38.44140625" style="162" customWidth="1"/>
    <col min="14850" max="14850" width="12.88671875" style="162" customWidth="1"/>
    <col min="14851" max="14915" width="7.6640625" style="162" customWidth="1"/>
    <col min="14916" max="14916" width="8.109375" style="162" bestFit="1" customWidth="1"/>
    <col min="14917" max="14930" width="7.6640625" style="162" customWidth="1"/>
    <col min="14931" max="15104" width="9.109375" style="162"/>
    <col min="15105" max="15105" width="38.44140625" style="162" customWidth="1"/>
    <col min="15106" max="15106" width="12.88671875" style="162" customWidth="1"/>
    <col min="15107" max="15171" width="7.6640625" style="162" customWidth="1"/>
    <col min="15172" max="15172" width="8.109375" style="162" bestFit="1" customWidth="1"/>
    <col min="15173" max="15186" width="7.6640625" style="162" customWidth="1"/>
    <col min="15187" max="15360" width="9.109375" style="162"/>
    <col min="15361" max="15361" width="38.44140625" style="162" customWidth="1"/>
    <col min="15362" max="15362" width="12.88671875" style="162" customWidth="1"/>
    <col min="15363" max="15427" width="7.6640625" style="162" customWidth="1"/>
    <col min="15428" max="15428" width="8.109375" style="162" bestFit="1" customWidth="1"/>
    <col min="15429" max="15442" width="7.6640625" style="162" customWidth="1"/>
    <col min="15443" max="15616" width="9.109375" style="162"/>
    <col min="15617" max="15617" width="38.44140625" style="162" customWidth="1"/>
    <col min="15618" max="15618" width="12.88671875" style="162" customWidth="1"/>
    <col min="15619" max="15683" width="7.6640625" style="162" customWidth="1"/>
    <col min="15684" max="15684" width="8.109375" style="162" bestFit="1" customWidth="1"/>
    <col min="15685" max="15698" width="7.6640625" style="162" customWidth="1"/>
    <col min="15699" max="15872" width="9.109375" style="162"/>
    <col min="15873" max="15873" width="38.44140625" style="162" customWidth="1"/>
    <col min="15874" max="15874" width="12.88671875" style="162" customWidth="1"/>
    <col min="15875" max="15939" width="7.6640625" style="162" customWidth="1"/>
    <col min="15940" max="15940" width="8.109375" style="162" bestFit="1" customWidth="1"/>
    <col min="15941" max="15954" width="7.6640625" style="162" customWidth="1"/>
    <col min="15955" max="16128" width="9.109375" style="162"/>
    <col min="16129" max="16129" width="38.44140625" style="162" customWidth="1"/>
    <col min="16130" max="16130" width="12.88671875" style="162" customWidth="1"/>
    <col min="16131" max="16195" width="7.6640625" style="162" customWidth="1"/>
    <col min="16196" max="16196" width="8.109375" style="162" bestFit="1" customWidth="1"/>
    <col min="16197" max="16210" width="7.6640625" style="162" customWidth="1"/>
    <col min="16211" max="16384" width="9.109375" style="162"/>
  </cols>
  <sheetData>
    <row r="1" spans="1:87" ht="17.399999999999999">
      <c r="A1" s="160" t="s">
        <v>144</v>
      </c>
      <c r="B1" s="161"/>
    </row>
    <row r="2" spans="1:87" ht="15.6">
      <c r="A2" s="163" t="s">
        <v>246</v>
      </c>
      <c r="B2" s="164"/>
    </row>
    <row r="3" spans="1:87" ht="14.4" thickBot="1">
      <c r="A3" s="165" t="s">
        <v>145</v>
      </c>
      <c r="B3" s="166"/>
    </row>
    <row r="6" spans="1:87">
      <c r="BM6" s="168" t="s">
        <v>247</v>
      </c>
      <c r="BN6" s="168" t="s">
        <v>247</v>
      </c>
      <c r="BO6" s="168" t="s">
        <v>247</v>
      </c>
      <c r="BP6" s="168" t="s">
        <v>247</v>
      </c>
      <c r="BQ6" s="169" t="s">
        <v>248</v>
      </c>
      <c r="BR6" s="169" t="s">
        <v>248</v>
      </c>
      <c r="BS6" s="169" t="s">
        <v>248</v>
      </c>
      <c r="BT6" s="169" t="s">
        <v>248</v>
      </c>
      <c r="BU6" s="170" t="s">
        <v>249</v>
      </c>
      <c r="BV6" s="170" t="s">
        <v>249</v>
      </c>
      <c r="BW6" s="170" t="s">
        <v>249</v>
      </c>
      <c r="BX6" s="170" t="s">
        <v>249</v>
      </c>
      <c r="BY6" s="171" t="s">
        <v>250</v>
      </c>
      <c r="BZ6" s="171" t="s">
        <v>250</v>
      </c>
      <c r="CA6" s="171" t="s">
        <v>250</v>
      </c>
      <c r="CB6" s="171" t="s">
        <v>250</v>
      </c>
    </row>
    <row r="7" spans="1:87" s="167" customFormat="1">
      <c r="B7" s="167" t="s">
        <v>146</v>
      </c>
      <c r="C7" s="172" t="s">
        <v>147</v>
      </c>
      <c r="D7" s="172" t="s">
        <v>148</v>
      </c>
      <c r="E7" s="172" t="s">
        <v>149</v>
      </c>
      <c r="F7" s="172" t="s">
        <v>150</v>
      </c>
      <c r="G7" s="172" t="s">
        <v>151</v>
      </c>
      <c r="H7" s="172" t="s">
        <v>152</v>
      </c>
      <c r="I7" s="172" t="s">
        <v>153</v>
      </c>
      <c r="J7" s="172" t="s">
        <v>154</v>
      </c>
      <c r="K7" s="172" t="s">
        <v>155</v>
      </c>
      <c r="L7" s="172" t="s">
        <v>156</v>
      </c>
      <c r="M7" s="172" t="s">
        <v>157</v>
      </c>
      <c r="N7" s="172" t="s">
        <v>158</v>
      </c>
      <c r="O7" s="172" t="s">
        <v>159</v>
      </c>
      <c r="P7" s="172" t="s">
        <v>160</v>
      </c>
      <c r="Q7" s="172" t="s">
        <v>161</v>
      </c>
      <c r="R7" s="172" t="s">
        <v>162</v>
      </c>
      <c r="S7" s="172" t="s">
        <v>163</v>
      </c>
      <c r="T7" s="172" t="s">
        <v>164</v>
      </c>
      <c r="U7" s="172" t="s">
        <v>165</v>
      </c>
      <c r="V7" s="172" t="s">
        <v>166</v>
      </c>
      <c r="W7" s="172" t="s">
        <v>167</v>
      </c>
      <c r="X7" s="172" t="s">
        <v>168</v>
      </c>
      <c r="Y7" s="172" t="s">
        <v>169</v>
      </c>
      <c r="Z7" s="172" t="s">
        <v>170</v>
      </c>
      <c r="AA7" s="172" t="s">
        <v>171</v>
      </c>
      <c r="AB7" s="172" t="s">
        <v>172</v>
      </c>
      <c r="AC7" s="172" t="s">
        <v>173</v>
      </c>
      <c r="AD7" s="172" t="s">
        <v>174</v>
      </c>
      <c r="AE7" s="172" t="s">
        <v>175</v>
      </c>
      <c r="AF7" s="172" t="s">
        <v>176</v>
      </c>
      <c r="AG7" s="172" t="s">
        <v>177</v>
      </c>
      <c r="AH7" s="172" t="s">
        <v>178</v>
      </c>
      <c r="AI7" s="172" t="s">
        <v>179</v>
      </c>
      <c r="AJ7" s="172" t="s">
        <v>180</v>
      </c>
      <c r="AK7" s="172" t="s">
        <v>181</v>
      </c>
      <c r="AL7" s="172" t="s">
        <v>182</v>
      </c>
      <c r="AM7" s="172" t="s">
        <v>183</v>
      </c>
      <c r="AN7" s="172" t="s">
        <v>184</v>
      </c>
      <c r="AO7" s="172" t="s">
        <v>185</v>
      </c>
      <c r="AP7" s="172" t="s">
        <v>186</v>
      </c>
      <c r="AQ7" s="172" t="s">
        <v>187</v>
      </c>
      <c r="AR7" s="172" t="s">
        <v>188</v>
      </c>
      <c r="AS7" s="172" t="s">
        <v>189</v>
      </c>
      <c r="AT7" s="172" t="s">
        <v>190</v>
      </c>
      <c r="AU7" s="167" t="s">
        <v>191</v>
      </c>
      <c r="AV7" s="167" t="s">
        <v>192</v>
      </c>
      <c r="AW7" s="167" t="s">
        <v>193</v>
      </c>
      <c r="AX7" s="167" t="s">
        <v>194</v>
      </c>
      <c r="AY7" s="167" t="s">
        <v>195</v>
      </c>
      <c r="AZ7" s="167" t="s">
        <v>196</v>
      </c>
      <c r="BA7" s="167" t="s">
        <v>197</v>
      </c>
      <c r="BB7" s="167" t="s">
        <v>198</v>
      </c>
      <c r="BC7" s="167" t="s">
        <v>199</v>
      </c>
      <c r="BD7" s="167" t="s">
        <v>200</v>
      </c>
      <c r="BE7" s="167" t="s">
        <v>201</v>
      </c>
      <c r="BF7" s="167" t="s">
        <v>202</v>
      </c>
      <c r="BG7" s="167" t="s">
        <v>203</v>
      </c>
      <c r="BH7" s="167" t="s">
        <v>204</v>
      </c>
      <c r="BI7" s="167" t="s">
        <v>205</v>
      </c>
      <c r="BJ7" s="167" t="s">
        <v>206</v>
      </c>
      <c r="BK7" s="167" t="s">
        <v>207</v>
      </c>
      <c r="BL7" s="167" t="s">
        <v>208</v>
      </c>
      <c r="BM7" s="167" t="s">
        <v>209</v>
      </c>
      <c r="BN7" s="167" t="s">
        <v>210</v>
      </c>
      <c r="BO7" s="167" t="s">
        <v>211</v>
      </c>
      <c r="BP7" s="167" t="s">
        <v>212</v>
      </c>
      <c r="BQ7" s="167" t="s">
        <v>213</v>
      </c>
      <c r="BR7" s="167" t="s">
        <v>214</v>
      </c>
      <c r="BS7" s="167" t="s">
        <v>215</v>
      </c>
      <c r="BT7" s="167" t="s">
        <v>216</v>
      </c>
      <c r="BU7" s="167" t="s">
        <v>217</v>
      </c>
      <c r="BV7" s="167" t="s">
        <v>218</v>
      </c>
      <c r="BW7" s="167" t="s">
        <v>219</v>
      </c>
      <c r="BX7" s="167" t="s">
        <v>220</v>
      </c>
      <c r="BY7" s="167" t="s">
        <v>221</v>
      </c>
      <c r="BZ7" s="167" t="s">
        <v>222</v>
      </c>
      <c r="CA7" s="167" t="s">
        <v>223</v>
      </c>
      <c r="CB7" s="167" t="s">
        <v>224</v>
      </c>
      <c r="CC7" s="167" t="s">
        <v>225</v>
      </c>
      <c r="CD7" s="167" t="s">
        <v>226</v>
      </c>
      <c r="CE7" s="167" t="s">
        <v>227</v>
      </c>
      <c r="CF7" s="167" t="s">
        <v>228</v>
      </c>
      <c r="CG7" s="167" t="s">
        <v>229</v>
      </c>
      <c r="CH7" s="167" t="s">
        <v>230</v>
      </c>
      <c r="CI7" s="167" t="s">
        <v>231</v>
      </c>
    </row>
    <row r="8" spans="1:87">
      <c r="A8" s="167" t="s">
        <v>232</v>
      </c>
      <c r="B8" s="167" t="s">
        <v>233</v>
      </c>
      <c r="C8" s="173">
        <v>2.0346113979326601</v>
      </c>
      <c r="D8" s="173">
        <v>2.0596527307169299</v>
      </c>
      <c r="E8" s="173">
        <v>2.0647060376300099</v>
      </c>
      <c r="F8" s="173">
        <v>2.0867602850429501</v>
      </c>
      <c r="G8" s="173">
        <v>2.10441482217594</v>
      </c>
      <c r="H8" s="173">
        <v>2.11471520481305</v>
      </c>
      <c r="I8" s="173">
        <v>2.1510993421160198</v>
      </c>
      <c r="J8" s="173">
        <v>2.1700303498167899</v>
      </c>
      <c r="K8" s="173">
        <v>2.1872092285050102</v>
      </c>
      <c r="L8" s="173">
        <v>2.2125396597183</v>
      </c>
      <c r="M8" s="173">
        <v>2.2351373991849601</v>
      </c>
      <c r="N8" s="173">
        <v>2.22048181639967</v>
      </c>
      <c r="O8" s="173">
        <v>2.2320116322918802</v>
      </c>
      <c r="P8" s="173">
        <v>2.25830972721704</v>
      </c>
      <c r="Q8" s="173">
        <v>2.27564533893606</v>
      </c>
      <c r="R8" s="173">
        <v>2.3021267451182101</v>
      </c>
      <c r="S8" s="173">
        <v>2.3193678221698799</v>
      </c>
      <c r="T8" s="173">
        <v>2.3630887401329401</v>
      </c>
      <c r="U8" s="173">
        <v>2.4040183268764199</v>
      </c>
      <c r="V8" s="173">
        <v>2.3508869392328702</v>
      </c>
      <c r="W8" s="173">
        <v>2.3397875662991998</v>
      </c>
      <c r="X8" s="173">
        <v>2.3463321773464698</v>
      </c>
      <c r="Y8" s="173">
        <v>2.3660208299322401</v>
      </c>
      <c r="Z8" s="173">
        <v>2.38072555635337</v>
      </c>
      <c r="AA8" s="173">
        <v>2.3786814788333301</v>
      </c>
      <c r="AB8" s="173">
        <v>2.3833628185945601</v>
      </c>
      <c r="AC8" s="173">
        <v>2.39782738150081</v>
      </c>
      <c r="AD8" s="173">
        <v>2.4216832770124701</v>
      </c>
      <c r="AE8" s="173">
        <v>2.4317461490191898</v>
      </c>
      <c r="AF8" s="173">
        <v>2.4769476627146898</v>
      </c>
      <c r="AG8" s="173">
        <v>2.4884783993884501</v>
      </c>
      <c r="AH8" s="173">
        <v>2.4969456869742301</v>
      </c>
      <c r="AI8" s="173">
        <v>2.5131764836174102</v>
      </c>
      <c r="AJ8" s="173">
        <v>2.5194129138440999</v>
      </c>
      <c r="AK8" s="173">
        <v>2.5296022010905101</v>
      </c>
      <c r="AL8" s="173">
        <v>2.55014674095177</v>
      </c>
      <c r="AM8" s="173">
        <v>2.55727771276656</v>
      </c>
      <c r="AN8" s="173">
        <v>2.5546180799215898</v>
      </c>
      <c r="AO8" s="173">
        <v>2.5737223597019399</v>
      </c>
      <c r="AP8" s="173">
        <v>2.5882577711185202</v>
      </c>
      <c r="AQ8" s="173">
        <v>2.59690193466492</v>
      </c>
      <c r="AR8" s="173">
        <v>2.60782686879682</v>
      </c>
      <c r="AS8" s="173">
        <v>2.6142506250731801</v>
      </c>
      <c r="AT8" s="173">
        <v>2.61661513719574</v>
      </c>
      <c r="AU8" s="173">
        <v>2.61186751422043</v>
      </c>
      <c r="AV8" s="173">
        <v>2.6225716857565202</v>
      </c>
      <c r="AW8" s="173">
        <v>2.61918012339319</v>
      </c>
      <c r="AX8" s="173">
        <v>2.62606071140064</v>
      </c>
      <c r="AY8" s="173">
        <v>2.6197019660963399</v>
      </c>
      <c r="AZ8" s="173">
        <v>2.6412980148257699</v>
      </c>
      <c r="BA8" s="173">
        <v>2.6622434334046901</v>
      </c>
      <c r="BB8" s="173">
        <v>2.67697032006182</v>
      </c>
      <c r="BC8" s="173">
        <v>2.69098591634374</v>
      </c>
      <c r="BD8" s="173">
        <v>2.6945884256758399</v>
      </c>
      <c r="BE8" s="173">
        <v>2.7069727936502899</v>
      </c>
      <c r="BF8" s="173">
        <v>2.72016803750495</v>
      </c>
      <c r="BG8" s="173">
        <v>2.7569818623248801</v>
      </c>
      <c r="BH8" s="173">
        <v>2.7703481242308801</v>
      </c>
      <c r="BI8" s="173">
        <v>2.7761821562378302</v>
      </c>
      <c r="BJ8" s="173">
        <v>2.7882443573554299</v>
      </c>
      <c r="BK8" s="173">
        <v>2.8008154324344998</v>
      </c>
      <c r="BL8" s="173">
        <v>2.8122629827835901</v>
      </c>
      <c r="BM8" s="173">
        <v>2.82670971159797</v>
      </c>
      <c r="BN8" s="173">
        <v>2.8407624221418502</v>
      </c>
      <c r="BO8" s="173">
        <v>2.8524451414889902</v>
      </c>
      <c r="BP8" s="173">
        <v>2.8068865147183502</v>
      </c>
      <c r="BQ8" s="173">
        <v>2.8339048270665099</v>
      </c>
      <c r="BR8" s="173">
        <v>2.8566125197244001</v>
      </c>
      <c r="BS8" s="173">
        <v>2.8745779629897301</v>
      </c>
      <c r="BT8" s="173">
        <v>2.8911172906433</v>
      </c>
      <c r="BU8" s="173">
        <v>2.9074342618909101</v>
      </c>
      <c r="BV8" s="173">
        <v>2.92404361040869</v>
      </c>
      <c r="BW8" s="173">
        <v>2.9454748618216899</v>
      </c>
      <c r="BX8" s="173">
        <v>2.96736156173443</v>
      </c>
      <c r="BY8" s="173">
        <v>2.9925924601287002</v>
      </c>
      <c r="BZ8" s="173">
        <v>3.01635537634772</v>
      </c>
      <c r="CA8" s="173">
        <v>3.0377905218009502</v>
      </c>
      <c r="CB8" s="173">
        <v>3.05548519662897</v>
      </c>
      <c r="CC8" s="173">
        <v>3.07379933713599</v>
      </c>
      <c r="CD8" s="173">
        <v>3.09268940817564</v>
      </c>
      <c r="CE8" s="173">
        <v>3.1120001257908299</v>
      </c>
      <c r="CF8" s="173">
        <v>3.1321186158587802</v>
      </c>
      <c r="CG8" s="173">
        <v>3.1520557224454402</v>
      </c>
      <c r="CH8" s="173">
        <v>3.1715827744427898</v>
      </c>
    </row>
    <row r="9" spans="1:87">
      <c r="A9" s="167" t="s">
        <v>234</v>
      </c>
      <c r="B9" s="167" t="s">
        <v>235</v>
      </c>
      <c r="C9" s="173">
        <v>2.0346113979326601</v>
      </c>
      <c r="D9" s="173">
        <v>2.0596527307169299</v>
      </c>
      <c r="E9" s="173">
        <v>2.0647060376300099</v>
      </c>
      <c r="F9" s="173">
        <v>2.0867602850429501</v>
      </c>
      <c r="G9" s="173">
        <v>2.10441482217594</v>
      </c>
      <c r="H9" s="173">
        <v>2.11471520481305</v>
      </c>
      <c r="I9" s="173">
        <v>2.1510993421160198</v>
      </c>
      <c r="J9" s="173">
        <v>2.1700303498167899</v>
      </c>
      <c r="K9" s="173">
        <v>2.1872092285050102</v>
      </c>
      <c r="L9" s="173">
        <v>2.2125396597183</v>
      </c>
      <c r="M9" s="173">
        <v>2.2351373991849601</v>
      </c>
      <c r="N9" s="173">
        <v>2.22048181639967</v>
      </c>
      <c r="O9" s="173">
        <v>2.2320116322918802</v>
      </c>
      <c r="P9" s="173">
        <v>2.25830972721704</v>
      </c>
      <c r="Q9" s="173">
        <v>2.27564533893606</v>
      </c>
      <c r="R9" s="173">
        <v>2.3021267451182101</v>
      </c>
      <c r="S9" s="173">
        <v>2.3193678221698799</v>
      </c>
      <c r="T9" s="173">
        <v>2.3630887401329401</v>
      </c>
      <c r="U9" s="173">
        <v>2.4040183268764199</v>
      </c>
      <c r="V9" s="173">
        <v>2.3508869392328702</v>
      </c>
      <c r="W9" s="173">
        <v>2.3397875662991998</v>
      </c>
      <c r="X9" s="173">
        <v>2.3463321773464698</v>
      </c>
      <c r="Y9" s="173">
        <v>2.3660208299322401</v>
      </c>
      <c r="Z9" s="173">
        <v>2.38072555635337</v>
      </c>
      <c r="AA9" s="173">
        <v>2.3786814788333301</v>
      </c>
      <c r="AB9" s="173">
        <v>2.3833628185945601</v>
      </c>
      <c r="AC9" s="173">
        <v>2.39782738150081</v>
      </c>
      <c r="AD9" s="173">
        <v>2.4216832770124701</v>
      </c>
      <c r="AE9" s="173">
        <v>2.4317461490191898</v>
      </c>
      <c r="AF9" s="173">
        <v>2.4769476627146898</v>
      </c>
      <c r="AG9" s="173">
        <v>2.4884783993884501</v>
      </c>
      <c r="AH9" s="173">
        <v>2.4969456869742301</v>
      </c>
      <c r="AI9" s="173">
        <v>2.5131764836174102</v>
      </c>
      <c r="AJ9" s="173">
        <v>2.5194129138440999</v>
      </c>
      <c r="AK9" s="173">
        <v>2.5296022010905101</v>
      </c>
      <c r="AL9" s="173">
        <v>2.55014674095177</v>
      </c>
      <c r="AM9" s="173">
        <v>2.55727771276656</v>
      </c>
      <c r="AN9" s="173">
        <v>2.5546180799215898</v>
      </c>
      <c r="AO9" s="173">
        <v>2.5737223597019399</v>
      </c>
      <c r="AP9" s="173">
        <v>2.5882577711185202</v>
      </c>
      <c r="AQ9" s="173">
        <v>2.59690193466492</v>
      </c>
      <c r="AR9" s="173">
        <v>2.60782686879682</v>
      </c>
      <c r="AS9" s="173">
        <v>2.6142506250731801</v>
      </c>
      <c r="AT9" s="173">
        <v>2.61661513719574</v>
      </c>
      <c r="AU9" s="173">
        <v>2.61186751422043</v>
      </c>
      <c r="AV9" s="173">
        <v>2.6225716857565202</v>
      </c>
      <c r="AW9" s="173">
        <v>2.61918012339319</v>
      </c>
      <c r="AX9" s="173">
        <v>2.62606071140064</v>
      </c>
      <c r="AY9" s="173">
        <v>2.6197019660963399</v>
      </c>
      <c r="AZ9" s="173">
        <v>2.6412980148257699</v>
      </c>
      <c r="BA9" s="173">
        <v>2.6622434334046901</v>
      </c>
      <c r="BB9" s="173">
        <v>2.67697032006182</v>
      </c>
      <c r="BC9" s="173">
        <v>2.69098591634374</v>
      </c>
      <c r="BD9" s="173">
        <v>2.6945884256758399</v>
      </c>
      <c r="BE9" s="173">
        <v>2.7069727936502899</v>
      </c>
      <c r="BF9" s="173">
        <v>2.72016803750495</v>
      </c>
      <c r="BG9" s="173">
        <v>2.7569818623248801</v>
      </c>
      <c r="BH9" s="173">
        <v>2.7703481242308801</v>
      </c>
      <c r="BI9" s="173">
        <v>2.7761821562378302</v>
      </c>
      <c r="BJ9" s="173">
        <v>2.7882443573554299</v>
      </c>
      <c r="BK9" s="173">
        <v>2.8008154324344998</v>
      </c>
      <c r="BL9" s="173">
        <v>2.8122629827835901</v>
      </c>
      <c r="BM9" s="173">
        <v>2.82670971159797</v>
      </c>
      <c r="BN9" s="173">
        <v>2.8407624221418502</v>
      </c>
      <c r="BO9" s="173">
        <v>2.8524451414889902</v>
      </c>
      <c r="BP9" s="173">
        <v>2.80644220004117</v>
      </c>
      <c r="BQ9" s="173">
        <v>2.8323709005287001</v>
      </c>
      <c r="BR9" s="173">
        <v>2.85398956919206</v>
      </c>
      <c r="BS9" s="173">
        <v>2.8700303924208002</v>
      </c>
      <c r="BT9" s="173">
        <v>2.8838098646244399</v>
      </c>
      <c r="BU9" s="173">
        <v>2.8968176179723701</v>
      </c>
      <c r="BV9" s="173">
        <v>2.9092049316234001</v>
      </c>
      <c r="BW9" s="173">
        <v>2.9265506996353499</v>
      </c>
      <c r="BX9" s="173">
        <v>2.9443745988331602</v>
      </c>
      <c r="BY9" s="173">
        <v>2.9651786217835299</v>
      </c>
      <c r="BZ9" s="173">
        <v>2.9838594933281799</v>
      </c>
      <c r="CA9" s="173">
        <v>3.0004851735891398</v>
      </c>
      <c r="CB9" s="173">
        <v>3.0141350706701502</v>
      </c>
      <c r="CC9" s="173">
        <v>3.0284008430292801</v>
      </c>
      <c r="CD9" s="173">
        <v>3.0439394581224799</v>
      </c>
      <c r="CE9" s="173">
        <v>3.0595038838406201</v>
      </c>
      <c r="CF9" s="173">
        <v>3.0759187718440302</v>
      </c>
      <c r="CG9" s="173">
        <v>3.0922660360272798</v>
      </c>
      <c r="CH9" s="173">
        <v>3.1079967617811901</v>
      </c>
    </row>
    <row r="10" spans="1:87">
      <c r="A10" s="167" t="s">
        <v>236</v>
      </c>
      <c r="B10" s="167" t="s">
        <v>237</v>
      </c>
      <c r="C10" s="173">
        <v>2.0346113979326601</v>
      </c>
      <c r="D10" s="173">
        <v>2.0596527307169299</v>
      </c>
      <c r="E10" s="173">
        <v>2.0647060376300099</v>
      </c>
      <c r="F10" s="173">
        <v>2.0867602850429501</v>
      </c>
      <c r="G10" s="173">
        <v>2.10441482217594</v>
      </c>
      <c r="H10" s="173">
        <v>2.11471520481305</v>
      </c>
      <c r="I10" s="173">
        <v>2.1510993421160198</v>
      </c>
      <c r="J10" s="173">
        <v>2.1700303498167899</v>
      </c>
      <c r="K10" s="173">
        <v>2.1872092285050102</v>
      </c>
      <c r="L10" s="173">
        <v>2.2125396597183</v>
      </c>
      <c r="M10" s="173">
        <v>2.2351373991849601</v>
      </c>
      <c r="N10" s="173">
        <v>2.22048181639967</v>
      </c>
      <c r="O10" s="173">
        <v>2.2320116322918802</v>
      </c>
      <c r="P10" s="173">
        <v>2.25830972721704</v>
      </c>
      <c r="Q10" s="173">
        <v>2.27564533893606</v>
      </c>
      <c r="R10" s="173">
        <v>2.3021267451182101</v>
      </c>
      <c r="S10" s="173">
        <v>2.3193678221698799</v>
      </c>
      <c r="T10" s="173">
        <v>2.3630887401329401</v>
      </c>
      <c r="U10" s="173">
        <v>2.4040183268764199</v>
      </c>
      <c r="V10" s="173">
        <v>2.3508869392328702</v>
      </c>
      <c r="W10" s="173">
        <v>2.3397875662991998</v>
      </c>
      <c r="X10" s="173">
        <v>2.3463321773464698</v>
      </c>
      <c r="Y10" s="173">
        <v>2.3660208299322401</v>
      </c>
      <c r="Z10" s="173">
        <v>2.38072555635337</v>
      </c>
      <c r="AA10" s="173">
        <v>2.3786814788333301</v>
      </c>
      <c r="AB10" s="173">
        <v>2.3833628185945601</v>
      </c>
      <c r="AC10" s="173">
        <v>2.39782738150081</v>
      </c>
      <c r="AD10" s="173">
        <v>2.4216832770124701</v>
      </c>
      <c r="AE10" s="173">
        <v>2.4317461490191898</v>
      </c>
      <c r="AF10" s="173">
        <v>2.4769476627146898</v>
      </c>
      <c r="AG10" s="173">
        <v>2.4884783993884501</v>
      </c>
      <c r="AH10" s="173">
        <v>2.4969456869742301</v>
      </c>
      <c r="AI10" s="173">
        <v>2.5131764836174102</v>
      </c>
      <c r="AJ10" s="173">
        <v>2.5194129138440999</v>
      </c>
      <c r="AK10" s="173">
        <v>2.5296022010905101</v>
      </c>
      <c r="AL10" s="173">
        <v>2.55014674095177</v>
      </c>
      <c r="AM10" s="173">
        <v>2.55727771276656</v>
      </c>
      <c r="AN10" s="173">
        <v>2.5546180799215898</v>
      </c>
      <c r="AO10" s="173">
        <v>2.5737223597019399</v>
      </c>
      <c r="AP10" s="173">
        <v>2.5882577711185202</v>
      </c>
      <c r="AQ10" s="173">
        <v>2.59690193466492</v>
      </c>
      <c r="AR10" s="173">
        <v>2.60782686879682</v>
      </c>
      <c r="AS10" s="173">
        <v>2.6142506250731801</v>
      </c>
      <c r="AT10" s="173">
        <v>2.61661513719574</v>
      </c>
      <c r="AU10" s="173">
        <v>2.61186751422043</v>
      </c>
      <c r="AV10" s="173">
        <v>2.6225716857565202</v>
      </c>
      <c r="AW10" s="173">
        <v>2.61918012339319</v>
      </c>
      <c r="AX10" s="173">
        <v>2.62606071140064</v>
      </c>
      <c r="AY10" s="173">
        <v>2.6197019660963399</v>
      </c>
      <c r="AZ10" s="173">
        <v>2.6412980148257699</v>
      </c>
      <c r="BA10" s="173">
        <v>2.6622434334046901</v>
      </c>
      <c r="BB10" s="173">
        <v>2.67697032006182</v>
      </c>
      <c r="BC10" s="173">
        <v>2.69098591634374</v>
      </c>
      <c r="BD10" s="173">
        <v>2.6945884256758399</v>
      </c>
      <c r="BE10" s="173">
        <v>2.7069727936502899</v>
      </c>
      <c r="BF10" s="173">
        <v>2.72016803750495</v>
      </c>
      <c r="BG10" s="173">
        <v>2.7569818623248801</v>
      </c>
      <c r="BH10" s="173">
        <v>2.7703481242308801</v>
      </c>
      <c r="BI10" s="173">
        <v>2.7761821562378302</v>
      </c>
      <c r="BJ10" s="173">
        <v>2.7882443573554299</v>
      </c>
      <c r="BK10" s="173">
        <v>2.8008154324344998</v>
      </c>
      <c r="BL10" s="173">
        <v>2.8122629827835901</v>
      </c>
      <c r="BM10" s="173">
        <v>2.82670971159797</v>
      </c>
      <c r="BN10" s="173">
        <v>2.8407624221418502</v>
      </c>
      <c r="BO10" s="173">
        <v>2.8524451414889902</v>
      </c>
      <c r="BP10" s="173">
        <v>2.8081432400869799</v>
      </c>
      <c r="BQ10" s="173">
        <v>2.83702897542054</v>
      </c>
      <c r="BR10" s="173">
        <v>2.86207316594232</v>
      </c>
      <c r="BS10" s="173">
        <v>2.88300942517473</v>
      </c>
      <c r="BT10" s="173">
        <v>2.9031315630283099</v>
      </c>
      <c r="BU10" s="173">
        <v>2.9237852383987502</v>
      </c>
      <c r="BV10" s="173">
        <v>2.9452525720923899</v>
      </c>
      <c r="BW10" s="173">
        <v>2.9715005487445101</v>
      </c>
      <c r="BX10" s="173">
        <v>2.9990138487225102</v>
      </c>
      <c r="BY10" s="173">
        <v>3.0304124605061098</v>
      </c>
      <c r="BZ10" s="173">
        <v>3.0607984138856201</v>
      </c>
      <c r="CA10" s="173">
        <v>3.0892317198418699</v>
      </c>
      <c r="CB10" s="173">
        <v>3.1140897062258501</v>
      </c>
      <c r="CC10" s="173">
        <v>3.1396345471994902</v>
      </c>
      <c r="CD10" s="173">
        <v>3.1658479076269801</v>
      </c>
      <c r="CE10" s="173">
        <v>3.1926442188668198</v>
      </c>
      <c r="CF10" s="173">
        <v>3.2204813248597599</v>
      </c>
      <c r="CG10" s="173">
        <v>3.2484197397621299</v>
      </c>
      <c r="CH10" s="173">
        <v>3.27610574205606</v>
      </c>
    </row>
    <row r="12" spans="1:87"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</row>
    <row r="13" spans="1:87"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BN13" s="175" t="s">
        <v>238</v>
      </c>
      <c r="BO13" s="176"/>
      <c r="BP13" s="176"/>
      <c r="BQ13" s="177" t="s">
        <v>239</v>
      </c>
      <c r="BR13" s="178"/>
      <c r="BS13" s="178"/>
      <c r="BT13" s="178"/>
      <c r="BU13" s="178"/>
      <c r="BV13" s="178"/>
      <c r="BW13" s="176"/>
      <c r="BX13" s="176"/>
      <c r="BY13" s="176"/>
    </row>
    <row r="14" spans="1:87"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BN14" s="179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1"/>
    </row>
    <row r="15" spans="1:87"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BN15" s="182"/>
      <c r="BO15" s="183" t="s">
        <v>240</v>
      </c>
      <c r="BP15" s="184" t="s">
        <v>258</v>
      </c>
      <c r="BQ15" s="184"/>
      <c r="BR15" s="184"/>
      <c r="BS15" s="184"/>
      <c r="BT15" s="184"/>
      <c r="BU15" s="184"/>
      <c r="BV15" s="184"/>
      <c r="BW15" s="184"/>
      <c r="BX15" s="184"/>
      <c r="BY15" s="185"/>
    </row>
    <row r="16" spans="1:87"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BN16" s="182"/>
      <c r="BO16" s="184"/>
      <c r="BP16" s="172" t="str">
        <f>BQ7</f>
        <v>2020Q3</v>
      </c>
      <c r="BQ16" s="184"/>
      <c r="BR16" s="184"/>
      <c r="BS16" s="184"/>
      <c r="BT16" s="184"/>
      <c r="BU16" s="184"/>
      <c r="BV16" s="184"/>
      <c r="BW16" s="184"/>
      <c r="BX16" s="184"/>
      <c r="BY16" s="186" t="s">
        <v>241</v>
      </c>
    </row>
    <row r="17" spans="3:77"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BN17" s="182"/>
      <c r="BO17" s="184"/>
      <c r="BP17" s="188">
        <f>BQ9</f>
        <v>2.8323709005287001</v>
      </c>
      <c r="BQ17" s="189"/>
      <c r="BR17" s="184"/>
      <c r="BS17" s="184"/>
      <c r="BT17" s="184"/>
      <c r="BU17" s="184"/>
      <c r="BV17" s="184"/>
      <c r="BW17" s="184"/>
      <c r="BX17" s="184"/>
      <c r="BY17" s="190">
        <f>BP17</f>
        <v>2.8323709005287001</v>
      </c>
    </row>
    <row r="18" spans="3:77">
      <c r="BN18" s="182"/>
      <c r="BO18" s="184"/>
      <c r="BP18" s="184"/>
      <c r="BQ18" s="184"/>
      <c r="BR18" s="184"/>
      <c r="BS18" s="184"/>
      <c r="BT18" s="184"/>
      <c r="BU18" s="184"/>
      <c r="BV18" s="184"/>
      <c r="BW18" s="184"/>
      <c r="BX18" s="184"/>
      <c r="BY18" s="191"/>
    </row>
    <row r="19" spans="3:77">
      <c r="BN19" s="224" t="s">
        <v>242</v>
      </c>
      <c r="BO19" s="225"/>
      <c r="BP19" s="225"/>
      <c r="BQ19" s="184" t="s">
        <v>251</v>
      </c>
      <c r="BR19" s="184"/>
      <c r="BS19" s="184"/>
      <c r="BT19" s="184"/>
      <c r="BU19" s="184"/>
      <c r="BV19" s="184"/>
      <c r="BW19" s="184"/>
      <c r="BX19" s="184"/>
      <c r="BY19" s="191"/>
    </row>
    <row r="20" spans="3:77">
      <c r="BN20" s="182"/>
      <c r="BO20" s="184"/>
      <c r="BP20" s="167" t="str">
        <f>BR7</f>
        <v>2020Q4</v>
      </c>
      <c r="BQ20" s="167" t="str">
        <f t="shared" ref="BQ20:BW20" si="0">BS7</f>
        <v>2021Q1</v>
      </c>
      <c r="BR20" s="167" t="str">
        <f t="shared" si="0"/>
        <v>2021Q2</v>
      </c>
      <c r="BS20" s="167" t="str">
        <f t="shared" si="0"/>
        <v>2021Q3</v>
      </c>
      <c r="BT20" s="167" t="str">
        <f t="shared" si="0"/>
        <v>2021Q4</v>
      </c>
      <c r="BU20" s="167" t="str">
        <f t="shared" si="0"/>
        <v>2022Q1</v>
      </c>
      <c r="BV20" s="167" t="str">
        <f t="shared" si="0"/>
        <v>2022Q2</v>
      </c>
      <c r="BW20" s="167" t="str">
        <f t="shared" si="0"/>
        <v>2022Q3</v>
      </c>
      <c r="BX20" s="184"/>
      <c r="BY20" s="191"/>
    </row>
    <row r="21" spans="3:77">
      <c r="BN21" s="182"/>
      <c r="BO21" s="184"/>
      <c r="BP21" s="173">
        <f>BR9</f>
        <v>2.85398956919206</v>
      </c>
      <c r="BQ21" s="173">
        <f t="shared" ref="BQ21:BW21" si="1">BS9</f>
        <v>2.8700303924208002</v>
      </c>
      <c r="BR21" s="173">
        <f t="shared" si="1"/>
        <v>2.8838098646244399</v>
      </c>
      <c r="BS21" s="173">
        <f t="shared" si="1"/>
        <v>2.8968176179723701</v>
      </c>
      <c r="BT21" s="173">
        <f t="shared" si="1"/>
        <v>2.9092049316234001</v>
      </c>
      <c r="BU21" s="173">
        <f t="shared" si="1"/>
        <v>2.9265506996353499</v>
      </c>
      <c r="BV21" s="173">
        <f t="shared" si="1"/>
        <v>2.9443745988331602</v>
      </c>
      <c r="BW21" s="173">
        <f t="shared" si="1"/>
        <v>2.9651786217835299</v>
      </c>
      <c r="BX21" s="184"/>
      <c r="BY21" s="190">
        <f>AVERAGE(BP21:BW21)</f>
        <v>2.9062445370106387</v>
      </c>
    </row>
    <row r="22" spans="3:77">
      <c r="BN22" s="182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91"/>
    </row>
    <row r="23" spans="3:77">
      <c r="BN23" s="182"/>
      <c r="BO23" s="184"/>
      <c r="BP23" s="184"/>
      <c r="BQ23" s="184"/>
      <c r="BR23" s="184"/>
      <c r="BS23" s="184"/>
      <c r="BT23" s="184"/>
      <c r="BU23" s="184"/>
      <c r="BV23" s="184"/>
      <c r="BW23" s="184"/>
      <c r="BX23" s="192" t="s">
        <v>243</v>
      </c>
      <c r="BY23" s="193">
        <f>(BY21-BY17)/BY17</f>
        <v>2.6081907729015665E-2</v>
      </c>
    </row>
    <row r="24" spans="3:77">
      <c r="BN24" s="194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6"/>
    </row>
  </sheetData>
  <mergeCells count="1">
    <mergeCell ref="BN19:BP19"/>
  </mergeCells>
  <pageMargins left="0.25" right="0.25" top="1" bottom="1" header="0.5" footer="0.5"/>
  <pageSetup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workbookViewId="0">
      <selection activeCell="J36" sqref="J36"/>
    </sheetView>
  </sheetViews>
  <sheetFormatPr defaultRowHeight="14.4"/>
  <cols>
    <col min="2" max="2" width="13.109375" customWidth="1"/>
    <col min="3" max="3" width="10.33203125" customWidth="1"/>
    <col min="5" max="5" width="13.5546875" customWidth="1"/>
    <col min="6" max="6" width="10.44140625" customWidth="1"/>
    <col min="7" max="7" width="6.33203125" customWidth="1"/>
    <col min="8" max="8" width="8.6640625" hidden="1" customWidth="1"/>
    <col min="9" max="9" width="3" customWidth="1"/>
    <col min="10" max="10" width="10.44140625" bestFit="1" customWidth="1"/>
    <col min="13" max="13" width="9.88671875" bestFit="1" customWidth="1"/>
  </cols>
  <sheetData>
    <row r="2" spans="2:14">
      <c r="D2">
        <v>7</v>
      </c>
      <c r="E2" t="s">
        <v>262</v>
      </c>
    </row>
    <row r="6" spans="2:14" ht="15" thickBot="1"/>
    <row r="7" spans="2:14">
      <c r="B7" s="132">
        <v>43891</v>
      </c>
      <c r="C7" s="226" t="s">
        <v>120</v>
      </c>
      <c r="D7" s="226"/>
      <c r="E7" s="226"/>
      <c r="F7" s="227"/>
      <c r="J7" s="132">
        <v>43891</v>
      </c>
      <c r="K7" s="226" t="s">
        <v>120</v>
      </c>
      <c r="L7" s="226"/>
      <c r="M7" s="226"/>
      <c r="N7" s="227"/>
    </row>
    <row r="8" spans="2:14" ht="15" thickBot="1">
      <c r="B8" s="133" t="s">
        <v>121</v>
      </c>
      <c r="C8" s="55" t="s">
        <v>122</v>
      </c>
      <c r="D8" s="55" t="s">
        <v>123</v>
      </c>
      <c r="E8" s="55" t="s">
        <v>124</v>
      </c>
      <c r="F8" s="134" t="s">
        <v>125</v>
      </c>
      <c r="J8" s="133" t="s">
        <v>121</v>
      </c>
      <c r="K8" s="55" t="s">
        <v>122</v>
      </c>
      <c r="L8" s="55" t="s">
        <v>123</v>
      </c>
      <c r="M8" s="55" t="s">
        <v>124</v>
      </c>
      <c r="N8" s="134" t="s">
        <v>125</v>
      </c>
    </row>
    <row r="9" spans="2:14">
      <c r="B9" s="135">
        <v>1</v>
      </c>
      <c r="C9" s="136">
        <v>22.3</v>
      </c>
      <c r="D9" s="136">
        <v>29.8</v>
      </c>
      <c r="E9" s="136">
        <v>33.799999999999997</v>
      </c>
      <c r="F9" s="137">
        <v>41</v>
      </c>
      <c r="G9" s="138"/>
      <c r="H9" s="138"/>
      <c r="I9" s="138"/>
      <c r="J9" s="135" t="s">
        <v>126</v>
      </c>
      <c r="K9" s="136">
        <v>43.6</v>
      </c>
      <c r="L9" s="136">
        <v>56.3</v>
      </c>
      <c r="M9" s="136">
        <v>70.5</v>
      </c>
      <c r="N9" s="137">
        <v>86.2</v>
      </c>
    </row>
    <row r="10" spans="2:14">
      <c r="B10" s="139" t="s">
        <v>127</v>
      </c>
      <c r="C10" s="140">
        <v>24.3</v>
      </c>
      <c r="D10" s="140">
        <v>31.2</v>
      </c>
      <c r="E10" s="140">
        <v>37.4</v>
      </c>
      <c r="F10" s="141">
        <v>45.6</v>
      </c>
      <c r="G10" s="138"/>
      <c r="H10" s="138"/>
      <c r="I10" s="138"/>
      <c r="J10" s="139" t="s">
        <v>128</v>
      </c>
      <c r="K10" s="140">
        <v>39.700000000000003</v>
      </c>
      <c r="L10" s="140">
        <v>53.2</v>
      </c>
      <c r="M10" s="140">
        <v>66.3</v>
      </c>
      <c r="N10" s="141">
        <v>80.099999999999994</v>
      </c>
    </row>
    <row r="11" spans="2:14">
      <c r="B11" s="139" t="s">
        <v>129</v>
      </c>
      <c r="C11" s="140">
        <v>25.5</v>
      </c>
      <c r="D11" s="140">
        <v>32</v>
      </c>
      <c r="E11" s="140">
        <v>40</v>
      </c>
      <c r="F11" s="141">
        <v>48.2</v>
      </c>
      <c r="G11" s="138"/>
      <c r="H11" s="138"/>
      <c r="I11" s="138"/>
      <c r="J11" s="139" t="s">
        <v>130</v>
      </c>
      <c r="K11" s="140">
        <v>39.799999999999997</v>
      </c>
      <c r="L11" s="140">
        <v>52.2</v>
      </c>
      <c r="M11" s="140">
        <v>65</v>
      </c>
      <c r="N11" s="141">
        <v>80.099999999999994</v>
      </c>
    </row>
    <row r="12" spans="2:14">
      <c r="B12" s="139" t="s">
        <v>131</v>
      </c>
      <c r="C12" s="140">
        <v>32.4</v>
      </c>
      <c r="D12" s="140">
        <v>45</v>
      </c>
      <c r="E12" s="140">
        <v>54.4</v>
      </c>
      <c r="F12" s="141">
        <v>64</v>
      </c>
      <c r="G12" s="138"/>
      <c r="H12" s="138"/>
      <c r="I12" s="138"/>
      <c r="J12" s="139" t="s">
        <v>132</v>
      </c>
      <c r="K12" s="140">
        <f>AVERAGE(K9:K11)</f>
        <v>41.033333333333339</v>
      </c>
      <c r="L12" s="140">
        <f t="shared" ref="L12:N12" si="0">AVERAGE(L9:L11)</f>
        <v>53.9</v>
      </c>
      <c r="M12" s="140">
        <f t="shared" si="0"/>
        <v>67.266666666666666</v>
      </c>
      <c r="N12" s="141">
        <f t="shared" si="0"/>
        <v>82.13333333333334</v>
      </c>
    </row>
    <row r="13" spans="2:14" ht="15" thickBot="1">
      <c r="B13" s="139" t="s">
        <v>133</v>
      </c>
      <c r="C13" s="140">
        <v>36.799999999999997</v>
      </c>
      <c r="D13" s="140">
        <v>48.3</v>
      </c>
      <c r="E13" s="140">
        <v>63.2</v>
      </c>
      <c r="F13" s="141">
        <v>73.5</v>
      </c>
      <c r="G13" s="138"/>
      <c r="H13" s="138"/>
      <c r="I13" s="138"/>
      <c r="J13" s="142" t="s">
        <v>134</v>
      </c>
      <c r="K13" s="143">
        <f>K12/$D$2</f>
        <v>5.8619047619047624</v>
      </c>
      <c r="L13" s="143">
        <f t="shared" ref="L13:N13" si="1">L12/$D$2</f>
        <v>7.7</v>
      </c>
      <c r="M13" s="143">
        <f t="shared" si="1"/>
        <v>9.6095238095238091</v>
      </c>
      <c r="N13" s="144">
        <f t="shared" si="1"/>
        <v>11.733333333333334</v>
      </c>
    </row>
    <row r="14" spans="2:14">
      <c r="B14" s="139" t="s">
        <v>132</v>
      </c>
      <c r="C14" s="140">
        <f>AVERAGE(C9:C13)</f>
        <v>28.26</v>
      </c>
      <c r="D14" s="140">
        <f t="shared" ref="D14:F14" si="2">AVERAGE(D9:D13)</f>
        <v>37.260000000000005</v>
      </c>
      <c r="E14" s="140">
        <f t="shared" si="2"/>
        <v>45.760000000000005</v>
      </c>
      <c r="F14" s="141">
        <f t="shared" si="2"/>
        <v>54.46</v>
      </c>
      <c r="G14" s="138"/>
      <c r="H14" s="138"/>
      <c r="I14" s="138"/>
      <c r="J14" s="139" t="s">
        <v>135</v>
      </c>
      <c r="K14" s="140">
        <v>38.6</v>
      </c>
      <c r="L14" s="140">
        <v>48.8</v>
      </c>
      <c r="M14" s="140">
        <v>59.8</v>
      </c>
      <c r="N14" s="141">
        <v>76.599999999999994</v>
      </c>
    </row>
    <row r="15" spans="2:14" ht="15" thickBot="1">
      <c r="B15" s="142" t="s">
        <v>134</v>
      </c>
      <c r="C15" s="145">
        <f>C14/$D$2</f>
        <v>4.0371428571428574</v>
      </c>
      <c r="D15" s="145">
        <f t="shared" ref="D15:F15" si="3">D14/$D$2</f>
        <v>5.3228571428571438</v>
      </c>
      <c r="E15" s="145">
        <f t="shared" si="3"/>
        <v>6.5371428571428583</v>
      </c>
      <c r="F15" s="146">
        <f t="shared" si="3"/>
        <v>7.78</v>
      </c>
      <c r="G15" s="138"/>
      <c r="H15" s="138"/>
      <c r="I15" s="138"/>
      <c r="J15" s="139" t="s">
        <v>136</v>
      </c>
      <c r="K15" s="140">
        <v>38.299999999999997</v>
      </c>
      <c r="L15" s="140">
        <v>47.6</v>
      </c>
      <c r="M15" s="140">
        <v>59.2</v>
      </c>
      <c r="N15" s="141">
        <v>71.5</v>
      </c>
    </row>
    <row r="16" spans="2:14">
      <c r="B16" s="147" t="s">
        <v>137</v>
      </c>
      <c r="C16" s="148"/>
      <c r="D16" s="148"/>
      <c r="E16" s="148"/>
      <c r="F16" s="149"/>
      <c r="J16" s="139" t="s">
        <v>138</v>
      </c>
      <c r="K16" s="140">
        <v>37.4</v>
      </c>
      <c r="L16" s="140">
        <v>46.9</v>
      </c>
      <c r="M16" s="140">
        <v>58.6</v>
      </c>
      <c r="N16" s="141">
        <v>70.5</v>
      </c>
    </row>
    <row r="17" spans="2:14">
      <c r="B17" s="150" t="s">
        <v>139</v>
      </c>
      <c r="C17" s="151">
        <v>39.4</v>
      </c>
      <c r="D17" s="151">
        <v>56</v>
      </c>
      <c r="E17" s="151">
        <v>69.900000000000006</v>
      </c>
      <c r="F17" s="152">
        <v>82.2</v>
      </c>
      <c r="G17" s="138"/>
      <c r="H17" s="138"/>
      <c r="I17" s="138"/>
      <c r="J17" s="139" t="s">
        <v>132</v>
      </c>
      <c r="K17" s="140">
        <f>AVERAGE(K14:K16)</f>
        <v>38.1</v>
      </c>
      <c r="L17" s="140">
        <f t="shared" ref="L17:N17" si="4">AVERAGE(L14:L16)</f>
        <v>47.766666666666673</v>
      </c>
      <c r="M17" s="140">
        <f t="shared" si="4"/>
        <v>59.199999999999996</v>
      </c>
      <c r="N17" s="141">
        <f t="shared" si="4"/>
        <v>72.86666666666666</v>
      </c>
    </row>
    <row r="18" spans="2:14" ht="15" thickBot="1">
      <c r="B18" s="150" t="s">
        <v>140</v>
      </c>
      <c r="C18" s="151">
        <v>40.700000000000003</v>
      </c>
      <c r="D18" s="151">
        <v>57</v>
      </c>
      <c r="E18" s="151">
        <v>71.8</v>
      </c>
      <c r="F18" s="152">
        <v>83</v>
      </c>
      <c r="G18" s="138"/>
      <c r="H18" s="138"/>
      <c r="I18" s="138"/>
      <c r="J18" s="142" t="s">
        <v>134</v>
      </c>
      <c r="K18" s="143">
        <f>K17/$D$2</f>
        <v>5.4428571428571431</v>
      </c>
      <c r="L18" s="143">
        <f t="shared" ref="L18:N18" si="5">L17/$D$2</f>
        <v>6.8238095238095244</v>
      </c>
      <c r="M18" s="143">
        <f t="shared" si="5"/>
        <v>8.4571428571428573</v>
      </c>
      <c r="N18" s="144">
        <f t="shared" si="5"/>
        <v>10.409523809523808</v>
      </c>
    </row>
    <row r="19" spans="2:14">
      <c r="B19" s="139" t="s">
        <v>141</v>
      </c>
      <c r="C19" s="140">
        <v>43.6</v>
      </c>
      <c r="D19" s="140">
        <v>56.3</v>
      </c>
      <c r="E19" s="140">
        <v>70.5</v>
      </c>
      <c r="F19" s="141">
        <v>86.2</v>
      </c>
      <c r="G19" s="138"/>
      <c r="H19" s="138"/>
      <c r="I19" s="138"/>
      <c r="J19" s="138"/>
    </row>
    <row r="20" spans="2:14">
      <c r="B20" s="139" t="s">
        <v>132</v>
      </c>
      <c r="C20" s="140">
        <f>AVERAGE(C17:C19)</f>
        <v>41.233333333333327</v>
      </c>
      <c r="D20" s="140">
        <f t="shared" ref="D20:E20" si="6">AVERAGE(D17:D19)</f>
        <v>56.433333333333337</v>
      </c>
      <c r="E20" s="140">
        <f t="shared" si="6"/>
        <v>70.733333333333334</v>
      </c>
      <c r="F20" s="141">
        <f>AVERAGE(F17:F19)</f>
        <v>83.8</v>
      </c>
      <c r="G20" s="138"/>
      <c r="H20" s="138"/>
      <c r="I20" s="138"/>
    </row>
    <row r="21" spans="2:14" ht="15" thickBot="1">
      <c r="B21" s="142" t="s">
        <v>134</v>
      </c>
      <c r="C21" s="145">
        <f>C20/$D$2</f>
        <v>5.89047619047619</v>
      </c>
      <c r="D21" s="145">
        <f t="shared" ref="D21:F21" si="7">D20/$D$2</f>
        <v>8.0619047619047617</v>
      </c>
      <c r="E21" s="145">
        <f t="shared" si="7"/>
        <v>10.104761904761904</v>
      </c>
      <c r="F21" s="146">
        <f t="shared" si="7"/>
        <v>11.971428571428572</v>
      </c>
      <c r="G21" s="138"/>
      <c r="H21" s="138"/>
      <c r="I21" s="138"/>
      <c r="J21" s="138"/>
    </row>
    <row r="22" spans="2:14">
      <c r="B22" s="139" t="s">
        <v>142</v>
      </c>
      <c r="C22" s="55"/>
      <c r="D22" s="55"/>
      <c r="E22" s="55"/>
      <c r="F22" s="134"/>
      <c r="J22" s="138"/>
    </row>
    <row r="23" spans="2:14">
      <c r="B23" s="150" t="s">
        <v>139</v>
      </c>
      <c r="C23" s="151">
        <v>39.1</v>
      </c>
      <c r="D23" s="151">
        <v>48.1</v>
      </c>
      <c r="E23" s="151">
        <v>58.3</v>
      </c>
      <c r="F23" s="152">
        <v>71.099999999999994</v>
      </c>
      <c r="G23" s="138"/>
      <c r="H23" s="138"/>
      <c r="I23" s="138"/>
      <c r="J23" s="138"/>
    </row>
    <row r="24" spans="2:14">
      <c r="B24" s="150" t="s">
        <v>140</v>
      </c>
      <c r="C24" s="151">
        <v>38.6</v>
      </c>
      <c r="D24" s="151">
        <v>48</v>
      </c>
      <c r="E24" s="151">
        <v>57.3</v>
      </c>
      <c r="F24" s="152">
        <v>71.099999999999994</v>
      </c>
      <c r="G24" s="138"/>
      <c r="H24" s="138"/>
      <c r="I24" s="138"/>
      <c r="J24" s="138"/>
    </row>
    <row r="25" spans="2:14">
      <c r="B25" s="139" t="s">
        <v>141</v>
      </c>
      <c r="C25" s="140">
        <v>38.6</v>
      </c>
      <c r="D25" s="140">
        <v>48.8</v>
      </c>
      <c r="E25" s="140">
        <v>59.8</v>
      </c>
      <c r="F25" s="141">
        <v>76.599999999999994</v>
      </c>
      <c r="G25" s="138"/>
      <c r="H25" s="138"/>
      <c r="I25" s="138"/>
    </row>
    <row r="26" spans="2:14">
      <c r="B26" s="139" t="s">
        <v>132</v>
      </c>
      <c r="C26" s="140">
        <f>AVERAGE(C23:C25)</f>
        <v>38.766666666666673</v>
      </c>
      <c r="D26" s="140">
        <f t="shared" ref="D26:F26" si="8">AVERAGE(D23:D25)</f>
        <v>48.29999999999999</v>
      </c>
      <c r="E26" s="140">
        <f t="shared" si="8"/>
        <v>58.466666666666661</v>
      </c>
      <c r="F26" s="141">
        <f t="shared" si="8"/>
        <v>72.933333333333323</v>
      </c>
      <c r="G26" s="138"/>
      <c r="H26" s="138"/>
      <c r="J26" s="138">
        <f>AVERAGE(C17:F18,C23:F24)</f>
        <v>58.225000000000001</v>
      </c>
    </row>
    <row r="27" spans="2:14" ht="15" thickBot="1">
      <c r="B27" s="142" t="s">
        <v>134</v>
      </c>
      <c r="C27" s="145">
        <f>C26/$D$2</f>
        <v>5.5380952380952388</v>
      </c>
      <c r="D27" s="145">
        <f t="shared" ref="D27:F27" si="9">D26/$D$2</f>
        <v>6.8999999999999986</v>
      </c>
      <c r="E27" s="145">
        <f t="shared" si="9"/>
        <v>8.3523809523809511</v>
      </c>
      <c r="F27" s="146">
        <f t="shared" si="9"/>
        <v>10.419047619047618</v>
      </c>
      <c r="J27" s="138">
        <f>J26*52</f>
        <v>3027.7000000000003</v>
      </c>
    </row>
    <row r="28" spans="2:14" ht="15" thickBot="1">
      <c r="B28" s="153" t="s">
        <v>143</v>
      </c>
      <c r="C28" s="154">
        <f>AVERAGE(C27,C21,C15)</f>
        <v>5.1552380952380954</v>
      </c>
      <c r="D28" s="154">
        <f t="shared" ref="D28:F28" si="10">AVERAGE(D27,D21,D15)</f>
        <v>6.7615873015873014</v>
      </c>
      <c r="E28" s="154">
        <f t="shared" si="10"/>
        <v>8.331428571428571</v>
      </c>
      <c r="F28" s="155">
        <f t="shared" si="10"/>
        <v>10.056825396825397</v>
      </c>
      <c r="J28" s="138">
        <f>J27/365</f>
        <v>8.2950684931506853</v>
      </c>
    </row>
  </sheetData>
  <mergeCells count="2">
    <mergeCell ref="C7:F7"/>
    <mergeCell ref="K7:N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Salary Bench Chart</vt:lpstr>
      <vt:lpstr>Youth Stabilization 12 Beds </vt:lpstr>
      <vt:lpstr>Staffing Supports  </vt:lpstr>
      <vt:lpstr>CAF Spring 2020</vt:lpstr>
      <vt:lpstr>USDA Food</vt:lpstr>
      <vt:lpstr>'CAF Spring 2020'!Print_Area</vt:lpstr>
      <vt:lpstr>'Salary Bench Chart'!Print_Area</vt:lpstr>
      <vt:lpstr>'Staffing Supports  '!Print_Area</vt:lpstr>
      <vt:lpstr>'USDA Food'!Print_Area</vt:lpstr>
      <vt:lpstr>'Youth Stabilization 12 Beds '!Print_Area</vt:lpstr>
      <vt:lpstr>'CAF Spring 2020'!Print_Titles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Stanford</dc:creator>
  <cp:lastModifiedBy>kara</cp:lastModifiedBy>
  <cp:lastPrinted>2020-08-18T16:43:23Z</cp:lastPrinted>
  <dcterms:created xsi:type="dcterms:W3CDTF">2020-04-29T20:10:20Z</dcterms:created>
  <dcterms:modified xsi:type="dcterms:W3CDTF">2020-08-20T17:09:19Z</dcterms:modified>
</cp:coreProperties>
</file>