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1016" tabRatio="749" firstSheet="1" activeTab="1"/>
  </bookViews>
  <sheets>
    <sheet name="CAF Fall 2018" sheetId="18" state="hidden" r:id="rId1"/>
    <sheet name="Models" sheetId="17" r:id="rId2"/>
    <sheet name=" Add on Rates " sheetId="22" r:id="rId3"/>
    <sheet name=" Travel" sheetId="16" r:id="rId4"/>
    <sheet name=" Rates Chart" sheetId="13" r:id="rId5"/>
    <sheet name="Fall 2020 CAF" sheetId="20" r:id="rId6"/>
    <sheet name="Chart" sheetId="23" r:id="rId7"/>
    <sheet name="CAF Spring 2018" sheetId="4" state="hidden" r:id="rId8"/>
    <sheet name="3168 &amp; 3181 FY19 UFR" sheetId="28" state="hidden" r:id="rId9"/>
    <sheet name="3168 FY19 UFR" sheetId="26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sdfasdf" localSheetId="2">#REF!</definedName>
    <definedName name="asdfasdf" localSheetId="8">#REF!</definedName>
    <definedName name="asdfasdf">#REF!</definedName>
    <definedName name="Average" localSheetId="2">#REF!</definedName>
    <definedName name="Average" localSheetId="8">#REF!</definedName>
    <definedName name="Average">#REF!</definedName>
    <definedName name="CAF_NEW" localSheetId="2">[1]RawDataCalcs!$L$70:$DB$70</definedName>
    <definedName name="CAF_NEW">[2]RawDataCalcs!$L$70:$DB$70</definedName>
    <definedName name="Cap" localSheetId="2">[3]RawDataCalcs!$L$70:$DB$70</definedName>
    <definedName name="Cap">[4]RawDataCalcs!$L$13:$DB$13</definedName>
    <definedName name="Data" localSheetId="2">#REF!</definedName>
    <definedName name="Data" localSheetId="8">#REF!</definedName>
    <definedName name="Data">#REF!</definedName>
    <definedName name="Floor" localSheetId="2">[3]RawDataCalcs!$L$69:$DB$69</definedName>
    <definedName name="Floor">[4]RawDataCalcs!$L$12:$DB$12</definedName>
    <definedName name="Funds" localSheetId="2">'[5]RawDataCalcs3386&amp;3401'!$L$68:$DB$68</definedName>
    <definedName name="Funds">'[6]RawDataCalcs3386&amp;3401'!$L$68:$DB$68</definedName>
    <definedName name="gk" localSheetId="2">#REF!</definedName>
    <definedName name="gk" localSheetId="8">#REF!</definedName>
    <definedName name="gk">#REF!</definedName>
    <definedName name="hhh" localSheetId="2">#REF!</definedName>
    <definedName name="hhh" localSheetId="8">#REF!</definedName>
    <definedName name="hhh">#REF!</definedName>
    <definedName name="JailDAverage" localSheetId="2">#REF!</definedName>
    <definedName name="JailDAverage" localSheetId="8">#REF!</definedName>
    <definedName name="JailDAverage">#REF!</definedName>
    <definedName name="JailDCap" localSheetId="2">[7]ALLRawDataCalcs!$L$80:$DB$80</definedName>
    <definedName name="JailDCap">[8]ALLRawDataCalcs!$L$80:$DB$80</definedName>
    <definedName name="JailDFloor" localSheetId="2">[7]ALLRawDataCalcs!$L$79:$DB$79</definedName>
    <definedName name="JailDFloor">[8]ALLRawDataCalcs!$L$79:$DB$79</definedName>
    <definedName name="JailDgk" localSheetId="2">#REF!</definedName>
    <definedName name="JailDgk" localSheetId="8">#REF!</definedName>
    <definedName name="JailDgk">#REF!</definedName>
    <definedName name="JailDMax" localSheetId="2">#REF!</definedName>
    <definedName name="JailDMax" localSheetId="8">#REF!</definedName>
    <definedName name="JailDMax">#REF!</definedName>
    <definedName name="JailDMedian" localSheetId="2">#REF!</definedName>
    <definedName name="JailDMedian" localSheetId="8">#REF!</definedName>
    <definedName name="JailDMedian">#REF!</definedName>
    <definedName name="kls" localSheetId="2">#REF!</definedName>
    <definedName name="kls" localSheetId="8">#REF!</definedName>
    <definedName name="kls">#REF!</definedName>
    <definedName name="ListProviders">'[9]List of Programs'!$A$24:$A$29</definedName>
    <definedName name="Max" localSheetId="2">#REF!</definedName>
    <definedName name="Max" localSheetId="8">#REF!</definedName>
    <definedName name="Max">#REF!</definedName>
    <definedName name="Median" localSheetId="2">#REF!</definedName>
    <definedName name="Median" localSheetId="8">#REF!</definedName>
    <definedName name="Median">#REF!</definedName>
    <definedName name="Min" localSheetId="2">#REF!</definedName>
    <definedName name="Min" localSheetId="8">#REF!</definedName>
    <definedName name="Min">#REF!</definedName>
    <definedName name="MT" localSheetId="2">#REF!</definedName>
    <definedName name="MT" localSheetId="8">#REF!</definedName>
    <definedName name="MT">#REF!</definedName>
    <definedName name="new" localSheetId="2">#REF!</definedName>
    <definedName name="new" localSheetId="8">#REF!</definedName>
    <definedName name="new">#REF!</definedName>
    <definedName name="ok" localSheetId="2">#REF!</definedName>
    <definedName name="ok" localSheetId="8">#REF!</definedName>
    <definedName name="ok">#REF!</definedName>
    <definedName name="_xlnm.Print_Area" localSheetId="2">' Add on Rates '!$A$18:$D$43</definedName>
    <definedName name="_xlnm.Print_Area" localSheetId="4">' Rates Chart'!$B$1:$G$29</definedName>
    <definedName name="_xlnm.Print_Area" localSheetId="3">' Travel'!$A$2:$I$18</definedName>
    <definedName name="_xlnm.Print_Area" localSheetId="7">'CAF Spring 2018'!$BF$14:$BQ$26</definedName>
    <definedName name="_xlnm.Print_Area" localSheetId="6">Chart!$A$3:$G$33</definedName>
    <definedName name="_xlnm.Print_Area" localSheetId="1">Models!$I$54:$M$78</definedName>
    <definedName name="_xlnm.Print_Titles" localSheetId="0">'CAF Fall 2018'!$A:$A</definedName>
    <definedName name="_xlnm.Print_Titles" localSheetId="7">'CAF Spring 2018'!$A:$A</definedName>
    <definedName name="_xlnm.Print_Titles" localSheetId="5">'Fall 2020 CAF'!$A:$A</definedName>
    <definedName name="Program_File" localSheetId="2">#REF!</definedName>
    <definedName name="Program_File" localSheetId="8">#REF!</definedName>
    <definedName name="Program_File">#REF!</definedName>
    <definedName name="Programs">'[9]List of Programs'!$B$3:$B$19</definedName>
    <definedName name="ProvFTE" localSheetId="2">'[10]FTE Data'!$A$3:$AW$56</definedName>
    <definedName name="ProvFTE">'[11]FTE Data'!$A$3:$AW$56</definedName>
    <definedName name="PurchasedBy" localSheetId="2">'[10]FTE Data'!$C$263:$AZ$657</definedName>
    <definedName name="PurchasedBy">'[11]FTE Data'!$C$263:$AZ$657</definedName>
    <definedName name="resmay2007" localSheetId="2">#REF!</definedName>
    <definedName name="resmay2007" localSheetId="8">#REF!</definedName>
    <definedName name="resmay2007">#REF!</definedName>
    <definedName name="Site_list" localSheetId="2">[10]Lists!$A$2:$A$53</definedName>
    <definedName name="Site_list">[11]Lists!$A$2:$A$53</definedName>
    <definedName name="Source" localSheetId="2">#REF!</definedName>
    <definedName name="Source" localSheetId="8">#REF!</definedName>
    <definedName name="Source">#REF!</definedName>
    <definedName name="Source_2" localSheetId="2">#REF!</definedName>
    <definedName name="Source_2" localSheetId="8">#REF!</definedName>
    <definedName name="Source_2">#REF!</definedName>
    <definedName name="SourcePathAndFileName" localSheetId="2">#REF!</definedName>
    <definedName name="SourcePathAndFileName" localSheetId="8">#REF!</definedName>
    <definedName name="SourcePathAndFileName">#REF!</definedName>
    <definedName name="Total_UFR" localSheetId="2">#REF!</definedName>
    <definedName name="Total_UFR" localSheetId="8">#REF!</definedName>
    <definedName name="Total_UFR">#REF!</definedName>
    <definedName name="Total_UFRs" localSheetId="2">#REF!</definedName>
    <definedName name="Total_UFRs" localSheetId="8">#REF!</definedName>
    <definedName name="Total_UFRs">#REF!</definedName>
    <definedName name="Total_UFRs_" localSheetId="2">#REF!</definedName>
    <definedName name="Total_UFRs_" localSheetId="8">#REF!</definedName>
    <definedName name="Total_UFRs_">#REF!</definedName>
    <definedName name="UFR" localSheetId="2">'[12]Complete UFR List'!#REF!</definedName>
    <definedName name="UFR" localSheetId="8">'[12]Complete UFR List'!#REF!</definedName>
    <definedName name="UFR">'[12]Complete UFR List'!#REF!</definedName>
    <definedName name="UFRS" localSheetId="2">'[12]Complete UFR List'!#REF!</definedName>
    <definedName name="UFRS" localSheetId="8">'[12]Complete UFR List'!#REF!</definedName>
    <definedName name="UFRS">'[12]Complete UFR List'!#REF!</definedName>
    <definedName name="Z_A42CE51E_C72B_4FD9_AA64_95248D004B9E_.wvu.PrintTitles" localSheetId="7" hidden="1">'CAF Spring 2018'!$A:$A</definedName>
    <definedName name="Z_BCB9E820_7328_4532_A1BD_CFDDBE1D8A3F_.wvu.PrintTitles" localSheetId="7" hidden="1">'CAF Spring 2018'!$A:$A</definedName>
  </definedNames>
  <calcPr calcId="145621"/>
</workbook>
</file>

<file path=xl/calcChain.xml><?xml version="1.0" encoding="utf-8"?>
<calcChain xmlns="http://schemas.openxmlformats.org/spreadsheetml/2006/main">
  <c r="M78" i="17" l="1"/>
  <c r="M77" i="17"/>
  <c r="M52" i="17"/>
  <c r="M51" i="17"/>
  <c r="U26" i="17"/>
  <c r="U25" i="17"/>
  <c r="M27" i="17"/>
  <c r="M26" i="17"/>
  <c r="D12" i="17" l="1"/>
  <c r="D7" i="17"/>
  <c r="E181" i="28" l="1"/>
  <c r="E180" i="28"/>
  <c r="E177" i="28"/>
  <c r="E176" i="28"/>
  <c r="M72" i="17" l="1"/>
  <c r="M66" i="17"/>
  <c r="I59" i="17"/>
  <c r="D9" i="17"/>
  <c r="R173" i="28" l="1"/>
  <c r="Q172" i="28"/>
  <c r="R172" i="28"/>
  <c r="S172" i="28"/>
  <c r="P172" i="28"/>
  <c r="D15" i="17"/>
  <c r="T16" i="17" s="1"/>
  <c r="U16" i="17" s="1"/>
  <c r="D17" i="17"/>
  <c r="L19" i="17" s="1"/>
  <c r="D16" i="17"/>
  <c r="L18" i="17" s="1"/>
  <c r="M18" i="17" s="1"/>
  <c r="D184" i="28"/>
  <c r="D14" i="17"/>
  <c r="O173" i="28"/>
  <c r="N173" i="28"/>
  <c r="F173" i="28"/>
  <c r="G173" i="28"/>
  <c r="H173" i="28"/>
  <c r="I173" i="28"/>
  <c r="J173" i="28"/>
  <c r="E173" i="28"/>
  <c r="O172" i="28"/>
  <c r="N172" i="28"/>
  <c r="F172" i="28"/>
  <c r="G172" i="28"/>
  <c r="H172" i="28"/>
  <c r="I172" i="28"/>
  <c r="J172" i="28"/>
  <c r="E172" i="28"/>
  <c r="C172" i="28"/>
  <c r="Q164" i="28"/>
  <c r="R164" i="28"/>
  <c r="S164" i="28"/>
  <c r="P164" i="28"/>
  <c r="D164" i="28"/>
  <c r="E164" i="28"/>
  <c r="E166" i="28" s="1"/>
  <c r="F164" i="28"/>
  <c r="F166" i="28" s="1"/>
  <c r="G164" i="28"/>
  <c r="G166" i="28" s="1"/>
  <c r="H164" i="28"/>
  <c r="H166" i="28" s="1"/>
  <c r="I164" i="28"/>
  <c r="I166" i="28" s="1"/>
  <c r="J164" i="28"/>
  <c r="J166" i="28" s="1"/>
  <c r="K164" i="28"/>
  <c r="K166" i="28" s="1"/>
  <c r="L164" i="28"/>
  <c r="L166" i="28" s="1"/>
  <c r="M164" i="28"/>
  <c r="M166" i="28" s="1"/>
  <c r="N164" i="28"/>
  <c r="N166" i="28" s="1"/>
  <c r="O164" i="28"/>
  <c r="O166" i="28" s="1"/>
  <c r="C164" i="28"/>
  <c r="J170" i="28"/>
  <c r="I170" i="28"/>
  <c r="H170" i="28"/>
  <c r="G170" i="28"/>
  <c r="F170" i="28"/>
  <c r="E170" i="28"/>
  <c r="J169" i="28"/>
  <c r="I169" i="28"/>
  <c r="H169" i="28"/>
  <c r="G169" i="28"/>
  <c r="F169" i="28"/>
  <c r="E169" i="28"/>
  <c r="D169" i="28"/>
  <c r="O168" i="28"/>
  <c r="O170" i="28" s="1"/>
  <c r="N168" i="28"/>
  <c r="N169" i="28" s="1"/>
  <c r="M168" i="28"/>
  <c r="M170" i="28" s="1"/>
  <c r="L168" i="28"/>
  <c r="L169" i="28" s="1"/>
  <c r="K168" i="28"/>
  <c r="K170" i="28" s="1"/>
  <c r="L42" i="17" l="1"/>
  <c r="M42" i="17" s="1"/>
  <c r="L69" i="17"/>
  <c r="M69" i="17" s="1"/>
  <c r="N165" i="28"/>
  <c r="L165" i="28"/>
  <c r="J165" i="28"/>
  <c r="H165" i="28"/>
  <c r="F165" i="28"/>
  <c r="D165" i="28"/>
  <c r="D13" i="17" s="1"/>
  <c r="O165" i="28"/>
  <c r="M165" i="28"/>
  <c r="K165" i="28"/>
  <c r="I165" i="28"/>
  <c r="G165" i="28"/>
  <c r="E165" i="28"/>
  <c r="R165" i="28"/>
  <c r="K169" i="28"/>
  <c r="M169" i="28"/>
  <c r="O169" i="28"/>
  <c r="L170" i="28"/>
  <c r="N170" i="28"/>
  <c r="O99" i="26" l="1"/>
  <c r="N99" i="26"/>
  <c r="M99" i="26"/>
  <c r="O98" i="26"/>
  <c r="N98" i="26"/>
  <c r="N97" i="26"/>
  <c r="O97" i="26"/>
  <c r="E99" i="26"/>
  <c r="L97" i="26"/>
  <c r="L99" i="26" s="1"/>
  <c r="M97" i="26"/>
  <c r="M98" i="26" s="1"/>
  <c r="K97" i="26"/>
  <c r="K99" i="26" s="1"/>
  <c r="K98" i="26" l="1"/>
  <c r="L98" i="26"/>
  <c r="F99" i="26" l="1"/>
  <c r="G99" i="26"/>
  <c r="H99" i="26"/>
  <c r="I99" i="26"/>
  <c r="J99" i="26"/>
  <c r="J98" i="26"/>
  <c r="F98" i="26"/>
  <c r="G98" i="26"/>
  <c r="H98" i="26"/>
  <c r="I98" i="26"/>
  <c r="E98" i="26"/>
  <c r="D98" i="26"/>
  <c r="L17" i="17" l="1"/>
  <c r="M17" i="17" s="1"/>
  <c r="K40" i="17"/>
  <c r="D6" i="17"/>
  <c r="K7" i="17" s="1"/>
  <c r="M7" i="17" s="1"/>
  <c r="I8" i="17" l="1"/>
  <c r="I7" i="17"/>
  <c r="M19" i="17" l="1"/>
  <c r="T9" i="17" l="1"/>
  <c r="G18" i="13" l="1"/>
  <c r="G17" i="13"/>
  <c r="D8" i="17"/>
  <c r="K58" i="17" s="1"/>
  <c r="M58" i="17" s="1"/>
  <c r="C24" i="23"/>
  <c r="H23" i="23"/>
  <c r="D23" i="23"/>
  <c r="D24" i="23" s="1"/>
  <c r="C22" i="23"/>
  <c r="H21" i="23"/>
  <c r="D21" i="23"/>
  <c r="D22" i="23" s="1"/>
  <c r="C20" i="23"/>
  <c r="H19" i="23"/>
  <c r="D19" i="23"/>
  <c r="D20" i="23" s="1"/>
  <c r="C18" i="23"/>
  <c r="H17" i="23"/>
  <c r="D17" i="23"/>
  <c r="D18" i="23" s="1"/>
  <c r="C16" i="23"/>
  <c r="H15" i="23"/>
  <c r="D15" i="23"/>
  <c r="D16" i="23" s="1"/>
  <c r="C14" i="23"/>
  <c r="H13" i="23"/>
  <c r="D13" i="23"/>
  <c r="D14" i="23" s="1"/>
  <c r="C12" i="23"/>
  <c r="D11" i="23"/>
  <c r="D12" i="23" s="1"/>
  <c r="C10" i="23"/>
  <c r="H9" i="23"/>
  <c r="D9" i="23"/>
  <c r="D10" i="23" s="1"/>
  <c r="C8" i="23"/>
  <c r="H7" i="23"/>
  <c r="D7" i="23"/>
  <c r="D8" i="23" s="1"/>
  <c r="C6" i="23"/>
  <c r="H5" i="23"/>
  <c r="D5" i="23"/>
  <c r="D6" i="23" s="1"/>
  <c r="J5" i="23" l="1"/>
  <c r="J9" i="23"/>
  <c r="J13" i="23"/>
  <c r="J17" i="23"/>
  <c r="J21" i="23"/>
  <c r="J7" i="23"/>
  <c r="J15" i="23"/>
  <c r="J19" i="23"/>
  <c r="J23" i="23"/>
  <c r="C33" i="22" l="1"/>
  <c r="B33" i="22"/>
  <c r="D39" i="22"/>
  <c r="D38" i="22"/>
  <c r="C32" i="22"/>
  <c r="B32" i="22"/>
  <c r="D25" i="22"/>
  <c r="C23" i="22"/>
  <c r="C20" i="22"/>
  <c r="C21" i="22" s="1"/>
  <c r="C22" i="22" s="1"/>
  <c r="B20" i="22"/>
  <c r="B19" i="22"/>
  <c r="B23" i="22" s="1"/>
  <c r="D7" i="22"/>
  <c r="D4" i="22"/>
  <c r="D5" i="22" s="1"/>
  <c r="D6" i="22" s="1"/>
  <c r="C4" i="22"/>
  <c r="B4" i="22"/>
  <c r="C3" i="22"/>
  <c r="B3" i="22"/>
  <c r="L10" i="17"/>
  <c r="D40" i="22" l="1"/>
  <c r="D41" i="22" s="1"/>
  <c r="C26" i="22" s="1"/>
  <c r="C7" i="22"/>
  <c r="C5" i="22"/>
  <c r="C6" i="22" s="1"/>
  <c r="B7" i="22"/>
  <c r="B5" i="22"/>
  <c r="B6" i="22" s="1"/>
  <c r="D8" i="22"/>
  <c r="C24" i="22"/>
  <c r="B21" i="22"/>
  <c r="B22" i="22" s="1"/>
  <c r="B24" i="22" s="1"/>
  <c r="K74" i="17"/>
  <c r="K62" i="17"/>
  <c r="K48" i="17"/>
  <c r="K36" i="17"/>
  <c r="K23" i="17"/>
  <c r="S22" i="17" s="1"/>
  <c r="K11" i="17"/>
  <c r="S10" i="17" s="1"/>
  <c r="C9" i="17"/>
  <c r="C12" i="17"/>
  <c r="C14" i="17"/>
  <c r="B26" i="22" l="1"/>
  <c r="B25" i="22"/>
  <c r="B28" i="22" s="1"/>
  <c r="C25" i="22"/>
  <c r="C27" i="22" s="1"/>
  <c r="D9" i="22"/>
  <c r="D10" i="22" s="1"/>
  <c r="B8" i="22"/>
  <c r="C8" i="22"/>
  <c r="B27" i="22" l="1"/>
  <c r="D13" i="22"/>
  <c r="D12" i="22"/>
  <c r="D11" i="22"/>
  <c r="B31" i="22"/>
  <c r="B29" i="22"/>
  <c r="B30" i="22"/>
  <c r="C9" i="22"/>
  <c r="C10" i="22" s="1"/>
  <c r="B9" i="22"/>
  <c r="B10" i="22" s="1"/>
  <c r="D20" i="17"/>
  <c r="K75" i="17" s="1"/>
  <c r="BX24" i="20"/>
  <c r="BV24" i="20"/>
  <c r="BU24" i="20"/>
  <c r="BT24" i="20"/>
  <c r="BS24" i="20"/>
  <c r="BR24" i="20"/>
  <c r="BQ24" i="20"/>
  <c r="BP24" i="20"/>
  <c r="BO24" i="20"/>
  <c r="BV23" i="20"/>
  <c r="BU23" i="20"/>
  <c r="BT23" i="20"/>
  <c r="BS23" i="20"/>
  <c r="BR23" i="20"/>
  <c r="BQ23" i="20"/>
  <c r="BP23" i="20"/>
  <c r="BO23" i="20"/>
  <c r="BO20" i="20"/>
  <c r="BX20" i="20" s="1"/>
  <c r="B13" i="22" l="1"/>
  <c r="B12" i="22"/>
  <c r="B11" i="22"/>
  <c r="C13" i="22"/>
  <c r="C12" i="22"/>
  <c r="C11" i="22"/>
  <c r="K24" i="17"/>
  <c r="S23" i="17" s="1"/>
  <c r="K49" i="17"/>
  <c r="BX26" i="20"/>
  <c r="T17" i="17"/>
  <c r="U17" i="17" s="1"/>
  <c r="T18" i="17"/>
  <c r="U18" i="17" s="1"/>
  <c r="K15" i="17" l="1"/>
  <c r="M15" i="17" s="1"/>
  <c r="M20" i="17" s="1"/>
  <c r="K16" i="17"/>
  <c r="M16" i="17" s="1"/>
  <c r="L43" i="17"/>
  <c r="M43" i="17" s="1"/>
  <c r="L44" i="17"/>
  <c r="M44" i="17" s="1"/>
  <c r="K63" i="17"/>
  <c r="K37" i="17"/>
  <c r="K12" i="17"/>
  <c r="S11" i="17" l="1"/>
  <c r="K41" i="17"/>
  <c r="S15" i="17"/>
  <c r="U15" i="17" s="1"/>
  <c r="S14" i="17"/>
  <c r="U14" i="17" s="1"/>
  <c r="L71" i="17"/>
  <c r="M71" i="17" s="1"/>
  <c r="L70" i="17"/>
  <c r="K67" i="17"/>
  <c r="BO24" i="18"/>
  <c r="BN24" i="18"/>
  <c r="BM24" i="18"/>
  <c r="BL24" i="18"/>
  <c r="BK24" i="18"/>
  <c r="BJ24" i="18"/>
  <c r="BI24" i="18"/>
  <c r="BH24" i="18"/>
  <c r="BO23" i="18"/>
  <c r="BN23" i="18"/>
  <c r="BM23" i="18"/>
  <c r="BL23" i="18"/>
  <c r="BK23" i="18"/>
  <c r="BJ23" i="18"/>
  <c r="BI23" i="18"/>
  <c r="BH23" i="18"/>
  <c r="BH20" i="18"/>
  <c r="BQ20" i="18" s="1"/>
  <c r="K68" i="17" l="1"/>
  <c r="U19" i="17"/>
  <c r="BQ24" i="18"/>
  <c r="BQ26" i="18" s="1"/>
  <c r="L61" i="17" l="1"/>
  <c r="I57" i="17"/>
  <c r="M55" i="17"/>
  <c r="L35" i="17"/>
  <c r="I32" i="17"/>
  <c r="I6" i="17"/>
  <c r="Q6" i="17" s="1"/>
  <c r="M40" i="17" l="1"/>
  <c r="M41" i="17"/>
  <c r="M70" i="17"/>
  <c r="M68" i="17"/>
  <c r="M67" i="17"/>
  <c r="K8" i="17"/>
  <c r="K59" i="17"/>
  <c r="M59" i="17" s="1"/>
  <c r="M8" i="17" l="1"/>
  <c r="S7" i="17"/>
  <c r="U7" i="17" s="1"/>
  <c r="M45" i="17"/>
  <c r="K34" i="17"/>
  <c r="M34" i="17" s="1"/>
  <c r="K33" i="17"/>
  <c r="M33" i="17" s="1"/>
  <c r="K9" i="17"/>
  <c r="K60" i="17"/>
  <c r="M60" i="17" s="1"/>
  <c r="K57" i="17"/>
  <c r="M57" i="17" s="1"/>
  <c r="K32" i="17"/>
  <c r="M32" i="17" s="1"/>
  <c r="K6" i="17"/>
  <c r="M35" i="17" l="1"/>
  <c r="M36" i="17" s="1"/>
  <c r="M37" i="17"/>
  <c r="M61" i="17"/>
  <c r="M6" i="17"/>
  <c r="S6" i="17"/>
  <c r="U6" i="17" s="1"/>
  <c r="M9" i="17"/>
  <c r="S8" i="17"/>
  <c r="U8" i="17" s="1"/>
  <c r="M10" i="17" l="1"/>
  <c r="U9" i="17"/>
  <c r="M62" i="17"/>
  <c r="M63" i="17"/>
  <c r="M12" i="17" l="1"/>
  <c r="M11" i="17"/>
  <c r="M13" i="17"/>
  <c r="M22" i="17" s="1"/>
  <c r="U10" i="17"/>
  <c r="U11" i="17"/>
  <c r="U12" i="17" s="1"/>
  <c r="U21" i="17" s="1"/>
  <c r="M64" i="17"/>
  <c r="M73" i="17" s="1"/>
  <c r="M38" i="17"/>
  <c r="M47" i="17" s="1"/>
  <c r="C13" i="16"/>
  <c r="C14" i="16" s="1"/>
  <c r="C15" i="16" s="1"/>
  <c r="D5" i="16"/>
  <c r="D6" i="16" s="1"/>
  <c r="D7" i="16" s="1"/>
  <c r="D8" i="16" s="1"/>
  <c r="M23" i="17" l="1"/>
  <c r="M24" i="17" s="1"/>
  <c r="M25" i="17" s="1"/>
  <c r="M74" i="17"/>
  <c r="M75" i="17" s="1"/>
  <c r="M76" i="17" s="1"/>
  <c r="D9" i="16"/>
  <c r="G5" i="16" s="1"/>
  <c r="U22" i="17"/>
  <c r="U23" i="17" s="1"/>
  <c r="U24" i="17" s="1"/>
  <c r="M48" i="17"/>
  <c r="M49" i="17" s="1"/>
  <c r="C16" i="16"/>
  <c r="G6" i="16" s="1"/>
  <c r="F21" i="13"/>
  <c r="G7" i="16" l="1"/>
  <c r="G8" i="16" s="1"/>
  <c r="G14" i="13"/>
  <c r="M50" i="17"/>
  <c r="C27" i="13"/>
  <c r="C25" i="13"/>
  <c r="D21" i="13"/>
  <c r="C21" i="13" s="1"/>
  <c r="D18" i="13"/>
  <c r="C18" i="13" s="1"/>
  <c r="D17" i="13"/>
  <c r="C17" i="13" s="1"/>
  <c r="D14" i="13"/>
  <c r="C14" i="13" s="1"/>
  <c r="C13" i="13"/>
  <c r="D9" i="13"/>
  <c r="C8" i="13"/>
  <c r="D7" i="13"/>
  <c r="C7" i="13" s="1"/>
  <c r="G7" i="13" l="1"/>
  <c r="G9" i="13"/>
  <c r="D26" i="13"/>
  <c r="C26" i="13" s="1"/>
  <c r="C9" i="13"/>
  <c r="D28" i="13"/>
  <c r="G26" i="13" l="1"/>
  <c r="C28" i="13"/>
  <c r="F17" i="13" l="1"/>
  <c r="F18" i="13" l="1"/>
  <c r="G28" i="13" l="1"/>
  <c r="BO23" i="4" l="1"/>
  <c r="BN23" i="4"/>
  <c r="BM23" i="4"/>
  <c r="BL23" i="4"/>
  <c r="BK23" i="4"/>
  <c r="BJ23" i="4"/>
  <c r="BI23" i="4"/>
  <c r="BH23" i="4"/>
  <c r="BQ23" i="4" s="1"/>
  <c r="BQ25" i="4" s="1"/>
  <c r="BO22" i="4"/>
  <c r="BN22" i="4"/>
  <c r="BM22" i="4"/>
  <c r="BL22" i="4"/>
  <c r="BK22" i="4"/>
  <c r="BJ22" i="4"/>
  <c r="BI22" i="4"/>
  <c r="BH22" i="4"/>
  <c r="BQ19" i="4"/>
  <c r="BH19" i="4"/>
  <c r="F9" i="13" l="1"/>
  <c r="F14" i="13" l="1"/>
  <c r="F28" i="13" l="1"/>
  <c r="E28" i="13"/>
  <c r="F26" i="13"/>
  <c r="F7" i="13"/>
  <c r="G21" i="13" l="1"/>
</calcChain>
</file>

<file path=xl/sharedStrings.xml><?xml version="1.0" encoding="utf-8"?>
<sst xmlns="http://schemas.openxmlformats.org/spreadsheetml/2006/main" count="746" uniqueCount="346">
  <si>
    <t>Service Unit: Per Person Per Hour</t>
  </si>
  <si>
    <t>Position</t>
  </si>
  <si>
    <t>Salary</t>
  </si>
  <si>
    <t>FTE</t>
  </si>
  <si>
    <t>Expense</t>
  </si>
  <si>
    <t xml:space="preserve">Direct Care </t>
  </si>
  <si>
    <t>Total Staff</t>
  </si>
  <si>
    <t>Tax &amp; Fringe</t>
  </si>
  <si>
    <t>Total Compensation</t>
  </si>
  <si>
    <t>Total Reimb Excl M &amp; G</t>
  </si>
  <si>
    <t>Admin Allocation</t>
  </si>
  <si>
    <t>TOTAL PROGRAM EXPENSE</t>
  </si>
  <si>
    <t>Hourly Rate</t>
  </si>
  <si>
    <t>Rate for 15 Minutes</t>
  </si>
  <si>
    <t>Massachusetts Economic Indicators</t>
  </si>
  <si>
    <t>IHS Markit Economics Spring 2018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</si>
  <si>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</si>
  <si>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</si>
  <si>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</si>
  <si>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</si>
  <si>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</si>
  <si>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</si>
  <si>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</si>
  <si>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</si>
  <si>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</si>
  <si>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</si>
  <si>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</si>
  <si>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</si>
  <si>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</si>
  <si>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</si>
  <si>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</si>
  <si>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</si>
  <si>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</si>
  <si>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</si>
  <si>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</si>
  <si>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</si>
  <si>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</si>
  <si>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</si>
  <si>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</si>
  <si>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</si>
  <si>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</si>
  <si>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</si>
  <si>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</si>
  <si>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</si>
  <si>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</si>
  <si>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</si>
  <si>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</si>
  <si>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</si>
  <si>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</si>
  <si>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</si>
  <si>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</si>
  <si>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</si>
  <si>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</si>
  <si>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</si>
  <si>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</si>
  <si>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</si>
  <si>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</si>
  <si>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</si>
  <si>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</si>
  <si>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</si>
  <si>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</si>
  <si>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</si>
  <si>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</si>
  <si>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</si>
  <si>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</si>
  <si>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</si>
  <si>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</si>
  <si>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</si>
  <si>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</si>
  <si>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</si>
  <si>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</si>
  <si>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</si>
  <si>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</si>
  <si>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</si>
  <si>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</si>
  <si>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</si>
  <si>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</si>
  <si>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</si>
  <si>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</si>
  <si>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</si>
  <si>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</si>
  <si>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</si>
  <si>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</si>
  <si>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</si>
  <si>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</si>
  <si>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</si>
  <si>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</si>
  <si>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</si>
  <si>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</si>
  <si>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</si>
  <si>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</si>
  <si>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</si>
  <si>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</si>
  <si>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</si>
  <si>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</si>
  <si>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</si>
  <si>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</si>
  <si>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</si>
  <si>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</si>
  <si>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</si>
  <si>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</si>
  <si>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</si>
  <si>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</si>
  <si>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</si>
  <si>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2019</t>
  </si>
  <si>
    <t xml:space="preserve">Base period: </t>
  </si>
  <si>
    <t>FY20Q2</t>
  </si>
  <si>
    <t>Average</t>
  </si>
  <si>
    <t xml:space="preserve">Prospective rate period: </t>
  </si>
  <si>
    <t>FY20 &amp; FY21</t>
  </si>
  <si>
    <t>CAF:</t>
  </si>
  <si>
    <t xml:space="preserve">  </t>
  </si>
  <si>
    <t>Group Supported Employment - 3181</t>
  </si>
  <si>
    <t>Total Slots</t>
  </si>
  <si>
    <t>Hours</t>
  </si>
  <si>
    <t>Clients per FTE</t>
  </si>
  <si>
    <t>Group Supported Employment- HI INTENSITY - 3181</t>
  </si>
  <si>
    <t>Total Hours per DC Staff</t>
  </si>
  <si>
    <t>Rate</t>
  </si>
  <si>
    <t>Employment Specialist</t>
  </si>
  <si>
    <t xml:space="preserve">Total Slots  </t>
  </si>
  <si>
    <t>Benchmark Salary</t>
  </si>
  <si>
    <t>Source</t>
  </si>
  <si>
    <t>Management</t>
  </si>
  <si>
    <t>Benchmark Expenses</t>
  </si>
  <si>
    <t>Admin. Allocation</t>
  </si>
  <si>
    <t>PFMLA Trust Contribution</t>
  </si>
  <si>
    <t>Effective 7/1/19</t>
  </si>
  <si>
    <t>Direct Care</t>
  </si>
  <si>
    <t>Mileage</t>
  </si>
  <si>
    <t>15 Minutes</t>
  </si>
  <si>
    <t>101 CMR 419.00: RATES FOR SUPPORTED EMPLOYMENT</t>
  </si>
  <si>
    <t>PROPOSED 1/1/18 - 12/31/19</t>
  </si>
  <si>
    <t>PPH Adj.</t>
  </si>
  <si>
    <t xml:space="preserve">CAF Rate - </t>
  </si>
  <si>
    <t xml:space="preserve">NEW RATE - </t>
  </si>
  <si>
    <t>BASE SERVICE</t>
  </si>
  <si>
    <t xml:space="preserve"> HOUR</t>
  </si>
  <si>
    <t>1/4 HOUR</t>
  </si>
  <si>
    <t>Individual Supported Employment - 3168</t>
  </si>
  <si>
    <t>Center Based Work Services - 3169</t>
  </si>
  <si>
    <t xml:space="preserve">HIGH INTENSITY SERVICE/SPECIALIZED </t>
  </si>
  <si>
    <t>PROGRAM RATES</t>
  </si>
  <si>
    <t>High Intensity Center Based Work Services - 3169</t>
  </si>
  <si>
    <t>High Intensity Group Supported Employment - 3181</t>
  </si>
  <si>
    <t>ADD-ON SERVICES</t>
  </si>
  <si>
    <t>TRANSPORTATION TO INDIVIDUAL JOB SITES</t>
  </si>
  <si>
    <t>ENHANCED STAFFING FOR HIGHER INTENSITY CLIENTS</t>
  </si>
  <si>
    <t>(COMBINED ADD-ON AND BASE SERVICE RATES)</t>
  </si>
  <si>
    <t>1:1 Center Based Work Services</t>
  </si>
  <si>
    <t>1:1 Group Supported Employment</t>
  </si>
  <si>
    <t>1:3 Center Based Work Services</t>
  </si>
  <si>
    <t>1:3 Group Supported Employment</t>
  </si>
  <si>
    <t>FY20 CAF</t>
  </si>
  <si>
    <t>Direct Care / Support Staffing</t>
  </si>
  <si>
    <t xml:space="preserve">Support </t>
  </si>
  <si>
    <t xml:space="preserve">Per </t>
  </si>
  <si>
    <t>TRAVEL ADD-ON</t>
  </si>
  <si>
    <t>Mileage Add-on Calculation</t>
  </si>
  <si>
    <t>Rate per Mile</t>
  </si>
  <si>
    <t>Mileage Estimate</t>
  </si>
  <si>
    <t>Add-on</t>
  </si>
  <si>
    <t>FY16 CAF</t>
  </si>
  <si>
    <t>Wage</t>
  </si>
  <si>
    <t>FY18 CAF</t>
  </si>
  <si>
    <t>Hourly</t>
  </si>
  <si>
    <t>Option 2 Driver Wage Component</t>
  </si>
  <si>
    <t>15 minutes</t>
  </si>
  <si>
    <t>Supported Employment</t>
  </si>
  <si>
    <t>Supported Employment: Master Data Look-up Table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</si>
  <si>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</si>
  <si>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</si>
  <si>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</si>
  <si>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</si>
  <si>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</si>
  <si>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</si>
  <si>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</si>
  <si>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</si>
  <si>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</si>
  <si>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</si>
  <si>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</si>
  <si>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CBDS &amp; SE Rate Reviews that are to be promulgated July 1, 2019</t>
  </si>
  <si>
    <t>Proposed Rate</t>
  </si>
  <si>
    <t>FY21 Commonwealth (office of the Comptroller)</t>
  </si>
  <si>
    <t>PFMLA</t>
  </si>
  <si>
    <t>Proposed FY22 Rate</t>
  </si>
  <si>
    <t>OCCUPANCY</t>
  </si>
  <si>
    <t>STAFF TRAINING</t>
  </si>
  <si>
    <t>STAFF MILEAGE</t>
  </si>
  <si>
    <t>SUP &amp; MAT</t>
  </si>
  <si>
    <t>OTHER EXP</t>
  </si>
  <si>
    <t>BLS Benchmark</t>
  </si>
  <si>
    <t>Direct Care III</t>
  </si>
  <si>
    <t>IHS Markit, Fall 2020 Forecast</t>
  </si>
  <si>
    <t>FY20Q1</t>
  </si>
  <si>
    <t>FY20Q3</t>
  </si>
  <si>
    <t>FY20Q4</t>
  </si>
  <si>
    <t>FY21Q1</t>
  </si>
  <si>
    <t>FY21Q2</t>
  </si>
  <si>
    <t>FY21Q3</t>
  </si>
  <si>
    <t>FY21Q4</t>
  </si>
  <si>
    <t>FY22Q1</t>
  </si>
  <si>
    <t>FY22Q2</t>
  </si>
  <si>
    <t>FY22Q3</t>
  </si>
  <si>
    <t>FY22Q4</t>
  </si>
  <si>
    <t>2024Q1</t>
  </si>
  <si>
    <t>2024Q2</t>
  </si>
  <si>
    <t>2024Q3</t>
  </si>
  <si>
    <t>2024Q4</t>
  </si>
  <si>
    <t>CBDS &amp; SE Rate Reviews that are to be promulgated July 1, 2021</t>
  </si>
  <si>
    <t>FY21 &amp; FY22</t>
  </si>
  <si>
    <t>Median</t>
  </si>
  <si>
    <t>Avg</t>
  </si>
  <si>
    <t>High School diploma / GED / State Training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</si>
  <si>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</si>
  <si>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</si>
  <si>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</si>
  <si>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</si>
  <si>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</si>
  <si>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</si>
  <si>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</si>
  <si>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</si>
  <si>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</si>
  <si>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</si>
  <si>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</si>
  <si>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Case Manager / Social Worker / Clinical w/o independent License (hourly)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</si>
  <si>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</si>
  <si>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</si>
  <si>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</si>
  <si>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</si>
  <si>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</si>
  <si>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</si>
  <si>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</si>
  <si>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</si>
  <si>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</si>
  <si>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</si>
  <si>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</si>
  <si>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</si>
  <si>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</si>
  <si>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</si>
  <si>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</si>
  <si>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</si>
  <si>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</si>
  <si>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</si>
  <si>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</si>
  <si>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c. 257 Benchmark</t>
  </si>
  <si>
    <t>CAF</t>
  </si>
  <si>
    <t>Direct Care Productivity Chart</t>
  </si>
  <si>
    <t>Days</t>
  </si>
  <si>
    <t>Paid Time Off (PTO)</t>
  </si>
  <si>
    <t>Training (not OJT)</t>
  </si>
  <si>
    <t>Total Hours per FTE:</t>
  </si>
  <si>
    <t>Billable Hours</t>
  </si>
  <si>
    <t>FY22 CAF</t>
  </si>
  <si>
    <t>FY22 &amp; FY23</t>
  </si>
  <si>
    <t xml:space="preserve">Monthly Add-on Rates </t>
  </si>
  <si>
    <t>Certified Nursing Assistant</t>
  </si>
  <si>
    <t>Total Tax &amp; Fringe</t>
  </si>
  <si>
    <t>Subtotal Compensation</t>
  </si>
  <si>
    <t>TOTAL COMPENSATION</t>
  </si>
  <si>
    <t>Proposed FY22 Monthly Rates (1.0 FTE)</t>
  </si>
  <si>
    <t>Proposed FY22 Monthly Rates (0.75FTE)</t>
  </si>
  <si>
    <t>Proposed FY22 Monthly Rates (0.50FTE)</t>
  </si>
  <si>
    <t>Proposed FY22 Monthly Rates (0.25FTE)</t>
  </si>
  <si>
    <t>Monthly Rate (1.0 FTE Add-on)</t>
  </si>
  <si>
    <t>Monthly Rate (0.75 FTE Add-on)</t>
  </si>
  <si>
    <t>Monthly Rate (0.50 FTE Add-on)</t>
  </si>
  <si>
    <t>Monthly Rate (0.25 FTE Add-on)</t>
  </si>
  <si>
    <t>N/A</t>
  </si>
  <si>
    <t xml:space="preserve"> Rates (per hour)</t>
  </si>
  <si>
    <t xml:space="preserve"> Rates (per 1/4 hour)</t>
  </si>
  <si>
    <t xml:space="preserve">BLS /OES Massachusetts Median </t>
  </si>
  <si>
    <t>Commonwealth FY21Rate</t>
  </si>
  <si>
    <t xml:space="preserve"> Add-on Rates</t>
  </si>
  <si>
    <t>Source:</t>
  </si>
  <si>
    <t>2017 / 2018</t>
  </si>
  <si>
    <t>BLS / OES</t>
  </si>
  <si>
    <t>BLS MA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</si>
  <si>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</si>
  <si>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</si>
  <si>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</si>
  <si>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</si>
  <si>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</si>
  <si>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</si>
  <si>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Direct Care  (annual)</t>
  </si>
  <si>
    <t>LDAC1</t>
  </si>
  <si>
    <t>LDAC2,  LMSW, LCSW</t>
  </si>
  <si>
    <t>Clinical Manager, Clinical Director</t>
  </si>
  <si>
    <t>Support &amp; Direct Care Relief Staff are benched to Direct Care</t>
  </si>
  <si>
    <t xml:space="preserve">Overnight staff (asleep or awake) benchmarked to $14.25 / hr </t>
  </si>
  <si>
    <t xml:space="preserve">Tax and Fringe  =  </t>
  </si>
  <si>
    <t xml:space="preserve"> leave, retirement and Paid Family Medical Leave tax</t>
  </si>
  <si>
    <t xml:space="preserve">Benchmarked to FY21 Commonwealth (office of the Comptroller) T&amp;F rate, less </t>
  </si>
  <si>
    <t>CY21 min. wage = $13.50 and CY22 min. wage = $14.25</t>
  </si>
  <si>
    <t>Benchmarked to FY21 Commonwealth (office of the Comptroller) T&amp;F rate, less terminal</t>
  </si>
  <si>
    <t>Initial Individual Supported Employment  - 3168</t>
  </si>
  <si>
    <r>
      <t xml:space="preserve">Ongoing Individual Supported Employment  - 3168 </t>
    </r>
    <r>
      <rPr>
        <b/>
        <sz val="10"/>
        <color rgb="FFFF0000"/>
        <rFont val="Calibri"/>
        <family val="2"/>
        <scheme val="minor"/>
      </rPr>
      <t>NEW RATE</t>
    </r>
  </si>
  <si>
    <t>PER FTE</t>
  </si>
  <si>
    <t>Per FTE</t>
  </si>
  <si>
    <t>Per Unit (hour)</t>
  </si>
  <si>
    <t>Occupancy</t>
  </si>
  <si>
    <t>Staff Mileage</t>
  </si>
  <si>
    <t>Training</t>
  </si>
  <si>
    <t>Case Manager</t>
  </si>
  <si>
    <t>OCCUPANCY (ISE 3168)</t>
  </si>
  <si>
    <t>OCCUPANCY (GSE 3181)</t>
  </si>
  <si>
    <t>Clinical (MA Level)</t>
  </si>
  <si>
    <t>OrganizationName</t>
  </si>
  <si>
    <t>UFRProg Number</t>
  </si>
  <si>
    <t>Sum of FTE</t>
  </si>
  <si>
    <t xml:space="preserve">Client Transportation </t>
  </si>
  <si>
    <t>Vehicle Expenses</t>
  </si>
  <si>
    <t>Vehicle Depreciation</t>
  </si>
  <si>
    <t>Prog Supps and Mats</t>
  </si>
  <si>
    <t>Program Director</t>
  </si>
  <si>
    <t>Program Functional Manager</t>
  </si>
  <si>
    <t xml:space="preserve"> FTE</t>
  </si>
  <si>
    <t>Annualized Utilization estimated from FY20                 (pre-COVID 07/19 - 02/20)</t>
  </si>
  <si>
    <t>FY20 Monthly Avg</t>
  </si>
  <si>
    <t>Anualized Est. (Monthly * 12)</t>
  </si>
  <si>
    <t>ISE</t>
  </si>
  <si>
    <t>GSE</t>
  </si>
  <si>
    <t>Total</t>
  </si>
  <si>
    <t>Initial</t>
  </si>
  <si>
    <t>Ongoing</t>
  </si>
  <si>
    <t>Standard</t>
  </si>
  <si>
    <t>High Int.</t>
  </si>
  <si>
    <t>GSE 1:1</t>
  </si>
  <si>
    <t>GSE 1:3</t>
  </si>
  <si>
    <t>Per Unit</t>
  </si>
  <si>
    <t>Incidental Medical /Medicine/Pharmacy 209</t>
  </si>
  <si>
    <t>Client Personal Allowances 211</t>
  </si>
  <si>
    <t>Provision Material Goods/Svs./Benefits 212</t>
  </si>
  <si>
    <t>Other Expenses</t>
  </si>
  <si>
    <t>Program Support</t>
  </si>
  <si>
    <t xml:space="preserve">These figures are </t>
  </si>
  <si>
    <t>for 3168 only</t>
  </si>
  <si>
    <t>These figures are for 3181 Only</t>
  </si>
  <si>
    <t>Both Combined 3181 and 3168</t>
  </si>
  <si>
    <t>Wtg Average from  FY19 UFR data for 3181&amp;3168 per FTE</t>
  </si>
  <si>
    <t>Wtg Average from  FY19 UFR data for 3181</t>
  </si>
  <si>
    <t>Consultant</t>
  </si>
  <si>
    <t>Benchmarked to CBDS</t>
  </si>
  <si>
    <t>Employment Specialist (Caseworker)</t>
  </si>
  <si>
    <t>Wtg Average from  FY19 UFR data for 3168 factor 40%</t>
  </si>
  <si>
    <t xml:space="preserve">Transportation to and from job sites up to one hour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</si>
</sst>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0.000"/>
    <numFmt numFmtId="167" formatCode="_(&quot;$&quot;* #,##0_);_(&quot;$&quot;* \(#,##0\);_(&quot;$&quot;* &quot;-&quot;??_);_(@_)"/>
    <numFmt numFmtId="168" formatCode="&quot;$&quot;#,##0.00"/>
    <numFmt numFmtId="169" formatCode="&quot;$&quot;#,##0"/>
    <numFmt numFmtId="170" formatCode="0.0000"/>
    <numFmt numFmtId="172" formatCode="_(&quot;$&quot;* #,##0.000_);_(&quot;$&quot;* \(#,##0.000\);_(&quot;$&quot;* &quot;-&quot;??_);_(@_)"/>
    <numFmt numFmtId="173" formatCode="[$-409]mmmm\ d\,\ yyyy;@"/>
    <numFmt numFmtId="174" formatCode="0.0%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64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</font>
    <font>
      <sz val="11"/>
      <name val="Arial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sz val="10"/>
      <name val="Verdana"/>
      <family val="2"/>
    </font>
    <font>
      <b/>
      <sz val="12"/>
      <color indexed="3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10"/>
      <name val="Calibri"/>
      <family val="2"/>
      <scheme val="minor"/>
    </font>
    <font>
      <b/>
      <sz val="11"/>
      <name val="Calibri"/>
      <family val="2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5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4" applyNumberFormat="0" applyAlignment="0" applyProtection="0"/>
    <xf numFmtId="0" fontId="16" fillId="30" borderId="25" applyNumberFormat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0" borderId="26" applyNumberFormat="0" applyFill="0" applyAlignment="0" applyProtection="0"/>
    <xf numFmtId="0" fontId="22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0" applyNumberFormat="0" applyFill="0" applyBorder="0" applyAlignment="0" applyProtection="0"/>
    <xf numFmtId="0" fontId="24" fillId="16" borderId="24" applyNumberFormat="0" applyAlignment="0" applyProtection="0"/>
    <xf numFmtId="0" fontId="25" fillId="0" borderId="29" applyNumberFormat="0" applyFill="0" applyAlignment="0" applyProtection="0"/>
    <xf numFmtId="0" fontId="26" fillId="31" borderId="0" applyNumberFormat="0" applyBorder="0" applyAlignment="0" applyProtection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32" borderId="30" applyNumberFormat="0" applyFont="0" applyAlignment="0" applyProtection="0"/>
    <xf numFmtId="0" fontId="30" fillId="29" borderId="31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3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1" fillId="0" borderId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60" fillId="40" borderId="0" applyNumberFormat="0" applyBorder="0" applyAlignment="0" applyProtection="0"/>
    <xf numFmtId="0" fontId="49" fillId="0" borderId="64" applyNumberFormat="0" applyFont="0" applyProtection="0">
      <alignment wrapText="1"/>
    </xf>
    <xf numFmtId="0" fontId="15" fillId="29" borderId="24" applyNumberFormat="0" applyAlignment="0" applyProtection="0"/>
    <xf numFmtId="0" fontId="15" fillId="29" borderId="24" applyNumberFormat="0" applyAlignment="0" applyProtection="0"/>
    <xf numFmtId="41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65" applyNumberFormat="0" applyProtection="0">
      <alignment wrapText="1"/>
    </xf>
    <xf numFmtId="0" fontId="62" fillId="0" borderId="66" applyNumberFormat="0" applyProtection="0">
      <alignment wrapText="1"/>
    </xf>
    <xf numFmtId="0" fontId="53" fillId="0" borderId="58" applyNumberFormat="0" applyFill="0" applyAlignment="0" applyProtection="0"/>
    <xf numFmtId="0" fontId="21" fillId="0" borderId="26" applyNumberFormat="0" applyFill="0" applyAlignment="0" applyProtection="0"/>
    <xf numFmtId="0" fontId="54" fillId="0" borderId="59" applyNumberFormat="0" applyFill="0" applyAlignment="0" applyProtection="0"/>
    <xf numFmtId="0" fontId="22" fillId="0" borderId="27" applyNumberFormat="0" applyFill="0" applyAlignment="0" applyProtection="0"/>
    <xf numFmtId="0" fontId="55" fillId="0" borderId="60" applyNumberFormat="0" applyFill="0" applyAlignment="0" applyProtection="0"/>
    <xf numFmtId="0" fontId="23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4" fillId="16" borderId="24" applyNumberFormat="0" applyAlignment="0" applyProtection="0"/>
    <xf numFmtId="0" fontId="24" fillId="16" borderId="24" applyNumberFormat="0" applyAlignment="0" applyProtection="0"/>
    <xf numFmtId="0" fontId="57" fillId="0" borderId="61" applyNumberFormat="0" applyFill="0" applyAlignment="0" applyProtection="0"/>
    <xf numFmtId="0" fontId="25" fillId="0" borderId="29" applyNumberFormat="0" applyFill="0" applyAlignment="0" applyProtection="0"/>
    <xf numFmtId="0" fontId="56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8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8" fillId="0" borderId="0"/>
    <xf numFmtId="0" fontId="6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27" fillId="0" borderId="0">
      <alignment vertical="top"/>
    </xf>
    <xf numFmtId="0" fontId="64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2" borderId="62" applyNumberFormat="0" applyFont="0" applyAlignment="0" applyProtection="0"/>
    <xf numFmtId="0" fontId="2" fillId="32" borderId="30" applyNumberFormat="0" applyFont="0" applyAlignment="0" applyProtection="0"/>
    <xf numFmtId="0" fontId="30" fillId="29" borderId="31" applyNumberFormat="0" applyAlignment="0" applyProtection="0"/>
    <xf numFmtId="0" fontId="30" fillId="29" borderId="31" applyNumberFormat="0" applyAlignment="0" applyProtection="0"/>
    <xf numFmtId="0" fontId="62" fillId="0" borderId="67" applyNumberFormat="0" applyProtection="0">
      <alignment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5" fillId="0" borderId="0" applyNumberFormat="0" applyProtection="0">
      <alignment horizontal="left"/>
    </xf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5" fillId="0" borderId="63" applyNumberFormat="0" applyFill="0" applyAlignment="0" applyProtection="0"/>
    <xf numFmtId="0" fontId="33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58" applyNumberFormat="0" applyFill="0" applyAlignment="0" applyProtection="0"/>
    <xf numFmtId="0" fontId="54" fillId="0" borderId="59" applyNumberFormat="0" applyFill="0" applyAlignment="0" applyProtection="0"/>
    <xf numFmtId="0" fontId="55" fillId="0" borderId="60" applyNumberFormat="0" applyFill="0" applyAlignment="0" applyProtection="0"/>
    <xf numFmtId="0" fontId="55" fillId="0" borderId="0" applyNumberFormat="0" applyFill="0" applyBorder="0" applyAlignment="0" applyProtection="0"/>
    <xf numFmtId="0" fontId="84" fillId="50" borderId="0" applyNumberFormat="0" applyBorder="0" applyAlignment="0" applyProtection="0"/>
    <xf numFmtId="0" fontId="85" fillId="40" borderId="0" applyNumberFormat="0" applyBorder="0" applyAlignment="0" applyProtection="0"/>
    <xf numFmtId="0" fontId="56" fillId="41" borderId="0" applyNumberFormat="0" applyBorder="0" applyAlignment="0" applyProtection="0"/>
    <xf numFmtId="0" fontId="86" fillId="51" borderId="71" applyNumberFormat="0" applyAlignment="0" applyProtection="0"/>
    <xf numFmtId="0" fontId="87" fillId="52" borderId="72" applyNumberFormat="0" applyAlignment="0" applyProtection="0"/>
    <xf numFmtId="0" fontId="88" fillId="52" borderId="71" applyNumberFormat="0" applyAlignment="0" applyProtection="0"/>
    <xf numFmtId="0" fontId="57" fillId="0" borderId="61" applyNumberFormat="0" applyFill="0" applyAlignment="0" applyProtection="0"/>
    <xf numFmtId="0" fontId="89" fillId="53" borderId="73" applyNumberFormat="0" applyAlignment="0" applyProtection="0"/>
    <xf numFmtId="0" fontId="58" fillId="0" borderId="0" applyNumberFormat="0" applyFill="0" applyBorder="0" applyAlignment="0" applyProtection="0"/>
    <xf numFmtId="0" fontId="1" fillId="42" borderId="62" applyNumberFormat="0" applyFont="0" applyAlignment="0" applyProtection="0"/>
    <xf numFmtId="0" fontId="59" fillId="0" borderId="0" applyNumberFormat="0" applyFill="0" applyBorder="0" applyAlignment="0" applyProtection="0"/>
    <xf numFmtId="0" fontId="35" fillId="0" borderId="63" applyNumberFormat="0" applyFill="0" applyAlignment="0" applyProtection="0"/>
    <xf numFmtId="0" fontId="36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36" fillId="43" borderId="0" applyNumberFormat="0" applyBorder="0" applyAlignment="0" applyProtection="0"/>
    <xf numFmtId="0" fontId="36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6" fillId="44" borderId="0" applyNumberFormat="0" applyBorder="0" applyAlignment="0" applyProtection="0"/>
    <xf numFmtId="0" fontId="36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36" fillId="45" borderId="0" applyNumberFormat="0" applyBorder="0" applyAlignment="0" applyProtection="0"/>
    <xf numFmtId="0" fontId="36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36" fillId="47" borderId="0" applyNumberFormat="0" applyBorder="0" applyAlignment="0" applyProtection="0"/>
    <xf numFmtId="0" fontId="36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36" fillId="48" borderId="0" applyNumberFormat="0" applyBorder="0" applyAlignment="0" applyProtection="0"/>
    <xf numFmtId="0" fontId="18" fillId="0" borderId="0"/>
  </cellStyleXfs>
  <cellXfs count="615">
    <xf numFmtId="0" fontId="0" fillId="0" borderId="0" xfId="0"/>
    <xf numFmtId="0" fontId="2" fillId="0" borderId="0" xfId="3"/>
    <xf numFmtId="0" fontId="8" fillId="0" borderId="0" xfId="3" applyFont="1"/>
    <xf numFmtId="0" fontId="2" fillId="6" borderId="0" xfId="4" applyFont="1" applyFill="1"/>
    <xf numFmtId="0" fontId="9" fillId="6" borderId="0" xfId="4" applyFont="1" applyFill="1"/>
    <xf numFmtId="0" fontId="9" fillId="7" borderId="0" xfId="4" applyFont="1" applyFill="1"/>
    <xf numFmtId="0" fontId="9" fillId="3" borderId="0" xfId="4" applyFont="1" applyFill="1"/>
    <xf numFmtId="0" fontId="9" fillId="8" borderId="0" xfId="4" applyFont="1" applyFill="1"/>
    <xf numFmtId="0" fontId="9" fillId="9" borderId="0" xfId="4" applyFont="1" applyFill="1"/>
    <xf numFmtId="0" fontId="9" fillId="10" borderId="0" xfId="4" applyFont="1" applyFill="1"/>
    <xf numFmtId="14" fontId="8" fillId="0" borderId="0" xfId="3" applyNumberFormat="1" applyFont="1"/>
    <xf numFmtId="166" fontId="2" fillId="0" borderId="0" xfId="3" applyNumberFormat="1"/>
    <xf numFmtId="0" fontId="8" fillId="4" borderId="0" xfId="3" applyFont="1" applyFill="1"/>
    <xf numFmtId="166" fontId="2" fillId="4" borderId="0" xfId="3" applyNumberFormat="1" applyFill="1"/>
    <xf numFmtId="0" fontId="2" fillId="4" borderId="0" xfId="3" applyFill="1"/>
    <xf numFmtId="0" fontId="8" fillId="0" borderId="0" xfId="5" applyFont="1"/>
    <xf numFmtId="0" fontId="2" fillId="0" borderId="0" xfId="5"/>
    <xf numFmtId="0" fontId="10" fillId="0" borderId="0" xfId="5" applyFont="1"/>
    <xf numFmtId="0" fontId="11" fillId="0" borderId="0" xfId="5" applyFont="1"/>
    <xf numFmtId="0" fontId="2" fillId="0" borderId="17" xfId="5" applyBorder="1"/>
    <xf numFmtId="0" fontId="2" fillId="0" borderId="18" xfId="5" applyBorder="1"/>
    <xf numFmtId="0" fontId="2" fillId="0" borderId="19" xfId="5" applyBorder="1"/>
    <xf numFmtId="0" fontId="2" fillId="0" borderId="20" xfId="5" applyBorder="1"/>
    <xf numFmtId="0" fontId="2" fillId="0" borderId="0" xfId="5" applyBorder="1" applyAlignment="1">
      <alignment horizontal="right"/>
    </xf>
    <xf numFmtId="0" fontId="2" fillId="0" borderId="0" xfId="5" applyBorder="1"/>
    <xf numFmtId="0" fontId="2" fillId="0" borderId="21" xfId="5" applyBorder="1"/>
    <xf numFmtId="14" fontId="8" fillId="0" borderId="0" xfId="6" applyNumberFormat="1" applyFont="1"/>
    <xf numFmtId="0" fontId="12" fillId="0" borderId="21" xfId="5" applyFont="1" applyBorder="1" applyAlignment="1">
      <alignment horizontal="center"/>
    </xf>
    <xf numFmtId="166" fontId="2" fillId="0" borderId="0" xfId="5" applyNumberFormat="1" applyBorder="1"/>
    <xf numFmtId="166" fontId="2" fillId="0" borderId="21" xfId="5" applyNumberFormat="1" applyBorder="1" applyAlignment="1">
      <alignment horizontal="center"/>
    </xf>
    <xf numFmtId="0" fontId="2" fillId="0" borderId="21" xfId="5" applyBorder="1" applyAlignment="1">
      <alignment horizontal="center"/>
    </xf>
    <xf numFmtId="0" fontId="8" fillId="4" borderId="0" xfId="5" applyFont="1" applyFill="1" applyBorder="1" applyAlignment="1">
      <alignment horizontal="right"/>
    </xf>
    <xf numFmtId="10" fontId="8" fillId="4" borderId="21" xfId="7" applyNumberFormat="1" applyFont="1" applyFill="1" applyBorder="1" applyAlignment="1">
      <alignment horizontal="center"/>
    </xf>
    <xf numFmtId="0" fontId="2" fillId="0" borderId="22" xfId="5" applyBorder="1"/>
    <xf numFmtId="0" fontId="2" fillId="0" borderId="7" xfId="5" applyBorder="1"/>
    <xf numFmtId="0" fontId="2" fillId="0" borderId="23" xfId="5" applyBorder="1"/>
    <xf numFmtId="0" fontId="2" fillId="0" borderId="0" xfId="3" applyFont="1"/>
    <xf numFmtId="0" fontId="0" fillId="0" borderId="0" xfId="0" applyBorder="1"/>
    <xf numFmtId="0" fontId="0" fillId="0" borderId="5" xfId="0" applyBorder="1"/>
    <xf numFmtId="0" fontId="0" fillId="0" borderId="0" xfId="0" applyFill="1"/>
    <xf numFmtId="0" fontId="0" fillId="0" borderId="6" xfId="0" applyBorder="1"/>
    <xf numFmtId="164" fontId="37" fillId="0" borderId="4" xfId="0" applyNumberFormat="1" applyFont="1" applyBorder="1" applyAlignment="1">
      <alignment horizontal="left"/>
    </xf>
    <xf numFmtId="0" fontId="37" fillId="0" borderId="5" xfId="0" applyFont="1" applyBorder="1" applyAlignment="1"/>
    <xf numFmtId="0" fontId="37" fillId="0" borderId="4" xfId="0" applyFont="1" applyFill="1" applyBorder="1" applyAlignment="1">
      <alignment horizontal="left"/>
    </xf>
    <xf numFmtId="0" fontId="37" fillId="0" borderId="4" xfId="0" applyFont="1" applyBorder="1" applyAlignment="1">
      <alignment horizontal="left"/>
    </xf>
    <xf numFmtId="170" fontId="0" fillId="0" borderId="0" xfId="0" applyNumberFormat="1"/>
    <xf numFmtId="0" fontId="37" fillId="0" borderId="0" xfId="0" applyFont="1" applyBorder="1" applyAlignment="1"/>
    <xf numFmtId="169" fontId="37" fillId="0" borderId="0" xfId="116" applyNumberFormat="1" applyFont="1" applyFill="1" applyBorder="1" applyAlignment="1">
      <alignment horizontal="center"/>
    </xf>
    <xf numFmtId="168" fontId="0" fillId="0" borderId="0" xfId="0" applyNumberFormat="1"/>
    <xf numFmtId="0" fontId="0" fillId="0" borderId="0" xfId="0" applyAlignment="1">
      <alignment horizontal="center"/>
    </xf>
    <xf numFmtId="0" fontId="33" fillId="0" borderId="0" xfId="0" applyFont="1" applyFill="1" applyBorder="1"/>
    <xf numFmtId="0" fontId="0" fillId="0" borderId="37" xfId="0" applyBorder="1"/>
    <xf numFmtId="8" fontId="0" fillId="0" borderId="0" xfId="0" applyNumberFormat="1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10" fontId="35" fillId="33" borderId="9" xfId="0" applyNumberFormat="1" applyFont="1" applyFill="1" applyBorder="1" applyAlignment="1">
      <alignment horizontal="center" vertical="center" wrapText="1"/>
    </xf>
    <xf numFmtId="10" fontId="35" fillId="33" borderId="11" xfId="0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35" fillId="0" borderId="49" xfId="0" applyFont="1" applyBorder="1" applyAlignment="1">
      <alignment horizontal="center"/>
    </xf>
    <xf numFmtId="0" fontId="42" fillId="0" borderId="41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168" fontId="0" fillId="0" borderId="50" xfId="0" applyNumberFormat="1" applyBorder="1" applyAlignment="1">
      <alignment horizontal="center"/>
    </xf>
    <xf numFmtId="168" fontId="35" fillId="34" borderId="51" xfId="0" applyNumberFormat="1" applyFont="1" applyFill="1" applyBorder="1" applyAlignment="1">
      <alignment horizontal="center"/>
    </xf>
    <xf numFmtId="0" fontId="0" fillId="35" borderId="37" xfId="0" applyFill="1" applyBorder="1"/>
    <xf numFmtId="168" fontId="0" fillId="0" borderId="37" xfId="0" applyNumberFormat="1" applyBorder="1" applyAlignment="1">
      <alignment horizontal="center"/>
    </xf>
    <xf numFmtId="168" fontId="35" fillId="34" borderId="44" xfId="0" applyNumberFormat="1" applyFont="1" applyFill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0" fontId="42" fillId="0" borderId="37" xfId="0" applyFont="1" applyBorder="1" applyAlignment="1">
      <alignment horizontal="center"/>
    </xf>
    <xf numFmtId="168" fontId="0" fillId="35" borderId="42" xfId="0" applyNumberFormat="1" applyFill="1" applyBorder="1" applyAlignment="1">
      <alignment horizontal="center"/>
    </xf>
    <xf numFmtId="168" fontId="35" fillId="34" borderId="42" xfId="0" applyNumberFormat="1" applyFont="1" applyFill="1" applyBorder="1" applyAlignment="1">
      <alignment horizontal="center"/>
    </xf>
    <xf numFmtId="0" fontId="0" fillId="35" borderId="37" xfId="0" applyFont="1" applyFill="1" applyBorder="1"/>
    <xf numFmtId="0" fontId="0" fillId="0" borderId="37" xfId="0" applyFont="1" applyBorder="1"/>
    <xf numFmtId="168" fontId="0" fillId="34" borderId="42" xfId="0" applyNumberFormat="1" applyFill="1" applyBorder="1" applyAlignment="1">
      <alignment horizontal="center"/>
    </xf>
    <xf numFmtId="0" fontId="0" fillId="0" borderId="35" xfId="0" applyFont="1" applyBorder="1"/>
    <xf numFmtId="168" fontId="0" fillId="0" borderId="35" xfId="0" applyNumberFormat="1" applyBorder="1" applyAlignment="1">
      <alignment horizontal="center"/>
    </xf>
    <xf numFmtId="168" fontId="35" fillId="34" borderId="52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43" fillId="0" borderId="0" xfId="0" applyFont="1"/>
    <xf numFmtId="6" fontId="0" fillId="0" borderId="0" xfId="0" applyNumberFormat="1" applyFill="1" applyBorder="1"/>
    <xf numFmtId="0" fontId="0" fillId="0" borderId="0" xfId="0" applyFill="1" applyBorder="1"/>
    <xf numFmtId="8" fontId="0" fillId="0" borderId="33" xfId="0" applyNumberFormat="1" applyFont="1" applyFill="1" applyBorder="1"/>
    <xf numFmtId="0" fontId="35" fillId="0" borderId="34" xfId="0" applyFont="1" applyFill="1" applyBorder="1" applyAlignment="1">
      <alignment horizontal="center"/>
    </xf>
    <xf numFmtId="168" fontId="35" fillId="0" borderId="4" xfId="0" applyNumberFormat="1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168" fontId="35" fillId="0" borderId="9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68" fontId="35" fillId="0" borderId="53" xfId="0" applyNumberFormat="1" applyFont="1" applyFill="1" applyBorder="1" applyAlignment="1">
      <alignment horizontal="center"/>
    </xf>
    <xf numFmtId="168" fontId="35" fillId="0" borderId="53" xfId="0" applyNumberFormat="1" applyFont="1" applyBorder="1" applyAlignment="1">
      <alignment horizontal="center"/>
    </xf>
    <xf numFmtId="168" fontId="3" fillId="0" borderId="53" xfId="0" applyNumberFormat="1" applyFont="1" applyFill="1" applyBorder="1" applyAlignment="1">
      <alignment horizontal="center"/>
    </xf>
    <xf numFmtId="168" fontId="35" fillId="0" borderId="54" xfId="0" applyNumberFormat="1" applyFont="1" applyFill="1" applyBorder="1" applyAlignment="1">
      <alignment horizontal="center"/>
    </xf>
    <xf numFmtId="168" fontId="0" fillId="0" borderId="53" xfId="0" applyNumberFormat="1" applyFill="1" applyBorder="1" applyAlignment="1">
      <alignment horizontal="center"/>
    </xf>
    <xf numFmtId="168" fontId="0" fillId="0" borderId="53" xfId="0" applyNumberFormat="1" applyBorder="1" applyAlignment="1">
      <alignment horizontal="center"/>
    </xf>
    <xf numFmtId="168" fontId="0" fillId="0" borderId="54" xfId="0" applyNumberFormat="1" applyBorder="1" applyAlignment="1">
      <alignment horizontal="center"/>
    </xf>
    <xf numFmtId="169" fontId="37" fillId="0" borderId="0" xfId="53" applyNumberFormat="1" applyFont="1" applyFill="1" applyBorder="1" applyAlignment="1">
      <alignment horizontal="center" vertical="center"/>
    </xf>
    <xf numFmtId="0" fontId="35" fillId="0" borderId="4" xfId="0" applyFont="1" applyBorder="1"/>
    <xf numFmtId="0" fontId="0" fillId="0" borderId="43" xfId="0" applyBorder="1"/>
    <xf numFmtId="0" fontId="39" fillId="0" borderId="33" xfId="0" applyFont="1" applyBorder="1" applyAlignment="1">
      <alignment horizontal="center" wrapText="1"/>
    </xf>
    <xf numFmtId="0" fontId="33" fillId="0" borderId="33" xfId="0" applyFont="1" applyFill="1" applyBorder="1" applyAlignment="1">
      <alignment horizontal="center" vertical="center"/>
    </xf>
    <xf numFmtId="0" fontId="35" fillId="0" borderId="0" xfId="0" applyFont="1" applyBorder="1"/>
    <xf numFmtId="168" fontId="35" fillId="0" borderId="0" xfId="0" applyNumberFormat="1" applyFont="1" applyBorder="1"/>
    <xf numFmtId="0" fontId="35" fillId="0" borderId="7" xfId="0" applyFont="1" applyBorder="1"/>
    <xf numFmtId="168" fontId="35" fillId="0" borderId="7" xfId="0" applyNumberFormat="1" applyFont="1" applyBorder="1"/>
    <xf numFmtId="0" fontId="35" fillId="0" borderId="40" xfId="0" applyFont="1" applyBorder="1"/>
    <xf numFmtId="168" fontId="35" fillId="4" borderId="40" xfId="0" applyNumberFormat="1" applyFont="1" applyFill="1" applyBorder="1"/>
    <xf numFmtId="8" fontId="0" fillId="0" borderId="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3" xfId="0" applyFill="1" applyBorder="1"/>
    <xf numFmtId="0" fontId="35" fillId="0" borderId="4" xfId="0" applyFont="1" applyFill="1" applyBorder="1"/>
    <xf numFmtId="0" fontId="0" fillId="0" borderId="37" xfId="0" applyFill="1" applyBorder="1"/>
    <xf numFmtId="0" fontId="0" fillId="0" borderId="33" xfId="0" applyFill="1" applyBorder="1" applyAlignment="1">
      <alignment horizontal="center"/>
    </xf>
    <xf numFmtId="168" fontId="4" fillId="0" borderId="33" xfId="0" applyNumberFormat="1" applyFont="1" applyFill="1" applyBorder="1" applyAlignment="1">
      <alignment horizontal="center"/>
    </xf>
    <xf numFmtId="168" fontId="35" fillId="4" borderId="0" xfId="0" applyNumberFormat="1" applyFont="1" applyFill="1" applyBorder="1"/>
    <xf numFmtId="168" fontId="0" fillId="0" borderId="37" xfId="0" applyNumberFormat="1" applyFill="1" applyBorder="1" applyAlignment="1">
      <alignment horizontal="center"/>
    </xf>
    <xf numFmtId="168" fontId="35" fillId="0" borderId="42" xfId="0" applyNumberFormat="1" applyFont="1" applyFill="1" applyBorder="1" applyAlignment="1">
      <alignment horizontal="center"/>
    </xf>
    <xf numFmtId="167" fontId="4" fillId="0" borderId="0" xfId="47" applyNumberFormat="1" applyFont="1" applyFill="1" applyBorder="1"/>
    <xf numFmtId="167" fontId="27" fillId="0" borderId="0" xfId="47" applyNumberFormat="1" applyFont="1" applyFill="1" applyBorder="1" applyAlignment="1">
      <alignment horizontal="center" wrapText="1"/>
    </xf>
    <xf numFmtId="44" fontId="0" fillId="0" borderId="0" xfId="0" applyNumberFormat="1" applyFill="1" applyBorder="1"/>
    <xf numFmtId="0" fontId="0" fillId="0" borderId="43" xfId="0" applyFill="1" applyBorder="1"/>
    <xf numFmtId="0" fontId="47" fillId="0" borderId="0" xfId="0" applyFont="1" applyFill="1" applyBorder="1"/>
    <xf numFmtId="0" fontId="44" fillId="0" borderId="0" xfId="0" applyFont="1" applyFill="1" applyBorder="1"/>
    <xf numFmtId="0" fontId="38" fillId="0" borderId="0" xfId="0" applyFont="1" applyFill="1" applyBorder="1" applyAlignment="1"/>
    <xf numFmtId="0" fontId="45" fillId="0" borderId="0" xfId="0" applyFont="1" applyFill="1" applyBorder="1" applyAlignment="1"/>
    <xf numFmtId="0" fontId="45" fillId="0" borderId="0" xfId="0" applyFont="1" applyFill="1" applyBorder="1"/>
    <xf numFmtId="0" fontId="46" fillId="0" borderId="0" xfId="0" applyFont="1" applyFill="1" applyBorder="1" applyAlignment="1"/>
    <xf numFmtId="0" fontId="38" fillId="0" borderId="0" xfId="0" applyFont="1" applyFill="1" applyBorder="1"/>
    <xf numFmtId="0" fontId="49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68" fontId="33" fillId="0" borderId="0" xfId="0" applyNumberFormat="1" applyFont="1" applyFill="1" applyBorder="1"/>
    <xf numFmtId="0" fontId="0" fillId="0" borderId="0" xfId="0" applyFill="1" applyBorder="1" applyAlignment="1">
      <alignment wrapText="1"/>
    </xf>
    <xf numFmtId="8" fontId="0" fillId="0" borderId="0" xfId="0" applyNumberFormat="1" applyFont="1" applyFill="1" applyBorder="1"/>
    <xf numFmtId="168" fontId="0" fillId="0" borderId="0" xfId="0" applyNumberFormat="1" applyFill="1" applyBorder="1"/>
    <xf numFmtId="167" fontId="48" fillId="0" borderId="0" xfId="47" applyNumberFormat="1" applyFont="1" applyFill="1" applyBorder="1" applyAlignment="1">
      <alignment horizontal="center" wrapText="1"/>
    </xf>
    <xf numFmtId="0" fontId="40" fillId="0" borderId="0" xfId="0" applyFont="1" applyFill="1" applyBorder="1"/>
    <xf numFmtId="169" fontId="33" fillId="0" borderId="0" xfId="0" applyNumberFormat="1" applyFont="1" applyFill="1" applyBorder="1"/>
    <xf numFmtId="8" fontId="33" fillId="0" borderId="0" xfId="0" applyNumberFormat="1" applyFont="1" applyFill="1" applyBorder="1"/>
    <xf numFmtId="167" fontId="6" fillId="0" borderId="0" xfId="47" applyNumberFormat="1" applyFont="1" applyFill="1" applyBorder="1"/>
    <xf numFmtId="167" fontId="2" fillId="0" borderId="0" xfId="47" applyNumberFormat="1" applyFont="1" applyFill="1" applyBorder="1"/>
    <xf numFmtId="0" fontId="39" fillId="0" borderId="0" xfId="0" applyFont="1" applyFill="1" applyBorder="1"/>
    <xf numFmtId="167" fontId="49" fillId="0" borderId="0" xfId="47" applyNumberFormat="1" applyFont="1" applyFill="1" applyBorder="1"/>
    <xf numFmtId="44" fontId="4" fillId="0" borderId="0" xfId="47" applyNumberFormat="1" applyFont="1" applyFill="1" applyBorder="1"/>
    <xf numFmtId="0" fontId="41" fillId="0" borderId="0" xfId="0" applyFont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5" fillId="5" borderId="15" xfId="74" applyFont="1" applyFill="1" applyBorder="1"/>
    <xf numFmtId="0" fontId="6" fillId="5" borderId="16" xfId="74" applyFont="1" applyFill="1" applyBorder="1"/>
    <xf numFmtId="0" fontId="2" fillId="0" borderId="0" xfId="74"/>
    <xf numFmtId="0" fontId="6" fillId="5" borderId="0" xfId="74" applyFont="1" applyFill="1" applyBorder="1"/>
    <xf numFmtId="0" fontId="8" fillId="5" borderId="5" xfId="74" applyFont="1" applyFill="1" applyBorder="1"/>
    <xf numFmtId="0" fontId="7" fillId="5" borderId="10" xfId="74" applyFont="1" applyFill="1" applyBorder="1"/>
    <xf numFmtId="0" fontId="8" fillId="5" borderId="11" xfId="74" applyFont="1" applyFill="1" applyBorder="1"/>
    <xf numFmtId="0" fontId="8" fillId="0" borderId="0" xfId="74" applyFont="1"/>
    <xf numFmtId="0" fontId="9" fillId="8" borderId="0" xfId="92" applyFont="1" applyFill="1"/>
    <xf numFmtId="0" fontId="9" fillId="9" borderId="0" xfId="92" applyFont="1" applyFill="1"/>
    <xf numFmtId="0" fontId="9" fillId="10" borderId="0" xfId="92" applyFont="1" applyFill="1"/>
    <xf numFmtId="0" fontId="9" fillId="36" borderId="0" xfId="92" applyFont="1" applyFill="1"/>
    <xf numFmtId="0" fontId="9" fillId="37" borderId="0" xfId="92" applyFont="1" applyFill="1"/>
    <xf numFmtId="14" fontId="8" fillId="0" borderId="0" xfId="74" applyNumberFormat="1" applyFont="1"/>
    <xf numFmtId="166" fontId="2" fillId="0" borderId="0" xfId="74" applyNumberFormat="1"/>
    <xf numFmtId="0" fontId="8" fillId="0" borderId="0" xfId="88" applyFont="1"/>
    <xf numFmtId="0" fontId="2" fillId="0" borderId="0" xfId="88"/>
    <xf numFmtId="0" fontId="10" fillId="0" borderId="0" xfId="88" applyFont="1"/>
    <xf numFmtId="0" fontId="11" fillId="0" borderId="0" xfId="88" applyFont="1"/>
    <xf numFmtId="0" fontId="2" fillId="0" borderId="17" xfId="88" applyBorder="1"/>
    <xf numFmtId="0" fontId="2" fillId="0" borderId="18" xfId="88" applyBorder="1"/>
    <xf numFmtId="0" fontId="2" fillId="0" borderId="19" xfId="88" applyBorder="1"/>
    <xf numFmtId="0" fontId="2" fillId="0" borderId="20" xfId="88" applyBorder="1"/>
    <xf numFmtId="0" fontId="2" fillId="0" borderId="0" xfId="88" applyBorder="1" applyAlignment="1">
      <alignment horizontal="right"/>
    </xf>
    <xf numFmtId="0" fontId="2" fillId="0" borderId="0" xfId="88" applyBorder="1"/>
    <xf numFmtId="0" fontId="2" fillId="0" borderId="21" xfId="88" applyBorder="1"/>
    <xf numFmtId="0" fontId="12" fillId="0" borderId="21" xfId="88" applyFont="1" applyBorder="1" applyAlignment="1">
      <alignment horizontal="center"/>
    </xf>
    <xf numFmtId="166" fontId="2" fillId="0" borderId="0" xfId="74" applyNumberFormat="1" applyAlignment="1">
      <alignment horizontal="left"/>
    </xf>
    <xf numFmtId="166" fontId="2" fillId="0" borderId="21" xfId="88" applyNumberFormat="1" applyBorder="1" applyAlignment="1">
      <alignment horizontal="center"/>
    </xf>
    <xf numFmtId="0" fontId="2" fillId="0" borderId="21" xfId="88" applyBorder="1" applyAlignment="1">
      <alignment horizontal="center"/>
    </xf>
    <xf numFmtId="14" fontId="8" fillId="0" borderId="0" xfId="74" applyNumberFormat="1" applyFont="1" applyAlignment="1">
      <alignment horizontal="right"/>
    </xf>
    <xf numFmtId="0" fontId="8" fillId="4" borderId="0" xfId="88" applyFont="1" applyFill="1" applyBorder="1" applyAlignment="1">
      <alignment horizontal="right"/>
    </xf>
    <xf numFmtId="0" fontId="2" fillId="0" borderId="22" xfId="88" applyBorder="1"/>
    <xf numFmtId="0" fontId="2" fillId="0" borderId="7" xfId="88" applyBorder="1"/>
    <xf numFmtId="0" fontId="2" fillId="0" borderId="23" xfId="88" applyBorder="1"/>
    <xf numFmtId="44" fontId="0" fillId="0" borderId="0" xfId="116" applyFont="1"/>
    <xf numFmtId="169" fontId="37" fillId="38" borderId="0" xfId="116" applyNumberFormat="1" applyFont="1" applyFill="1" applyBorder="1" applyAlignment="1">
      <alignment horizontal="center"/>
    </xf>
    <xf numFmtId="164" fontId="37" fillId="0" borderId="20" xfId="80" applyNumberFormat="1" applyFont="1" applyFill="1" applyBorder="1"/>
    <xf numFmtId="14" fontId="37" fillId="0" borderId="0" xfId="2" applyNumberFormat="1" applyFont="1" applyAlignment="1">
      <alignment horizontal="left"/>
    </xf>
    <xf numFmtId="0" fontId="37" fillId="0" borderId="0" xfId="2" applyFont="1"/>
    <xf numFmtId="0" fontId="50" fillId="7" borderId="16" xfId="0" applyFont="1" applyFill="1" applyBorder="1" applyAlignment="1">
      <alignment horizontal="center" vertical="center"/>
    </xf>
    <xf numFmtId="0" fontId="50" fillId="0" borderId="4" xfId="2" applyFont="1" applyBorder="1"/>
    <xf numFmtId="0" fontId="50" fillId="0" borderId="0" xfId="2" applyFont="1" applyBorder="1"/>
    <xf numFmtId="0" fontId="50" fillId="0" borderId="0" xfId="2" applyFont="1" applyBorder="1" applyAlignment="1">
      <alignment horizontal="center"/>
    </xf>
    <xf numFmtId="0" fontId="50" fillId="0" borderId="0" xfId="2" applyFont="1" applyBorder="1" applyAlignment="1">
      <alignment horizontal="right"/>
    </xf>
    <xf numFmtId="3" fontId="50" fillId="0" borderId="5" xfId="2" applyNumberFormat="1" applyFont="1" applyBorder="1" applyAlignment="1">
      <alignment horizontal="center"/>
    </xf>
    <xf numFmtId="0" fontId="50" fillId="0" borderId="6" xfId="2" applyFont="1" applyBorder="1"/>
    <xf numFmtId="0" fontId="50" fillId="0" borderId="7" xfId="2" applyFont="1" applyBorder="1"/>
    <xf numFmtId="0" fontId="50" fillId="0" borderId="7" xfId="2" applyFont="1" applyBorder="1" applyAlignment="1">
      <alignment horizontal="center"/>
    </xf>
    <xf numFmtId="0" fontId="50" fillId="0" borderId="8" xfId="2" applyFont="1" applyBorder="1" applyAlignment="1">
      <alignment horizontal="center"/>
    </xf>
    <xf numFmtId="164" fontId="37" fillId="0" borderId="4" xfId="2" applyNumberFormat="1" applyFont="1" applyBorder="1"/>
    <xf numFmtId="164" fontId="37" fillId="0" borderId="0" xfId="2" applyNumberFormat="1" applyFont="1" applyBorder="1"/>
    <xf numFmtId="6" fontId="37" fillId="0" borderId="0" xfId="2" applyNumberFormat="1" applyFont="1" applyBorder="1" applyAlignment="1">
      <alignment horizontal="center"/>
    </xf>
    <xf numFmtId="2" fontId="37" fillId="0" borderId="0" xfId="2" applyNumberFormat="1" applyFont="1" applyBorder="1" applyAlignment="1">
      <alignment horizontal="center"/>
    </xf>
    <xf numFmtId="6" fontId="37" fillId="0" borderId="5" xfId="2" applyNumberFormat="1" applyFont="1" applyBorder="1"/>
    <xf numFmtId="0" fontId="37" fillId="0" borderId="0" xfId="2" applyFont="1" applyBorder="1" applyAlignment="1">
      <alignment horizontal="center"/>
    </xf>
    <xf numFmtId="165" fontId="37" fillId="0" borderId="4" xfId="2" applyNumberFormat="1" applyFont="1" applyFill="1" applyBorder="1"/>
    <xf numFmtId="165" fontId="37" fillId="0" borderId="0" xfId="2" applyNumberFormat="1" applyFont="1" applyFill="1" applyBorder="1"/>
    <xf numFmtId="165" fontId="37" fillId="0" borderId="9" xfId="2" applyNumberFormat="1" applyFont="1" applyBorder="1"/>
    <xf numFmtId="165" fontId="37" fillId="0" borderId="10" xfId="2" applyNumberFormat="1" applyFont="1" applyBorder="1"/>
    <xf numFmtId="6" fontId="37" fillId="0" borderId="10" xfId="2" applyNumberFormat="1" applyFont="1" applyBorder="1" applyAlignment="1">
      <alignment horizontal="center"/>
    </xf>
    <xf numFmtId="0" fontId="37" fillId="0" borderId="10" xfId="2" applyFont="1" applyBorder="1" applyAlignment="1">
      <alignment horizontal="center"/>
    </xf>
    <xf numFmtId="6" fontId="37" fillId="0" borderId="11" xfId="2" applyNumberFormat="1" applyFont="1" applyBorder="1"/>
    <xf numFmtId="0" fontId="37" fillId="0" borderId="4" xfId="2" applyFont="1" applyBorder="1"/>
    <xf numFmtId="0" fontId="37" fillId="0" borderId="0" xfId="2" applyFont="1" applyBorder="1"/>
    <xf numFmtId="10" fontId="37" fillId="0" borderId="0" xfId="80" applyNumberFormat="1" applyFont="1" applyFill="1" applyBorder="1" applyAlignment="1">
      <alignment horizontal="center"/>
    </xf>
    <xf numFmtId="0" fontId="37" fillId="0" borderId="56" xfId="80" applyFont="1" applyFill="1" applyBorder="1"/>
    <xf numFmtId="0" fontId="37" fillId="0" borderId="5" xfId="2" applyFont="1" applyBorder="1"/>
    <xf numFmtId="0" fontId="37" fillId="0" borderId="6" xfId="2" applyFont="1" applyBorder="1"/>
    <xf numFmtId="0" fontId="37" fillId="0" borderId="7" xfId="2" applyFont="1" applyBorder="1"/>
    <xf numFmtId="10" fontId="37" fillId="0" borderId="7" xfId="2" applyNumberFormat="1" applyFont="1" applyBorder="1" applyAlignment="1">
      <alignment horizontal="center"/>
    </xf>
    <xf numFmtId="6" fontId="37" fillId="0" borderId="8" xfId="2" applyNumberFormat="1" applyFont="1" applyBorder="1"/>
    <xf numFmtId="0" fontId="50" fillId="0" borderId="46" xfId="2" applyFont="1" applyBorder="1"/>
    <xf numFmtId="0" fontId="50" fillId="0" borderId="18" xfId="2" applyFont="1" applyBorder="1"/>
    <xf numFmtId="6" fontId="50" fillId="0" borderId="47" xfId="2" applyNumberFormat="1" applyFont="1" applyBorder="1"/>
    <xf numFmtId="0" fontId="50" fillId="0" borderId="34" xfId="2" applyFont="1" applyBorder="1"/>
    <xf numFmtId="0" fontId="50" fillId="0" borderId="15" xfId="2" applyFont="1" applyBorder="1"/>
    <xf numFmtId="6" fontId="50" fillId="0" borderId="16" xfId="2" applyNumberFormat="1" applyFont="1" applyBorder="1"/>
    <xf numFmtId="0" fontId="37" fillId="0" borderId="0" xfId="2" applyFont="1" applyBorder="1" applyAlignment="1"/>
    <xf numFmtId="0" fontId="37" fillId="0" borderId="20" xfId="80" applyFont="1" applyFill="1" applyBorder="1"/>
    <xf numFmtId="0" fontId="37" fillId="0" borderId="12" xfId="2" applyFont="1" applyBorder="1"/>
    <xf numFmtId="0" fontId="37" fillId="0" borderId="13" xfId="2" applyFont="1" applyBorder="1"/>
    <xf numFmtId="6" fontId="50" fillId="0" borderId="14" xfId="2" applyNumberFormat="1" applyFont="1" applyBorder="1"/>
    <xf numFmtId="10" fontId="37" fillId="0" borderId="0" xfId="2" applyNumberFormat="1" applyFont="1" applyBorder="1" applyAlignment="1">
      <alignment horizontal="right"/>
    </xf>
    <xf numFmtId="6" fontId="50" fillId="0" borderId="5" xfId="2" applyNumberFormat="1" applyFont="1" applyBorder="1"/>
    <xf numFmtId="8" fontId="37" fillId="0" borderId="5" xfId="2" applyNumberFormat="1" applyFont="1" applyBorder="1"/>
    <xf numFmtId="0" fontId="37" fillId="0" borderId="9" xfId="2" applyFont="1" applyBorder="1"/>
    <xf numFmtId="0" fontId="37" fillId="0" borderId="10" xfId="2" applyFont="1" applyBorder="1"/>
    <xf numFmtId="8" fontId="50" fillId="4" borderId="45" xfId="2" applyNumberFormat="1" applyFont="1" applyFill="1" applyBorder="1"/>
    <xf numFmtId="0" fontId="50" fillId="0" borderId="34" xfId="2" applyFont="1" applyBorder="1" applyAlignment="1">
      <alignment horizontal="center"/>
    </xf>
    <xf numFmtId="37" fontId="50" fillId="0" borderId="15" xfId="2" applyNumberFormat="1" applyFont="1" applyBorder="1" applyAlignment="1">
      <alignment horizontal="center"/>
    </xf>
    <xf numFmtId="0" fontId="50" fillId="0" borderId="15" xfId="2" applyFont="1" applyBorder="1" applyAlignment="1">
      <alignment horizontal="center"/>
    </xf>
    <xf numFmtId="3" fontId="50" fillId="0" borderId="16" xfId="2" applyNumberFormat="1" applyFont="1" applyBorder="1" applyAlignment="1">
      <alignment horizontal="center"/>
    </xf>
    <xf numFmtId="164" fontId="37" fillId="0" borderId="4" xfId="6" applyNumberFormat="1" applyFont="1" applyBorder="1"/>
    <xf numFmtId="165" fontId="37" fillId="0" borderId="4" xfId="6" applyNumberFormat="1" applyFont="1" applyFill="1" applyBorder="1"/>
    <xf numFmtId="165" fontId="37" fillId="0" borderId="6" xfId="6" applyNumberFormat="1" applyFont="1" applyFill="1" applyBorder="1"/>
    <xf numFmtId="2" fontId="37" fillId="0" borderId="7" xfId="2" applyNumberFormat="1" applyFont="1" applyBorder="1" applyAlignment="1">
      <alignment horizontal="center"/>
    </xf>
    <xf numFmtId="0" fontId="50" fillId="0" borderId="12" xfId="2" applyFont="1" applyBorder="1"/>
    <xf numFmtId="0" fontId="50" fillId="0" borderId="13" xfId="2" applyFont="1" applyBorder="1"/>
    <xf numFmtId="169" fontId="37" fillId="0" borderId="0" xfId="2" applyNumberFormat="1" applyFont="1" applyBorder="1" applyAlignment="1"/>
    <xf numFmtId="8" fontId="37" fillId="0" borderId="0" xfId="2" applyNumberFormat="1" applyFont="1" applyBorder="1" applyAlignment="1">
      <alignment horizontal="center"/>
    </xf>
    <xf numFmtId="10" fontId="37" fillId="0" borderId="0" xfId="2" applyNumberFormat="1" applyFont="1" applyBorder="1" applyAlignment="1">
      <alignment horizontal="center"/>
    </xf>
    <xf numFmtId="0" fontId="2" fillId="0" borderId="0" xfId="6" applyFont="1"/>
    <xf numFmtId="8" fontId="2" fillId="0" borderId="0" xfId="6" applyNumberFormat="1" applyFont="1"/>
    <xf numFmtId="6" fontId="37" fillId="0" borderId="7" xfId="2" applyNumberFormat="1" applyFont="1" applyBorder="1" applyAlignment="1">
      <alignment horizontal="center"/>
    </xf>
    <xf numFmtId="165" fontId="37" fillId="0" borderId="0" xfId="2" applyNumberFormat="1" applyFont="1" applyBorder="1"/>
    <xf numFmtId="6" fontId="37" fillId="0" borderId="5" xfId="2" applyNumberFormat="1" applyFont="1" applyFill="1" applyBorder="1"/>
    <xf numFmtId="0" fontId="2" fillId="0" borderId="0" xfId="6" applyFont="1" applyFill="1"/>
    <xf numFmtId="10" fontId="37" fillId="38" borderId="0" xfId="0" applyNumberFormat="1" applyFont="1" applyFill="1" applyBorder="1" applyAlignment="1">
      <alignment horizontal="center" vertical="center"/>
    </xf>
    <xf numFmtId="169" fontId="37" fillId="38" borderId="0" xfId="53" applyNumberFormat="1" applyFont="1" applyFill="1" applyBorder="1" applyAlignment="1">
      <alignment horizontal="center" vertical="center"/>
    </xf>
    <xf numFmtId="168" fontId="37" fillId="38" borderId="0" xfId="53" applyNumberFormat="1" applyFont="1" applyFill="1" applyBorder="1" applyAlignment="1">
      <alignment horizontal="center" vertical="center"/>
    </xf>
    <xf numFmtId="169" fontId="37" fillId="0" borderId="0" xfId="2" applyNumberFormat="1" applyFont="1" applyBorder="1" applyAlignment="1">
      <alignment horizontal="center"/>
    </xf>
    <xf numFmtId="168" fontId="37" fillId="0" borderId="5" xfId="2" applyNumberFormat="1" applyFont="1" applyBorder="1"/>
    <xf numFmtId="168" fontId="37" fillId="0" borderId="11" xfId="2" applyNumberFormat="1" applyFont="1" applyBorder="1"/>
    <xf numFmtId="6" fontId="37" fillId="0" borderId="11" xfId="2" applyNumberFormat="1" applyFont="1" applyFill="1" applyBorder="1"/>
    <xf numFmtId="0" fontId="5" fillId="5" borderId="15" xfId="117" applyFont="1" applyFill="1" applyBorder="1"/>
    <xf numFmtId="0" fontId="6" fillId="5" borderId="16" xfId="117" applyFont="1" applyFill="1" applyBorder="1"/>
    <xf numFmtId="0" fontId="51" fillId="0" borderId="0" xfId="117"/>
    <xf numFmtId="0" fontId="6" fillId="5" borderId="0" xfId="117" applyFont="1" applyFill="1"/>
    <xf numFmtId="0" fontId="8" fillId="5" borderId="5" xfId="117" applyFont="1" applyFill="1" applyBorder="1"/>
    <xf numFmtId="0" fontId="7" fillId="5" borderId="10" xfId="117" applyFont="1" applyFill="1" applyBorder="1"/>
    <xf numFmtId="0" fontId="8" fillId="5" borderId="11" xfId="117" applyFont="1" applyFill="1" applyBorder="1"/>
    <xf numFmtId="0" fontId="8" fillId="0" borderId="0" xfId="117" applyFont="1"/>
    <xf numFmtId="14" fontId="8" fillId="0" borderId="0" xfId="117" applyNumberFormat="1" applyFont="1"/>
    <xf numFmtId="166" fontId="51" fillId="0" borderId="0" xfId="117" applyNumberFormat="1"/>
    <xf numFmtId="2" fontId="51" fillId="0" borderId="0" xfId="117" applyNumberFormat="1"/>
    <xf numFmtId="165" fontId="51" fillId="0" borderId="0" xfId="117" applyNumberFormat="1"/>
    <xf numFmtId="0" fontId="2" fillId="0" borderId="0" xfId="88" applyAlignment="1">
      <alignment horizontal="right"/>
    </xf>
    <xf numFmtId="0" fontId="8" fillId="4" borderId="0" xfId="88" applyFont="1" applyFill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7" fillId="0" borderId="1" xfId="80" applyFont="1" applyBorder="1"/>
    <xf numFmtId="10" fontId="37" fillId="0" borderId="2" xfId="80" applyNumberFormat="1" applyFont="1" applyBorder="1" applyAlignment="1">
      <alignment horizontal="center"/>
    </xf>
    <xf numFmtId="0" fontId="37" fillId="0" borderId="40" xfId="2" applyFont="1" applyBorder="1"/>
    <xf numFmtId="6" fontId="37" fillId="0" borderId="36" xfId="2" applyNumberFormat="1" applyFont="1" applyBorder="1"/>
    <xf numFmtId="0" fontId="50" fillId="0" borderId="39" xfId="80" applyFont="1" applyBorder="1"/>
    <xf numFmtId="0" fontId="37" fillId="0" borderId="13" xfId="2" applyFont="1" applyBorder="1" applyAlignment="1">
      <alignment horizontal="center"/>
    </xf>
    <xf numFmtId="10" fontId="37" fillId="0" borderId="40" xfId="2" applyNumberFormat="1" applyFont="1" applyFill="1" applyBorder="1" applyAlignment="1">
      <alignment horizontal="center"/>
    </xf>
    <xf numFmtId="6" fontId="37" fillId="33" borderId="0" xfId="2" applyNumberFormat="1" applyFont="1" applyFill="1" applyBorder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0" xfId="0" applyFont="1"/>
    <xf numFmtId="0" fontId="66" fillId="0" borderId="0" xfId="0" applyFont="1"/>
    <xf numFmtId="164" fontId="50" fillId="0" borderId="2" xfId="0" applyNumberFormat="1" applyFont="1" applyBorder="1" applyAlignment="1">
      <alignment horizontal="center"/>
    </xf>
    <xf numFmtId="0" fontId="50" fillId="33" borderId="2" xfId="0" applyFont="1" applyFill="1" applyBorder="1" applyAlignment="1">
      <alignment horizontal="center"/>
    </xf>
    <xf numFmtId="0" fontId="50" fillId="33" borderId="3" xfId="0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5" xfId="0" applyFont="1" applyBorder="1" applyAlignment="1">
      <alignment horizontal="left"/>
    </xf>
    <xf numFmtId="0" fontId="50" fillId="0" borderId="2" xfId="0" applyFont="1" applyBorder="1" applyAlignment="1">
      <alignment horizontal="center"/>
    </xf>
    <xf numFmtId="0" fontId="37" fillId="0" borderId="2" xfId="0" applyFont="1" applyBorder="1" applyAlignment="1"/>
    <xf numFmtId="0" fontId="37" fillId="0" borderId="3" xfId="0" applyFont="1" applyBorder="1" applyAlignment="1"/>
    <xf numFmtId="169" fontId="37" fillId="0" borderId="0" xfId="54" applyNumberFormat="1" applyFont="1" applyFill="1" applyBorder="1" applyAlignment="1">
      <alignment horizontal="center" wrapText="1"/>
    </xf>
    <xf numFmtId="168" fontId="37" fillId="0" borderId="0" xfId="54" applyNumberFormat="1" applyFont="1" applyFill="1" applyBorder="1" applyAlignment="1">
      <alignment horizontal="center" wrapText="1"/>
    </xf>
    <xf numFmtId="164" fontId="37" fillId="0" borderId="4" xfId="80" applyNumberFormat="1" applyFont="1" applyFill="1" applyBorder="1"/>
    <xf numFmtId="0" fontId="37" fillId="0" borderId="5" xfId="80" applyFont="1" applyBorder="1" applyAlignment="1">
      <alignment horizontal="center"/>
    </xf>
    <xf numFmtId="0" fontId="37" fillId="0" borderId="3" xfId="0" applyFont="1" applyBorder="1"/>
    <xf numFmtId="8" fontId="68" fillId="0" borderId="40" xfId="2" applyNumberFormat="1" applyFont="1" applyBorder="1"/>
    <xf numFmtId="44" fontId="37" fillId="0" borderId="0" xfId="116" applyFont="1"/>
    <xf numFmtId="10" fontId="37" fillId="0" borderId="0" xfId="1" applyNumberFormat="1" applyFont="1"/>
    <xf numFmtId="1" fontId="37" fillId="0" borderId="0" xfId="0" applyNumberFormat="1" applyFont="1"/>
    <xf numFmtId="10" fontId="37" fillId="0" borderId="0" xfId="0" applyNumberFormat="1" applyFont="1"/>
    <xf numFmtId="0" fontId="37" fillId="0" borderId="39" xfId="80" applyFont="1" applyBorder="1"/>
    <xf numFmtId="2" fontId="37" fillId="0" borderId="10" xfId="2" applyNumberFormat="1" applyFont="1" applyBorder="1" applyAlignment="1">
      <alignment horizontal="center"/>
    </xf>
    <xf numFmtId="0" fontId="66" fillId="0" borderId="0" xfId="0" applyFont="1" applyBorder="1"/>
    <xf numFmtId="0" fontId="3" fillId="39" borderId="1" xfId="0" applyFont="1" applyFill="1" applyBorder="1" applyAlignment="1">
      <alignment horizontal="center"/>
    </xf>
    <xf numFmtId="0" fontId="3" fillId="39" borderId="2" xfId="0" applyFont="1" applyFill="1" applyBorder="1" applyAlignment="1">
      <alignment horizontal="center" wrapText="1"/>
    </xf>
    <xf numFmtId="0" fontId="66" fillId="0" borderId="34" xfId="0" applyFont="1" applyBorder="1" applyAlignment="1">
      <alignment horizontal="right"/>
    </xf>
    <xf numFmtId="169" fontId="66" fillId="0" borderId="15" xfId="0" applyNumberFormat="1" applyFont="1" applyBorder="1" applyAlignment="1">
      <alignment horizontal="center"/>
    </xf>
    <xf numFmtId="169" fontId="66" fillId="0" borderId="15" xfId="0" applyNumberFormat="1" applyFont="1" applyFill="1" applyBorder="1" applyAlignment="1">
      <alignment horizontal="center"/>
    </xf>
    <xf numFmtId="0" fontId="66" fillId="0" borderId="4" xfId="0" applyFont="1" applyBorder="1" applyAlignment="1">
      <alignment horizontal="right"/>
    </xf>
    <xf numFmtId="10" fontId="0" fillId="0" borderId="0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0" fontId="66" fillId="0" borderId="4" xfId="0" applyFont="1" applyFill="1" applyBorder="1" applyAlignment="1">
      <alignment horizontal="right"/>
    </xf>
    <xf numFmtId="5" fontId="1" fillId="0" borderId="0" xfId="149" applyNumberFormat="1" applyFont="1" applyFill="1" applyBorder="1" applyAlignment="1">
      <alignment horizontal="center"/>
    </xf>
    <xf numFmtId="0" fontId="66" fillId="0" borderId="0" xfId="0" applyFont="1" applyFill="1" applyBorder="1" applyAlignment="1"/>
    <xf numFmtId="0" fontId="66" fillId="0" borderId="5" xfId="0" applyFont="1" applyFill="1" applyBorder="1" applyAlignment="1"/>
    <xf numFmtId="169" fontId="0" fillId="0" borderId="40" xfId="0" applyNumberFormat="1" applyFont="1" applyBorder="1" applyAlignment="1">
      <alignment horizontal="center"/>
    </xf>
    <xf numFmtId="169" fontId="0" fillId="0" borderId="4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169" fontId="3" fillId="4" borderId="10" xfId="0" applyNumberFormat="1" applyFont="1" applyFill="1" applyBorder="1" applyAlignment="1">
      <alignment horizontal="center"/>
    </xf>
    <xf numFmtId="10" fontId="66" fillId="0" borderId="10" xfId="0" applyNumberFormat="1" applyFont="1" applyFill="1" applyBorder="1" applyAlignment="1"/>
    <xf numFmtId="10" fontId="66" fillId="0" borderId="11" xfId="0" applyNumberFormat="1" applyFont="1" applyFill="1" applyBorder="1" applyAlignment="1"/>
    <xf numFmtId="0" fontId="0" fillId="0" borderId="0" xfId="0" applyAlignment="1">
      <alignment horizontal="center" wrapText="1"/>
    </xf>
    <xf numFmtId="0" fontId="70" fillId="0" borderId="0" xfId="0" applyFont="1" applyBorder="1"/>
    <xf numFmtId="0" fontId="71" fillId="0" borderId="0" xfId="0" applyFont="1" applyBorder="1" applyAlignment="1">
      <alignment horizontal="center"/>
    </xf>
    <xf numFmtId="0" fontId="71" fillId="0" borderId="0" xfId="0" applyFont="1" applyBorder="1" applyAlignment="1">
      <alignment horizontal="center" wrapText="1"/>
    </xf>
    <xf numFmtId="0" fontId="71" fillId="0" borderId="15" xfId="0" applyFont="1" applyBorder="1" applyAlignment="1">
      <alignment horizontal="center"/>
    </xf>
    <xf numFmtId="0" fontId="71" fillId="0" borderId="15" xfId="0" applyFont="1" applyBorder="1"/>
    <xf numFmtId="0" fontId="71" fillId="0" borderId="0" xfId="0" applyFont="1" applyBorder="1"/>
    <xf numFmtId="0" fontId="71" fillId="0" borderId="0" xfId="0" applyFont="1" applyBorder="1" applyAlignment="1"/>
    <xf numFmtId="14" fontId="72" fillId="0" borderId="0" xfId="0" applyNumberFormat="1" applyFont="1" applyFill="1" applyBorder="1" applyAlignment="1">
      <alignment horizontal="left"/>
    </xf>
    <xf numFmtId="0" fontId="3" fillId="49" borderId="1" xfId="0" applyFont="1" applyFill="1" applyBorder="1" applyAlignment="1">
      <alignment horizontal="center"/>
    </xf>
    <xf numFmtId="0" fontId="3" fillId="49" borderId="2" xfId="0" applyFont="1" applyFill="1" applyBorder="1" applyAlignment="1">
      <alignment horizontal="center" wrapText="1"/>
    </xf>
    <xf numFmtId="10" fontId="0" fillId="0" borderId="0" xfId="0" applyNumberFormat="1" applyBorder="1"/>
    <xf numFmtId="37" fontId="1" fillId="0" borderId="40" xfId="305" applyNumberFormat="1" applyFont="1" applyBorder="1" applyAlignment="1">
      <alignment horizontal="center"/>
    </xf>
    <xf numFmtId="37" fontId="1" fillId="0" borderId="40" xfId="305" applyNumberFormat="1" applyFont="1" applyFill="1" applyBorder="1" applyAlignment="1">
      <alignment horizontal="center"/>
    </xf>
    <xf numFmtId="10" fontId="66" fillId="0" borderId="0" xfId="0" applyNumberFormat="1" applyFont="1" applyFill="1" applyBorder="1" applyAlignment="1"/>
    <xf numFmtId="10" fontId="66" fillId="0" borderId="5" xfId="0" applyNumberFormat="1" applyFont="1" applyFill="1" applyBorder="1" applyAlignment="1"/>
    <xf numFmtId="0" fontId="73" fillId="0" borderId="0" xfId="0" applyFont="1" applyBorder="1" applyAlignment="1">
      <alignment horizontal="right"/>
    </xf>
    <xf numFmtId="5" fontId="74" fillId="0" borderId="0" xfId="149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2" fontId="1" fillId="0" borderId="0" xfId="152" applyNumberFormat="1" applyFont="1"/>
    <xf numFmtId="166" fontId="0" fillId="0" borderId="0" xfId="0" applyNumberFormat="1" applyAlignment="1">
      <alignment wrapText="1"/>
    </xf>
    <xf numFmtId="166" fontId="0" fillId="0" borderId="0" xfId="0" applyNumberFormat="1"/>
    <xf numFmtId="0" fontId="66" fillId="39" borderId="0" xfId="0" applyFont="1" applyFill="1"/>
    <xf numFmtId="0" fontId="0" fillId="39" borderId="0" xfId="0" applyFill="1" applyAlignment="1">
      <alignment horizontal="center"/>
    </xf>
    <xf numFmtId="0" fontId="0" fillId="39" borderId="0" xfId="0" applyFill="1" applyAlignment="1">
      <alignment horizontal="center" wrapText="1"/>
    </xf>
    <xf numFmtId="0" fontId="75" fillId="34" borderId="34" xfId="259" applyFont="1" applyFill="1" applyBorder="1"/>
    <xf numFmtId="0" fontId="75" fillId="34" borderId="15" xfId="259" applyFont="1" applyFill="1" applyBorder="1"/>
    <xf numFmtId="0" fontId="75" fillId="34" borderId="15" xfId="259" applyFont="1" applyFill="1" applyBorder="1" applyAlignment="1">
      <alignment horizontal="center"/>
    </xf>
    <xf numFmtId="164" fontId="75" fillId="34" borderId="16" xfId="259" applyNumberFormat="1" applyFont="1" applyFill="1" applyBorder="1" applyAlignment="1">
      <alignment horizontal="center"/>
    </xf>
    <xf numFmtId="0" fontId="76" fillId="34" borderId="4" xfId="259" applyFont="1" applyFill="1" applyBorder="1"/>
    <xf numFmtId="0" fontId="76" fillId="34" borderId="0" xfId="259" applyFont="1" applyFill="1" applyBorder="1" applyAlignment="1">
      <alignment horizontal="right"/>
    </xf>
    <xf numFmtId="0" fontId="77" fillId="34" borderId="0" xfId="259" applyFont="1" applyFill="1" applyBorder="1" applyAlignment="1">
      <alignment horizontal="center"/>
    </xf>
    <xf numFmtId="0" fontId="76" fillId="34" borderId="5" xfId="259" applyFont="1" applyFill="1" applyBorder="1" applyAlignment="1">
      <alignment horizontal="center"/>
    </xf>
    <xf numFmtId="0" fontId="78" fillId="0" borderId="0" xfId="0" applyFont="1"/>
    <xf numFmtId="0" fontId="76" fillId="34" borderId="6" xfId="259" applyFont="1" applyFill="1" applyBorder="1"/>
    <xf numFmtId="0" fontId="76" fillId="34" borderId="7" xfId="259" applyFont="1" applyFill="1" applyBorder="1" applyAlignment="1">
      <alignment horizontal="right"/>
    </xf>
    <xf numFmtId="1" fontId="77" fillId="34" borderId="7" xfId="259" applyNumberFormat="1" applyFont="1" applyFill="1" applyBorder="1" applyAlignment="1">
      <alignment horizontal="center"/>
    </xf>
    <xf numFmtId="1" fontId="76" fillId="34" borderId="8" xfId="259" applyNumberFormat="1" applyFont="1" applyFill="1" applyBorder="1" applyAlignment="1">
      <alignment horizontal="center"/>
    </xf>
    <xf numFmtId="0" fontId="76" fillId="34" borderId="0" xfId="259" applyFont="1" applyFill="1" applyBorder="1"/>
    <xf numFmtId="1" fontId="76" fillId="34" borderId="5" xfId="259" applyNumberFormat="1" applyFont="1" applyFill="1" applyBorder="1" applyAlignment="1">
      <alignment horizontal="center"/>
    </xf>
    <xf numFmtId="0" fontId="76" fillId="34" borderId="9" xfId="259" applyFont="1" applyFill="1" applyBorder="1"/>
    <xf numFmtId="0" fontId="76" fillId="34" borderId="10" xfId="259" applyFont="1" applyFill="1" applyBorder="1"/>
    <xf numFmtId="0" fontId="76" fillId="34" borderId="10" xfId="259" applyFont="1" applyFill="1" applyBorder="1" applyAlignment="1">
      <alignment horizontal="right"/>
    </xf>
    <xf numFmtId="1" fontId="76" fillId="34" borderId="11" xfId="259" applyNumberFormat="1" applyFont="1" applyFill="1" applyBorder="1" applyAlignment="1">
      <alignment horizontal="center"/>
    </xf>
    <xf numFmtId="168" fontId="3" fillId="0" borderId="1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68" fontId="35" fillId="4" borderId="2" xfId="152" applyNumberFormat="1" applyFont="1" applyFill="1" applyBorder="1" applyAlignment="1">
      <alignment horizontal="center"/>
    </xf>
    <xf numFmtId="168" fontId="35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/>
    </xf>
    <xf numFmtId="173" fontId="80" fillId="0" borderId="0" xfId="0" applyNumberFormat="1" applyFont="1" applyAlignment="1">
      <alignment horizontal="left" vertical="top"/>
    </xf>
    <xf numFmtId="0" fontId="80" fillId="0" borderId="0" xfId="0" applyFont="1" applyAlignment="1">
      <alignment horizontal="center"/>
    </xf>
    <xf numFmtId="0" fontId="81" fillId="0" borderId="0" xfId="0" applyFont="1"/>
    <xf numFmtId="0" fontId="81" fillId="0" borderId="0" xfId="0" applyFont="1" applyAlignment="1">
      <alignment wrapText="1"/>
    </xf>
    <xf numFmtId="0" fontId="80" fillId="0" borderId="0" xfId="0" applyFont="1"/>
    <xf numFmtId="9" fontId="80" fillId="0" borderId="0" xfId="0" applyNumberFormat="1" applyFont="1" applyAlignment="1">
      <alignment horizontal="center"/>
    </xf>
    <xf numFmtId="0" fontId="80" fillId="0" borderId="0" xfId="0" applyFont="1" applyAlignment="1">
      <alignment horizontal="left" wrapText="1"/>
    </xf>
    <xf numFmtId="0" fontId="81" fillId="0" borderId="34" xfId="0" applyFont="1" applyBorder="1"/>
    <xf numFmtId="168" fontId="81" fillId="0" borderId="57" xfId="0" applyNumberFormat="1" applyFont="1" applyBorder="1" applyAlignment="1">
      <alignment horizontal="center"/>
    </xf>
    <xf numFmtId="0" fontId="81" fillId="0" borderId="15" xfId="0" applyFont="1" applyBorder="1"/>
    <xf numFmtId="168" fontId="0" fillId="0" borderId="49" xfId="0" applyNumberFormat="1" applyBorder="1"/>
    <xf numFmtId="0" fontId="81" fillId="0" borderId="4" xfId="0" applyFont="1" applyBorder="1"/>
    <xf numFmtId="169" fontId="81" fillId="0" borderId="0" xfId="0" applyNumberFormat="1" applyFont="1" applyBorder="1" applyAlignment="1">
      <alignment horizontal="center"/>
    </xf>
    <xf numFmtId="169" fontId="81" fillId="0" borderId="0" xfId="0" applyNumberFormat="1" applyFont="1" applyFill="1" applyBorder="1" applyAlignment="1">
      <alignment horizontal="center"/>
    </xf>
    <xf numFmtId="0" fontId="81" fillId="0" borderId="0" xfId="0" applyFont="1" applyBorder="1"/>
    <xf numFmtId="169" fontId="0" fillId="0" borderId="55" xfId="0" applyNumberFormat="1" applyBorder="1"/>
    <xf numFmtId="168" fontId="81" fillId="0" borderId="57" xfId="0" applyNumberFormat="1" applyFont="1" applyFill="1" applyBorder="1" applyAlignment="1">
      <alignment horizontal="center"/>
    </xf>
    <xf numFmtId="0" fontId="81" fillId="0" borderId="9" xfId="0" applyFont="1" applyBorder="1"/>
    <xf numFmtId="169" fontId="81" fillId="0" borderId="10" xfId="0" applyNumberFormat="1" applyFont="1" applyBorder="1" applyAlignment="1">
      <alignment horizontal="center"/>
    </xf>
    <xf numFmtId="169" fontId="81" fillId="0" borderId="10" xfId="0" applyNumberFormat="1" applyFont="1" applyFill="1" applyBorder="1" applyAlignment="1">
      <alignment horizontal="center"/>
    </xf>
    <xf numFmtId="0" fontId="81" fillId="0" borderId="10" xfId="0" applyFont="1" applyBorder="1"/>
    <xf numFmtId="0" fontId="81" fillId="0" borderId="15" xfId="0" applyFont="1" applyFill="1" applyBorder="1"/>
    <xf numFmtId="168" fontId="58" fillId="0" borderId="0" xfId="0" applyNumberFormat="1" applyFont="1"/>
    <xf numFmtId="0" fontId="81" fillId="0" borderId="4" xfId="0" applyFont="1" applyBorder="1" applyAlignment="1">
      <alignment wrapText="1"/>
    </xf>
    <xf numFmtId="168" fontId="81" fillId="0" borderId="7" xfId="0" applyNumberFormat="1" applyFont="1" applyBorder="1" applyAlignment="1">
      <alignment horizontal="center"/>
    </xf>
    <xf numFmtId="168" fontId="81" fillId="0" borderId="7" xfId="0" applyNumberFormat="1" applyFont="1" applyFill="1" applyBorder="1" applyAlignment="1">
      <alignment horizontal="center"/>
    </xf>
    <xf numFmtId="168" fontId="0" fillId="0" borderId="41" xfId="0" applyNumberFormat="1" applyBorder="1"/>
    <xf numFmtId="0" fontId="81" fillId="0" borderId="0" xfId="0" applyFont="1" applyAlignment="1">
      <alignment horizontal="right" wrapText="1"/>
    </xf>
    <xf numFmtId="169" fontId="81" fillId="0" borderId="0" xfId="0" applyNumberFormat="1" applyFont="1" applyAlignment="1">
      <alignment horizontal="center"/>
    </xf>
    <xf numFmtId="0" fontId="81" fillId="0" borderId="0" xfId="0" applyFont="1" applyAlignment="1">
      <alignment horizontal="right"/>
    </xf>
    <xf numFmtId="10" fontId="81" fillId="0" borderId="0" xfId="0" applyNumberFormat="1" applyFont="1" applyAlignment="1">
      <alignment horizontal="center"/>
    </xf>
    <xf numFmtId="0" fontId="81" fillId="0" borderId="0" xfId="0" applyFont="1" applyFill="1" applyAlignment="1">
      <alignment horizontal="right"/>
    </xf>
    <xf numFmtId="0" fontId="50" fillId="0" borderId="5" xfId="2" applyFont="1" applyBorder="1" applyAlignment="1">
      <alignment horizontal="center"/>
    </xf>
    <xf numFmtId="164" fontId="37" fillId="0" borderId="34" xfId="2" applyNumberFormat="1" applyFont="1" applyBorder="1"/>
    <xf numFmtId="164" fontId="37" fillId="0" borderId="15" xfId="2" applyNumberFormat="1" applyFont="1" applyBorder="1"/>
    <xf numFmtId="6" fontId="37" fillId="0" borderId="15" xfId="2" applyNumberFormat="1" applyFont="1" applyBorder="1" applyAlignment="1">
      <alignment horizontal="center"/>
    </xf>
    <xf numFmtId="2" fontId="37" fillId="0" borderId="15" xfId="2" applyNumberFormat="1" applyFont="1" applyBorder="1" applyAlignment="1">
      <alignment horizontal="center"/>
    </xf>
    <xf numFmtId="6" fontId="37" fillId="0" borderId="16" xfId="2" applyNumberFormat="1" applyFont="1" applyBorder="1"/>
    <xf numFmtId="174" fontId="66" fillId="0" borderId="0" xfId="1" applyNumberFormat="1" applyFont="1"/>
    <xf numFmtId="0" fontId="6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75" fillId="0" borderId="0" xfId="259" applyFont="1" applyFill="1" applyBorder="1"/>
    <xf numFmtId="0" fontId="75" fillId="0" borderId="0" xfId="259" applyFont="1" applyFill="1" applyBorder="1" applyAlignment="1">
      <alignment horizontal="center"/>
    </xf>
    <xf numFmtId="164" fontId="75" fillId="0" borderId="0" xfId="259" applyNumberFormat="1" applyFont="1" applyFill="1" applyBorder="1" applyAlignment="1">
      <alignment horizontal="center"/>
    </xf>
    <xf numFmtId="0" fontId="76" fillId="0" borderId="0" xfId="259" applyFont="1" applyFill="1" applyBorder="1"/>
    <xf numFmtId="0" fontId="76" fillId="0" borderId="0" xfId="259" applyFont="1" applyFill="1" applyBorder="1" applyAlignment="1">
      <alignment horizontal="right"/>
    </xf>
    <xf numFmtId="0" fontId="77" fillId="0" borderId="0" xfId="259" applyFont="1" applyFill="1" applyBorder="1" applyAlignment="1">
      <alignment horizontal="center"/>
    </xf>
    <xf numFmtId="0" fontId="76" fillId="0" borderId="0" xfId="259" applyFont="1" applyFill="1" applyBorder="1" applyAlignment="1">
      <alignment horizontal="center"/>
    </xf>
    <xf numFmtId="1" fontId="77" fillId="0" borderId="0" xfId="259" applyNumberFormat="1" applyFont="1" applyFill="1" applyBorder="1" applyAlignment="1">
      <alignment horizontal="center"/>
    </xf>
    <xf numFmtId="1" fontId="76" fillId="0" borderId="0" xfId="259" applyNumberFormat="1" applyFont="1" applyFill="1" applyBorder="1" applyAlignment="1">
      <alignment horizontal="center"/>
    </xf>
    <xf numFmtId="168" fontId="37" fillId="0" borderId="0" xfId="2" applyNumberFormat="1" applyFont="1" applyBorder="1" applyAlignment="1">
      <alignment horizontal="center"/>
    </xf>
    <xf numFmtId="168" fontId="37" fillId="0" borderId="10" xfId="2" applyNumberFormat="1" applyFont="1" applyBorder="1" applyAlignment="1">
      <alignment horizontal="center"/>
    </xf>
    <xf numFmtId="0" fontId="66" fillId="0" borderId="10" xfId="0" applyFont="1" applyBorder="1"/>
    <xf numFmtId="0" fontId="74" fillId="0" borderId="0" xfId="0" applyFont="1" applyBorder="1"/>
    <xf numFmtId="44" fontId="0" fillId="0" borderId="0" xfId="0" applyNumberFormat="1" applyBorder="1"/>
    <xf numFmtId="168" fontId="37" fillId="0" borderId="0" xfId="53" applyNumberFormat="1" applyFont="1" applyFill="1" applyBorder="1" applyAlignment="1">
      <alignment horizontal="center" vertical="center"/>
    </xf>
    <xf numFmtId="0" fontId="50" fillId="0" borderId="35" xfId="2" applyFont="1" applyBorder="1"/>
    <xf numFmtId="0" fontId="50" fillId="0" borderId="69" xfId="2" applyFont="1" applyBorder="1"/>
    <xf numFmtId="0" fontId="37" fillId="0" borderId="69" xfId="2" applyFont="1" applyBorder="1" applyAlignment="1">
      <alignment horizontal="center"/>
    </xf>
    <xf numFmtId="0" fontId="37" fillId="0" borderId="69" xfId="2" applyFont="1" applyBorder="1"/>
    <xf numFmtId="6" fontId="50" fillId="0" borderId="70" xfId="2" applyNumberFormat="1" applyFont="1" applyBorder="1"/>
    <xf numFmtId="0" fontId="50" fillId="0" borderId="1" xfId="2" applyFont="1" applyBorder="1"/>
    <xf numFmtId="0" fontId="50" fillId="0" borderId="2" xfId="2" applyFont="1" applyBorder="1"/>
    <xf numFmtId="0" fontId="50" fillId="0" borderId="2" xfId="2" applyFont="1" applyBorder="1" applyAlignment="1">
      <alignment horizontal="center"/>
    </xf>
    <xf numFmtId="2" fontId="50" fillId="0" borderId="2" xfId="2" applyNumberFormat="1" applyFont="1" applyBorder="1" applyAlignment="1">
      <alignment horizontal="center"/>
    </xf>
    <xf numFmtId="6" fontId="50" fillId="0" borderId="3" xfId="2" applyNumberFormat="1" applyFont="1" applyBorder="1"/>
    <xf numFmtId="0" fontId="3" fillId="0" borderId="7" xfId="2" applyFont="1" applyBorder="1" applyAlignment="1">
      <alignment horizontal="center"/>
    </xf>
    <xf numFmtId="0" fontId="0" fillId="0" borderId="0" xfId="0"/>
    <xf numFmtId="167" fontId="0" fillId="0" borderId="0" xfId="116" applyNumberFormat="1" applyFont="1"/>
    <xf numFmtId="44" fontId="0" fillId="0" borderId="33" xfId="0" applyNumberFormat="1" applyBorder="1"/>
    <xf numFmtId="0" fontId="0" fillId="0" borderId="33" xfId="0" applyBorder="1" applyAlignment="1">
      <alignment wrapText="1"/>
    </xf>
    <xf numFmtId="0" fontId="0" fillId="0" borderId="33" xfId="0" applyNumberFormat="1" applyBorder="1"/>
    <xf numFmtId="2" fontId="0" fillId="0" borderId="0" xfId="0" applyNumberFormat="1"/>
    <xf numFmtId="44" fontId="0" fillId="0" borderId="0" xfId="116" applyFont="1"/>
    <xf numFmtId="0" fontId="0" fillId="0" borderId="33" xfId="0" applyBorder="1"/>
    <xf numFmtId="0" fontId="0" fillId="0" borderId="40" xfId="0" applyBorder="1"/>
    <xf numFmtId="44" fontId="0" fillId="0" borderId="0" xfId="116" applyFont="1" applyFill="1" applyBorder="1" applyAlignment="1">
      <alignment horizontal="left"/>
    </xf>
    <xf numFmtId="0" fontId="0" fillId="72" borderId="33" xfId="0" applyFill="1" applyBorder="1" applyAlignment="1">
      <alignment wrapText="1"/>
    </xf>
    <xf numFmtId="0" fontId="0" fillId="72" borderId="33" xfId="0" applyFill="1" applyBorder="1"/>
    <xf numFmtId="44" fontId="0" fillId="72" borderId="33" xfId="0" applyNumberFormat="1" applyFill="1" applyBorder="1"/>
    <xf numFmtId="0" fontId="0" fillId="72" borderId="33" xfId="0" applyNumberFormat="1" applyFill="1" applyBorder="1"/>
    <xf numFmtId="167" fontId="0" fillId="72" borderId="69" xfId="116" applyNumberFormat="1" applyFont="1" applyFill="1" applyBorder="1"/>
    <xf numFmtId="43" fontId="0" fillId="72" borderId="69" xfId="305" applyFont="1" applyFill="1" applyBorder="1"/>
    <xf numFmtId="0" fontId="0" fillId="73" borderId="33" xfId="0" applyFill="1" applyBorder="1" applyAlignment="1">
      <alignment wrapText="1"/>
    </xf>
    <xf numFmtId="44" fontId="0" fillId="73" borderId="33" xfId="0" applyNumberFormat="1" applyFill="1" applyBorder="1"/>
    <xf numFmtId="167" fontId="0" fillId="73" borderId="0" xfId="116" applyNumberFormat="1" applyFont="1" applyFill="1"/>
    <xf numFmtId="44" fontId="0" fillId="73" borderId="0" xfId="116" applyFont="1" applyFill="1"/>
    <xf numFmtId="44" fontId="0" fillId="0" borderId="74" xfId="0" applyNumberFormat="1" applyBorder="1"/>
    <xf numFmtId="0" fontId="0" fillId="0" borderId="74" xfId="0" applyBorder="1" applyAlignment="1">
      <alignment wrapText="1"/>
    </xf>
    <xf numFmtId="44" fontId="0" fillId="0" borderId="48" xfId="0" applyNumberFormat="1" applyBorder="1"/>
    <xf numFmtId="0" fontId="0" fillId="75" borderId="33" xfId="0" applyFill="1" applyBorder="1"/>
    <xf numFmtId="44" fontId="0" fillId="75" borderId="33" xfId="0" applyNumberFormat="1" applyFill="1" applyBorder="1"/>
    <xf numFmtId="167" fontId="0" fillId="75" borderId="0" xfId="116" applyNumberFormat="1" applyFont="1" applyFill="1"/>
    <xf numFmtId="44" fontId="0" fillId="75" borderId="0" xfId="116" applyFont="1" applyFill="1"/>
    <xf numFmtId="0" fontId="74" fillId="0" borderId="0" xfId="0" applyFont="1" applyFill="1"/>
    <xf numFmtId="0" fontId="74" fillId="0" borderId="0" xfId="0" applyFont="1"/>
    <xf numFmtId="0" fontId="74" fillId="0" borderId="33" xfId="0" applyFont="1" applyFill="1" applyBorder="1"/>
    <xf numFmtId="0" fontId="74" fillId="0" borderId="33" xfId="0" applyNumberFormat="1" applyFont="1" applyFill="1" applyBorder="1"/>
    <xf numFmtId="44" fontId="74" fillId="0" borderId="33" xfId="0" applyNumberFormat="1" applyFont="1" applyFill="1" applyBorder="1"/>
    <xf numFmtId="0" fontId="74" fillId="0" borderId="33" xfId="0" applyFont="1" applyBorder="1"/>
    <xf numFmtId="0" fontId="74" fillId="0" borderId="33" xfId="0" applyNumberFormat="1" applyFont="1" applyBorder="1"/>
    <xf numFmtId="44" fontId="74" fillId="0" borderId="33" xfId="0" applyNumberFormat="1" applyFont="1" applyBorder="1"/>
    <xf numFmtId="0" fontId="35" fillId="0" borderId="33" xfId="0" applyFont="1" applyBorder="1" applyAlignment="1">
      <alignment wrapText="1"/>
    </xf>
    <xf numFmtId="0" fontId="35" fillId="0" borderId="33" xfId="0" applyFont="1" applyBorder="1"/>
    <xf numFmtId="0" fontId="35" fillId="73" borderId="33" xfId="0" applyFont="1" applyFill="1" applyBorder="1" applyAlignment="1">
      <alignment wrapText="1"/>
    </xf>
    <xf numFmtId="0" fontId="35" fillId="0" borderId="74" xfId="0" applyFont="1" applyBorder="1" applyAlignment="1">
      <alignment wrapText="1"/>
    </xf>
    <xf numFmtId="0" fontId="35" fillId="75" borderId="33" xfId="0" applyFont="1" applyFill="1" applyBorder="1"/>
    <xf numFmtId="0" fontId="35" fillId="72" borderId="33" xfId="0" applyFont="1" applyFill="1" applyBorder="1" applyAlignment="1">
      <alignment wrapText="1"/>
    </xf>
    <xf numFmtId="0" fontId="35" fillId="72" borderId="33" xfId="0" applyFont="1" applyFill="1" applyBorder="1"/>
    <xf numFmtId="0" fontId="35" fillId="0" borderId="0" xfId="0" applyFont="1"/>
    <xf numFmtId="0" fontId="74" fillId="0" borderId="0" xfId="0" applyNumberFormat="1" applyFont="1" applyBorder="1"/>
    <xf numFmtId="44" fontId="74" fillId="0" borderId="0" xfId="0" applyNumberFormat="1" applyFont="1" applyBorder="1"/>
    <xf numFmtId="0" fontId="0" fillId="76" borderId="34" xfId="0" applyFill="1" applyBorder="1"/>
    <xf numFmtId="0" fontId="0" fillId="76" borderId="15" xfId="0" applyFill="1" applyBorder="1"/>
    <xf numFmtId="2" fontId="0" fillId="76" borderId="15" xfId="0" applyNumberFormat="1" applyFill="1" applyBorder="1"/>
    <xf numFmtId="167" fontId="0" fillId="76" borderId="15" xfId="116" applyNumberFormat="1" applyFont="1" applyFill="1" applyBorder="1"/>
    <xf numFmtId="167" fontId="0" fillId="76" borderId="2" xfId="116" applyNumberFormat="1" applyFont="1" applyFill="1" applyBorder="1"/>
    <xf numFmtId="43" fontId="0" fillId="76" borderId="2" xfId="305" applyFont="1" applyFill="1" applyBorder="1"/>
    <xf numFmtId="43" fontId="0" fillId="76" borderId="3" xfId="305" applyFont="1" applyFill="1" applyBorder="1"/>
    <xf numFmtId="0" fontId="0" fillId="76" borderId="4" xfId="0" applyFill="1" applyBorder="1"/>
    <xf numFmtId="0" fontId="0" fillId="76" borderId="0" xfId="0" applyFill="1" applyBorder="1"/>
    <xf numFmtId="44" fontId="0" fillId="76" borderId="0" xfId="116" applyFont="1" applyFill="1" applyBorder="1"/>
    <xf numFmtId="44" fontId="0" fillId="76" borderId="9" xfId="116" applyFont="1" applyFill="1" applyBorder="1"/>
    <xf numFmtId="44" fontId="0" fillId="76" borderId="10" xfId="116" applyFont="1" applyFill="1" applyBorder="1" applyAlignment="1">
      <alignment horizontal="left"/>
    </xf>
    <xf numFmtId="44" fontId="0" fillId="76" borderId="10" xfId="116" applyFont="1" applyFill="1" applyBorder="1"/>
    <xf numFmtId="44" fontId="0" fillId="76" borderId="11" xfId="116" applyFont="1" applyFill="1" applyBorder="1"/>
    <xf numFmtId="167" fontId="0" fillId="0" borderId="10" xfId="0" applyNumberFormat="1" applyBorder="1"/>
    <xf numFmtId="0" fontId="67" fillId="0" borderId="0" xfId="0" applyFont="1" applyAlignment="1">
      <alignment vertical="center"/>
    </xf>
    <xf numFmtId="3" fontId="67" fillId="0" borderId="0" xfId="0" applyNumberFormat="1" applyFont="1" applyAlignment="1">
      <alignment horizontal="right" vertical="center"/>
    </xf>
    <xf numFmtId="0" fontId="90" fillId="0" borderId="0" xfId="0" applyFont="1" applyAlignment="1">
      <alignment vertical="center"/>
    </xf>
    <xf numFmtId="3" fontId="90" fillId="0" borderId="15" xfId="0" applyNumberFormat="1" applyFont="1" applyBorder="1" applyAlignment="1">
      <alignment horizontal="right" vertical="center"/>
    </xf>
    <xf numFmtId="44" fontId="74" fillId="0" borderId="0" xfId="116" applyFont="1"/>
    <xf numFmtId="167" fontId="0" fillId="0" borderId="0" xfId="0" applyNumberFormat="1" applyBorder="1"/>
    <xf numFmtId="43" fontId="0" fillId="0" borderId="0" xfId="305" applyFont="1" applyBorder="1"/>
    <xf numFmtId="43" fontId="0" fillId="0" borderId="0" xfId="0" applyNumberFormat="1" applyBorder="1" applyAlignment="1">
      <alignment vertical="center"/>
    </xf>
    <xf numFmtId="44" fontId="74" fillId="74" borderId="0" xfId="116" applyFont="1" applyFill="1" applyBorder="1"/>
    <xf numFmtId="44" fontId="0" fillId="74" borderId="0" xfId="116" applyFont="1" applyFill="1" applyBorder="1"/>
    <xf numFmtId="44" fontId="0" fillId="74" borderId="0" xfId="116" applyFont="1" applyFill="1" applyAlignment="1">
      <alignment vertical="center"/>
    </xf>
    <xf numFmtId="44" fontId="0" fillId="74" borderId="10" xfId="116" applyFont="1" applyFill="1" applyBorder="1" applyAlignment="1">
      <alignment horizontal="left"/>
    </xf>
    <xf numFmtId="44" fontId="0" fillId="0" borderId="0" xfId="116" applyFont="1" applyFill="1" applyBorder="1"/>
    <xf numFmtId="0" fontId="74" fillId="0" borderId="75" xfId="0" applyFont="1" applyBorder="1"/>
    <xf numFmtId="0" fontId="74" fillId="0" borderId="75" xfId="0" applyNumberFormat="1" applyFont="1" applyBorder="1"/>
    <xf numFmtId="44" fontId="74" fillId="0" borderId="75" xfId="0" applyNumberFormat="1" applyFont="1" applyBorder="1"/>
    <xf numFmtId="44" fontId="74" fillId="0" borderId="34" xfId="116" applyFont="1" applyBorder="1"/>
    <xf numFmtId="44" fontId="74" fillId="0" borderId="15" xfId="116" applyFont="1" applyBorder="1"/>
    <xf numFmtId="43" fontId="74" fillId="0" borderId="15" xfId="305" applyFont="1" applyBorder="1"/>
    <xf numFmtId="167" fontId="0" fillId="0" borderId="2" xfId="0" applyNumberFormat="1" applyBorder="1"/>
    <xf numFmtId="167" fontId="0" fillId="0" borderId="3" xfId="0" applyNumberFormat="1" applyBorder="1"/>
    <xf numFmtId="44" fontId="74" fillId="74" borderId="4" xfId="116" applyFont="1" applyFill="1" applyBorder="1"/>
    <xf numFmtId="44" fontId="0" fillId="74" borderId="0" xfId="116" applyFont="1" applyFill="1" applyBorder="1" applyAlignment="1">
      <alignment vertical="center"/>
    </xf>
    <xf numFmtId="44" fontId="0" fillId="74" borderId="5" xfId="116" applyFont="1" applyFill="1" applyBorder="1" applyAlignment="1">
      <alignment vertical="center"/>
    </xf>
    <xf numFmtId="44" fontId="74" fillId="74" borderId="9" xfId="116" applyFont="1" applyFill="1" applyBorder="1"/>
    <xf numFmtId="44" fontId="74" fillId="74" borderId="10" xfId="116" applyFont="1" applyFill="1" applyBorder="1"/>
    <xf numFmtId="44" fontId="74" fillId="74" borderId="11" xfId="116" applyFont="1" applyFill="1" applyBorder="1"/>
    <xf numFmtId="44" fontId="0" fillId="39" borderId="0" xfId="116" applyFont="1" applyFill="1" applyBorder="1"/>
    <xf numFmtId="43" fontId="0" fillId="0" borderId="0" xfId="305" applyFont="1" applyFill="1" applyBorder="1"/>
    <xf numFmtId="0" fontId="50" fillId="0" borderId="37" xfId="2" applyFont="1" applyBorder="1"/>
    <xf numFmtId="0" fontId="50" fillId="0" borderId="38" xfId="2" applyFont="1" applyBorder="1"/>
    <xf numFmtId="0" fontId="50" fillId="0" borderId="38" xfId="2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6" fontId="50" fillId="0" borderId="68" xfId="2" applyNumberFormat="1" applyFont="1" applyBorder="1"/>
    <xf numFmtId="10" fontId="66" fillId="0" borderId="0" xfId="1" applyNumberFormat="1" applyFont="1" applyFill="1" applyBorder="1"/>
    <xf numFmtId="0" fontId="37" fillId="0" borderId="0" xfId="0" applyFont="1" applyFill="1" applyBorder="1" applyAlignment="1">
      <alignment horizontal="left"/>
    </xf>
    <xf numFmtId="10" fontId="37" fillId="0" borderId="0" xfId="102" applyNumberFormat="1" applyFont="1" applyFill="1" applyBorder="1" applyAlignment="1">
      <alignment horizontal="center"/>
    </xf>
    <xf numFmtId="0" fontId="37" fillId="0" borderId="0" xfId="0" applyFont="1" applyFill="1" applyBorder="1" applyAlignment="1"/>
    <xf numFmtId="44" fontId="0" fillId="39" borderId="10" xfId="116" applyFont="1" applyFill="1" applyBorder="1"/>
    <xf numFmtId="43" fontId="0" fillId="39" borderId="10" xfId="305" applyFont="1" applyFill="1" applyBorder="1"/>
    <xf numFmtId="0" fontId="66" fillId="0" borderId="0" xfId="2" applyFont="1" applyBorder="1" applyAlignment="1">
      <alignment horizontal="center"/>
    </xf>
    <xf numFmtId="0" fontId="37" fillId="0" borderId="16" xfId="0" applyFont="1" applyBorder="1" applyAlignment="1"/>
    <xf numFmtId="0" fontId="50" fillId="2" borderId="1" xfId="2" applyFont="1" applyFill="1" applyBorder="1" applyAlignment="1">
      <alignment horizontal="center"/>
    </xf>
    <xf numFmtId="0" fontId="50" fillId="2" borderId="2" xfId="2" applyFont="1" applyFill="1" applyBorder="1" applyAlignment="1">
      <alignment horizontal="center"/>
    </xf>
    <xf numFmtId="0" fontId="50" fillId="2" borderId="3" xfId="2" applyFont="1" applyFill="1" applyBorder="1" applyAlignment="1">
      <alignment horizontal="center"/>
    </xf>
    <xf numFmtId="2" fontId="37" fillId="0" borderId="0" xfId="2" applyNumberFormat="1" applyFont="1" applyBorder="1" applyAlignment="1">
      <alignment horizontal="center" vertical="center"/>
    </xf>
    <xf numFmtId="0" fontId="50" fillId="7" borderId="0" xfId="0" applyFont="1" applyFill="1" applyAlignment="1">
      <alignment horizontal="center"/>
    </xf>
    <xf numFmtId="0" fontId="50" fillId="7" borderId="34" xfId="0" applyFont="1" applyFill="1" applyBorder="1" applyAlignment="1">
      <alignment horizontal="center" vertical="center"/>
    </xf>
    <xf numFmtId="0" fontId="50" fillId="7" borderId="15" xfId="0" applyFont="1" applyFill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164" fontId="37" fillId="0" borderId="20" xfId="80" applyNumberFormat="1" applyFont="1" applyFill="1" applyBorder="1" applyAlignment="1">
      <alignment horizontal="left" vertical="top" wrapText="1"/>
    </xf>
    <xf numFmtId="164" fontId="37" fillId="0" borderId="5" xfId="80" applyNumberFormat="1" applyFont="1" applyFill="1" applyBorder="1" applyAlignment="1">
      <alignment horizontal="left" vertical="top" wrapText="1"/>
    </xf>
    <xf numFmtId="0" fontId="83" fillId="0" borderId="5" xfId="0" applyFont="1" applyBorder="1" applyAlignment="1">
      <alignment horizontal="left" vertical="top" wrapText="1"/>
    </xf>
    <xf numFmtId="0" fontId="69" fillId="0" borderId="0" xfId="0" applyFont="1" applyBorder="1" applyAlignment="1">
      <alignment horizontal="left"/>
    </xf>
    <xf numFmtId="0" fontId="66" fillId="0" borderId="0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10" fontId="66" fillId="0" borderId="0" xfId="0" applyNumberFormat="1" applyFont="1" applyFill="1" applyBorder="1" applyAlignment="1">
      <alignment horizontal="left"/>
    </xf>
    <xf numFmtId="10" fontId="66" fillId="0" borderId="5" xfId="0" applyNumberFormat="1" applyFont="1" applyFill="1" applyBorder="1" applyAlignment="1">
      <alignment horizontal="left"/>
    </xf>
    <xf numFmtId="10" fontId="36" fillId="0" borderId="0" xfId="0" applyNumberFormat="1" applyFont="1" applyFill="1" applyBorder="1" applyAlignment="1">
      <alignment horizontal="left"/>
    </xf>
    <xf numFmtId="10" fontId="36" fillId="0" borderId="5" xfId="0" applyNumberFormat="1" applyFont="1" applyFill="1" applyBorder="1" applyAlignment="1">
      <alignment horizontal="left"/>
    </xf>
    <xf numFmtId="0" fontId="3" fillId="49" borderId="2" xfId="0" applyFont="1" applyFill="1" applyBorder="1" applyAlignment="1">
      <alignment horizontal="center"/>
    </xf>
    <xf numFmtId="0" fontId="66" fillId="49" borderId="3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66" fillId="0" borderId="0" xfId="0" applyFont="1" applyFill="1" applyBorder="1" applyAlignment="1"/>
    <xf numFmtId="0" fontId="66" fillId="0" borderId="5" xfId="0" applyFont="1" applyFill="1" applyBorder="1" applyAlignment="1"/>
    <xf numFmtId="0" fontId="41" fillId="0" borderId="1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33" borderId="34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left" vertical="center" wrapText="1"/>
    </xf>
    <xf numFmtId="0" fontId="81" fillId="0" borderId="11" xfId="0" applyFont="1" applyBorder="1" applyAlignment="1">
      <alignment horizontal="left" vertical="center" wrapText="1"/>
    </xf>
    <xf numFmtId="0" fontId="81" fillId="0" borderId="5" xfId="0" applyFont="1" applyBorder="1" applyAlignment="1">
      <alignment horizontal="left" vertical="center" wrapText="1"/>
    </xf>
    <xf numFmtId="0" fontId="81" fillId="0" borderId="15" xfId="0" applyFont="1" applyBorder="1" applyAlignment="1">
      <alignment vertical="top" wrapText="1"/>
    </xf>
    <xf numFmtId="0" fontId="81" fillId="0" borderId="10" xfId="0" applyFont="1" applyBorder="1" applyAlignment="1">
      <alignment vertical="top" wrapText="1"/>
    </xf>
    <xf numFmtId="168" fontId="0" fillId="0" borderId="49" xfId="0" applyNumberFormat="1" applyBorder="1" applyAlignment="1">
      <alignment horizontal="right" vertical="center"/>
    </xf>
    <xf numFmtId="168" fontId="0" fillId="0" borderId="55" xfId="0" applyNumberFormat="1" applyBorder="1" applyAlignment="1">
      <alignment horizontal="right" vertical="center"/>
    </xf>
    <xf numFmtId="0" fontId="81" fillId="0" borderId="15" xfId="0" applyFont="1" applyBorder="1" applyAlignment="1">
      <alignment horizontal="left" vertical="top" wrapText="1"/>
    </xf>
    <xf numFmtId="0" fontId="81" fillId="0" borderId="10" xfId="0" applyFont="1" applyBorder="1" applyAlignment="1">
      <alignment horizontal="left" vertical="top" wrapText="1"/>
    </xf>
    <xf numFmtId="0" fontId="5" fillId="5" borderId="15" xfId="3" applyFont="1" applyFill="1" applyBorder="1" applyAlignment="1">
      <alignment horizontal="left"/>
    </xf>
    <xf numFmtId="0" fontId="5" fillId="5" borderId="16" xfId="3" applyFont="1" applyFill="1" applyBorder="1" applyAlignment="1">
      <alignment horizontal="left"/>
    </xf>
    <xf numFmtId="0" fontId="6" fillId="5" borderId="0" xfId="3" applyFont="1" applyFill="1" applyBorder="1" applyAlignment="1">
      <alignment horizontal="left"/>
    </xf>
    <xf numFmtId="0" fontId="6" fillId="5" borderId="5" xfId="3" applyFont="1" applyFill="1" applyBorder="1" applyAlignment="1">
      <alignment horizontal="left"/>
    </xf>
    <xf numFmtId="0" fontId="7" fillId="5" borderId="10" xfId="3" applyFont="1" applyFill="1" applyBorder="1" applyAlignment="1">
      <alignment horizontal="left"/>
    </xf>
    <xf numFmtId="0" fontId="7" fillId="5" borderId="11" xfId="3" applyFont="1" applyFill="1" applyBorder="1" applyAlignment="1">
      <alignment horizontal="left"/>
    </xf>
    <xf numFmtId="7" fontId="0" fillId="76" borderId="15" xfId="116" applyNumberFormat="1" applyFont="1" applyFill="1" applyBorder="1" applyAlignment="1">
      <alignment horizontal="center"/>
    </xf>
    <xf numFmtId="7" fontId="0" fillId="76" borderId="16" xfId="116" applyNumberFormat="1" applyFont="1" applyFill="1" applyBorder="1" applyAlignment="1">
      <alignment horizontal="center"/>
    </xf>
    <xf numFmtId="0" fontId="90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83" fillId="0" borderId="20" xfId="0" applyFont="1" applyBorder="1" applyAlignment="1">
      <alignment horizontal="left" vertical="top" wrapText="1"/>
    </xf>
    <xf numFmtId="7" fontId="0" fillId="72" borderId="15" xfId="116" applyNumberFormat="1" applyFont="1" applyFill="1" applyBorder="1" applyAlignment="1">
      <alignment horizontal="center"/>
    </xf>
    <xf numFmtId="0" fontId="66" fillId="0" borderId="76" xfId="80" applyFont="1" applyBorder="1"/>
    <xf numFmtId="0" fontId="0" fillId="0" borderId="5" xfId="0" applyFill="1" applyBorder="1" applyAlignment="1">
      <alignment horizontal="center" vertical="center"/>
    </xf>
    <xf numFmtId="44" fontId="0" fillId="0" borderId="5" xfId="116" applyFont="1" applyFill="1" applyBorder="1"/>
  </cellXfs>
  <cellStyles count="353">
    <cellStyle name="20% - Accent1" xfId="329" builtinId="30" customBuiltin="1"/>
    <cellStyle name="20% - Accent1 2" xfId="8"/>
    <cellStyle name="20% - Accent2" xfId="333" builtinId="34" customBuiltin="1"/>
    <cellStyle name="20% - Accent2 2" xfId="9"/>
    <cellStyle name="20% - Accent3" xfId="337" builtinId="38" customBuiltin="1"/>
    <cellStyle name="20% - Accent3 2" xfId="10"/>
    <cellStyle name="20% - Accent4" xfId="341" builtinId="42" customBuiltin="1"/>
    <cellStyle name="20% - Accent4 2" xfId="11"/>
    <cellStyle name="20% - Accent5" xfId="345" builtinId="46" customBuiltin="1"/>
    <cellStyle name="20% - Accent5 2" xfId="12"/>
    <cellStyle name="20% - Accent6" xfId="349" builtinId="50" customBuiltin="1"/>
    <cellStyle name="20% - Accent6 2" xfId="13"/>
    <cellStyle name="40% - Accent1" xfId="330" builtinId="31" customBuiltin="1"/>
    <cellStyle name="40% - Accent1 2" xfId="14"/>
    <cellStyle name="40% - Accent2" xfId="334" builtinId="35" customBuiltin="1"/>
    <cellStyle name="40% - Accent2 2" xfId="15"/>
    <cellStyle name="40% - Accent3" xfId="338" builtinId="39" customBuiltin="1"/>
    <cellStyle name="40% - Accent3 2" xfId="16"/>
    <cellStyle name="40% - Accent4" xfId="342" builtinId="43" customBuiltin="1"/>
    <cellStyle name="40% - Accent4 2" xfId="17"/>
    <cellStyle name="40% - Accent5" xfId="346" builtinId="47" customBuiltin="1"/>
    <cellStyle name="40% - Accent5 2" xfId="18"/>
    <cellStyle name="40% - Accent6" xfId="350" builtinId="51" customBuiltin="1"/>
    <cellStyle name="40% - Accent6 2" xfId="19"/>
    <cellStyle name="60% - Accent1" xfId="331" builtinId="32" customBuiltin="1"/>
    <cellStyle name="60% - Accent1 2" xfId="20"/>
    <cellStyle name="60% - Accent1 3" xfId="118"/>
    <cellStyle name="60% - Accent2" xfId="335" builtinId="36" customBuiltin="1"/>
    <cellStyle name="60% - Accent2 2" xfId="21"/>
    <cellStyle name="60% - Accent2 3" xfId="119"/>
    <cellStyle name="60% - Accent3" xfId="339" builtinId="40" customBuiltin="1"/>
    <cellStyle name="60% - Accent3 2" xfId="22"/>
    <cellStyle name="60% - Accent3 3" xfId="120"/>
    <cellStyle name="60% - Accent4" xfId="343" builtinId="44" customBuiltin="1"/>
    <cellStyle name="60% - Accent4 2" xfId="23"/>
    <cellStyle name="60% - Accent4 3" xfId="121"/>
    <cellStyle name="60% - Accent5" xfId="347" builtinId="48" customBuiltin="1"/>
    <cellStyle name="60% - Accent5 2" xfId="24"/>
    <cellStyle name="60% - Accent5 3" xfId="122"/>
    <cellStyle name="60% - Accent6" xfId="351" builtinId="52" customBuiltin="1"/>
    <cellStyle name="60% - Accent6 2" xfId="25"/>
    <cellStyle name="60% - Accent6 3" xfId="123"/>
    <cellStyle name="Accent1" xfId="328" builtinId="29" customBuiltin="1"/>
    <cellStyle name="Accent1 2" xfId="26"/>
    <cellStyle name="Accent2" xfId="332" builtinId="33" customBuiltin="1"/>
    <cellStyle name="Accent2 2" xfId="27"/>
    <cellStyle name="Accent3" xfId="336" builtinId="37" customBuiltin="1"/>
    <cellStyle name="Accent3 2" xfId="28"/>
    <cellStyle name="Accent4" xfId="340" builtinId="41" customBuiltin="1"/>
    <cellStyle name="Accent4 2" xfId="29"/>
    <cellStyle name="Accent5" xfId="344" builtinId="45" customBuiltin="1"/>
    <cellStyle name="Accent5 2" xfId="30"/>
    <cellStyle name="Accent6" xfId="348" builtinId="49" customBuiltin="1"/>
    <cellStyle name="Accent6 2" xfId="31"/>
    <cellStyle name="Bad" xfId="317" builtinId="27" customBuiltin="1"/>
    <cellStyle name="Bad 2" xfId="32"/>
    <cellStyle name="Bad 3" xfId="124"/>
    <cellStyle name="Body: normal cell" xfId="125"/>
    <cellStyle name="Calculation" xfId="321" builtinId="22" customBuiltin="1"/>
    <cellStyle name="Calculation 2" xfId="33"/>
    <cellStyle name="Calculation 2 2" xfId="126"/>
    <cellStyle name="Calculation 2 3" xfId="127"/>
    <cellStyle name="Check Cell" xfId="323" builtinId="23" customBuiltin="1"/>
    <cellStyle name="Check Cell 2" xfId="34"/>
    <cellStyle name="Comma" xfId="305" builtinId="3"/>
    <cellStyle name="Comma [0] 2" xfId="128"/>
    <cellStyle name="Comma 10" xfId="129"/>
    <cellStyle name="Comma 11" xfId="130"/>
    <cellStyle name="Comma 2" xfId="35"/>
    <cellStyle name="Comma 2 2" xfId="36"/>
    <cellStyle name="Comma 2 2 2" xfId="131"/>
    <cellStyle name="Comma 2 3" xfId="132"/>
    <cellStyle name="Comma 3" xfId="37"/>
    <cellStyle name="Comma 3 2" xfId="38"/>
    <cellStyle name="Comma 3 3" xfId="39"/>
    <cellStyle name="Comma 3 4" xfId="133"/>
    <cellStyle name="Comma 4" xfId="40"/>
    <cellStyle name="Comma 4 2" xfId="41"/>
    <cellStyle name="Comma 5" xfId="42"/>
    <cellStyle name="Comma 5 2" xfId="134"/>
    <cellStyle name="Comma 5 3" xfId="135"/>
    <cellStyle name="Comma 6" xfId="43"/>
    <cellStyle name="Comma 6 2" xfId="44"/>
    <cellStyle name="Comma 7" xfId="45"/>
    <cellStyle name="Comma 7 2" xfId="136"/>
    <cellStyle name="Comma 8" xfId="46"/>
    <cellStyle name="Comma 9" xfId="137"/>
    <cellStyle name="Currency" xfId="116" builtinId="4"/>
    <cellStyle name="Currency [0] 2" xfId="138"/>
    <cellStyle name="Currency 10" xfId="139"/>
    <cellStyle name="Currency 11" xfId="140"/>
    <cellStyle name="Currency 12" xfId="141"/>
    <cellStyle name="Currency 13" xfId="142"/>
    <cellStyle name="Currency 14" xfId="143"/>
    <cellStyle name="Currency 15" xfId="144"/>
    <cellStyle name="Currency 16" xfId="145"/>
    <cellStyle name="Currency 17" xfId="146"/>
    <cellStyle name="Currency 18" xfId="147"/>
    <cellStyle name="Currency 19" xfId="148"/>
    <cellStyle name="Currency 2" xfId="47"/>
    <cellStyle name="Currency 2 2" xfId="48"/>
    <cellStyle name="Currency 2 2 2" xfId="149"/>
    <cellStyle name="Currency 2 2 2 2" xfId="150"/>
    <cellStyle name="Currency 2 2 2 3" xfId="151"/>
    <cellStyle name="Currency 2 3" xfId="49"/>
    <cellStyle name="Currency 2 4" xfId="50"/>
    <cellStyle name="Currency 2 4 2" xfId="152"/>
    <cellStyle name="Currency 2 5" xfId="153"/>
    <cellStyle name="Currency 20" xfId="154"/>
    <cellStyle name="Currency 21" xfId="155"/>
    <cellStyle name="Currency 22" xfId="156"/>
    <cellStyle name="Currency 23" xfId="157"/>
    <cellStyle name="Currency 24" xfId="158"/>
    <cellStyle name="Currency 25" xfId="159"/>
    <cellStyle name="Currency 26" xfId="160"/>
    <cellStyle name="Currency 27" xfId="161"/>
    <cellStyle name="Currency 28" xfId="162"/>
    <cellStyle name="Currency 29" xfId="163"/>
    <cellStyle name="Currency 3" xfId="51"/>
    <cellStyle name="Currency 3 2" xfId="52"/>
    <cellStyle name="Currency 3 3" xfId="53"/>
    <cellStyle name="Currency 3 4" xfId="164"/>
    <cellStyle name="Currency 3 5" xfId="165"/>
    <cellStyle name="Currency 30" xfId="166"/>
    <cellStyle name="Currency 31" xfId="167"/>
    <cellStyle name="Currency 32" xfId="168"/>
    <cellStyle name="Currency 33" xfId="169"/>
    <cellStyle name="Currency 34" xfId="170"/>
    <cellStyle name="Currency 35" xfId="171"/>
    <cellStyle name="Currency 36" xfId="172"/>
    <cellStyle name="Currency 37" xfId="173"/>
    <cellStyle name="Currency 38" xfId="174"/>
    <cellStyle name="Currency 39" xfId="175"/>
    <cellStyle name="Currency 4" xfId="54"/>
    <cellStyle name="Currency 4 2" xfId="55"/>
    <cellStyle name="Currency 4 2 2" xfId="56"/>
    <cellStyle name="Currency 4 2 2 2" xfId="176"/>
    <cellStyle name="Currency 4 2 2 3" xfId="177"/>
    <cellStyle name="Currency 4 2 3" xfId="178"/>
    <cellStyle name="Currency 4 3" xfId="57"/>
    <cellStyle name="Currency 4 3 2" xfId="179"/>
    <cellStyle name="Currency 4 3 3" xfId="180"/>
    <cellStyle name="Currency 4 4" xfId="58"/>
    <cellStyle name="Currency 4 5" xfId="181"/>
    <cellStyle name="Currency 40" xfId="182"/>
    <cellStyle name="Currency 41" xfId="183"/>
    <cellStyle name="Currency 42" xfId="184"/>
    <cellStyle name="Currency 43" xfId="185"/>
    <cellStyle name="Currency 44" xfId="186"/>
    <cellStyle name="Currency 45" xfId="187"/>
    <cellStyle name="Currency 46" xfId="188"/>
    <cellStyle name="Currency 5" xfId="59"/>
    <cellStyle name="Currency 5 2" xfId="60"/>
    <cellStyle name="Currency 5 2 2" xfId="189"/>
    <cellStyle name="Currency 5 3" xfId="61"/>
    <cellStyle name="Currency 5 3 2" xfId="190"/>
    <cellStyle name="Currency 5 3 3" xfId="191"/>
    <cellStyle name="Currency 5 4" xfId="192"/>
    <cellStyle name="Currency 5 5" xfId="193"/>
    <cellStyle name="Currency 5 6" xfId="194"/>
    <cellStyle name="Currency 6" xfId="62"/>
    <cellStyle name="Currency 6 2" xfId="195"/>
    <cellStyle name="Currency 6 3" xfId="196"/>
    <cellStyle name="Currency 7" xfId="63"/>
    <cellStyle name="Currency 7 2" xfId="197"/>
    <cellStyle name="Currency 7 3" xfId="198"/>
    <cellStyle name="Currency 8" xfId="64"/>
    <cellStyle name="Currency 8 2" xfId="199"/>
    <cellStyle name="Currency 9" xfId="200"/>
    <cellStyle name="Explanatory Text" xfId="326" builtinId="53" customBuiltin="1"/>
    <cellStyle name="Explanatory Text 2" xfId="65"/>
    <cellStyle name="Explanatory Text 2 2" xfId="201"/>
    <cellStyle name="Explanatory Text 2 3" xfId="202"/>
    <cellStyle name="Font: Calibri, 9pt regular" xfId="203"/>
    <cellStyle name="Footnotes: top row" xfId="204"/>
    <cellStyle name="Good" xfId="316" builtinId="26" customBuiltin="1"/>
    <cellStyle name="Good 2" xfId="66"/>
    <cellStyle name="Header: bottom row" xfId="205"/>
    <cellStyle name="Heading 1" xfId="312" builtinId="16" customBuiltin="1"/>
    <cellStyle name="Heading 1 2" xfId="67"/>
    <cellStyle name="Heading 1 2 2" xfId="206"/>
    <cellStyle name="Heading 1 2 3" xfId="207"/>
    <cellStyle name="Heading 2" xfId="313" builtinId="17" customBuiltin="1"/>
    <cellStyle name="Heading 2 2" xfId="68"/>
    <cellStyle name="Heading 2 2 2" xfId="208"/>
    <cellStyle name="Heading 2 2 3" xfId="209"/>
    <cellStyle name="Heading 3" xfId="314" builtinId="18" customBuiltin="1"/>
    <cellStyle name="Heading 3 2" xfId="69"/>
    <cellStyle name="Heading 3 2 2" xfId="210"/>
    <cellStyle name="Heading 3 2 3" xfId="211"/>
    <cellStyle name="Heading 4" xfId="315" builtinId="19" customBuiltin="1"/>
    <cellStyle name="Heading 4 2" xfId="70"/>
    <cellStyle name="Heading 4 2 2" xfId="212"/>
    <cellStyle name="Heading 4 2 3" xfId="213"/>
    <cellStyle name="Hyperlink 2" xfId="214"/>
    <cellStyle name="Input" xfId="319" builtinId="20" customBuiltin="1"/>
    <cellStyle name="Input 2" xfId="71"/>
    <cellStyle name="Input 2 2" xfId="215"/>
    <cellStyle name="Input 2 3" xfId="216"/>
    <cellStyle name="Linked Cell" xfId="322" builtinId="24" customBuiltin="1"/>
    <cellStyle name="Linked Cell 2" xfId="72"/>
    <cellStyle name="Linked Cell 2 2" xfId="217"/>
    <cellStyle name="Linked Cell 2 3" xfId="218"/>
    <cellStyle name="Neutral" xfId="318" builtinId="28" customBuiltin="1"/>
    <cellStyle name="Neutral 2" xfId="73"/>
    <cellStyle name="Neutral 3" xfId="219"/>
    <cellStyle name="Normal" xfId="0" builtinId="0"/>
    <cellStyle name="Normal 10" xfId="74"/>
    <cellStyle name="Normal 10 2" xfId="220"/>
    <cellStyle name="Normal 10 3" xfId="221"/>
    <cellStyle name="Normal 10 3 2" xfId="222"/>
    <cellStyle name="Normal 11" xfId="75"/>
    <cellStyle name="Normal 11 2" xfId="223"/>
    <cellStyle name="Normal 11 2 2" xfId="224"/>
    <cellStyle name="Normal 12" xfId="76"/>
    <cellStyle name="Normal 13" xfId="77"/>
    <cellStyle name="Normal 13 2" xfId="225"/>
    <cellStyle name="Normal 14" xfId="78"/>
    <cellStyle name="Normal 14 2" xfId="226"/>
    <cellStyle name="Normal 15" xfId="117"/>
    <cellStyle name="Normal 16" xfId="227"/>
    <cellStyle name="Normal 17" xfId="228"/>
    <cellStyle name="Normal 17 2" xfId="229"/>
    <cellStyle name="Normal 18" xfId="230"/>
    <cellStyle name="Normal 19" xfId="231"/>
    <cellStyle name="Normal 2" xfId="79"/>
    <cellStyle name="Normal 2 2" xfId="6"/>
    <cellStyle name="Normal 2 2 2" xfId="80"/>
    <cellStyle name="Normal 2 2 3" xfId="232"/>
    <cellStyle name="Normal 2 3" xfId="81"/>
    <cellStyle name="Normal 2 3 2" xfId="233"/>
    <cellStyle name="Normal 2 4" xfId="82"/>
    <cellStyle name="Normal 2 4 2" xfId="234"/>
    <cellStyle name="Normal 2 4 3" xfId="235"/>
    <cellStyle name="Normal 2 5" xfId="236"/>
    <cellStyle name="Normal 2 5 2" xfId="237"/>
    <cellStyle name="Normal 20" xfId="238"/>
    <cellStyle name="Normal 21" xfId="239"/>
    <cellStyle name="Normal 22" xfId="306"/>
    <cellStyle name="Normal 23" xfId="307"/>
    <cellStyle name="Normal 23 2" xfId="308"/>
    <cellStyle name="Normal 3" xfId="2"/>
    <cellStyle name="Normal 3 2" xfId="83"/>
    <cellStyle name="Normal 3 2 2" xfId="240"/>
    <cellStyle name="Normal 3 2 3" xfId="241"/>
    <cellStyle name="Normal 3 2 4" xfId="242"/>
    <cellStyle name="Normal 3 3" xfId="84"/>
    <cellStyle name="Normal 3 3 2" xfId="243"/>
    <cellStyle name="Normal 3 4" xfId="85"/>
    <cellStyle name="Normal 3 4 2" xfId="244"/>
    <cellStyle name="Normal 3 5" xfId="86"/>
    <cellStyle name="Normal 3 6" xfId="245"/>
    <cellStyle name="Normal 3 9" xfId="246"/>
    <cellStyle name="Normal 4" xfId="87"/>
    <cellStyle name="Normal 4 2" xfId="5"/>
    <cellStyle name="Normal 4 2 2" xfId="88"/>
    <cellStyle name="Normal 4 2 2 2" xfId="247"/>
    <cellStyle name="Normal 4 2 2 3" xfId="309"/>
    <cellStyle name="Normal 4 2 3" xfId="248"/>
    <cellStyle name="Normal 4 2 3 2" xfId="249"/>
    <cellStyle name="Normal 4 3" xfId="89"/>
    <cellStyle name="Normal 4 3 2" xfId="250"/>
    <cellStyle name="Normal 4 3 3" xfId="251"/>
    <cellStyle name="Normal 4 4" xfId="252"/>
    <cellStyle name="Normal 5" xfId="90"/>
    <cellStyle name="Normal 5 2" xfId="91"/>
    <cellStyle name="Normal 5 3" xfId="352"/>
    <cellStyle name="Normal 6" xfId="3"/>
    <cellStyle name="Normal 6 2" xfId="4"/>
    <cellStyle name="Normal 6 2 2" xfId="92"/>
    <cellStyle name="Normal 6 2 2 2" xfId="253"/>
    <cellStyle name="Normal 6 2 3" xfId="254"/>
    <cellStyle name="Normal 6 2 4" xfId="255"/>
    <cellStyle name="Normal 6 3" xfId="93"/>
    <cellStyle name="Normal 6 4" xfId="256"/>
    <cellStyle name="Normal 7" xfId="94"/>
    <cellStyle name="Normal 7 2" xfId="95"/>
    <cellStyle name="Normal 7 3" xfId="257"/>
    <cellStyle name="Normal 8" xfId="96"/>
    <cellStyle name="Normal 8 2" xfId="258"/>
    <cellStyle name="Normal 8 2 2" xfId="259"/>
    <cellStyle name="Normal 8 3" xfId="260"/>
    <cellStyle name="Normal 8 4" xfId="261"/>
    <cellStyle name="Normal 8 5" xfId="262"/>
    <cellStyle name="Normal 9" xfId="97"/>
    <cellStyle name="Normal 9 2" xfId="263"/>
    <cellStyle name="Normal 9 2 2" xfId="264"/>
    <cellStyle name="Normal 9 2 3" xfId="265"/>
    <cellStyle name="Normal 9 3" xfId="266"/>
    <cellStyle name="Note" xfId="325" builtinId="10" customBuiltin="1"/>
    <cellStyle name="Note 2" xfId="98"/>
    <cellStyle name="Note 2 2" xfId="267"/>
    <cellStyle name="Note 2 3" xfId="268"/>
    <cellStyle name="Output" xfId="320" builtinId="21" customBuiltin="1"/>
    <cellStyle name="Output 2" xfId="99"/>
    <cellStyle name="Output 2 2" xfId="269"/>
    <cellStyle name="Output 2 3" xfId="270"/>
    <cellStyle name="Parent row" xfId="271"/>
    <cellStyle name="Percent" xfId="1" builtinId="5"/>
    <cellStyle name="Percent 10" xfId="272"/>
    <cellStyle name="Percent 10 2" xfId="273"/>
    <cellStyle name="Percent 11" xfId="274"/>
    <cellStyle name="Percent 2" xfId="7"/>
    <cellStyle name="Percent 2 2" xfId="100"/>
    <cellStyle name="Percent 2 2 2" xfId="275"/>
    <cellStyle name="Percent 2 2 3" xfId="276"/>
    <cellStyle name="Percent 2 3" xfId="277"/>
    <cellStyle name="Percent 2 4" xfId="278"/>
    <cellStyle name="Percent 2 5" xfId="279"/>
    <cellStyle name="Percent 3" xfId="101"/>
    <cellStyle name="Percent 3 2" xfId="102"/>
    <cellStyle name="Percent 3 2 2" xfId="280"/>
    <cellStyle name="Percent 3 2 3" xfId="281"/>
    <cellStyle name="Percent 3 3" xfId="282"/>
    <cellStyle name="Percent 4" xfId="103"/>
    <cellStyle name="Percent 4 2" xfId="104"/>
    <cellStyle name="Percent 4 2 2" xfId="283"/>
    <cellStyle name="Percent 4 2 3" xfId="284"/>
    <cellStyle name="Percent 4 3" xfId="285"/>
    <cellStyle name="Percent 4 3 2" xfId="310"/>
    <cellStyle name="Percent 5" xfId="105"/>
    <cellStyle name="Percent 5 2" xfId="106"/>
    <cellStyle name="Percent 5 2 2" xfId="286"/>
    <cellStyle name="Percent 5 3" xfId="287"/>
    <cellStyle name="Percent 5 4" xfId="288"/>
    <cellStyle name="Percent 5 5" xfId="289"/>
    <cellStyle name="Percent 6" xfId="107"/>
    <cellStyle name="Percent 6 2" xfId="108"/>
    <cellStyle name="Percent 6 3" xfId="109"/>
    <cellStyle name="Percent 6 4" xfId="290"/>
    <cellStyle name="Percent 7" xfId="110"/>
    <cellStyle name="Percent 7 2" xfId="291"/>
    <cellStyle name="Percent 7 3" xfId="292"/>
    <cellStyle name="Percent 7 4" xfId="293"/>
    <cellStyle name="Percent 8" xfId="111"/>
    <cellStyle name="Percent 8 2" xfId="294"/>
    <cellStyle name="Percent 8 3" xfId="295"/>
    <cellStyle name="Percent 9" xfId="112"/>
    <cellStyle name="Percent 9 2" xfId="296"/>
    <cellStyle name="Table title" xfId="297"/>
    <cellStyle name="Title" xfId="311" builtinId="15" customBuiltin="1"/>
    <cellStyle name="Title 2" xfId="113"/>
    <cellStyle name="Title 2 2" xfId="298"/>
    <cellStyle name="Title 2 3" xfId="299"/>
    <cellStyle name="Title 3" xfId="300"/>
    <cellStyle name="Total" xfId="327" builtinId="25" customBuiltin="1"/>
    <cellStyle name="Total 2" xfId="114"/>
    <cellStyle name="Total 2 2" xfId="301"/>
    <cellStyle name="Total 2 3" xfId="302"/>
    <cellStyle name="Warning Text" xfId="324" builtinId="11" customBuiltin="1"/>
    <cellStyle name="Warning Text 2" xfId="115"/>
    <cellStyle name="Warning Text 2 2" xfId="303"/>
    <cellStyle name="Warning Text 2 3" xfId="304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251460</xdr:colOff>
      <xdr:row>16</xdr:row>
      <xdr:rowOff>152400</xdr:rowOff>
    </xdr:from>
    <xdr:ext cx="4541520" cy="2847959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07820" y="2933700"/>
          <a:ext cx="4541520" cy="2847959"/>
        </a:xfrm>
        <a:prstGeom prst="rect">
          <a:avLst/>
        </a:prstGeom>
        <a:noFill/>
        <a:ln cmpd="sng">
          <a:solidFill>
            <a:schemeClr val="tx1">
              <a:alpha val="72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1.18.19</a:t>
          </a:r>
          <a:r>
            <a:rPr lang="en-US" sz="11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Kara</a:t>
          </a:r>
          <a:endParaRPr lang="en-US">
            <a:effectLst/>
          </a:endParaRPr>
        </a:p>
        <a:p>
          <a:r>
            <a:rPr lang="en-US" sz="1100"/>
            <a:t>Current</a:t>
          </a:r>
          <a:r>
            <a:rPr lang="en-US" sz="1100" baseline="0"/>
            <a:t> rate runs from 1/1/18 - 12/31/19</a:t>
          </a:r>
        </a:p>
        <a:p>
          <a:r>
            <a:rPr lang="en-US" sz="1100" baseline="0"/>
            <a:t>By pushing rate review back to 7/1/19 to align with a Fiscal Year:</a:t>
          </a:r>
        </a:p>
        <a:p>
          <a:endParaRPr lang="en-US" sz="1100" baseline="0"/>
        </a:p>
        <a:p>
          <a:r>
            <a:rPr lang="en-US" sz="1100" baseline="0"/>
            <a:t>CAF Base period = last effective quarter of most recent rate review - this is </a:t>
          </a:r>
        </a:p>
        <a:p>
          <a:r>
            <a:rPr lang="en-US" sz="1100" baseline="0"/>
            <a:t>either CY2019Q4 or FY2020Q2</a:t>
          </a:r>
        </a:p>
        <a:p>
          <a:endParaRPr lang="en-US" sz="1100" baseline="0"/>
        </a:p>
        <a:p>
          <a:r>
            <a:rPr lang="en-US" sz="1100" baseline="0"/>
            <a:t>CAF Projection period = two years rate is effective - this is FY20 &amp; FY21 </a:t>
          </a:r>
        </a:p>
        <a:p>
          <a:r>
            <a:rPr lang="en-US" sz="1100" baseline="0"/>
            <a:t>aka: CY2019Q3 - CY2021Q2 or FY2020Q1 - FY2021Q4</a:t>
          </a:r>
        </a:p>
        <a:p>
          <a:endParaRPr lang="en-US" sz="1100" baseline="0"/>
        </a:p>
        <a:p>
          <a:r>
            <a:rPr lang="en-US" sz="1100" baseline="0"/>
            <a:t>The version posted to the website showed a CAF of 1.48% which was based on the Spring 2018 CAF report which was obselete once the Fall 2018 became available.  The CAF correction in the SE model workbooks from 1.48% to 1.42% does not affect the rates.  Both the NPH and the Staff Testimony incdicate for both CBDS and SE that the CAF is 1.42%</a:t>
          </a:r>
        </a:p>
        <a:p>
          <a:r>
            <a:rPr lang="en-US" sz="1100" baseline="0"/>
            <a:t>				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YITs%20413-%20FY22%20DCF%20&amp;%20DMH/July%202021/1.%20Strategy%20materials/4.%20Ch.%20257%20Model%20-%20CC%20Draft%20model%20budgets%20with%20New%20Models%205.2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evelopmental%20and%20Support%20Services-%20CMR%20424/FY21/FY21%20Workbook%20101%20CMR%2042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Supported%20Employment-CMR%20419\2018%20Rate%20Review\5.%20Final\SE%20Updated%20Models%208-18-17%20FINAL%20Post%20P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Admin%20&amp;%20Staff/Kara/Workforce%20Initiatives/3.%20Benchmark%20Analysis%20for%20FY21%20FO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Bench Chart"/>
      <sheetName val="Consolidated Rate Chart"/>
      <sheetName val="FY21 Add on Rates "/>
      <sheetName val="EXAMPLE - Group Home 1-4"/>
      <sheetName val="GH 12 Beds(DMH) "/>
      <sheetName val="Latency Res with H. Parent"/>
      <sheetName val="XXCTR 0-6"/>
      <sheetName val="XXCTR 7-12"/>
      <sheetName val="Short Term CTR"/>
      <sheetName val="Teen Parent"/>
      <sheetName val="Emergency Model"/>
      <sheetName val="The CTR model (was 13-17)"/>
      <sheetName val="Specialty (Exploited)"/>
      <sheetName val="Specialty"/>
      <sheetName val="XXInt Treatment Res A NOT USING"/>
      <sheetName val="Intensive Treatment Residence M"/>
      <sheetName val="ITR Aggressive old"/>
      <sheetName val="ITR Mental Health old"/>
      <sheetName val="TEMPLATE (7)"/>
      <sheetName val="TEMPLATE (8)"/>
    </sheetNames>
    <sheetDataSet>
      <sheetData sheetId="0" refreshError="1">
        <row r="4">
          <cell r="C4">
            <v>32198.400000000001</v>
          </cell>
        </row>
        <row r="30">
          <cell r="C30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HabSupRates 3285 v1"/>
      <sheetName val="Chart"/>
      <sheetName val="CorpRepPayee 3274 Models"/>
      <sheetName val="TAP 2222 Model"/>
      <sheetName val="Rate Chart"/>
      <sheetName val="Spring2017 CAF"/>
      <sheetName val="RatesForReg"/>
      <sheetName val="DayHabSupRates 3285 (V2)"/>
      <sheetName val="Fiscal Impact"/>
      <sheetName val="CAF 2019 Fall"/>
      <sheetName val="DayHab 3285 add ons"/>
      <sheetName val="Kara ALTR Add on Rates"/>
    </sheetNames>
    <sheetDataSet>
      <sheetData sheetId="0"/>
      <sheetData sheetId="1">
        <row r="4">
          <cell r="C4">
            <v>32198.400000000001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BZ25">
            <v>1.7780248869661817E-2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3168 ISE"/>
      <sheetName val="2. 3181 GSE"/>
      <sheetName val="3. 3181 HI Intnsty"/>
      <sheetName val="4. DC Add-On"/>
      <sheetName val="5. Travel"/>
      <sheetName val="6. 3169 CBWS"/>
      <sheetName val="7. 3169 HI"/>
      <sheetName val="Consultant"/>
      <sheetName val="Mgmt"/>
      <sheetName val="nonspDC"/>
      <sheetName val="SDC"/>
      <sheetName val="8. Rates Chart"/>
      <sheetName val="FY18 CAF"/>
      <sheetName val="PPH Fiscal Impact"/>
      <sheetName val="Spring CAF"/>
      <sheetName val="Rates Summary Post PH"/>
      <sheetName val="T&amp;F"/>
      <sheetName val="Admin"/>
      <sheetName val="CAF"/>
      <sheetName val="Original CAF"/>
      <sheetName val="3168 FY11 ContractData"/>
      <sheetName val="3168 hrspFTE"/>
      <sheetName val="3168 LTD"/>
      <sheetName val="3169 HRS"/>
      <sheetName val="3169 cltsprFTE"/>
      <sheetName val="3169 Per Unit"/>
      <sheetName val="Otlrs Rmvd 3169 &amp; 3181"/>
      <sheetName val="3181 cltsperFTE"/>
      <sheetName val="new EIM 3181"/>
      <sheetName val="Otlrs Rmvd  3181"/>
      <sheetName val="3181 nonspDC"/>
    </sheetNames>
    <sheetDataSet>
      <sheetData sheetId="0">
        <row r="27">
          <cell r="E27">
            <v>12.750177584564776</v>
          </cell>
        </row>
        <row r="54">
          <cell r="C54">
            <v>3.1819062378922902E-2</v>
          </cell>
        </row>
      </sheetData>
      <sheetData sheetId="1">
        <row r="26">
          <cell r="F26">
            <v>3.6611344327404627</v>
          </cell>
        </row>
      </sheetData>
      <sheetData sheetId="2">
        <row r="28">
          <cell r="F28">
            <v>5.4489483449760163</v>
          </cell>
        </row>
      </sheetData>
      <sheetData sheetId="3">
        <row r="8">
          <cell r="I8">
            <v>4.429601238292463</v>
          </cell>
        </row>
        <row r="13">
          <cell r="I13">
            <v>5.6207444036307805</v>
          </cell>
        </row>
      </sheetData>
      <sheetData sheetId="4">
        <row r="6">
          <cell r="G6">
            <v>7.2713951059296216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7">
          <cell r="BK27">
            <v>2.7235921972764018E-2</v>
          </cell>
        </row>
      </sheetData>
      <sheetData sheetId="15" refreshError="1"/>
      <sheetData sheetId="16">
        <row r="287">
          <cell r="G287">
            <v>0.2299997757370244</v>
          </cell>
        </row>
      </sheetData>
      <sheetData sheetId="17" refreshError="1"/>
      <sheetData sheetId="18" refreshError="1"/>
      <sheetData sheetId="19" refreshError="1"/>
      <sheetData sheetId="20">
        <row r="132">
          <cell r="DV132">
            <v>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54">
          <cell r="DE154">
            <v>3250.7357258064508</v>
          </cell>
        </row>
      </sheetData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"/>
  <sheetViews>
    <sheetView topLeftCell="BD4" workbookViewId="0">
      <selection activeCell="CA31" sqref="CA31"/>
    </sheetView>
  </sheetViews>
  <sheetFormatPr defaultRowHeight="13.2"/>
  <cols>
    <col min="1" max="1" width="38.44140625" style="148" customWidth="1"/>
    <col min="2" max="2" width="12.88671875" style="153" customWidth="1"/>
    <col min="3" max="58" width="7.6640625" style="148" customWidth="1"/>
    <col min="59" max="59" width="13" style="148" customWidth="1"/>
    <col min="60" max="60" width="8.44140625" style="148" customWidth="1"/>
    <col min="61" max="61" width="8.109375" style="148" customWidth="1"/>
    <col min="62" max="67" width="8.109375" style="148" bestFit="1" customWidth="1"/>
    <col min="68" max="68" width="7.44140625" style="148" bestFit="1" customWidth="1"/>
    <col min="69" max="69" width="9" style="148" bestFit="1" customWidth="1"/>
    <col min="70" max="82" width="7.6640625" style="148" customWidth="1"/>
    <col min="83" max="256" width="8.88671875" style="148"/>
    <col min="257" max="257" width="38.44140625" style="148" customWidth="1"/>
    <col min="258" max="258" width="12.88671875" style="148" customWidth="1"/>
    <col min="259" max="314" width="7.6640625" style="148" customWidth="1"/>
    <col min="315" max="315" width="13" style="148" customWidth="1"/>
    <col min="316" max="316" width="8.44140625" style="148" customWidth="1"/>
    <col min="317" max="317" width="8.109375" style="148" customWidth="1"/>
    <col min="318" max="323" width="8.109375" style="148" bestFit="1" customWidth="1"/>
    <col min="324" max="324" width="7.44140625" style="148" bestFit="1" customWidth="1"/>
    <col min="325" max="325" width="9" style="148" bestFit="1" customWidth="1"/>
    <col min="326" max="338" width="7.6640625" style="148" customWidth="1"/>
    <col min="339" max="512" width="8.88671875" style="148"/>
    <col min="513" max="513" width="38.44140625" style="148" customWidth="1"/>
    <col min="514" max="514" width="12.88671875" style="148" customWidth="1"/>
    <col min="515" max="570" width="7.6640625" style="148" customWidth="1"/>
    <col min="571" max="571" width="13" style="148" customWidth="1"/>
    <col min="572" max="572" width="8.44140625" style="148" customWidth="1"/>
    <col min="573" max="573" width="8.109375" style="148" customWidth="1"/>
    <col min="574" max="579" width="8.109375" style="148" bestFit="1" customWidth="1"/>
    <col min="580" max="580" width="7.44140625" style="148" bestFit="1" customWidth="1"/>
    <col min="581" max="581" width="9" style="148" bestFit="1" customWidth="1"/>
    <col min="582" max="594" width="7.6640625" style="148" customWidth="1"/>
    <col min="595" max="768" width="8.88671875" style="148"/>
    <col min="769" max="769" width="38.44140625" style="148" customWidth="1"/>
    <col min="770" max="770" width="12.88671875" style="148" customWidth="1"/>
    <col min="771" max="826" width="7.6640625" style="148" customWidth="1"/>
    <col min="827" max="827" width="13" style="148" customWidth="1"/>
    <col min="828" max="828" width="8.44140625" style="148" customWidth="1"/>
    <col min="829" max="829" width="8.109375" style="148" customWidth="1"/>
    <col min="830" max="835" width="8.109375" style="148" bestFit="1" customWidth="1"/>
    <col min="836" max="836" width="7.44140625" style="148" bestFit="1" customWidth="1"/>
    <col min="837" max="837" width="9" style="148" bestFit="1" customWidth="1"/>
    <col min="838" max="850" width="7.6640625" style="148" customWidth="1"/>
    <col min="851" max="1024" width="8.88671875" style="148"/>
    <col min="1025" max="1025" width="38.44140625" style="148" customWidth="1"/>
    <col min="1026" max="1026" width="12.88671875" style="148" customWidth="1"/>
    <col min="1027" max="1082" width="7.6640625" style="148" customWidth="1"/>
    <col min="1083" max="1083" width="13" style="148" customWidth="1"/>
    <col min="1084" max="1084" width="8.44140625" style="148" customWidth="1"/>
    <col min="1085" max="1085" width="8.109375" style="148" customWidth="1"/>
    <col min="1086" max="1091" width="8.109375" style="148" bestFit="1" customWidth="1"/>
    <col min="1092" max="1092" width="7.44140625" style="148" bestFit="1" customWidth="1"/>
    <col min="1093" max="1093" width="9" style="148" bestFit="1" customWidth="1"/>
    <col min="1094" max="1106" width="7.6640625" style="148" customWidth="1"/>
    <col min="1107" max="1280" width="8.88671875" style="148"/>
    <col min="1281" max="1281" width="38.44140625" style="148" customWidth="1"/>
    <col min="1282" max="1282" width="12.88671875" style="148" customWidth="1"/>
    <col min="1283" max="1338" width="7.6640625" style="148" customWidth="1"/>
    <col min="1339" max="1339" width="13" style="148" customWidth="1"/>
    <col min="1340" max="1340" width="8.44140625" style="148" customWidth="1"/>
    <col min="1341" max="1341" width="8.109375" style="148" customWidth="1"/>
    <col min="1342" max="1347" width="8.109375" style="148" bestFit="1" customWidth="1"/>
    <col min="1348" max="1348" width="7.44140625" style="148" bestFit="1" customWidth="1"/>
    <col min="1349" max="1349" width="9" style="148" bestFit="1" customWidth="1"/>
    <col min="1350" max="1362" width="7.6640625" style="148" customWidth="1"/>
    <col min="1363" max="1536" width="8.88671875" style="148"/>
    <col min="1537" max="1537" width="38.44140625" style="148" customWidth="1"/>
    <col min="1538" max="1538" width="12.88671875" style="148" customWidth="1"/>
    <col min="1539" max="1594" width="7.6640625" style="148" customWidth="1"/>
    <col min="1595" max="1595" width="13" style="148" customWidth="1"/>
    <col min="1596" max="1596" width="8.44140625" style="148" customWidth="1"/>
    <col min="1597" max="1597" width="8.109375" style="148" customWidth="1"/>
    <col min="1598" max="1603" width="8.109375" style="148" bestFit="1" customWidth="1"/>
    <col min="1604" max="1604" width="7.44140625" style="148" bestFit="1" customWidth="1"/>
    <col min="1605" max="1605" width="9" style="148" bestFit="1" customWidth="1"/>
    <col min="1606" max="1618" width="7.6640625" style="148" customWidth="1"/>
    <col min="1619" max="1792" width="8.88671875" style="148"/>
    <col min="1793" max="1793" width="38.44140625" style="148" customWidth="1"/>
    <col min="1794" max="1794" width="12.88671875" style="148" customWidth="1"/>
    <col min="1795" max="1850" width="7.6640625" style="148" customWidth="1"/>
    <col min="1851" max="1851" width="13" style="148" customWidth="1"/>
    <col min="1852" max="1852" width="8.44140625" style="148" customWidth="1"/>
    <col min="1853" max="1853" width="8.109375" style="148" customWidth="1"/>
    <col min="1854" max="1859" width="8.109375" style="148" bestFit="1" customWidth="1"/>
    <col min="1860" max="1860" width="7.44140625" style="148" bestFit="1" customWidth="1"/>
    <col min="1861" max="1861" width="9" style="148" bestFit="1" customWidth="1"/>
    <col min="1862" max="1874" width="7.6640625" style="148" customWidth="1"/>
    <col min="1875" max="2048" width="8.88671875" style="148"/>
    <col min="2049" max="2049" width="38.44140625" style="148" customWidth="1"/>
    <col min="2050" max="2050" width="12.88671875" style="148" customWidth="1"/>
    <col min="2051" max="2106" width="7.6640625" style="148" customWidth="1"/>
    <col min="2107" max="2107" width="13" style="148" customWidth="1"/>
    <col min="2108" max="2108" width="8.44140625" style="148" customWidth="1"/>
    <col min="2109" max="2109" width="8.109375" style="148" customWidth="1"/>
    <col min="2110" max="2115" width="8.109375" style="148" bestFit="1" customWidth="1"/>
    <col min="2116" max="2116" width="7.44140625" style="148" bestFit="1" customWidth="1"/>
    <col min="2117" max="2117" width="9" style="148" bestFit="1" customWidth="1"/>
    <col min="2118" max="2130" width="7.6640625" style="148" customWidth="1"/>
    <col min="2131" max="2304" width="8.88671875" style="148"/>
    <col min="2305" max="2305" width="38.44140625" style="148" customWidth="1"/>
    <col min="2306" max="2306" width="12.88671875" style="148" customWidth="1"/>
    <col min="2307" max="2362" width="7.6640625" style="148" customWidth="1"/>
    <col min="2363" max="2363" width="13" style="148" customWidth="1"/>
    <col min="2364" max="2364" width="8.44140625" style="148" customWidth="1"/>
    <col min="2365" max="2365" width="8.109375" style="148" customWidth="1"/>
    <col min="2366" max="2371" width="8.109375" style="148" bestFit="1" customWidth="1"/>
    <col min="2372" max="2372" width="7.44140625" style="148" bestFit="1" customWidth="1"/>
    <col min="2373" max="2373" width="9" style="148" bestFit="1" customWidth="1"/>
    <col min="2374" max="2386" width="7.6640625" style="148" customWidth="1"/>
    <col min="2387" max="2560" width="8.88671875" style="148"/>
    <col min="2561" max="2561" width="38.44140625" style="148" customWidth="1"/>
    <col min="2562" max="2562" width="12.88671875" style="148" customWidth="1"/>
    <col min="2563" max="2618" width="7.6640625" style="148" customWidth="1"/>
    <col min="2619" max="2619" width="13" style="148" customWidth="1"/>
    <col min="2620" max="2620" width="8.44140625" style="148" customWidth="1"/>
    <col min="2621" max="2621" width="8.109375" style="148" customWidth="1"/>
    <col min="2622" max="2627" width="8.109375" style="148" bestFit="1" customWidth="1"/>
    <col min="2628" max="2628" width="7.44140625" style="148" bestFit="1" customWidth="1"/>
    <col min="2629" max="2629" width="9" style="148" bestFit="1" customWidth="1"/>
    <col min="2630" max="2642" width="7.6640625" style="148" customWidth="1"/>
    <col min="2643" max="2816" width="8.88671875" style="148"/>
    <col min="2817" max="2817" width="38.44140625" style="148" customWidth="1"/>
    <col min="2818" max="2818" width="12.88671875" style="148" customWidth="1"/>
    <col min="2819" max="2874" width="7.6640625" style="148" customWidth="1"/>
    <col min="2875" max="2875" width="13" style="148" customWidth="1"/>
    <col min="2876" max="2876" width="8.44140625" style="148" customWidth="1"/>
    <col min="2877" max="2877" width="8.109375" style="148" customWidth="1"/>
    <col min="2878" max="2883" width="8.109375" style="148" bestFit="1" customWidth="1"/>
    <col min="2884" max="2884" width="7.44140625" style="148" bestFit="1" customWidth="1"/>
    <col min="2885" max="2885" width="9" style="148" bestFit="1" customWidth="1"/>
    <col min="2886" max="2898" width="7.6640625" style="148" customWidth="1"/>
    <col min="2899" max="3072" width="8.88671875" style="148"/>
    <col min="3073" max="3073" width="38.44140625" style="148" customWidth="1"/>
    <col min="3074" max="3074" width="12.88671875" style="148" customWidth="1"/>
    <col min="3075" max="3130" width="7.6640625" style="148" customWidth="1"/>
    <col min="3131" max="3131" width="13" style="148" customWidth="1"/>
    <col min="3132" max="3132" width="8.44140625" style="148" customWidth="1"/>
    <col min="3133" max="3133" width="8.109375" style="148" customWidth="1"/>
    <col min="3134" max="3139" width="8.109375" style="148" bestFit="1" customWidth="1"/>
    <col min="3140" max="3140" width="7.44140625" style="148" bestFit="1" customWidth="1"/>
    <col min="3141" max="3141" width="9" style="148" bestFit="1" customWidth="1"/>
    <col min="3142" max="3154" width="7.6640625" style="148" customWidth="1"/>
    <col min="3155" max="3328" width="8.88671875" style="148"/>
    <col min="3329" max="3329" width="38.44140625" style="148" customWidth="1"/>
    <col min="3330" max="3330" width="12.88671875" style="148" customWidth="1"/>
    <col min="3331" max="3386" width="7.6640625" style="148" customWidth="1"/>
    <col min="3387" max="3387" width="13" style="148" customWidth="1"/>
    <col min="3388" max="3388" width="8.44140625" style="148" customWidth="1"/>
    <col min="3389" max="3389" width="8.109375" style="148" customWidth="1"/>
    <col min="3390" max="3395" width="8.109375" style="148" bestFit="1" customWidth="1"/>
    <col min="3396" max="3396" width="7.44140625" style="148" bestFit="1" customWidth="1"/>
    <col min="3397" max="3397" width="9" style="148" bestFit="1" customWidth="1"/>
    <col min="3398" max="3410" width="7.6640625" style="148" customWidth="1"/>
    <col min="3411" max="3584" width="8.88671875" style="148"/>
    <col min="3585" max="3585" width="38.44140625" style="148" customWidth="1"/>
    <col min="3586" max="3586" width="12.88671875" style="148" customWidth="1"/>
    <col min="3587" max="3642" width="7.6640625" style="148" customWidth="1"/>
    <col min="3643" max="3643" width="13" style="148" customWidth="1"/>
    <col min="3644" max="3644" width="8.44140625" style="148" customWidth="1"/>
    <col min="3645" max="3645" width="8.109375" style="148" customWidth="1"/>
    <col min="3646" max="3651" width="8.109375" style="148" bestFit="1" customWidth="1"/>
    <col min="3652" max="3652" width="7.44140625" style="148" bestFit="1" customWidth="1"/>
    <col min="3653" max="3653" width="9" style="148" bestFit="1" customWidth="1"/>
    <col min="3654" max="3666" width="7.6640625" style="148" customWidth="1"/>
    <col min="3667" max="3840" width="8.88671875" style="148"/>
    <col min="3841" max="3841" width="38.44140625" style="148" customWidth="1"/>
    <col min="3842" max="3842" width="12.88671875" style="148" customWidth="1"/>
    <col min="3843" max="3898" width="7.6640625" style="148" customWidth="1"/>
    <col min="3899" max="3899" width="13" style="148" customWidth="1"/>
    <col min="3900" max="3900" width="8.44140625" style="148" customWidth="1"/>
    <col min="3901" max="3901" width="8.109375" style="148" customWidth="1"/>
    <col min="3902" max="3907" width="8.109375" style="148" bestFit="1" customWidth="1"/>
    <col min="3908" max="3908" width="7.44140625" style="148" bestFit="1" customWidth="1"/>
    <col min="3909" max="3909" width="9" style="148" bestFit="1" customWidth="1"/>
    <col min="3910" max="3922" width="7.6640625" style="148" customWidth="1"/>
    <col min="3923" max="4096" width="8.88671875" style="148"/>
    <col min="4097" max="4097" width="38.44140625" style="148" customWidth="1"/>
    <col min="4098" max="4098" width="12.88671875" style="148" customWidth="1"/>
    <col min="4099" max="4154" width="7.6640625" style="148" customWidth="1"/>
    <col min="4155" max="4155" width="13" style="148" customWidth="1"/>
    <col min="4156" max="4156" width="8.44140625" style="148" customWidth="1"/>
    <col min="4157" max="4157" width="8.109375" style="148" customWidth="1"/>
    <col min="4158" max="4163" width="8.109375" style="148" bestFit="1" customWidth="1"/>
    <col min="4164" max="4164" width="7.44140625" style="148" bestFit="1" customWidth="1"/>
    <col min="4165" max="4165" width="9" style="148" bestFit="1" customWidth="1"/>
    <col min="4166" max="4178" width="7.6640625" style="148" customWidth="1"/>
    <col min="4179" max="4352" width="8.88671875" style="148"/>
    <col min="4353" max="4353" width="38.44140625" style="148" customWidth="1"/>
    <col min="4354" max="4354" width="12.88671875" style="148" customWidth="1"/>
    <col min="4355" max="4410" width="7.6640625" style="148" customWidth="1"/>
    <col min="4411" max="4411" width="13" style="148" customWidth="1"/>
    <col min="4412" max="4412" width="8.44140625" style="148" customWidth="1"/>
    <col min="4413" max="4413" width="8.109375" style="148" customWidth="1"/>
    <col min="4414" max="4419" width="8.109375" style="148" bestFit="1" customWidth="1"/>
    <col min="4420" max="4420" width="7.44140625" style="148" bestFit="1" customWidth="1"/>
    <col min="4421" max="4421" width="9" style="148" bestFit="1" customWidth="1"/>
    <col min="4422" max="4434" width="7.6640625" style="148" customWidth="1"/>
    <col min="4435" max="4608" width="8.88671875" style="148"/>
    <col min="4609" max="4609" width="38.44140625" style="148" customWidth="1"/>
    <col min="4610" max="4610" width="12.88671875" style="148" customWidth="1"/>
    <col min="4611" max="4666" width="7.6640625" style="148" customWidth="1"/>
    <col min="4667" max="4667" width="13" style="148" customWidth="1"/>
    <col min="4668" max="4668" width="8.44140625" style="148" customWidth="1"/>
    <col min="4669" max="4669" width="8.109375" style="148" customWidth="1"/>
    <col min="4670" max="4675" width="8.109375" style="148" bestFit="1" customWidth="1"/>
    <col min="4676" max="4676" width="7.44140625" style="148" bestFit="1" customWidth="1"/>
    <col min="4677" max="4677" width="9" style="148" bestFit="1" customWidth="1"/>
    <col min="4678" max="4690" width="7.6640625" style="148" customWidth="1"/>
    <col min="4691" max="4864" width="8.88671875" style="148"/>
    <col min="4865" max="4865" width="38.44140625" style="148" customWidth="1"/>
    <col min="4866" max="4866" width="12.88671875" style="148" customWidth="1"/>
    <col min="4867" max="4922" width="7.6640625" style="148" customWidth="1"/>
    <col min="4923" max="4923" width="13" style="148" customWidth="1"/>
    <col min="4924" max="4924" width="8.44140625" style="148" customWidth="1"/>
    <col min="4925" max="4925" width="8.109375" style="148" customWidth="1"/>
    <col min="4926" max="4931" width="8.109375" style="148" bestFit="1" customWidth="1"/>
    <col min="4932" max="4932" width="7.44140625" style="148" bestFit="1" customWidth="1"/>
    <col min="4933" max="4933" width="9" style="148" bestFit="1" customWidth="1"/>
    <col min="4934" max="4946" width="7.6640625" style="148" customWidth="1"/>
    <col min="4947" max="5120" width="8.88671875" style="148"/>
    <col min="5121" max="5121" width="38.44140625" style="148" customWidth="1"/>
    <col min="5122" max="5122" width="12.88671875" style="148" customWidth="1"/>
    <col min="5123" max="5178" width="7.6640625" style="148" customWidth="1"/>
    <col min="5179" max="5179" width="13" style="148" customWidth="1"/>
    <col min="5180" max="5180" width="8.44140625" style="148" customWidth="1"/>
    <col min="5181" max="5181" width="8.109375" style="148" customWidth="1"/>
    <col min="5182" max="5187" width="8.109375" style="148" bestFit="1" customWidth="1"/>
    <col min="5188" max="5188" width="7.44140625" style="148" bestFit="1" customWidth="1"/>
    <col min="5189" max="5189" width="9" style="148" bestFit="1" customWidth="1"/>
    <col min="5190" max="5202" width="7.6640625" style="148" customWidth="1"/>
    <col min="5203" max="5376" width="8.88671875" style="148"/>
    <col min="5377" max="5377" width="38.44140625" style="148" customWidth="1"/>
    <col min="5378" max="5378" width="12.88671875" style="148" customWidth="1"/>
    <col min="5379" max="5434" width="7.6640625" style="148" customWidth="1"/>
    <col min="5435" max="5435" width="13" style="148" customWidth="1"/>
    <col min="5436" max="5436" width="8.44140625" style="148" customWidth="1"/>
    <col min="5437" max="5437" width="8.109375" style="148" customWidth="1"/>
    <col min="5438" max="5443" width="8.109375" style="148" bestFit="1" customWidth="1"/>
    <col min="5444" max="5444" width="7.44140625" style="148" bestFit="1" customWidth="1"/>
    <col min="5445" max="5445" width="9" style="148" bestFit="1" customWidth="1"/>
    <col min="5446" max="5458" width="7.6640625" style="148" customWidth="1"/>
    <col min="5459" max="5632" width="8.88671875" style="148"/>
    <col min="5633" max="5633" width="38.44140625" style="148" customWidth="1"/>
    <col min="5634" max="5634" width="12.88671875" style="148" customWidth="1"/>
    <col min="5635" max="5690" width="7.6640625" style="148" customWidth="1"/>
    <col min="5691" max="5691" width="13" style="148" customWidth="1"/>
    <col min="5692" max="5692" width="8.44140625" style="148" customWidth="1"/>
    <col min="5693" max="5693" width="8.109375" style="148" customWidth="1"/>
    <col min="5694" max="5699" width="8.109375" style="148" bestFit="1" customWidth="1"/>
    <col min="5700" max="5700" width="7.44140625" style="148" bestFit="1" customWidth="1"/>
    <col min="5701" max="5701" width="9" style="148" bestFit="1" customWidth="1"/>
    <col min="5702" max="5714" width="7.6640625" style="148" customWidth="1"/>
    <col min="5715" max="5888" width="8.88671875" style="148"/>
    <col min="5889" max="5889" width="38.44140625" style="148" customWidth="1"/>
    <col min="5890" max="5890" width="12.88671875" style="148" customWidth="1"/>
    <col min="5891" max="5946" width="7.6640625" style="148" customWidth="1"/>
    <col min="5947" max="5947" width="13" style="148" customWidth="1"/>
    <col min="5948" max="5948" width="8.44140625" style="148" customWidth="1"/>
    <col min="5949" max="5949" width="8.109375" style="148" customWidth="1"/>
    <col min="5950" max="5955" width="8.109375" style="148" bestFit="1" customWidth="1"/>
    <col min="5956" max="5956" width="7.44140625" style="148" bestFit="1" customWidth="1"/>
    <col min="5957" max="5957" width="9" style="148" bestFit="1" customWidth="1"/>
    <col min="5958" max="5970" width="7.6640625" style="148" customWidth="1"/>
    <col min="5971" max="6144" width="8.88671875" style="148"/>
    <col min="6145" max="6145" width="38.44140625" style="148" customWidth="1"/>
    <col min="6146" max="6146" width="12.88671875" style="148" customWidth="1"/>
    <col min="6147" max="6202" width="7.6640625" style="148" customWidth="1"/>
    <col min="6203" max="6203" width="13" style="148" customWidth="1"/>
    <col min="6204" max="6204" width="8.44140625" style="148" customWidth="1"/>
    <col min="6205" max="6205" width="8.109375" style="148" customWidth="1"/>
    <col min="6206" max="6211" width="8.109375" style="148" bestFit="1" customWidth="1"/>
    <col min="6212" max="6212" width="7.44140625" style="148" bestFit="1" customWidth="1"/>
    <col min="6213" max="6213" width="9" style="148" bestFit="1" customWidth="1"/>
    <col min="6214" max="6226" width="7.6640625" style="148" customWidth="1"/>
    <col min="6227" max="6400" width="8.88671875" style="148"/>
    <col min="6401" max="6401" width="38.44140625" style="148" customWidth="1"/>
    <col min="6402" max="6402" width="12.88671875" style="148" customWidth="1"/>
    <col min="6403" max="6458" width="7.6640625" style="148" customWidth="1"/>
    <col min="6459" max="6459" width="13" style="148" customWidth="1"/>
    <col min="6460" max="6460" width="8.44140625" style="148" customWidth="1"/>
    <col min="6461" max="6461" width="8.109375" style="148" customWidth="1"/>
    <col min="6462" max="6467" width="8.109375" style="148" bestFit="1" customWidth="1"/>
    <col min="6468" max="6468" width="7.44140625" style="148" bestFit="1" customWidth="1"/>
    <col min="6469" max="6469" width="9" style="148" bestFit="1" customWidth="1"/>
    <col min="6470" max="6482" width="7.6640625" style="148" customWidth="1"/>
    <col min="6483" max="6656" width="8.88671875" style="148"/>
    <col min="6657" max="6657" width="38.44140625" style="148" customWidth="1"/>
    <col min="6658" max="6658" width="12.88671875" style="148" customWidth="1"/>
    <col min="6659" max="6714" width="7.6640625" style="148" customWidth="1"/>
    <col min="6715" max="6715" width="13" style="148" customWidth="1"/>
    <col min="6716" max="6716" width="8.44140625" style="148" customWidth="1"/>
    <col min="6717" max="6717" width="8.109375" style="148" customWidth="1"/>
    <col min="6718" max="6723" width="8.109375" style="148" bestFit="1" customWidth="1"/>
    <col min="6724" max="6724" width="7.44140625" style="148" bestFit="1" customWidth="1"/>
    <col min="6725" max="6725" width="9" style="148" bestFit="1" customWidth="1"/>
    <col min="6726" max="6738" width="7.6640625" style="148" customWidth="1"/>
    <col min="6739" max="6912" width="8.88671875" style="148"/>
    <col min="6913" max="6913" width="38.44140625" style="148" customWidth="1"/>
    <col min="6914" max="6914" width="12.88671875" style="148" customWidth="1"/>
    <col min="6915" max="6970" width="7.6640625" style="148" customWidth="1"/>
    <col min="6971" max="6971" width="13" style="148" customWidth="1"/>
    <col min="6972" max="6972" width="8.44140625" style="148" customWidth="1"/>
    <col min="6973" max="6973" width="8.109375" style="148" customWidth="1"/>
    <col min="6974" max="6979" width="8.109375" style="148" bestFit="1" customWidth="1"/>
    <col min="6980" max="6980" width="7.44140625" style="148" bestFit="1" customWidth="1"/>
    <col min="6981" max="6981" width="9" style="148" bestFit="1" customWidth="1"/>
    <col min="6982" max="6994" width="7.6640625" style="148" customWidth="1"/>
    <col min="6995" max="7168" width="8.88671875" style="148"/>
    <col min="7169" max="7169" width="38.44140625" style="148" customWidth="1"/>
    <col min="7170" max="7170" width="12.88671875" style="148" customWidth="1"/>
    <col min="7171" max="7226" width="7.6640625" style="148" customWidth="1"/>
    <col min="7227" max="7227" width="13" style="148" customWidth="1"/>
    <col min="7228" max="7228" width="8.44140625" style="148" customWidth="1"/>
    <col min="7229" max="7229" width="8.109375" style="148" customWidth="1"/>
    <col min="7230" max="7235" width="8.109375" style="148" bestFit="1" customWidth="1"/>
    <col min="7236" max="7236" width="7.44140625" style="148" bestFit="1" customWidth="1"/>
    <col min="7237" max="7237" width="9" style="148" bestFit="1" customWidth="1"/>
    <col min="7238" max="7250" width="7.6640625" style="148" customWidth="1"/>
    <col min="7251" max="7424" width="8.88671875" style="148"/>
    <col min="7425" max="7425" width="38.44140625" style="148" customWidth="1"/>
    <col min="7426" max="7426" width="12.88671875" style="148" customWidth="1"/>
    <col min="7427" max="7482" width="7.6640625" style="148" customWidth="1"/>
    <col min="7483" max="7483" width="13" style="148" customWidth="1"/>
    <col min="7484" max="7484" width="8.44140625" style="148" customWidth="1"/>
    <col min="7485" max="7485" width="8.109375" style="148" customWidth="1"/>
    <col min="7486" max="7491" width="8.109375" style="148" bestFit="1" customWidth="1"/>
    <col min="7492" max="7492" width="7.44140625" style="148" bestFit="1" customWidth="1"/>
    <col min="7493" max="7493" width="9" style="148" bestFit="1" customWidth="1"/>
    <col min="7494" max="7506" width="7.6640625" style="148" customWidth="1"/>
    <col min="7507" max="7680" width="8.88671875" style="148"/>
    <col min="7681" max="7681" width="38.44140625" style="148" customWidth="1"/>
    <col min="7682" max="7682" width="12.88671875" style="148" customWidth="1"/>
    <col min="7683" max="7738" width="7.6640625" style="148" customWidth="1"/>
    <col min="7739" max="7739" width="13" style="148" customWidth="1"/>
    <col min="7740" max="7740" width="8.44140625" style="148" customWidth="1"/>
    <col min="7741" max="7741" width="8.109375" style="148" customWidth="1"/>
    <col min="7742" max="7747" width="8.109375" style="148" bestFit="1" customWidth="1"/>
    <col min="7748" max="7748" width="7.44140625" style="148" bestFit="1" customWidth="1"/>
    <col min="7749" max="7749" width="9" style="148" bestFit="1" customWidth="1"/>
    <col min="7750" max="7762" width="7.6640625" style="148" customWidth="1"/>
    <col min="7763" max="7936" width="8.88671875" style="148"/>
    <col min="7937" max="7937" width="38.44140625" style="148" customWidth="1"/>
    <col min="7938" max="7938" width="12.88671875" style="148" customWidth="1"/>
    <col min="7939" max="7994" width="7.6640625" style="148" customWidth="1"/>
    <col min="7995" max="7995" width="13" style="148" customWidth="1"/>
    <col min="7996" max="7996" width="8.44140625" style="148" customWidth="1"/>
    <col min="7997" max="7997" width="8.109375" style="148" customWidth="1"/>
    <col min="7998" max="8003" width="8.109375" style="148" bestFit="1" customWidth="1"/>
    <col min="8004" max="8004" width="7.44140625" style="148" bestFit="1" customWidth="1"/>
    <col min="8005" max="8005" width="9" style="148" bestFit="1" customWidth="1"/>
    <col min="8006" max="8018" width="7.6640625" style="148" customWidth="1"/>
    <col min="8019" max="8192" width="8.88671875" style="148"/>
    <col min="8193" max="8193" width="38.44140625" style="148" customWidth="1"/>
    <col min="8194" max="8194" width="12.88671875" style="148" customWidth="1"/>
    <col min="8195" max="8250" width="7.6640625" style="148" customWidth="1"/>
    <col min="8251" max="8251" width="13" style="148" customWidth="1"/>
    <col min="8252" max="8252" width="8.44140625" style="148" customWidth="1"/>
    <col min="8253" max="8253" width="8.109375" style="148" customWidth="1"/>
    <col min="8254" max="8259" width="8.109375" style="148" bestFit="1" customWidth="1"/>
    <col min="8260" max="8260" width="7.44140625" style="148" bestFit="1" customWidth="1"/>
    <col min="8261" max="8261" width="9" style="148" bestFit="1" customWidth="1"/>
    <col min="8262" max="8274" width="7.6640625" style="148" customWidth="1"/>
    <col min="8275" max="8448" width="8.88671875" style="148"/>
    <col min="8449" max="8449" width="38.44140625" style="148" customWidth="1"/>
    <col min="8450" max="8450" width="12.88671875" style="148" customWidth="1"/>
    <col min="8451" max="8506" width="7.6640625" style="148" customWidth="1"/>
    <col min="8507" max="8507" width="13" style="148" customWidth="1"/>
    <col min="8508" max="8508" width="8.44140625" style="148" customWidth="1"/>
    <col min="8509" max="8509" width="8.109375" style="148" customWidth="1"/>
    <col min="8510" max="8515" width="8.109375" style="148" bestFit="1" customWidth="1"/>
    <col min="8516" max="8516" width="7.44140625" style="148" bestFit="1" customWidth="1"/>
    <col min="8517" max="8517" width="9" style="148" bestFit="1" customWidth="1"/>
    <col min="8518" max="8530" width="7.6640625" style="148" customWidth="1"/>
    <col min="8531" max="8704" width="8.88671875" style="148"/>
    <col min="8705" max="8705" width="38.44140625" style="148" customWidth="1"/>
    <col min="8706" max="8706" width="12.88671875" style="148" customWidth="1"/>
    <col min="8707" max="8762" width="7.6640625" style="148" customWidth="1"/>
    <col min="8763" max="8763" width="13" style="148" customWidth="1"/>
    <col min="8764" max="8764" width="8.44140625" style="148" customWidth="1"/>
    <col min="8765" max="8765" width="8.109375" style="148" customWidth="1"/>
    <col min="8766" max="8771" width="8.109375" style="148" bestFit="1" customWidth="1"/>
    <col min="8772" max="8772" width="7.44140625" style="148" bestFit="1" customWidth="1"/>
    <col min="8773" max="8773" width="9" style="148" bestFit="1" customWidth="1"/>
    <col min="8774" max="8786" width="7.6640625" style="148" customWidth="1"/>
    <col min="8787" max="8960" width="8.88671875" style="148"/>
    <col min="8961" max="8961" width="38.44140625" style="148" customWidth="1"/>
    <col min="8962" max="8962" width="12.88671875" style="148" customWidth="1"/>
    <col min="8963" max="9018" width="7.6640625" style="148" customWidth="1"/>
    <col min="9019" max="9019" width="13" style="148" customWidth="1"/>
    <col min="9020" max="9020" width="8.44140625" style="148" customWidth="1"/>
    <col min="9021" max="9021" width="8.109375" style="148" customWidth="1"/>
    <col min="9022" max="9027" width="8.109375" style="148" bestFit="1" customWidth="1"/>
    <col min="9028" max="9028" width="7.44140625" style="148" bestFit="1" customWidth="1"/>
    <col min="9029" max="9029" width="9" style="148" bestFit="1" customWidth="1"/>
    <col min="9030" max="9042" width="7.6640625" style="148" customWidth="1"/>
    <col min="9043" max="9216" width="8.88671875" style="148"/>
    <col min="9217" max="9217" width="38.44140625" style="148" customWidth="1"/>
    <col min="9218" max="9218" width="12.88671875" style="148" customWidth="1"/>
    <col min="9219" max="9274" width="7.6640625" style="148" customWidth="1"/>
    <col min="9275" max="9275" width="13" style="148" customWidth="1"/>
    <col min="9276" max="9276" width="8.44140625" style="148" customWidth="1"/>
    <col min="9277" max="9277" width="8.109375" style="148" customWidth="1"/>
    <col min="9278" max="9283" width="8.109375" style="148" bestFit="1" customWidth="1"/>
    <col min="9284" max="9284" width="7.44140625" style="148" bestFit="1" customWidth="1"/>
    <col min="9285" max="9285" width="9" style="148" bestFit="1" customWidth="1"/>
    <col min="9286" max="9298" width="7.6640625" style="148" customWidth="1"/>
    <col min="9299" max="9472" width="8.88671875" style="148"/>
    <col min="9473" max="9473" width="38.44140625" style="148" customWidth="1"/>
    <col min="9474" max="9474" width="12.88671875" style="148" customWidth="1"/>
    <col min="9475" max="9530" width="7.6640625" style="148" customWidth="1"/>
    <col min="9531" max="9531" width="13" style="148" customWidth="1"/>
    <col min="9532" max="9532" width="8.44140625" style="148" customWidth="1"/>
    <col min="9533" max="9533" width="8.109375" style="148" customWidth="1"/>
    <col min="9534" max="9539" width="8.109375" style="148" bestFit="1" customWidth="1"/>
    <col min="9540" max="9540" width="7.44140625" style="148" bestFit="1" customWidth="1"/>
    <col min="9541" max="9541" width="9" style="148" bestFit="1" customWidth="1"/>
    <col min="9542" max="9554" width="7.6640625" style="148" customWidth="1"/>
    <col min="9555" max="9728" width="8.88671875" style="148"/>
    <col min="9729" max="9729" width="38.44140625" style="148" customWidth="1"/>
    <col min="9730" max="9730" width="12.88671875" style="148" customWidth="1"/>
    <col min="9731" max="9786" width="7.6640625" style="148" customWidth="1"/>
    <col min="9787" max="9787" width="13" style="148" customWidth="1"/>
    <col min="9788" max="9788" width="8.44140625" style="148" customWidth="1"/>
    <col min="9789" max="9789" width="8.109375" style="148" customWidth="1"/>
    <col min="9790" max="9795" width="8.109375" style="148" bestFit="1" customWidth="1"/>
    <col min="9796" max="9796" width="7.44140625" style="148" bestFit="1" customWidth="1"/>
    <col min="9797" max="9797" width="9" style="148" bestFit="1" customWidth="1"/>
    <col min="9798" max="9810" width="7.6640625" style="148" customWidth="1"/>
    <col min="9811" max="9984" width="8.88671875" style="148"/>
    <col min="9985" max="9985" width="38.44140625" style="148" customWidth="1"/>
    <col min="9986" max="9986" width="12.88671875" style="148" customWidth="1"/>
    <col min="9987" max="10042" width="7.6640625" style="148" customWidth="1"/>
    <col min="10043" max="10043" width="13" style="148" customWidth="1"/>
    <col min="10044" max="10044" width="8.44140625" style="148" customWidth="1"/>
    <col min="10045" max="10045" width="8.109375" style="148" customWidth="1"/>
    <col min="10046" max="10051" width="8.109375" style="148" bestFit="1" customWidth="1"/>
    <col min="10052" max="10052" width="7.44140625" style="148" bestFit="1" customWidth="1"/>
    <col min="10053" max="10053" width="9" style="148" bestFit="1" customWidth="1"/>
    <col min="10054" max="10066" width="7.6640625" style="148" customWidth="1"/>
    <col min="10067" max="10240" width="8.88671875" style="148"/>
    <col min="10241" max="10241" width="38.44140625" style="148" customWidth="1"/>
    <col min="10242" max="10242" width="12.88671875" style="148" customWidth="1"/>
    <col min="10243" max="10298" width="7.6640625" style="148" customWidth="1"/>
    <col min="10299" max="10299" width="13" style="148" customWidth="1"/>
    <col min="10300" max="10300" width="8.44140625" style="148" customWidth="1"/>
    <col min="10301" max="10301" width="8.109375" style="148" customWidth="1"/>
    <col min="10302" max="10307" width="8.109375" style="148" bestFit="1" customWidth="1"/>
    <col min="10308" max="10308" width="7.44140625" style="148" bestFit="1" customWidth="1"/>
    <col min="10309" max="10309" width="9" style="148" bestFit="1" customWidth="1"/>
    <col min="10310" max="10322" width="7.6640625" style="148" customWidth="1"/>
    <col min="10323" max="10496" width="8.88671875" style="148"/>
    <col min="10497" max="10497" width="38.44140625" style="148" customWidth="1"/>
    <col min="10498" max="10498" width="12.88671875" style="148" customWidth="1"/>
    <col min="10499" max="10554" width="7.6640625" style="148" customWidth="1"/>
    <col min="10555" max="10555" width="13" style="148" customWidth="1"/>
    <col min="10556" max="10556" width="8.44140625" style="148" customWidth="1"/>
    <col min="10557" max="10557" width="8.109375" style="148" customWidth="1"/>
    <col min="10558" max="10563" width="8.109375" style="148" bestFit="1" customWidth="1"/>
    <col min="10564" max="10564" width="7.44140625" style="148" bestFit="1" customWidth="1"/>
    <col min="10565" max="10565" width="9" style="148" bestFit="1" customWidth="1"/>
    <col min="10566" max="10578" width="7.6640625" style="148" customWidth="1"/>
    <col min="10579" max="10752" width="8.88671875" style="148"/>
    <col min="10753" max="10753" width="38.44140625" style="148" customWidth="1"/>
    <col min="10754" max="10754" width="12.88671875" style="148" customWidth="1"/>
    <col min="10755" max="10810" width="7.6640625" style="148" customWidth="1"/>
    <col min="10811" max="10811" width="13" style="148" customWidth="1"/>
    <col min="10812" max="10812" width="8.44140625" style="148" customWidth="1"/>
    <col min="10813" max="10813" width="8.109375" style="148" customWidth="1"/>
    <col min="10814" max="10819" width="8.109375" style="148" bestFit="1" customWidth="1"/>
    <col min="10820" max="10820" width="7.44140625" style="148" bestFit="1" customWidth="1"/>
    <col min="10821" max="10821" width="9" style="148" bestFit="1" customWidth="1"/>
    <col min="10822" max="10834" width="7.6640625" style="148" customWidth="1"/>
    <col min="10835" max="11008" width="8.88671875" style="148"/>
    <col min="11009" max="11009" width="38.44140625" style="148" customWidth="1"/>
    <col min="11010" max="11010" width="12.88671875" style="148" customWidth="1"/>
    <col min="11011" max="11066" width="7.6640625" style="148" customWidth="1"/>
    <col min="11067" max="11067" width="13" style="148" customWidth="1"/>
    <col min="11068" max="11068" width="8.44140625" style="148" customWidth="1"/>
    <col min="11069" max="11069" width="8.109375" style="148" customWidth="1"/>
    <col min="11070" max="11075" width="8.109375" style="148" bestFit="1" customWidth="1"/>
    <col min="11076" max="11076" width="7.44140625" style="148" bestFit="1" customWidth="1"/>
    <col min="11077" max="11077" width="9" style="148" bestFit="1" customWidth="1"/>
    <col min="11078" max="11090" width="7.6640625" style="148" customWidth="1"/>
    <col min="11091" max="11264" width="8.88671875" style="148"/>
    <col min="11265" max="11265" width="38.44140625" style="148" customWidth="1"/>
    <col min="11266" max="11266" width="12.88671875" style="148" customWidth="1"/>
    <col min="11267" max="11322" width="7.6640625" style="148" customWidth="1"/>
    <col min="11323" max="11323" width="13" style="148" customWidth="1"/>
    <col min="11324" max="11324" width="8.44140625" style="148" customWidth="1"/>
    <col min="11325" max="11325" width="8.109375" style="148" customWidth="1"/>
    <col min="11326" max="11331" width="8.109375" style="148" bestFit="1" customWidth="1"/>
    <col min="11332" max="11332" width="7.44140625" style="148" bestFit="1" customWidth="1"/>
    <col min="11333" max="11333" width="9" style="148" bestFit="1" customWidth="1"/>
    <col min="11334" max="11346" width="7.6640625" style="148" customWidth="1"/>
    <col min="11347" max="11520" width="8.88671875" style="148"/>
    <col min="11521" max="11521" width="38.44140625" style="148" customWidth="1"/>
    <col min="11522" max="11522" width="12.88671875" style="148" customWidth="1"/>
    <col min="11523" max="11578" width="7.6640625" style="148" customWidth="1"/>
    <col min="11579" max="11579" width="13" style="148" customWidth="1"/>
    <col min="11580" max="11580" width="8.44140625" style="148" customWidth="1"/>
    <col min="11581" max="11581" width="8.109375" style="148" customWidth="1"/>
    <col min="11582" max="11587" width="8.109375" style="148" bestFit="1" customWidth="1"/>
    <col min="11588" max="11588" width="7.44140625" style="148" bestFit="1" customWidth="1"/>
    <col min="11589" max="11589" width="9" style="148" bestFit="1" customWidth="1"/>
    <col min="11590" max="11602" width="7.6640625" style="148" customWidth="1"/>
    <col min="11603" max="11776" width="8.88671875" style="148"/>
    <col min="11777" max="11777" width="38.44140625" style="148" customWidth="1"/>
    <col min="11778" max="11778" width="12.88671875" style="148" customWidth="1"/>
    <col min="11779" max="11834" width="7.6640625" style="148" customWidth="1"/>
    <col min="11835" max="11835" width="13" style="148" customWidth="1"/>
    <col min="11836" max="11836" width="8.44140625" style="148" customWidth="1"/>
    <col min="11837" max="11837" width="8.109375" style="148" customWidth="1"/>
    <col min="11838" max="11843" width="8.109375" style="148" bestFit="1" customWidth="1"/>
    <col min="11844" max="11844" width="7.44140625" style="148" bestFit="1" customWidth="1"/>
    <col min="11845" max="11845" width="9" style="148" bestFit="1" customWidth="1"/>
    <col min="11846" max="11858" width="7.6640625" style="148" customWidth="1"/>
    <col min="11859" max="12032" width="8.88671875" style="148"/>
    <col min="12033" max="12033" width="38.44140625" style="148" customWidth="1"/>
    <col min="12034" max="12034" width="12.88671875" style="148" customWidth="1"/>
    <col min="12035" max="12090" width="7.6640625" style="148" customWidth="1"/>
    <col min="12091" max="12091" width="13" style="148" customWidth="1"/>
    <col min="12092" max="12092" width="8.44140625" style="148" customWidth="1"/>
    <col min="12093" max="12093" width="8.109375" style="148" customWidth="1"/>
    <col min="12094" max="12099" width="8.109375" style="148" bestFit="1" customWidth="1"/>
    <col min="12100" max="12100" width="7.44140625" style="148" bestFit="1" customWidth="1"/>
    <col min="12101" max="12101" width="9" style="148" bestFit="1" customWidth="1"/>
    <col min="12102" max="12114" width="7.6640625" style="148" customWidth="1"/>
    <col min="12115" max="12288" width="8.88671875" style="148"/>
    <col min="12289" max="12289" width="38.44140625" style="148" customWidth="1"/>
    <col min="12290" max="12290" width="12.88671875" style="148" customWidth="1"/>
    <col min="12291" max="12346" width="7.6640625" style="148" customWidth="1"/>
    <col min="12347" max="12347" width="13" style="148" customWidth="1"/>
    <col min="12348" max="12348" width="8.44140625" style="148" customWidth="1"/>
    <col min="12349" max="12349" width="8.109375" style="148" customWidth="1"/>
    <col min="12350" max="12355" width="8.109375" style="148" bestFit="1" customWidth="1"/>
    <col min="12356" max="12356" width="7.44140625" style="148" bestFit="1" customWidth="1"/>
    <col min="12357" max="12357" width="9" style="148" bestFit="1" customWidth="1"/>
    <col min="12358" max="12370" width="7.6640625" style="148" customWidth="1"/>
    <col min="12371" max="12544" width="8.88671875" style="148"/>
    <col min="12545" max="12545" width="38.44140625" style="148" customWidth="1"/>
    <col min="12546" max="12546" width="12.88671875" style="148" customWidth="1"/>
    <col min="12547" max="12602" width="7.6640625" style="148" customWidth="1"/>
    <col min="12603" max="12603" width="13" style="148" customWidth="1"/>
    <col min="12604" max="12604" width="8.44140625" style="148" customWidth="1"/>
    <col min="12605" max="12605" width="8.109375" style="148" customWidth="1"/>
    <col min="12606" max="12611" width="8.109375" style="148" bestFit="1" customWidth="1"/>
    <col min="12612" max="12612" width="7.44140625" style="148" bestFit="1" customWidth="1"/>
    <col min="12613" max="12613" width="9" style="148" bestFit="1" customWidth="1"/>
    <col min="12614" max="12626" width="7.6640625" style="148" customWidth="1"/>
    <col min="12627" max="12800" width="8.88671875" style="148"/>
    <col min="12801" max="12801" width="38.44140625" style="148" customWidth="1"/>
    <col min="12802" max="12802" width="12.88671875" style="148" customWidth="1"/>
    <col min="12803" max="12858" width="7.6640625" style="148" customWidth="1"/>
    <col min="12859" max="12859" width="13" style="148" customWidth="1"/>
    <col min="12860" max="12860" width="8.44140625" style="148" customWidth="1"/>
    <col min="12861" max="12861" width="8.109375" style="148" customWidth="1"/>
    <col min="12862" max="12867" width="8.109375" style="148" bestFit="1" customWidth="1"/>
    <col min="12868" max="12868" width="7.44140625" style="148" bestFit="1" customWidth="1"/>
    <col min="12869" max="12869" width="9" style="148" bestFit="1" customWidth="1"/>
    <col min="12870" max="12882" width="7.6640625" style="148" customWidth="1"/>
    <col min="12883" max="13056" width="8.88671875" style="148"/>
    <col min="13057" max="13057" width="38.44140625" style="148" customWidth="1"/>
    <col min="13058" max="13058" width="12.88671875" style="148" customWidth="1"/>
    <col min="13059" max="13114" width="7.6640625" style="148" customWidth="1"/>
    <col min="13115" max="13115" width="13" style="148" customWidth="1"/>
    <col min="13116" max="13116" width="8.44140625" style="148" customWidth="1"/>
    <col min="13117" max="13117" width="8.109375" style="148" customWidth="1"/>
    <col min="13118" max="13123" width="8.109375" style="148" bestFit="1" customWidth="1"/>
    <col min="13124" max="13124" width="7.44140625" style="148" bestFit="1" customWidth="1"/>
    <col min="13125" max="13125" width="9" style="148" bestFit="1" customWidth="1"/>
    <col min="13126" max="13138" width="7.6640625" style="148" customWidth="1"/>
    <col min="13139" max="13312" width="8.88671875" style="148"/>
    <col min="13313" max="13313" width="38.44140625" style="148" customWidth="1"/>
    <col min="13314" max="13314" width="12.88671875" style="148" customWidth="1"/>
    <col min="13315" max="13370" width="7.6640625" style="148" customWidth="1"/>
    <col min="13371" max="13371" width="13" style="148" customWidth="1"/>
    <col min="13372" max="13372" width="8.44140625" style="148" customWidth="1"/>
    <col min="13373" max="13373" width="8.109375" style="148" customWidth="1"/>
    <col min="13374" max="13379" width="8.109375" style="148" bestFit="1" customWidth="1"/>
    <col min="13380" max="13380" width="7.44140625" style="148" bestFit="1" customWidth="1"/>
    <col min="13381" max="13381" width="9" style="148" bestFit="1" customWidth="1"/>
    <col min="13382" max="13394" width="7.6640625" style="148" customWidth="1"/>
    <col min="13395" max="13568" width="8.88671875" style="148"/>
    <col min="13569" max="13569" width="38.44140625" style="148" customWidth="1"/>
    <col min="13570" max="13570" width="12.88671875" style="148" customWidth="1"/>
    <col min="13571" max="13626" width="7.6640625" style="148" customWidth="1"/>
    <col min="13627" max="13627" width="13" style="148" customWidth="1"/>
    <col min="13628" max="13628" width="8.44140625" style="148" customWidth="1"/>
    <col min="13629" max="13629" width="8.109375" style="148" customWidth="1"/>
    <col min="13630" max="13635" width="8.109375" style="148" bestFit="1" customWidth="1"/>
    <col min="13636" max="13636" width="7.44140625" style="148" bestFit="1" customWidth="1"/>
    <col min="13637" max="13637" width="9" style="148" bestFit="1" customWidth="1"/>
    <col min="13638" max="13650" width="7.6640625" style="148" customWidth="1"/>
    <col min="13651" max="13824" width="8.88671875" style="148"/>
    <col min="13825" max="13825" width="38.44140625" style="148" customWidth="1"/>
    <col min="13826" max="13826" width="12.88671875" style="148" customWidth="1"/>
    <col min="13827" max="13882" width="7.6640625" style="148" customWidth="1"/>
    <col min="13883" max="13883" width="13" style="148" customWidth="1"/>
    <col min="13884" max="13884" width="8.44140625" style="148" customWidth="1"/>
    <col min="13885" max="13885" width="8.109375" style="148" customWidth="1"/>
    <col min="13886" max="13891" width="8.109375" style="148" bestFit="1" customWidth="1"/>
    <col min="13892" max="13892" width="7.44140625" style="148" bestFit="1" customWidth="1"/>
    <col min="13893" max="13893" width="9" style="148" bestFit="1" customWidth="1"/>
    <col min="13894" max="13906" width="7.6640625" style="148" customWidth="1"/>
    <col min="13907" max="14080" width="8.88671875" style="148"/>
    <col min="14081" max="14081" width="38.44140625" style="148" customWidth="1"/>
    <col min="14082" max="14082" width="12.88671875" style="148" customWidth="1"/>
    <col min="14083" max="14138" width="7.6640625" style="148" customWidth="1"/>
    <col min="14139" max="14139" width="13" style="148" customWidth="1"/>
    <col min="14140" max="14140" width="8.44140625" style="148" customWidth="1"/>
    <col min="14141" max="14141" width="8.109375" style="148" customWidth="1"/>
    <col min="14142" max="14147" width="8.109375" style="148" bestFit="1" customWidth="1"/>
    <col min="14148" max="14148" width="7.44140625" style="148" bestFit="1" customWidth="1"/>
    <col min="14149" max="14149" width="9" style="148" bestFit="1" customWidth="1"/>
    <col min="14150" max="14162" width="7.6640625" style="148" customWidth="1"/>
    <col min="14163" max="14336" width="8.88671875" style="148"/>
    <col min="14337" max="14337" width="38.44140625" style="148" customWidth="1"/>
    <col min="14338" max="14338" width="12.88671875" style="148" customWidth="1"/>
    <col min="14339" max="14394" width="7.6640625" style="148" customWidth="1"/>
    <col min="14395" max="14395" width="13" style="148" customWidth="1"/>
    <col min="14396" max="14396" width="8.44140625" style="148" customWidth="1"/>
    <col min="14397" max="14397" width="8.109375" style="148" customWidth="1"/>
    <col min="14398" max="14403" width="8.109375" style="148" bestFit="1" customWidth="1"/>
    <col min="14404" max="14404" width="7.44140625" style="148" bestFit="1" customWidth="1"/>
    <col min="14405" max="14405" width="9" style="148" bestFit="1" customWidth="1"/>
    <col min="14406" max="14418" width="7.6640625" style="148" customWidth="1"/>
    <col min="14419" max="14592" width="8.88671875" style="148"/>
    <col min="14593" max="14593" width="38.44140625" style="148" customWidth="1"/>
    <col min="14594" max="14594" width="12.88671875" style="148" customWidth="1"/>
    <col min="14595" max="14650" width="7.6640625" style="148" customWidth="1"/>
    <col min="14651" max="14651" width="13" style="148" customWidth="1"/>
    <col min="14652" max="14652" width="8.44140625" style="148" customWidth="1"/>
    <col min="14653" max="14653" width="8.109375" style="148" customWidth="1"/>
    <col min="14654" max="14659" width="8.109375" style="148" bestFit="1" customWidth="1"/>
    <col min="14660" max="14660" width="7.44140625" style="148" bestFit="1" customWidth="1"/>
    <col min="14661" max="14661" width="9" style="148" bestFit="1" customWidth="1"/>
    <col min="14662" max="14674" width="7.6640625" style="148" customWidth="1"/>
    <col min="14675" max="14848" width="8.88671875" style="148"/>
    <col min="14849" max="14849" width="38.44140625" style="148" customWidth="1"/>
    <col min="14850" max="14850" width="12.88671875" style="148" customWidth="1"/>
    <col min="14851" max="14906" width="7.6640625" style="148" customWidth="1"/>
    <col min="14907" max="14907" width="13" style="148" customWidth="1"/>
    <col min="14908" max="14908" width="8.44140625" style="148" customWidth="1"/>
    <col min="14909" max="14909" width="8.109375" style="148" customWidth="1"/>
    <col min="14910" max="14915" width="8.109375" style="148" bestFit="1" customWidth="1"/>
    <col min="14916" max="14916" width="7.44140625" style="148" bestFit="1" customWidth="1"/>
    <col min="14917" max="14917" width="9" style="148" bestFit="1" customWidth="1"/>
    <col min="14918" max="14930" width="7.6640625" style="148" customWidth="1"/>
    <col min="14931" max="15104" width="8.88671875" style="148"/>
    <col min="15105" max="15105" width="38.44140625" style="148" customWidth="1"/>
    <col min="15106" max="15106" width="12.88671875" style="148" customWidth="1"/>
    <col min="15107" max="15162" width="7.6640625" style="148" customWidth="1"/>
    <col min="15163" max="15163" width="13" style="148" customWidth="1"/>
    <col min="15164" max="15164" width="8.44140625" style="148" customWidth="1"/>
    <col min="15165" max="15165" width="8.109375" style="148" customWidth="1"/>
    <col min="15166" max="15171" width="8.109375" style="148" bestFit="1" customWidth="1"/>
    <col min="15172" max="15172" width="7.44140625" style="148" bestFit="1" customWidth="1"/>
    <col min="15173" max="15173" width="9" style="148" bestFit="1" customWidth="1"/>
    <col min="15174" max="15186" width="7.6640625" style="148" customWidth="1"/>
    <col min="15187" max="15360" width="8.88671875" style="148"/>
    <col min="15361" max="15361" width="38.44140625" style="148" customWidth="1"/>
    <col min="15362" max="15362" width="12.88671875" style="148" customWidth="1"/>
    <col min="15363" max="15418" width="7.6640625" style="148" customWidth="1"/>
    <col min="15419" max="15419" width="13" style="148" customWidth="1"/>
    <col min="15420" max="15420" width="8.44140625" style="148" customWidth="1"/>
    <col min="15421" max="15421" width="8.109375" style="148" customWidth="1"/>
    <col min="15422" max="15427" width="8.109375" style="148" bestFit="1" customWidth="1"/>
    <col min="15428" max="15428" width="7.44140625" style="148" bestFit="1" customWidth="1"/>
    <col min="15429" max="15429" width="9" style="148" bestFit="1" customWidth="1"/>
    <col min="15430" max="15442" width="7.6640625" style="148" customWidth="1"/>
    <col min="15443" max="15616" width="8.88671875" style="148"/>
    <col min="15617" max="15617" width="38.44140625" style="148" customWidth="1"/>
    <col min="15618" max="15618" width="12.88671875" style="148" customWidth="1"/>
    <col min="15619" max="15674" width="7.6640625" style="148" customWidth="1"/>
    <col min="15675" max="15675" width="13" style="148" customWidth="1"/>
    <col min="15676" max="15676" width="8.44140625" style="148" customWidth="1"/>
    <col min="15677" max="15677" width="8.109375" style="148" customWidth="1"/>
    <col min="15678" max="15683" width="8.109375" style="148" bestFit="1" customWidth="1"/>
    <col min="15684" max="15684" width="7.44140625" style="148" bestFit="1" customWidth="1"/>
    <col min="15685" max="15685" width="9" style="148" bestFit="1" customWidth="1"/>
    <col min="15686" max="15698" width="7.6640625" style="148" customWidth="1"/>
    <col min="15699" max="15872" width="8.88671875" style="148"/>
    <col min="15873" max="15873" width="38.44140625" style="148" customWidth="1"/>
    <col min="15874" max="15874" width="12.88671875" style="148" customWidth="1"/>
    <col min="15875" max="15930" width="7.6640625" style="148" customWidth="1"/>
    <col min="15931" max="15931" width="13" style="148" customWidth="1"/>
    <col min="15932" max="15932" width="8.44140625" style="148" customWidth="1"/>
    <col min="15933" max="15933" width="8.109375" style="148" customWidth="1"/>
    <col min="15934" max="15939" width="8.109375" style="148" bestFit="1" customWidth="1"/>
    <col min="15940" max="15940" width="7.44140625" style="148" bestFit="1" customWidth="1"/>
    <col min="15941" max="15941" width="9" style="148" bestFit="1" customWidth="1"/>
    <col min="15942" max="15954" width="7.6640625" style="148" customWidth="1"/>
    <col min="15955" max="16128" width="8.88671875" style="148"/>
    <col min="16129" max="16129" width="38.44140625" style="148" customWidth="1"/>
    <col min="16130" max="16130" width="12.88671875" style="148" customWidth="1"/>
    <col min="16131" max="16186" width="7.6640625" style="148" customWidth="1"/>
    <col min="16187" max="16187" width="13" style="148" customWidth="1"/>
    <col min="16188" max="16188" width="8.44140625" style="148" customWidth="1"/>
    <col min="16189" max="16189" width="8.109375" style="148" customWidth="1"/>
    <col min="16190" max="16195" width="8.109375" style="148" bestFit="1" customWidth="1"/>
    <col min="16196" max="16196" width="7.44140625" style="148" bestFit="1" customWidth="1"/>
    <col min="16197" max="16197" width="9" style="148" bestFit="1" customWidth="1"/>
    <col min="16198" max="16210" width="7.6640625" style="148" customWidth="1"/>
    <col min="16211" max="16384" width="8.88671875" style="148"/>
  </cols>
  <sheetData>
    <row r="1" spans="1:83" ht="17.399999999999999">
      <c r="A1" s="146" t="s">
        <v>14</v>
      </c>
      <c r="B1" s="147"/>
    </row>
    <row r="2" spans="1:83" ht="15.6">
      <c r="A2" s="149" t="s">
        <v>170</v>
      </c>
      <c r="B2" s="150"/>
    </row>
    <row r="3" spans="1:83" ht="14.4" thickBot="1">
      <c r="A3" s="151" t="s">
        <v>16</v>
      </c>
      <c r="B3" s="152"/>
    </row>
    <row r="6" spans="1:83">
      <c r="BI6" s="154" t="s">
        <v>20</v>
      </c>
      <c r="BJ6" s="154" t="s">
        <v>20</v>
      </c>
      <c r="BK6" s="154" t="s">
        <v>20</v>
      </c>
      <c r="BL6" s="154" t="s">
        <v>20</v>
      </c>
      <c r="BM6" s="155" t="s">
        <v>21</v>
      </c>
      <c r="BN6" s="155" t="s">
        <v>21</v>
      </c>
      <c r="BO6" s="155" t="s">
        <v>21</v>
      </c>
      <c r="BP6" s="155" t="s">
        <v>21</v>
      </c>
      <c r="BQ6" s="156" t="s">
        <v>22</v>
      </c>
      <c r="BR6" s="156" t="s">
        <v>22</v>
      </c>
      <c r="BS6" s="156" t="s">
        <v>22</v>
      </c>
      <c r="BT6" s="156" t="s">
        <v>22</v>
      </c>
      <c r="BU6" s="157" t="s">
        <v>171</v>
      </c>
      <c r="BV6" s="157" t="s">
        <v>171</v>
      </c>
      <c r="BW6" s="157" t="s">
        <v>171</v>
      </c>
      <c r="BX6" s="157" t="s">
        <v>171</v>
      </c>
      <c r="BY6" s="158" t="s">
        <v>172</v>
      </c>
      <c r="BZ6" s="158" t="s">
        <v>172</v>
      </c>
      <c r="CA6" s="158" t="s">
        <v>172</v>
      </c>
      <c r="CB6" s="158" t="s">
        <v>172</v>
      </c>
    </row>
    <row r="7" spans="1:83" s="153" customFormat="1">
      <c r="B7" s="153" t="s">
        <v>23</v>
      </c>
      <c r="C7" s="159" t="s">
        <v>24</v>
      </c>
      <c r="D7" s="159" t="s">
        <v>25</v>
      </c>
      <c r="E7" s="159" t="s">
        <v>26</v>
      </c>
      <c r="F7" s="159" t="s">
        <v>27</v>
      </c>
      <c r="G7" s="159" t="s">
        <v>28</v>
      </c>
      <c r="H7" s="159" t="s">
        <v>29</v>
      </c>
      <c r="I7" s="159" t="s">
        <v>30</v>
      </c>
      <c r="J7" s="159" t="s">
        <v>31</v>
      </c>
      <c r="K7" s="159" t="s">
        <v>32</v>
      </c>
      <c r="L7" s="159" t="s">
        <v>33</v>
      </c>
      <c r="M7" s="159" t="s">
        <v>34</v>
      </c>
      <c r="N7" s="159" t="s">
        <v>35</v>
      </c>
      <c r="O7" s="159" t="s">
        <v>36</v>
      </c>
      <c r="P7" s="159" t="s">
        <v>37</v>
      </c>
      <c r="Q7" s="159" t="s">
        <v>38</v>
      </c>
      <c r="R7" s="159" t="s">
        <v>39</v>
      </c>
      <c r="S7" s="159" t="s">
        <v>40</v>
      </c>
      <c r="T7" s="159" t="s">
        <v>41</v>
      </c>
      <c r="U7" s="159" t="s">
        <v>42</v>
      </c>
      <c r="V7" s="159" t="s">
        <v>43</v>
      </c>
      <c r="W7" s="159" t="s">
        <v>44</v>
      </c>
      <c r="X7" s="159" t="s">
        <v>45</v>
      </c>
      <c r="Y7" s="159" t="s">
        <v>46</v>
      </c>
      <c r="Z7" s="159" t="s">
        <v>47</v>
      </c>
      <c r="AA7" s="159" t="s">
        <v>48</v>
      </c>
      <c r="AB7" s="159" t="s">
        <v>49</v>
      </c>
      <c r="AC7" s="159" t="s">
        <v>50</v>
      </c>
      <c r="AD7" s="159" t="s">
        <v>51</v>
      </c>
      <c r="AE7" s="159" t="s">
        <v>52</v>
      </c>
      <c r="AF7" s="159" t="s">
        <v>53</v>
      </c>
      <c r="AG7" s="159" t="s">
        <v>54</v>
      </c>
      <c r="AH7" s="159" t="s">
        <v>55</v>
      </c>
      <c r="AI7" s="159" t="s">
        <v>56</v>
      </c>
      <c r="AJ7" s="159" t="s">
        <v>57</v>
      </c>
      <c r="AK7" s="159" t="s">
        <v>58</v>
      </c>
      <c r="AL7" s="159" t="s">
        <v>59</v>
      </c>
      <c r="AM7" s="159" t="s">
        <v>60</v>
      </c>
      <c r="AN7" s="159" t="s">
        <v>61</v>
      </c>
      <c r="AO7" s="159" t="s">
        <v>62</v>
      </c>
      <c r="AP7" s="159" t="s">
        <v>63</v>
      </c>
      <c r="AQ7" s="159" t="s">
        <v>64</v>
      </c>
      <c r="AR7" s="159" t="s">
        <v>65</v>
      </c>
      <c r="AS7" s="159" t="s">
        <v>66</v>
      </c>
      <c r="AT7" s="159" t="s">
        <v>67</v>
      </c>
      <c r="AU7" s="153" t="s">
        <v>68</v>
      </c>
      <c r="AV7" s="153" t="s">
        <v>69</v>
      </c>
      <c r="AW7" s="153" t="s">
        <v>70</v>
      </c>
      <c r="AX7" s="153" t="s">
        <v>71</v>
      </c>
      <c r="AY7" s="153" t="s">
        <v>72</v>
      </c>
      <c r="AZ7" s="153" t="s">
        <v>73</v>
      </c>
      <c r="BA7" s="153" t="s">
        <v>74</v>
      </c>
      <c r="BB7" s="153" t="s">
        <v>75</v>
      </c>
      <c r="BC7" s="153" t="s">
        <v>76</v>
      </c>
      <c r="BD7" s="153" t="s">
        <v>77</v>
      </c>
      <c r="BE7" s="153" t="s">
        <v>78</v>
      </c>
      <c r="BF7" s="153" t="s">
        <v>79</v>
      </c>
      <c r="BG7" s="153" t="s">
        <v>80</v>
      </c>
      <c r="BH7" s="153" t="s">
        <v>81</v>
      </c>
      <c r="BI7" s="153" t="s">
        <v>82</v>
      </c>
      <c r="BJ7" s="153" t="s">
        <v>83</v>
      </c>
      <c r="BK7" s="153" t="s">
        <v>84</v>
      </c>
      <c r="BL7" s="153" t="s">
        <v>85</v>
      </c>
      <c r="BM7" s="153" t="s">
        <v>86</v>
      </c>
      <c r="BN7" s="153" t="s">
        <v>87</v>
      </c>
      <c r="BO7" s="153" t="s">
        <v>88</v>
      </c>
      <c r="BP7" s="153" t="s">
        <v>89</v>
      </c>
      <c r="BQ7" s="153" t="s">
        <v>90</v>
      </c>
      <c r="BR7" s="153" t="s">
        <v>91</v>
      </c>
      <c r="BS7" s="153" t="s">
        <v>92</v>
      </c>
      <c r="BT7" s="153" t="s">
        <v>93</v>
      </c>
      <c r="BU7" s="153" t="s">
        <v>94</v>
      </c>
      <c r="BV7" s="153" t="s">
        <v>95</v>
      </c>
      <c r="BW7" s="153" t="s">
        <v>173</v>
      </c>
      <c r="BX7" s="153" t="s">
        <v>174</v>
      </c>
      <c r="BY7" s="153" t="s">
        <v>175</v>
      </c>
      <c r="BZ7" s="153" t="s">
        <v>176</v>
      </c>
      <c r="CA7" s="153" t="s">
        <v>177</v>
      </c>
      <c r="CB7" s="153" t="s">
        <v>178</v>
      </c>
      <c r="CC7" s="153" t="s">
        <v>179</v>
      </c>
      <c r="CD7" s="153" t="s">
        <v>180</v>
      </c>
      <c r="CE7" s="153" t="s">
        <v>96</v>
      </c>
    </row>
    <row r="8" spans="1:83">
      <c r="A8" s="153" t="s">
        <v>97</v>
      </c>
      <c r="B8" s="153" t="s">
        <v>98</v>
      </c>
      <c r="C8" s="160">
        <v>2.0339999999999998</v>
      </c>
      <c r="D8" s="160">
        <v>2.0590000000000002</v>
      </c>
      <c r="E8" s="160">
        <v>2.0640000000000001</v>
      </c>
      <c r="F8" s="160">
        <v>2.0870000000000002</v>
      </c>
      <c r="G8" s="160">
        <v>2.1040000000000001</v>
      </c>
      <c r="H8" s="160">
        <v>2.1150000000000002</v>
      </c>
      <c r="I8" s="160">
        <v>2.15</v>
      </c>
      <c r="J8" s="160">
        <v>2.169</v>
      </c>
      <c r="K8" s="160">
        <v>2.1880000000000002</v>
      </c>
      <c r="L8" s="160">
        <v>2.2130000000000001</v>
      </c>
      <c r="M8" s="160">
        <v>2.234</v>
      </c>
      <c r="N8" s="160">
        <v>2.2200000000000002</v>
      </c>
      <c r="O8" s="160">
        <v>2.234</v>
      </c>
      <c r="P8" s="160">
        <v>2.2589999999999999</v>
      </c>
      <c r="Q8" s="160">
        <v>2.2749999999999999</v>
      </c>
      <c r="R8" s="160">
        <v>2.3010000000000002</v>
      </c>
      <c r="S8" s="160">
        <v>2.3220000000000001</v>
      </c>
      <c r="T8" s="160">
        <v>2.363</v>
      </c>
      <c r="U8" s="160">
        <v>2.4039999999999999</v>
      </c>
      <c r="V8" s="160">
        <v>2.35</v>
      </c>
      <c r="W8" s="160">
        <v>2.3420000000000001</v>
      </c>
      <c r="X8" s="160">
        <v>2.347</v>
      </c>
      <c r="Y8" s="160">
        <v>2.367</v>
      </c>
      <c r="Z8" s="160">
        <v>2.38</v>
      </c>
      <c r="AA8" s="160">
        <v>2.3809999999999998</v>
      </c>
      <c r="AB8" s="160">
        <v>2.3839999999999999</v>
      </c>
      <c r="AC8" s="160">
        <v>2.3980000000000001</v>
      </c>
      <c r="AD8" s="160">
        <v>2.42</v>
      </c>
      <c r="AE8" s="160">
        <v>2.4340000000000002</v>
      </c>
      <c r="AF8" s="160">
        <v>2.4769999999999999</v>
      </c>
      <c r="AG8" s="160">
        <v>2.488</v>
      </c>
      <c r="AH8" s="160">
        <v>2.4950000000000001</v>
      </c>
      <c r="AI8" s="160">
        <v>2.5150000000000001</v>
      </c>
      <c r="AJ8" s="160">
        <v>2.5190000000000001</v>
      </c>
      <c r="AK8" s="160">
        <v>2.5289999999999999</v>
      </c>
      <c r="AL8" s="160">
        <v>2.5470000000000002</v>
      </c>
      <c r="AM8" s="160">
        <v>2.5569999999999999</v>
      </c>
      <c r="AN8" s="160">
        <v>2.5539999999999998</v>
      </c>
      <c r="AO8" s="160">
        <v>2.573</v>
      </c>
      <c r="AP8" s="160">
        <v>2.5870000000000002</v>
      </c>
      <c r="AQ8" s="160">
        <v>2.5979999999999999</v>
      </c>
      <c r="AR8" s="160">
        <v>2.6080000000000001</v>
      </c>
      <c r="AS8" s="160">
        <v>2.6139999999999999</v>
      </c>
      <c r="AT8" s="160">
        <v>2.6139999999999999</v>
      </c>
      <c r="AU8" s="148">
        <v>2.613</v>
      </c>
      <c r="AV8" s="148">
        <v>2.6230000000000002</v>
      </c>
      <c r="AW8" s="148">
        <v>2.6190000000000002</v>
      </c>
      <c r="AX8" s="148">
        <v>2.6240000000000001</v>
      </c>
      <c r="AY8" s="148">
        <v>2.6240000000000001</v>
      </c>
      <c r="AZ8" s="148">
        <v>2.6429999999999998</v>
      </c>
      <c r="BA8" s="148">
        <v>2.6640000000000001</v>
      </c>
      <c r="BB8" s="148">
        <v>2.6739999999999999</v>
      </c>
      <c r="BC8" s="148">
        <v>2.6949999999999998</v>
      </c>
      <c r="BD8" s="148">
        <v>2.694</v>
      </c>
      <c r="BE8" s="148">
        <v>2.706</v>
      </c>
      <c r="BF8" s="148">
        <v>2.714</v>
      </c>
      <c r="BG8" s="148">
        <v>2.746</v>
      </c>
      <c r="BH8" s="148">
        <v>2.7650000000000001</v>
      </c>
      <c r="BI8" s="148">
        <v>2.78</v>
      </c>
      <c r="BJ8" s="148">
        <v>2.8050000000000002</v>
      </c>
      <c r="BK8" s="148">
        <v>2.8250000000000002</v>
      </c>
      <c r="BL8" s="148">
        <v>2.8380000000000001</v>
      </c>
      <c r="BM8" s="148">
        <v>2.8479999999999999</v>
      </c>
      <c r="BN8" s="148">
        <v>2.8690000000000002</v>
      </c>
      <c r="BO8" s="148">
        <v>2.895</v>
      </c>
      <c r="BP8" s="148">
        <v>2.91</v>
      </c>
      <c r="BQ8" s="148">
        <v>2.9239999999999999</v>
      </c>
      <c r="BR8" s="148">
        <v>2.94</v>
      </c>
      <c r="BS8" s="148">
        <v>2.96</v>
      </c>
      <c r="BT8" s="148">
        <v>2.9790000000000001</v>
      </c>
      <c r="BU8" s="148">
        <v>2.9990000000000001</v>
      </c>
      <c r="BV8" s="148">
        <v>3.0169999999999999</v>
      </c>
      <c r="BW8" s="148">
        <v>3.0339999999999998</v>
      </c>
      <c r="BX8" s="148">
        <v>3.0510000000000002</v>
      </c>
      <c r="BY8" s="148">
        <v>3.07</v>
      </c>
      <c r="BZ8" s="148">
        <v>3.0880000000000001</v>
      </c>
      <c r="CA8" s="148">
        <v>3.1059999999999999</v>
      </c>
      <c r="CB8" s="148">
        <v>3.1219999999999999</v>
      </c>
      <c r="CC8" s="148">
        <v>3.14</v>
      </c>
      <c r="CD8" s="148">
        <v>3.1579999999999999</v>
      </c>
    </row>
    <row r="9" spans="1:83">
      <c r="A9" s="153" t="s">
        <v>99</v>
      </c>
      <c r="B9" s="153" t="s">
        <v>100</v>
      </c>
      <c r="C9" s="160">
        <v>2.0339999999999998</v>
      </c>
      <c r="D9" s="160">
        <v>2.0590000000000002</v>
      </c>
      <c r="E9" s="160">
        <v>2.0640000000000001</v>
      </c>
      <c r="F9" s="160">
        <v>2.0870000000000002</v>
      </c>
      <c r="G9" s="160">
        <v>2.1040000000000001</v>
      </c>
      <c r="H9" s="160">
        <v>2.1150000000000002</v>
      </c>
      <c r="I9" s="160">
        <v>2.15</v>
      </c>
      <c r="J9" s="160">
        <v>2.169</v>
      </c>
      <c r="K9" s="160">
        <v>2.1880000000000002</v>
      </c>
      <c r="L9" s="160">
        <v>2.2130000000000001</v>
      </c>
      <c r="M9" s="160">
        <v>2.234</v>
      </c>
      <c r="N9" s="160">
        <v>2.2200000000000002</v>
      </c>
      <c r="O9" s="160">
        <v>2.234</v>
      </c>
      <c r="P9" s="160">
        <v>2.2589999999999999</v>
      </c>
      <c r="Q9" s="160">
        <v>2.2749999999999999</v>
      </c>
      <c r="R9" s="160">
        <v>2.3010000000000002</v>
      </c>
      <c r="S9" s="160">
        <v>2.3220000000000001</v>
      </c>
      <c r="T9" s="160">
        <v>2.363</v>
      </c>
      <c r="U9" s="160">
        <v>2.4039999999999999</v>
      </c>
      <c r="V9" s="160">
        <v>2.35</v>
      </c>
      <c r="W9" s="160">
        <v>2.3420000000000001</v>
      </c>
      <c r="X9" s="160">
        <v>2.347</v>
      </c>
      <c r="Y9" s="160">
        <v>2.367</v>
      </c>
      <c r="Z9" s="160">
        <v>2.38</v>
      </c>
      <c r="AA9" s="160">
        <v>2.3809999999999998</v>
      </c>
      <c r="AB9" s="160">
        <v>2.3839999999999999</v>
      </c>
      <c r="AC9" s="160">
        <v>2.3980000000000001</v>
      </c>
      <c r="AD9" s="160">
        <v>2.42</v>
      </c>
      <c r="AE9" s="160">
        <v>2.4340000000000002</v>
      </c>
      <c r="AF9" s="160">
        <v>2.4769999999999999</v>
      </c>
      <c r="AG9" s="160">
        <v>2.488</v>
      </c>
      <c r="AH9" s="160">
        <v>2.4950000000000001</v>
      </c>
      <c r="AI9" s="160">
        <v>2.5150000000000001</v>
      </c>
      <c r="AJ9" s="160">
        <v>2.5190000000000001</v>
      </c>
      <c r="AK9" s="160">
        <v>2.5289999999999999</v>
      </c>
      <c r="AL9" s="160">
        <v>2.5470000000000002</v>
      </c>
      <c r="AM9" s="160">
        <v>2.5569999999999999</v>
      </c>
      <c r="AN9" s="160">
        <v>2.5539999999999998</v>
      </c>
      <c r="AO9" s="160">
        <v>2.573</v>
      </c>
      <c r="AP9" s="160">
        <v>2.5870000000000002</v>
      </c>
      <c r="AQ9" s="160">
        <v>2.5979999999999999</v>
      </c>
      <c r="AR9" s="160">
        <v>2.6080000000000001</v>
      </c>
      <c r="AS9" s="160">
        <v>2.6139999999999999</v>
      </c>
      <c r="AT9" s="160">
        <v>2.6139999999999999</v>
      </c>
      <c r="AU9" s="148">
        <v>2.613</v>
      </c>
      <c r="AV9" s="148">
        <v>2.6230000000000002</v>
      </c>
      <c r="AW9" s="148">
        <v>2.6190000000000002</v>
      </c>
      <c r="AX9" s="148">
        <v>2.6240000000000001</v>
      </c>
      <c r="AY9" s="148">
        <v>2.6240000000000001</v>
      </c>
      <c r="AZ9" s="148">
        <v>2.6429999999999998</v>
      </c>
      <c r="BA9" s="148">
        <v>2.6640000000000001</v>
      </c>
      <c r="BB9" s="148">
        <v>2.6739999999999999</v>
      </c>
      <c r="BC9" s="148">
        <v>2.6949999999999998</v>
      </c>
      <c r="BD9" s="148">
        <v>2.694</v>
      </c>
      <c r="BE9" s="148">
        <v>2.706</v>
      </c>
      <c r="BF9" s="148">
        <v>2.714</v>
      </c>
      <c r="BG9" s="148">
        <v>2.746</v>
      </c>
      <c r="BH9" s="148">
        <v>2.7650000000000001</v>
      </c>
      <c r="BI9" s="148">
        <v>2.78</v>
      </c>
      <c r="BJ9" s="148">
        <v>2.8010000000000002</v>
      </c>
      <c r="BK9" s="148">
        <v>2.8170000000000002</v>
      </c>
      <c r="BL9" s="148">
        <v>2.8260000000000001</v>
      </c>
      <c r="BM9" s="148">
        <v>2.8330000000000002</v>
      </c>
      <c r="BN9" s="148">
        <v>2.8519999999999999</v>
      </c>
      <c r="BO9" s="148">
        <v>2.8759999999999999</v>
      </c>
      <c r="BP9" s="148">
        <v>2.8879999999999999</v>
      </c>
      <c r="BQ9" s="148">
        <v>2.9</v>
      </c>
      <c r="BR9" s="148">
        <v>2.9129999999999998</v>
      </c>
      <c r="BS9" s="148">
        <v>2.931</v>
      </c>
      <c r="BT9" s="148">
        <v>2.9470000000000001</v>
      </c>
      <c r="BU9" s="148">
        <v>2.9630000000000001</v>
      </c>
      <c r="BV9" s="148">
        <v>2.9769999999999999</v>
      </c>
      <c r="BW9" s="148">
        <v>2.99</v>
      </c>
      <c r="BX9" s="148">
        <v>3.004</v>
      </c>
      <c r="BY9" s="148">
        <v>3.0190000000000001</v>
      </c>
      <c r="BZ9" s="148">
        <v>3.0339999999999998</v>
      </c>
      <c r="CA9" s="148">
        <v>3.0489999999999999</v>
      </c>
      <c r="CB9" s="148">
        <v>3.0619999999999998</v>
      </c>
      <c r="CC9" s="148">
        <v>3.0790000000000002</v>
      </c>
      <c r="CD9" s="148">
        <v>3.0950000000000002</v>
      </c>
    </row>
    <row r="10" spans="1:83">
      <c r="A10" s="153" t="s">
        <v>101</v>
      </c>
      <c r="B10" s="153" t="s">
        <v>102</v>
      </c>
      <c r="C10" s="160">
        <v>2.0339999999999998</v>
      </c>
      <c r="D10" s="160">
        <v>2.0590000000000002</v>
      </c>
      <c r="E10" s="160">
        <v>2.0640000000000001</v>
      </c>
      <c r="F10" s="160">
        <v>2.0870000000000002</v>
      </c>
      <c r="G10" s="160">
        <v>2.1040000000000001</v>
      </c>
      <c r="H10" s="160">
        <v>2.1150000000000002</v>
      </c>
      <c r="I10" s="160">
        <v>2.15</v>
      </c>
      <c r="J10" s="160">
        <v>2.169</v>
      </c>
      <c r="K10" s="160">
        <v>2.1880000000000002</v>
      </c>
      <c r="L10" s="160">
        <v>2.2130000000000001</v>
      </c>
      <c r="M10" s="160">
        <v>2.234</v>
      </c>
      <c r="N10" s="160">
        <v>2.2200000000000002</v>
      </c>
      <c r="O10" s="160">
        <v>2.234</v>
      </c>
      <c r="P10" s="160">
        <v>2.2589999999999999</v>
      </c>
      <c r="Q10" s="160">
        <v>2.2749999999999999</v>
      </c>
      <c r="R10" s="160">
        <v>2.3010000000000002</v>
      </c>
      <c r="S10" s="160">
        <v>2.3220000000000001</v>
      </c>
      <c r="T10" s="160">
        <v>2.363</v>
      </c>
      <c r="U10" s="160">
        <v>2.4039999999999999</v>
      </c>
      <c r="V10" s="160">
        <v>2.35</v>
      </c>
      <c r="W10" s="160">
        <v>2.3420000000000001</v>
      </c>
      <c r="X10" s="160">
        <v>2.347</v>
      </c>
      <c r="Y10" s="160">
        <v>2.367</v>
      </c>
      <c r="Z10" s="160">
        <v>2.38</v>
      </c>
      <c r="AA10" s="160">
        <v>2.3809999999999998</v>
      </c>
      <c r="AB10" s="160">
        <v>2.3839999999999999</v>
      </c>
      <c r="AC10" s="160">
        <v>2.3980000000000001</v>
      </c>
      <c r="AD10" s="160">
        <v>2.42</v>
      </c>
      <c r="AE10" s="160">
        <v>2.4340000000000002</v>
      </c>
      <c r="AF10" s="160">
        <v>2.4769999999999999</v>
      </c>
      <c r="AG10" s="160">
        <v>2.488</v>
      </c>
      <c r="AH10" s="160">
        <v>2.4950000000000001</v>
      </c>
      <c r="AI10" s="160">
        <v>2.5150000000000001</v>
      </c>
      <c r="AJ10" s="160">
        <v>2.5190000000000001</v>
      </c>
      <c r="AK10" s="160">
        <v>2.5289999999999999</v>
      </c>
      <c r="AL10" s="160">
        <v>2.5470000000000002</v>
      </c>
      <c r="AM10" s="160">
        <v>2.5569999999999999</v>
      </c>
      <c r="AN10" s="160">
        <v>2.5539999999999998</v>
      </c>
      <c r="AO10" s="160">
        <v>2.573</v>
      </c>
      <c r="AP10" s="160">
        <v>2.5870000000000002</v>
      </c>
      <c r="AQ10" s="160">
        <v>2.5979999999999999</v>
      </c>
      <c r="AR10" s="160">
        <v>2.6080000000000001</v>
      </c>
      <c r="AS10" s="160">
        <v>2.6139999999999999</v>
      </c>
      <c r="AT10" s="160">
        <v>2.6139999999999999</v>
      </c>
      <c r="AU10" s="148">
        <v>2.613</v>
      </c>
      <c r="AV10" s="148">
        <v>2.6230000000000002</v>
      </c>
      <c r="AW10" s="148">
        <v>2.6190000000000002</v>
      </c>
      <c r="AX10" s="148">
        <v>2.6240000000000001</v>
      </c>
      <c r="AY10" s="148">
        <v>2.6240000000000001</v>
      </c>
      <c r="AZ10" s="148">
        <v>2.6429999999999998</v>
      </c>
      <c r="BA10" s="148">
        <v>2.6640000000000001</v>
      </c>
      <c r="BB10" s="148">
        <v>2.6739999999999999</v>
      </c>
      <c r="BC10" s="148">
        <v>2.6949999999999998</v>
      </c>
      <c r="BD10" s="148">
        <v>2.694</v>
      </c>
      <c r="BE10" s="148">
        <v>2.706</v>
      </c>
      <c r="BF10" s="148">
        <v>2.714</v>
      </c>
      <c r="BG10" s="148">
        <v>2.746</v>
      </c>
      <c r="BH10" s="148">
        <v>2.7650000000000001</v>
      </c>
      <c r="BI10" s="148">
        <v>2.78</v>
      </c>
      <c r="BJ10" s="148">
        <v>2.806</v>
      </c>
      <c r="BK10" s="148">
        <v>2.827</v>
      </c>
      <c r="BL10" s="148">
        <v>2.8420000000000001</v>
      </c>
      <c r="BM10" s="148">
        <v>2.855</v>
      </c>
      <c r="BN10" s="148">
        <v>2.88</v>
      </c>
      <c r="BO10" s="148">
        <v>2.911</v>
      </c>
      <c r="BP10" s="148">
        <v>2.931</v>
      </c>
      <c r="BQ10" s="148">
        <v>2.95</v>
      </c>
      <c r="BR10" s="148">
        <v>2.972</v>
      </c>
      <c r="BS10" s="148">
        <v>2.9980000000000002</v>
      </c>
      <c r="BT10" s="148">
        <v>3.0230000000000001</v>
      </c>
      <c r="BU10" s="148">
        <v>3.0489999999999999</v>
      </c>
      <c r="BV10" s="148">
        <v>3.073</v>
      </c>
      <c r="BW10" s="148">
        <v>3.0979999999999999</v>
      </c>
      <c r="BX10" s="148">
        <v>3.1219999999999999</v>
      </c>
      <c r="BY10" s="148">
        <v>3.149</v>
      </c>
      <c r="BZ10" s="148">
        <v>3.1749999999999998</v>
      </c>
      <c r="CA10" s="148">
        <v>3.2010000000000001</v>
      </c>
      <c r="CB10" s="148">
        <v>3.2250000000000001</v>
      </c>
      <c r="CC10" s="148">
        <v>3.2519999999999998</v>
      </c>
      <c r="CD10" s="148">
        <v>3.278</v>
      </c>
    </row>
    <row r="15" spans="1:83">
      <c r="BF15" s="153"/>
    </row>
    <row r="16" spans="1:83">
      <c r="BF16" s="161" t="s">
        <v>103</v>
      </c>
      <c r="BG16" s="162"/>
      <c r="BH16" s="162"/>
      <c r="BI16" s="163" t="s">
        <v>181</v>
      </c>
      <c r="BJ16" s="164"/>
      <c r="BK16" s="164"/>
      <c r="BL16" s="164"/>
      <c r="BM16" s="164"/>
      <c r="BN16" s="164"/>
      <c r="BO16" s="162"/>
      <c r="BP16" s="162"/>
      <c r="BQ16" s="162"/>
    </row>
    <row r="17" spans="58:69">
      <c r="BF17" s="165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7"/>
    </row>
    <row r="18" spans="58:69">
      <c r="BF18" s="168"/>
      <c r="BG18" s="169" t="s">
        <v>105</v>
      </c>
      <c r="BH18" s="170" t="s">
        <v>106</v>
      </c>
      <c r="BI18" s="170"/>
      <c r="BJ18" s="170"/>
      <c r="BK18" s="170"/>
      <c r="BL18" s="170"/>
      <c r="BM18" s="170"/>
      <c r="BN18" s="170"/>
      <c r="BO18" s="170"/>
      <c r="BP18" s="170"/>
      <c r="BQ18" s="171"/>
    </row>
    <row r="19" spans="58:69">
      <c r="BF19" s="168"/>
      <c r="BG19" s="170"/>
      <c r="BH19" s="153" t="s">
        <v>87</v>
      </c>
      <c r="BI19" s="170"/>
      <c r="BJ19" s="170"/>
      <c r="BK19" s="170"/>
      <c r="BL19" s="170"/>
      <c r="BM19" s="170"/>
      <c r="BN19" s="170"/>
      <c r="BO19" s="170"/>
      <c r="BP19" s="170"/>
      <c r="BQ19" s="172" t="s">
        <v>107</v>
      </c>
    </row>
    <row r="20" spans="58:69">
      <c r="BF20" s="168"/>
      <c r="BG20" s="170"/>
      <c r="BH20" s="173">
        <f>BN9</f>
        <v>2.8519999999999999</v>
      </c>
      <c r="BI20" s="170"/>
      <c r="BJ20" s="170"/>
      <c r="BK20" s="170"/>
      <c r="BL20" s="170"/>
      <c r="BM20" s="170"/>
      <c r="BN20" s="170"/>
      <c r="BO20" s="170"/>
      <c r="BP20" s="170"/>
      <c r="BQ20" s="174">
        <f>BH20</f>
        <v>2.8519999999999999</v>
      </c>
    </row>
    <row r="21" spans="58:69">
      <c r="BF21" s="168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5"/>
    </row>
    <row r="22" spans="58:69">
      <c r="BF22" s="168"/>
      <c r="BG22" s="169" t="s">
        <v>108</v>
      </c>
      <c r="BH22" s="170" t="s">
        <v>109</v>
      </c>
      <c r="BI22" s="170"/>
      <c r="BJ22" s="170"/>
      <c r="BK22" s="170"/>
      <c r="BL22" s="170"/>
      <c r="BM22" s="170"/>
      <c r="BN22" s="170"/>
      <c r="BO22" s="170"/>
      <c r="BP22" s="170"/>
      <c r="BQ22" s="175"/>
    </row>
    <row r="23" spans="58:69">
      <c r="BF23" s="168"/>
      <c r="BG23" s="170"/>
      <c r="BH23" s="176" t="str">
        <f>BM7</f>
        <v>2019Q3</v>
      </c>
      <c r="BI23" s="176" t="str">
        <f t="shared" ref="BI23:BO23" si="0">BN7</f>
        <v>2019Q4</v>
      </c>
      <c r="BJ23" s="176" t="str">
        <f t="shared" si="0"/>
        <v>2020Q1</v>
      </c>
      <c r="BK23" s="176" t="str">
        <f t="shared" si="0"/>
        <v>2020Q2</v>
      </c>
      <c r="BL23" s="176" t="str">
        <f t="shared" si="0"/>
        <v>2020Q3</v>
      </c>
      <c r="BM23" s="176" t="str">
        <f t="shared" si="0"/>
        <v>2020Q4</v>
      </c>
      <c r="BN23" s="176" t="str">
        <f t="shared" si="0"/>
        <v>2021Q1</v>
      </c>
      <c r="BO23" s="176" t="str">
        <f t="shared" si="0"/>
        <v>2021Q2</v>
      </c>
      <c r="BP23" s="170"/>
      <c r="BQ23" s="175"/>
    </row>
    <row r="24" spans="58:69">
      <c r="BF24" s="168"/>
      <c r="BG24" s="170"/>
      <c r="BH24" s="160">
        <f>BM9</f>
        <v>2.8330000000000002</v>
      </c>
      <c r="BI24" s="160">
        <f t="shared" ref="BI24:BO24" si="1">BN9</f>
        <v>2.8519999999999999</v>
      </c>
      <c r="BJ24" s="160">
        <f t="shared" si="1"/>
        <v>2.8759999999999999</v>
      </c>
      <c r="BK24" s="160">
        <f t="shared" si="1"/>
        <v>2.8879999999999999</v>
      </c>
      <c r="BL24" s="160">
        <f t="shared" si="1"/>
        <v>2.9</v>
      </c>
      <c r="BM24" s="160">
        <f t="shared" si="1"/>
        <v>2.9129999999999998</v>
      </c>
      <c r="BN24" s="160">
        <f t="shared" si="1"/>
        <v>2.931</v>
      </c>
      <c r="BO24" s="160">
        <f t="shared" si="1"/>
        <v>2.9470000000000001</v>
      </c>
      <c r="BP24" s="170"/>
      <c r="BQ24" s="174">
        <f>AVERAGE(BH24:BO24)</f>
        <v>2.8925000000000001</v>
      </c>
    </row>
    <row r="25" spans="58:69">
      <c r="BF25" s="168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5"/>
    </row>
    <row r="26" spans="58:69">
      <c r="BF26" s="168"/>
      <c r="BG26" s="170"/>
      <c r="BH26" s="170"/>
      <c r="BI26" s="170"/>
      <c r="BJ26" s="170"/>
      <c r="BK26" s="170"/>
      <c r="BL26" s="170"/>
      <c r="BM26" s="170"/>
      <c r="BN26" s="170"/>
      <c r="BO26" s="170"/>
      <c r="BP26" s="177" t="s">
        <v>110</v>
      </c>
      <c r="BQ26" s="32">
        <f>(BQ24-BQ20)/BQ20</f>
        <v>1.4200561009817744E-2</v>
      </c>
    </row>
    <row r="27" spans="58:69">
      <c r="BF27" s="178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80"/>
    </row>
  </sheetData>
  <pageMargins left="0.25" right="0.2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workbookViewId="0">
      <selection activeCell="A2" sqref="A2:B96"/>
    </sheetView>
  </sheetViews>
  <sheetFormatPr defaultRowHeight="14.4"/>
  <cols>
    <col min="1" max="1" width="42" customWidth="1"/>
    <col min="2" max="2" width="8" bestFit="1" customWidth="1"/>
    <col min="3" max="3" width="12" bestFit="1" customWidth="1"/>
    <col min="4" max="4" width="12.109375" bestFit="1" customWidth="1"/>
    <col min="5" max="5" width="10.109375" bestFit="1" customWidth="1"/>
    <col min="6" max="7" width="11.109375" bestFit="1" customWidth="1"/>
    <col min="8" max="8" width="12.109375" bestFit="1" customWidth="1"/>
    <col min="9" max="10" width="11.109375" bestFit="1" customWidth="1"/>
    <col min="11" max="11" width="12.109375" bestFit="1" customWidth="1"/>
    <col min="12" max="12" width="11.21875" customWidth="1"/>
    <col min="13" max="13" width="12.109375" bestFit="1" customWidth="1"/>
    <col min="14" max="14" width="12.109375" style="447" customWidth="1"/>
    <col min="15" max="15" width="14.77734375" bestFit="1" customWidth="1"/>
    <col min="16" max="16" width="12.109375" bestFit="1" customWidth="1"/>
    <col min="17" max="17" width="6" bestFit="1" customWidth="1"/>
    <col min="18" max="18" width="12.109375" bestFit="1" customWidth="1"/>
    <col min="22" max="22" width="17.33203125" customWidth="1"/>
  </cols>
  <sheetData>
    <row r="1" spans="1:26" ht="43.2" customHeight="1">
      <c r="A1" s="450" t="s">
        <v>307</v>
      </c>
      <c r="B1" s="450" t="s">
        <v>308</v>
      </c>
      <c r="C1" s="454" t="s">
        <v>309</v>
      </c>
      <c r="D1" s="454" t="s">
        <v>300</v>
      </c>
      <c r="E1" s="454" t="s">
        <v>302</v>
      </c>
      <c r="F1" s="463" t="s">
        <v>301</v>
      </c>
      <c r="G1" s="463" t="s">
        <v>310</v>
      </c>
      <c r="H1" s="463" t="s">
        <v>311</v>
      </c>
      <c r="I1" s="463" t="s">
        <v>312</v>
      </c>
      <c r="J1" s="450" t="s">
        <v>313</v>
      </c>
      <c r="K1" s="468" t="s">
        <v>330</v>
      </c>
      <c r="L1" s="468" t="s">
        <v>331</v>
      </c>
      <c r="M1" s="468" t="s">
        <v>332</v>
      </c>
      <c r="N1" s="470" t="s">
        <v>333</v>
      </c>
      <c r="O1" s="470" t="s">
        <v>334</v>
      </c>
      <c r="P1" s="457" t="s">
        <v>314</v>
      </c>
      <c r="Q1" s="458" t="s">
        <v>3</v>
      </c>
      <c r="R1" s="457" t="s">
        <v>315</v>
      </c>
      <c r="S1" s="458" t="s">
        <v>316</v>
      </c>
      <c r="W1" t="s">
        <v>317</v>
      </c>
    </row>
    <row r="2" spans="1:26">
      <c r="A2" s="454"/>
      <c r="B2" s="454"/>
      <c r="C2" s="451">
        <v>3.98</v>
      </c>
      <c r="D2" s="449">
        <v>16381</v>
      </c>
      <c r="E2" s="449">
        <v>465</v>
      </c>
      <c r="F2" s="464">
        <v>4330</v>
      </c>
      <c r="G2" s="464">
        <v>49929</v>
      </c>
      <c r="H2" s="464">
        <v>6766</v>
      </c>
      <c r="I2" s="464">
        <v>1688</v>
      </c>
      <c r="J2" s="449">
        <v>3087</v>
      </c>
      <c r="K2" s="467">
        <v>245</v>
      </c>
      <c r="L2" s="467"/>
      <c r="M2" s="467"/>
      <c r="N2" s="471">
        <v>1193</v>
      </c>
      <c r="O2" s="471">
        <v>1248</v>
      </c>
      <c r="P2" s="459"/>
      <c r="Q2" s="460"/>
      <c r="R2" s="459">
        <v>18130</v>
      </c>
      <c r="S2" s="460">
        <v>0.27</v>
      </c>
      <c r="X2" t="s">
        <v>118</v>
      </c>
      <c r="Y2" t="s">
        <v>318</v>
      </c>
      <c r="Z2" t="s">
        <v>319</v>
      </c>
    </row>
    <row r="3" spans="1:26">
      <c r="A3" s="454"/>
      <c r="B3" s="454"/>
      <c r="C3" s="451">
        <v>8.5500000000000007</v>
      </c>
      <c r="D3" s="449">
        <v>77359</v>
      </c>
      <c r="E3" s="449">
        <v>120</v>
      </c>
      <c r="F3" s="464">
        <v>9925</v>
      </c>
      <c r="G3" s="464"/>
      <c r="H3" s="464">
        <v>-5233</v>
      </c>
      <c r="I3" s="464"/>
      <c r="J3" s="449">
        <v>6004</v>
      </c>
      <c r="K3" s="449">
        <v>564</v>
      </c>
      <c r="L3" s="449">
        <v>585</v>
      </c>
      <c r="M3" s="469"/>
      <c r="N3" s="471">
        <v>7</v>
      </c>
      <c r="O3" s="471">
        <v>13952</v>
      </c>
      <c r="P3" s="459">
        <v>96995</v>
      </c>
      <c r="Q3" s="460">
        <v>1.4</v>
      </c>
      <c r="R3" s="459">
        <v>4982</v>
      </c>
      <c r="S3" s="460">
        <v>0.05</v>
      </c>
      <c r="W3" t="s">
        <v>320</v>
      </c>
      <c r="X3" t="s">
        <v>323</v>
      </c>
      <c r="Y3">
        <v>128006</v>
      </c>
      <c r="Z3">
        <v>1536072</v>
      </c>
    </row>
    <row r="4" spans="1:26">
      <c r="A4" s="454"/>
      <c r="B4" s="454"/>
      <c r="C4" s="451">
        <v>7.8</v>
      </c>
      <c r="D4" s="449">
        <v>51693.73</v>
      </c>
      <c r="E4" s="449">
        <v>288.33999999999997</v>
      </c>
      <c r="F4" s="464">
        <v>5531.48</v>
      </c>
      <c r="G4" s="464"/>
      <c r="H4" s="464">
        <v>29575.05</v>
      </c>
      <c r="I4" s="464"/>
      <c r="J4" s="449">
        <v>14606.14</v>
      </c>
      <c r="K4" s="449"/>
      <c r="L4" s="449"/>
      <c r="M4" s="469"/>
      <c r="N4" s="471"/>
      <c r="O4" s="471">
        <v>6014.08</v>
      </c>
      <c r="P4" s="459"/>
      <c r="Q4" s="460"/>
      <c r="R4" s="459">
        <v>33622.019999999997</v>
      </c>
      <c r="S4" s="460">
        <v>0.53800000000000003</v>
      </c>
      <c r="X4" t="s">
        <v>324</v>
      </c>
      <c r="Y4">
        <v>13840</v>
      </c>
      <c r="Z4">
        <v>166080</v>
      </c>
    </row>
    <row r="5" spans="1:26">
      <c r="A5" s="454"/>
      <c r="B5" s="454"/>
      <c r="C5" s="451">
        <v>0.12</v>
      </c>
      <c r="D5" s="449"/>
      <c r="E5" s="449"/>
      <c r="F5" s="464"/>
      <c r="G5" s="464"/>
      <c r="H5" s="464"/>
      <c r="I5" s="464"/>
      <c r="J5" s="449"/>
      <c r="K5" s="449"/>
      <c r="L5" s="449"/>
      <c r="M5" s="469"/>
      <c r="N5" s="471"/>
      <c r="O5" s="471"/>
      <c r="P5" s="459"/>
      <c r="Q5" s="460"/>
      <c r="R5" s="459">
        <v>9131</v>
      </c>
      <c r="S5" s="460">
        <v>0.12</v>
      </c>
      <c r="X5" t="s">
        <v>322</v>
      </c>
      <c r="Y5">
        <v>141846</v>
      </c>
      <c r="Z5">
        <v>1702152</v>
      </c>
    </row>
    <row r="6" spans="1:26">
      <c r="A6" s="454"/>
      <c r="B6" s="454"/>
      <c r="C6" s="451">
        <v>2.6</v>
      </c>
      <c r="D6" s="449"/>
      <c r="E6" s="449"/>
      <c r="F6" s="464"/>
      <c r="G6" s="464"/>
      <c r="H6" s="464"/>
      <c r="I6" s="464"/>
      <c r="J6" s="449"/>
      <c r="K6" s="449"/>
      <c r="L6" s="449"/>
      <c r="M6" s="469"/>
      <c r="N6" s="471"/>
      <c r="O6" s="471"/>
      <c r="P6" s="459"/>
      <c r="Q6" s="460"/>
      <c r="R6" s="459">
        <v>20000</v>
      </c>
      <c r="S6" s="460">
        <v>0.6</v>
      </c>
    </row>
    <row r="7" spans="1:26">
      <c r="A7" s="454"/>
      <c r="B7" s="454"/>
      <c r="C7" s="451">
        <v>4.53</v>
      </c>
      <c r="D7" s="449">
        <v>45382</v>
      </c>
      <c r="E7" s="449">
        <v>1117</v>
      </c>
      <c r="F7" s="464">
        <v>1078</v>
      </c>
      <c r="G7" s="464"/>
      <c r="H7" s="464">
        <v>3707</v>
      </c>
      <c r="I7" s="464">
        <v>2902</v>
      </c>
      <c r="J7" s="449">
        <v>6996</v>
      </c>
      <c r="K7" s="449"/>
      <c r="L7" s="449"/>
      <c r="M7" s="469"/>
      <c r="N7" s="471">
        <v>498</v>
      </c>
      <c r="O7" s="471">
        <v>5176</v>
      </c>
      <c r="P7" s="459"/>
      <c r="Q7" s="460"/>
      <c r="R7" s="459">
        <v>36488</v>
      </c>
      <c r="S7" s="460">
        <v>0.54</v>
      </c>
      <c r="W7" t="s">
        <v>321</v>
      </c>
      <c r="X7" t="s">
        <v>325</v>
      </c>
      <c r="Y7">
        <v>429259</v>
      </c>
      <c r="Z7">
        <v>5151108</v>
      </c>
    </row>
    <row r="8" spans="1:26">
      <c r="A8" s="454"/>
      <c r="B8" s="454"/>
      <c r="C8" s="451">
        <v>7.0000000000000007E-2</v>
      </c>
      <c r="D8" s="449"/>
      <c r="E8" s="449">
        <v>4</v>
      </c>
      <c r="F8" s="464"/>
      <c r="G8" s="464"/>
      <c r="H8" s="464"/>
      <c r="I8" s="464"/>
      <c r="J8" s="449"/>
      <c r="K8" s="449"/>
      <c r="L8" s="449"/>
      <c r="M8" s="469"/>
      <c r="N8" s="471"/>
      <c r="O8" s="471"/>
      <c r="P8" s="459"/>
      <c r="Q8" s="460"/>
      <c r="R8" s="459"/>
      <c r="S8" s="460"/>
      <c r="X8" t="s">
        <v>326</v>
      </c>
      <c r="Y8">
        <v>17734</v>
      </c>
      <c r="Z8">
        <v>212808</v>
      </c>
    </row>
    <row r="9" spans="1:26">
      <c r="A9" s="454"/>
      <c r="B9" s="454"/>
      <c r="C9" s="451">
        <v>2.39</v>
      </c>
      <c r="D9" s="449">
        <v>8252</v>
      </c>
      <c r="E9" s="449">
        <v>270</v>
      </c>
      <c r="F9" s="464"/>
      <c r="G9" s="464"/>
      <c r="H9" s="464"/>
      <c r="I9" s="464"/>
      <c r="J9" s="449">
        <v>1124</v>
      </c>
      <c r="K9" s="449"/>
      <c r="L9" s="449"/>
      <c r="M9" s="469"/>
      <c r="N9" s="471"/>
      <c r="O9" s="471"/>
      <c r="P9" s="459"/>
      <c r="Q9" s="460"/>
      <c r="R9" s="459">
        <v>31257</v>
      </c>
      <c r="S9" s="460">
        <v>0.5</v>
      </c>
      <c r="X9" t="s">
        <v>327</v>
      </c>
      <c r="Y9">
        <v>21531</v>
      </c>
      <c r="Z9">
        <v>258372</v>
      </c>
    </row>
    <row r="10" spans="1:26">
      <c r="A10" s="454"/>
      <c r="B10" s="454"/>
      <c r="C10" s="451">
        <v>2.77</v>
      </c>
      <c r="D10" s="449"/>
      <c r="E10" s="449"/>
      <c r="F10" s="464"/>
      <c r="G10" s="464"/>
      <c r="H10" s="464"/>
      <c r="I10" s="464"/>
      <c r="J10" s="449"/>
      <c r="K10" s="449"/>
      <c r="L10" s="449"/>
      <c r="M10" s="469"/>
      <c r="N10" s="471"/>
      <c r="O10" s="471"/>
      <c r="P10" s="459"/>
      <c r="Q10" s="460"/>
      <c r="R10" s="459">
        <v>55871</v>
      </c>
      <c r="S10" s="460">
        <v>0.87</v>
      </c>
      <c r="X10" t="s">
        <v>328</v>
      </c>
      <c r="Y10">
        <v>95353</v>
      </c>
      <c r="Z10">
        <v>1144236</v>
      </c>
    </row>
    <row r="11" spans="1:26">
      <c r="A11" s="454"/>
      <c r="B11" s="454"/>
      <c r="C11" s="451">
        <v>0.68</v>
      </c>
      <c r="D11" s="449">
        <v>389</v>
      </c>
      <c r="E11" s="449">
        <v>5</v>
      </c>
      <c r="F11" s="464">
        <v>1510</v>
      </c>
      <c r="G11" s="464">
        <v>1</v>
      </c>
      <c r="H11" s="464"/>
      <c r="I11" s="464"/>
      <c r="J11" s="449">
        <v>57</v>
      </c>
      <c r="K11" s="449">
        <v>3</v>
      </c>
      <c r="L11" s="449"/>
      <c r="M11" s="469"/>
      <c r="N11" s="471"/>
      <c r="O11" s="471">
        <v>297</v>
      </c>
      <c r="P11" s="459"/>
      <c r="Q11" s="460"/>
      <c r="R11" s="459">
        <v>2768</v>
      </c>
      <c r="S11" s="460">
        <v>0.04</v>
      </c>
      <c r="X11" t="s">
        <v>322</v>
      </c>
      <c r="Y11">
        <v>563877</v>
      </c>
      <c r="Z11">
        <v>6766524</v>
      </c>
    </row>
    <row r="12" spans="1:26">
      <c r="A12" s="454"/>
      <c r="B12" s="454"/>
      <c r="C12" s="451">
        <v>0</v>
      </c>
      <c r="D12" s="449"/>
      <c r="E12" s="449">
        <v>1655</v>
      </c>
      <c r="F12" s="464">
        <v>3019</v>
      </c>
      <c r="G12" s="464"/>
      <c r="H12" s="464"/>
      <c r="I12" s="464"/>
      <c r="J12" s="449">
        <v>12236</v>
      </c>
      <c r="K12" s="449"/>
      <c r="L12" s="449"/>
      <c r="M12" s="469"/>
      <c r="N12" s="471"/>
      <c r="O12" s="471"/>
      <c r="P12" s="459">
        <v>23621</v>
      </c>
      <c r="Q12" s="460">
        <v>0</v>
      </c>
      <c r="R12" s="459"/>
      <c r="S12" s="460"/>
    </row>
    <row r="13" spans="1:26">
      <c r="A13" s="454"/>
      <c r="B13" s="454"/>
      <c r="C13" s="451">
        <v>1.0163</v>
      </c>
      <c r="D13" s="449"/>
      <c r="E13" s="449"/>
      <c r="F13" s="464">
        <v>1802</v>
      </c>
      <c r="G13" s="464"/>
      <c r="H13" s="464">
        <v>2100</v>
      </c>
      <c r="I13" s="464"/>
      <c r="J13" s="449"/>
      <c r="K13" s="449"/>
      <c r="L13" s="449"/>
      <c r="M13" s="469"/>
      <c r="N13" s="471"/>
      <c r="O13" s="471">
        <v>15784</v>
      </c>
      <c r="P13" s="459"/>
      <c r="Q13" s="460"/>
      <c r="R13" s="459">
        <v>2496</v>
      </c>
      <c r="S13" s="460">
        <v>0.03</v>
      </c>
    </row>
    <row r="14" spans="1:26">
      <c r="A14" s="454"/>
      <c r="B14" s="454"/>
      <c r="C14" s="451">
        <v>4.1100000000000003</v>
      </c>
      <c r="D14" s="449">
        <v>28490</v>
      </c>
      <c r="E14" s="449">
        <v>1</v>
      </c>
      <c r="F14" s="464">
        <v>266</v>
      </c>
      <c r="G14" s="464"/>
      <c r="H14" s="464">
        <v>1264</v>
      </c>
      <c r="I14" s="464">
        <v>5</v>
      </c>
      <c r="J14" s="449">
        <v>2570</v>
      </c>
      <c r="K14" s="449">
        <v>244</v>
      </c>
      <c r="L14" s="449">
        <v>526</v>
      </c>
      <c r="M14" s="469"/>
      <c r="N14" s="471">
        <v>18</v>
      </c>
      <c r="O14" s="471">
        <v>1422</v>
      </c>
      <c r="P14" s="459"/>
      <c r="Q14" s="460"/>
      <c r="R14" s="459">
        <v>3083</v>
      </c>
      <c r="S14" s="460">
        <v>0.04</v>
      </c>
    </row>
    <row r="15" spans="1:26">
      <c r="A15" s="454"/>
      <c r="B15" s="454"/>
      <c r="C15" s="451">
        <v>1.4</v>
      </c>
      <c r="D15" s="449">
        <v>5498</v>
      </c>
      <c r="E15" s="449">
        <v>1297</v>
      </c>
      <c r="F15" s="464">
        <v>1603</v>
      </c>
      <c r="G15" s="464"/>
      <c r="H15" s="464">
        <v>8860</v>
      </c>
      <c r="I15" s="464"/>
      <c r="J15" s="449">
        <v>3951</v>
      </c>
      <c r="K15" s="449"/>
      <c r="L15" s="449"/>
      <c r="M15" s="469"/>
      <c r="N15" s="471"/>
      <c r="O15" s="471"/>
      <c r="P15" s="459">
        <v>13171</v>
      </c>
      <c r="Q15" s="460">
        <v>0.2</v>
      </c>
      <c r="R15" s="459"/>
      <c r="S15" s="460"/>
    </row>
    <row r="16" spans="1:26">
      <c r="A16" s="454"/>
      <c r="B16" s="454"/>
      <c r="C16" s="451">
        <v>10.611000000000001</v>
      </c>
      <c r="D16" s="449">
        <v>43731</v>
      </c>
      <c r="E16" s="449">
        <v>1808</v>
      </c>
      <c r="F16" s="464">
        <v>33399</v>
      </c>
      <c r="G16" s="464"/>
      <c r="H16" s="464"/>
      <c r="I16" s="464"/>
      <c r="J16" s="449">
        <v>7433</v>
      </c>
      <c r="K16" s="449"/>
      <c r="L16" s="449"/>
      <c r="M16" s="469"/>
      <c r="N16" s="471"/>
      <c r="O16" s="471">
        <v>11176</v>
      </c>
      <c r="P16" s="459"/>
      <c r="Q16" s="460"/>
      <c r="R16" s="459">
        <v>50000.1</v>
      </c>
      <c r="S16" s="460">
        <v>1</v>
      </c>
    </row>
    <row r="17" spans="1:19">
      <c r="A17" s="454"/>
      <c r="B17" s="454"/>
      <c r="C17" s="451">
        <v>5.48</v>
      </c>
      <c r="D17" s="449">
        <v>25375</v>
      </c>
      <c r="E17" s="449">
        <v>230</v>
      </c>
      <c r="F17" s="464">
        <v>3943</v>
      </c>
      <c r="G17" s="464"/>
      <c r="H17" s="464"/>
      <c r="I17" s="464"/>
      <c r="J17" s="449">
        <v>3320</v>
      </c>
      <c r="K17" s="449"/>
      <c r="L17" s="449"/>
      <c r="M17" s="469"/>
      <c r="N17" s="471"/>
      <c r="O17" s="471"/>
      <c r="P17" s="459"/>
      <c r="Q17" s="460"/>
      <c r="R17" s="459">
        <v>51748</v>
      </c>
      <c r="S17" s="460">
        <v>1.04</v>
      </c>
    </row>
    <row r="18" spans="1:19">
      <c r="A18" s="454"/>
      <c r="B18" s="454"/>
      <c r="C18" s="451">
        <v>2.52</v>
      </c>
      <c r="D18" s="449">
        <v>18063</v>
      </c>
      <c r="E18" s="449">
        <v>300</v>
      </c>
      <c r="F18" s="464">
        <v>147</v>
      </c>
      <c r="G18" s="464">
        <v>1927</v>
      </c>
      <c r="H18" s="464">
        <v>2886</v>
      </c>
      <c r="I18" s="464">
        <v>285</v>
      </c>
      <c r="J18" s="449">
        <v>1406</v>
      </c>
      <c r="K18" s="449">
        <v>2</v>
      </c>
      <c r="L18" s="449"/>
      <c r="M18" s="469"/>
      <c r="N18" s="471">
        <v>171</v>
      </c>
      <c r="O18" s="471">
        <v>744</v>
      </c>
      <c r="P18" s="459"/>
      <c r="Q18" s="460"/>
      <c r="R18" s="459">
        <v>12224</v>
      </c>
      <c r="S18" s="460">
        <v>0.23</v>
      </c>
    </row>
    <row r="19" spans="1:19">
      <c r="A19" s="454"/>
      <c r="B19" s="454"/>
      <c r="C19" s="451">
        <v>1.1499999999999999</v>
      </c>
      <c r="D19" s="449">
        <v>19637</v>
      </c>
      <c r="E19" s="449">
        <v>170</v>
      </c>
      <c r="F19" s="464">
        <v>2563</v>
      </c>
      <c r="G19" s="464"/>
      <c r="H19" s="464">
        <v>12</v>
      </c>
      <c r="I19" s="464"/>
      <c r="J19" s="449">
        <v>165</v>
      </c>
      <c r="K19" s="449"/>
      <c r="L19" s="449"/>
      <c r="M19" s="469"/>
      <c r="N19" s="471"/>
      <c r="O19" s="471">
        <v>350</v>
      </c>
      <c r="P19" s="459"/>
      <c r="Q19" s="460"/>
      <c r="R19" s="459">
        <v>10232</v>
      </c>
      <c r="S19" s="460">
        <v>0.15</v>
      </c>
    </row>
    <row r="20" spans="1:19">
      <c r="A20" s="454"/>
      <c r="B20" s="454"/>
      <c r="C20" s="451">
        <v>0.21</v>
      </c>
      <c r="D20" s="449"/>
      <c r="E20" s="449"/>
      <c r="F20" s="464"/>
      <c r="G20" s="464"/>
      <c r="H20" s="464"/>
      <c r="I20" s="464"/>
      <c r="J20" s="449"/>
      <c r="K20" s="449"/>
      <c r="L20" s="449"/>
      <c r="M20" s="469"/>
      <c r="N20" s="471"/>
      <c r="O20" s="471"/>
      <c r="P20" s="459"/>
      <c r="Q20" s="460"/>
      <c r="R20" s="459"/>
      <c r="S20" s="460"/>
    </row>
    <row r="21" spans="1:19">
      <c r="A21" s="454"/>
      <c r="B21" s="454"/>
      <c r="C21" s="451">
        <v>7</v>
      </c>
      <c r="D21" s="449"/>
      <c r="E21" s="449"/>
      <c r="F21" s="464"/>
      <c r="G21" s="464"/>
      <c r="H21" s="464"/>
      <c r="I21" s="464"/>
      <c r="J21" s="449"/>
      <c r="K21" s="449"/>
      <c r="L21" s="449"/>
      <c r="M21" s="469"/>
      <c r="N21" s="471"/>
      <c r="O21" s="471"/>
      <c r="P21" s="459"/>
      <c r="Q21" s="460"/>
      <c r="R21" s="459"/>
      <c r="S21" s="460"/>
    </row>
    <row r="22" spans="1:19">
      <c r="A22" s="454"/>
      <c r="B22" s="454"/>
      <c r="C22" s="451">
        <v>2.6019999999999999</v>
      </c>
      <c r="D22" s="449">
        <v>642</v>
      </c>
      <c r="E22" s="449">
        <v>457</v>
      </c>
      <c r="F22" s="464">
        <v>219</v>
      </c>
      <c r="G22" s="464"/>
      <c r="H22" s="464">
        <v>3980</v>
      </c>
      <c r="I22" s="464">
        <v>2474</v>
      </c>
      <c r="J22" s="449"/>
      <c r="K22" s="449">
        <v>151</v>
      </c>
      <c r="L22" s="449"/>
      <c r="M22" s="469"/>
      <c r="N22" s="471">
        <v>125</v>
      </c>
      <c r="O22" s="471">
        <v>1533</v>
      </c>
      <c r="P22" s="459"/>
      <c r="Q22" s="460"/>
      <c r="R22" s="459">
        <v>22794</v>
      </c>
      <c r="S22" s="460">
        <v>0.442</v>
      </c>
    </row>
    <row r="23" spans="1:19">
      <c r="A23" s="454"/>
      <c r="B23" s="454"/>
      <c r="C23" s="451">
        <v>1.5589343954480801</v>
      </c>
      <c r="D23" s="449">
        <v>14809</v>
      </c>
      <c r="E23" s="449">
        <v>1252</v>
      </c>
      <c r="F23" s="464">
        <v>6902</v>
      </c>
      <c r="G23" s="464"/>
      <c r="H23" s="464">
        <v>13</v>
      </c>
      <c r="I23" s="464"/>
      <c r="J23" s="449">
        <v>1117</v>
      </c>
      <c r="K23" s="449">
        <v>108</v>
      </c>
      <c r="L23" s="449"/>
      <c r="M23" s="469"/>
      <c r="N23" s="471">
        <v>1744</v>
      </c>
      <c r="O23" s="471"/>
      <c r="P23" s="459"/>
      <c r="Q23" s="460"/>
      <c r="R23" s="459"/>
      <c r="S23" s="460"/>
    </row>
    <row r="24" spans="1:19">
      <c r="A24" s="454"/>
      <c r="B24" s="454"/>
      <c r="C24" s="451">
        <v>31.6</v>
      </c>
      <c r="D24" s="449">
        <v>645956</v>
      </c>
      <c r="E24" s="449">
        <v>1930</v>
      </c>
      <c r="F24" s="464">
        <v>6766</v>
      </c>
      <c r="G24" s="464"/>
      <c r="H24" s="464">
        <v>77697</v>
      </c>
      <c r="I24" s="464"/>
      <c r="J24" s="449"/>
      <c r="K24" s="449"/>
      <c r="L24" s="449"/>
      <c r="M24" s="469"/>
      <c r="N24" s="471"/>
      <c r="O24" s="471">
        <v>42489</v>
      </c>
      <c r="P24" s="459"/>
      <c r="Q24" s="460"/>
      <c r="R24" s="459">
        <v>299560</v>
      </c>
      <c r="S24" s="460">
        <v>6.24</v>
      </c>
    </row>
    <row r="25" spans="1:19">
      <c r="A25" s="454"/>
      <c r="B25" s="454"/>
      <c r="C25" s="451">
        <v>5.23</v>
      </c>
      <c r="D25" s="449">
        <v>64346</v>
      </c>
      <c r="E25" s="449">
        <v>452</v>
      </c>
      <c r="F25" s="464">
        <v>3184</v>
      </c>
      <c r="G25" s="464"/>
      <c r="H25" s="464">
        <v>15628</v>
      </c>
      <c r="I25" s="464">
        <v>45800</v>
      </c>
      <c r="J25" s="449"/>
      <c r="K25" s="449"/>
      <c r="L25" s="449"/>
      <c r="M25" s="469"/>
      <c r="N25" s="471"/>
      <c r="O25" s="471">
        <v>1856</v>
      </c>
      <c r="P25" s="459"/>
      <c r="Q25" s="460"/>
      <c r="R25" s="459">
        <v>39073</v>
      </c>
      <c r="S25" s="460">
        <v>0.82</v>
      </c>
    </row>
    <row r="26" spans="1:19">
      <c r="A26" s="454"/>
      <c r="B26" s="454"/>
      <c r="C26" s="451">
        <v>13.06</v>
      </c>
      <c r="D26" s="449">
        <v>83008</v>
      </c>
      <c r="E26" s="449">
        <v>298</v>
      </c>
      <c r="F26" s="464">
        <v>50377</v>
      </c>
      <c r="G26" s="464"/>
      <c r="H26" s="464">
        <v>2894</v>
      </c>
      <c r="I26" s="464"/>
      <c r="J26" s="449">
        <v>1270</v>
      </c>
      <c r="K26" s="449">
        <v>35</v>
      </c>
      <c r="L26" s="449">
        <v>23</v>
      </c>
      <c r="M26" s="469">
        <v>1755</v>
      </c>
      <c r="N26" s="471"/>
      <c r="O26" s="471"/>
      <c r="P26" s="459">
        <v>48778</v>
      </c>
      <c r="Q26" s="460">
        <v>0.97</v>
      </c>
      <c r="R26" s="459">
        <v>5194</v>
      </c>
      <c r="S26" s="460">
        <v>0.12</v>
      </c>
    </row>
    <row r="27" spans="1:19">
      <c r="A27" s="454"/>
      <c r="B27" s="454"/>
      <c r="C27" s="451">
        <v>3.73</v>
      </c>
      <c r="D27" s="449">
        <v>11245</v>
      </c>
      <c r="E27" s="449">
        <v>280</v>
      </c>
      <c r="F27" s="464">
        <v>2173</v>
      </c>
      <c r="G27" s="464"/>
      <c r="H27" s="464"/>
      <c r="I27" s="464"/>
      <c r="J27" s="449">
        <v>42</v>
      </c>
      <c r="K27" s="449"/>
      <c r="L27" s="449"/>
      <c r="M27" s="469"/>
      <c r="N27" s="471"/>
      <c r="O27" s="471"/>
      <c r="P27" s="459"/>
      <c r="Q27" s="460"/>
      <c r="R27" s="459"/>
      <c r="S27" s="460"/>
    </row>
    <row r="28" spans="1:19">
      <c r="A28" s="454"/>
      <c r="B28" s="454"/>
      <c r="C28" s="451">
        <v>1.18</v>
      </c>
      <c r="D28" s="449">
        <v>15270</v>
      </c>
      <c r="E28" s="449">
        <v>90</v>
      </c>
      <c r="F28" s="464">
        <v>575</v>
      </c>
      <c r="G28" s="464"/>
      <c r="H28" s="464">
        <v>100</v>
      </c>
      <c r="I28" s="464"/>
      <c r="J28" s="449">
        <v>732</v>
      </c>
      <c r="K28" s="449"/>
      <c r="L28" s="449"/>
      <c r="M28" s="469"/>
      <c r="N28" s="471"/>
      <c r="O28" s="471">
        <v>737</v>
      </c>
      <c r="P28" s="459">
        <v>4875</v>
      </c>
      <c r="Q28" s="460">
        <v>0.06</v>
      </c>
      <c r="R28" s="459"/>
      <c r="S28" s="460"/>
    </row>
    <row r="29" spans="1:19">
      <c r="A29" s="454"/>
      <c r="B29" s="454"/>
      <c r="C29" s="451">
        <v>0.25</v>
      </c>
      <c r="D29" s="449">
        <v>63</v>
      </c>
      <c r="E29" s="449"/>
      <c r="F29" s="464"/>
      <c r="G29" s="464"/>
      <c r="H29" s="464"/>
      <c r="I29" s="464"/>
      <c r="J29" s="449"/>
      <c r="K29" s="449"/>
      <c r="L29" s="449"/>
      <c r="M29" s="469"/>
      <c r="N29" s="471"/>
      <c r="O29" s="471"/>
      <c r="P29" s="459"/>
      <c r="Q29" s="460"/>
      <c r="R29" s="459">
        <v>3267</v>
      </c>
      <c r="S29" s="460">
        <v>7.0000000000000007E-2</v>
      </c>
    </row>
    <row r="30" spans="1:19">
      <c r="A30" s="454"/>
      <c r="B30" s="454"/>
      <c r="C30" s="451">
        <v>1.76</v>
      </c>
      <c r="D30" s="449">
        <v>8277</v>
      </c>
      <c r="E30" s="449">
        <v>39</v>
      </c>
      <c r="F30" s="464">
        <v>3513</v>
      </c>
      <c r="G30" s="464"/>
      <c r="H30" s="464">
        <v>2672</v>
      </c>
      <c r="I30" s="464"/>
      <c r="J30" s="449">
        <v>224</v>
      </c>
      <c r="K30" s="449"/>
      <c r="L30" s="449">
        <v>26</v>
      </c>
      <c r="M30" s="469"/>
      <c r="N30" s="471">
        <v>36</v>
      </c>
      <c r="O30" s="471">
        <v>721</v>
      </c>
      <c r="P30" s="459">
        <v>4646</v>
      </c>
      <c r="Q30" s="460">
        <v>0.14000000000000001</v>
      </c>
      <c r="R30" s="459"/>
      <c r="S30" s="460"/>
    </row>
    <row r="31" spans="1:19">
      <c r="A31" s="454"/>
      <c r="B31" s="454"/>
      <c r="C31" s="451">
        <v>10.25</v>
      </c>
      <c r="D31" s="449">
        <v>14575</v>
      </c>
      <c r="E31" s="449">
        <v>79</v>
      </c>
      <c r="F31" s="464">
        <v>506</v>
      </c>
      <c r="G31" s="464">
        <v>125</v>
      </c>
      <c r="H31" s="464">
        <v>51098</v>
      </c>
      <c r="I31" s="464">
        <v>2361</v>
      </c>
      <c r="J31" s="449">
        <v>3936</v>
      </c>
      <c r="K31" s="449"/>
      <c r="L31" s="449"/>
      <c r="M31" s="469"/>
      <c r="N31" s="471"/>
      <c r="O31" s="471"/>
      <c r="P31" s="459"/>
      <c r="Q31" s="460"/>
      <c r="R31" s="459"/>
      <c r="S31" s="460"/>
    </row>
    <row r="32" spans="1:19">
      <c r="A32" s="454"/>
      <c r="B32" s="454"/>
      <c r="C32" s="451">
        <v>14.54</v>
      </c>
      <c r="D32" s="449">
        <v>37716</v>
      </c>
      <c r="E32" s="449">
        <v>5743</v>
      </c>
      <c r="F32" s="464">
        <v>76</v>
      </c>
      <c r="G32" s="464"/>
      <c r="H32" s="464">
        <v>21707</v>
      </c>
      <c r="I32" s="464">
        <v>6121</v>
      </c>
      <c r="J32" s="449">
        <v>7665</v>
      </c>
      <c r="K32" s="449">
        <v>1834</v>
      </c>
      <c r="L32" s="449">
        <v>236</v>
      </c>
      <c r="M32" s="469"/>
      <c r="N32" s="471"/>
      <c r="O32" s="471"/>
      <c r="P32" s="459"/>
      <c r="Q32" s="460"/>
      <c r="R32" s="459">
        <v>67339</v>
      </c>
      <c r="S32" s="460">
        <v>0.77</v>
      </c>
    </row>
    <row r="33" spans="1:19">
      <c r="A33" s="454"/>
      <c r="B33" s="454"/>
      <c r="C33" s="451">
        <v>1.17</v>
      </c>
      <c r="D33" s="449">
        <v>16268</v>
      </c>
      <c r="E33" s="449">
        <v>44</v>
      </c>
      <c r="F33" s="464">
        <v>443</v>
      </c>
      <c r="G33" s="464"/>
      <c r="H33" s="464">
        <v>5609</v>
      </c>
      <c r="I33" s="464"/>
      <c r="J33" s="449">
        <v>324</v>
      </c>
      <c r="K33" s="449">
        <v>180</v>
      </c>
      <c r="L33" s="449"/>
      <c r="M33" s="469"/>
      <c r="N33" s="471"/>
      <c r="O33" s="471"/>
      <c r="P33" s="459"/>
      <c r="Q33" s="460"/>
      <c r="R33" s="459">
        <v>12924</v>
      </c>
      <c r="S33" s="460">
        <v>0.19</v>
      </c>
    </row>
    <row r="34" spans="1:19">
      <c r="A34" s="454"/>
      <c r="B34" s="454"/>
      <c r="C34" s="451">
        <v>2.1</v>
      </c>
      <c r="D34" s="449"/>
      <c r="E34" s="449"/>
      <c r="F34" s="464">
        <v>687</v>
      </c>
      <c r="G34" s="464"/>
      <c r="H34" s="464"/>
      <c r="I34" s="464"/>
      <c r="J34" s="449">
        <v>15</v>
      </c>
      <c r="K34" s="449"/>
      <c r="L34" s="449"/>
      <c r="M34" s="469"/>
      <c r="N34" s="471"/>
      <c r="O34" s="471"/>
      <c r="P34" s="459"/>
      <c r="Q34" s="460"/>
      <c r="R34" s="459">
        <v>1568</v>
      </c>
      <c r="S34" s="460">
        <v>0.1</v>
      </c>
    </row>
    <row r="35" spans="1:19">
      <c r="A35" s="454"/>
      <c r="B35" s="454"/>
      <c r="C35" s="451">
        <v>1.65</v>
      </c>
      <c r="D35" s="449">
        <v>5297</v>
      </c>
      <c r="E35" s="449">
        <v>287</v>
      </c>
      <c r="F35" s="464">
        <v>2336</v>
      </c>
      <c r="G35" s="464"/>
      <c r="H35" s="464"/>
      <c r="I35" s="464"/>
      <c r="J35" s="449">
        <v>1586</v>
      </c>
      <c r="K35" s="449"/>
      <c r="L35" s="449"/>
      <c r="M35" s="469"/>
      <c r="N35" s="471"/>
      <c r="O35" s="471">
        <v>1076</v>
      </c>
      <c r="P35" s="459"/>
      <c r="Q35" s="460"/>
      <c r="R35" s="459">
        <v>3000</v>
      </c>
      <c r="S35" s="460">
        <v>0.03</v>
      </c>
    </row>
    <row r="36" spans="1:19">
      <c r="A36" s="454"/>
      <c r="B36" s="454"/>
      <c r="C36" s="451">
        <v>0.57999999999999996</v>
      </c>
      <c r="D36" s="449">
        <v>4020</v>
      </c>
      <c r="E36" s="449">
        <v>19</v>
      </c>
      <c r="F36" s="464">
        <v>278</v>
      </c>
      <c r="G36" s="464"/>
      <c r="H36" s="464">
        <v>919</v>
      </c>
      <c r="I36" s="464">
        <v>96</v>
      </c>
      <c r="J36" s="449">
        <v>932</v>
      </c>
      <c r="K36" s="449"/>
      <c r="L36" s="449"/>
      <c r="M36" s="469"/>
      <c r="N36" s="471">
        <v>67</v>
      </c>
      <c r="O36" s="471"/>
      <c r="P36" s="459"/>
      <c r="Q36" s="460"/>
      <c r="R36" s="459">
        <v>4060</v>
      </c>
      <c r="S36" s="460">
        <v>0.06</v>
      </c>
    </row>
    <row r="37" spans="1:19">
      <c r="A37" s="454"/>
      <c r="B37" s="454"/>
      <c r="C37" s="451">
        <v>2.63</v>
      </c>
      <c r="D37" s="449"/>
      <c r="E37" s="449">
        <v>500</v>
      </c>
      <c r="F37" s="464">
        <v>4269</v>
      </c>
      <c r="G37" s="464"/>
      <c r="H37" s="464"/>
      <c r="I37" s="464"/>
      <c r="J37" s="449">
        <v>125</v>
      </c>
      <c r="K37" s="449"/>
      <c r="L37" s="449"/>
      <c r="M37" s="469"/>
      <c r="N37" s="471"/>
      <c r="O37" s="471"/>
      <c r="P37" s="459"/>
      <c r="Q37" s="460"/>
      <c r="R37" s="459">
        <v>3248</v>
      </c>
      <c r="S37" s="460">
        <v>0.05</v>
      </c>
    </row>
    <row r="38" spans="1:19">
      <c r="A38" s="454"/>
      <c r="B38" s="454"/>
      <c r="C38" s="451">
        <v>19.5</v>
      </c>
      <c r="D38" s="449">
        <v>221032</v>
      </c>
      <c r="E38" s="449">
        <v>1612</v>
      </c>
      <c r="F38" s="464">
        <v>9875</v>
      </c>
      <c r="G38" s="464">
        <v>2468</v>
      </c>
      <c r="H38" s="464">
        <v>19092</v>
      </c>
      <c r="I38" s="464"/>
      <c r="J38" s="449">
        <v>3140</v>
      </c>
      <c r="K38" s="449"/>
      <c r="L38" s="449"/>
      <c r="M38" s="469"/>
      <c r="N38" s="471"/>
      <c r="O38" s="471"/>
      <c r="P38" s="459">
        <v>73011</v>
      </c>
      <c r="Q38" s="460">
        <v>2</v>
      </c>
      <c r="R38" s="459"/>
      <c r="S38" s="460"/>
    </row>
    <row r="39" spans="1:19">
      <c r="A39" s="454"/>
      <c r="B39" s="454"/>
      <c r="C39" s="451">
        <v>16.59</v>
      </c>
      <c r="D39" s="449">
        <v>199065</v>
      </c>
      <c r="E39" s="449">
        <v>2877</v>
      </c>
      <c r="F39" s="464">
        <v>18521</v>
      </c>
      <c r="G39" s="464"/>
      <c r="H39" s="464">
        <v>4437</v>
      </c>
      <c r="I39" s="464"/>
      <c r="J39" s="449">
        <v>13351</v>
      </c>
      <c r="K39" s="449">
        <v>290</v>
      </c>
      <c r="L39" s="449"/>
      <c r="M39" s="469"/>
      <c r="N39" s="471">
        <v>28055</v>
      </c>
      <c r="O39" s="471"/>
      <c r="P39" s="459"/>
      <c r="Q39" s="460"/>
      <c r="R39" s="459">
        <v>200953</v>
      </c>
      <c r="S39" s="460">
        <v>4.4000000000000004</v>
      </c>
    </row>
    <row r="40" spans="1:19">
      <c r="A40" s="454"/>
      <c r="B40" s="454"/>
      <c r="C40" s="451">
        <v>34.39</v>
      </c>
      <c r="D40" s="449">
        <v>280748</v>
      </c>
      <c r="E40" s="449">
        <v>3339</v>
      </c>
      <c r="F40" s="464">
        <v>29344</v>
      </c>
      <c r="G40" s="464"/>
      <c r="H40" s="464">
        <v>134653</v>
      </c>
      <c r="I40" s="464"/>
      <c r="J40" s="449">
        <v>26772</v>
      </c>
      <c r="K40" s="449">
        <v>1785</v>
      </c>
      <c r="L40" s="449"/>
      <c r="M40" s="469">
        <v>70</v>
      </c>
      <c r="N40" s="471"/>
      <c r="O40" s="471"/>
      <c r="P40" s="459"/>
      <c r="Q40" s="460"/>
      <c r="R40" s="459">
        <v>195080</v>
      </c>
      <c r="S40" s="460">
        <v>3.12</v>
      </c>
    </row>
    <row r="41" spans="1:19">
      <c r="A41" s="454"/>
      <c r="B41" s="454"/>
      <c r="C41" s="451">
        <v>29.05</v>
      </c>
      <c r="D41" s="449">
        <v>267037</v>
      </c>
      <c r="E41" s="449">
        <v>3029</v>
      </c>
      <c r="F41" s="464">
        <v>27795</v>
      </c>
      <c r="G41" s="464"/>
      <c r="H41" s="464">
        <v>144631</v>
      </c>
      <c r="I41" s="464"/>
      <c r="J41" s="449">
        <v>25171</v>
      </c>
      <c r="K41" s="449">
        <v>1599</v>
      </c>
      <c r="L41" s="449"/>
      <c r="M41" s="469"/>
      <c r="N41" s="471"/>
      <c r="O41" s="471"/>
      <c r="P41" s="459"/>
      <c r="Q41" s="460"/>
      <c r="R41" s="459">
        <v>245813</v>
      </c>
      <c r="S41" s="460">
        <v>4.38</v>
      </c>
    </row>
    <row r="42" spans="1:19">
      <c r="A42" s="454"/>
      <c r="B42" s="454"/>
      <c r="C42" s="451">
        <v>8.7100000000000009</v>
      </c>
      <c r="D42" s="449">
        <v>3009</v>
      </c>
      <c r="E42" s="449">
        <v>1670</v>
      </c>
      <c r="F42" s="464">
        <v>30838</v>
      </c>
      <c r="G42" s="464"/>
      <c r="H42" s="464">
        <v>8356</v>
      </c>
      <c r="I42" s="464"/>
      <c r="J42" s="449">
        <v>539</v>
      </c>
      <c r="K42" s="449">
        <v>38</v>
      </c>
      <c r="L42" s="449"/>
      <c r="M42" s="469"/>
      <c r="N42" s="471"/>
      <c r="O42" s="471"/>
      <c r="P42" s="459"/>
      <c r="Q42" s="460"/>
      <c r="R42" s="459">
        <v>86869</v>
      </c>
      <c r="S42" s="460">
        <v>1.22</v>
      </c>
    </row>
    <row r="43" spans="1:19">
      <c r="A43" s="454"/>
      <c r="B43" s="454"/>
      <c r="C43" s="451">
        <v>3.11</v>
      </c>
      <c r="D43" s="449">
        <v>2075</v>
      </c>
      <c r="E43" s="449">
        <v>1778</v>
      </c>
      <c r="F43" s="464">
        <v>12438</v>
      </c>
      <c r="G43" s="464"/>
      <c r="H43" s="464"/>
      <c r="I43" s="464"/>
      <c r="J43" s="449">
        <v>306</v>
      </c>
      <c r="K43" s="449"/>
      <c r="L43" s="449"/>
      <c r="M43" s="469"/>
      <c r="N43" s="471"/>
      <c r="O43" s="471"/>
      <c r="P43" s="459"/>
      <c r="Q43" s="460"/>
      <c r="R43" s="459">
        <v>22027</v>
      </c>
      <c r="S43" s="460">
        <v>0.22</v>
      </c>
    </row>
    <row r="44" spans="1:19">
      <c r="A44" s="454"/>
      <c r="B44" s="454"/>
      <c r="C44" s="451">
        <v>0.15</v>
      </c>
      <c r="D44" s="449">
        <v>383</v>
      </c>
      <c r="E44" s="449"/>
      <c r="F44" s="464">
        <v>93</v>
      </c>
      <c r="G44" s="464"/>
      <c r="H44" s="464"/>
      <c r="I44" s="464"/>
      <c r="J44" s="449">
        <v>180</v>
      </c>
      <c r="K44" s="449"/>
      <c r="L44" s="449"/>
      <c r="M44" s="469"/>
      <c r="N44" s="471"/>
      <c r="O44" s="471">
        <v>48</v>
      </c>
      <c r="P44" s="459"/>
      <c r="Q44" s="460"/>
      <c r="R44" s="459"/>
      <c r="S44" s="460"/>
    </row>
    <row r="45" spans="1:19">
      <c r="A45" s="454"/>
      <c r="B45" s="454"/>
      <c r="C45" s="451">
        <v>8.91</v>
      </c>
      <c r="D45" s="449">
        <v>41199</v>
      </c>
      <c r="E45" s="449">
        <v>39</v>
      </c>
      <c r="F45" s="464">
        <v>12685</v>
      </c>
      <c r="G45" s="464"/>
      <c r="H45" s="464">
        <v>12314</v>
      </c>
      <c r="I45" s="464">
        <v>7508</v>
      </c>
      <c r="J45" s="449">
        <v>7177</v>
      </c>
      <c r="K45" s="449">
        <v>117</v>
      </c>
      <c r="L45" s="449">
        <v>10910</v>
      </c>
      <c r="M45" s="469"/>
      <c r="N45" s="471"/>
      <c r="O45" s="471">
        <v>3093</v>
      </c>
      <c r="P45" s="459"/>
      <c r="Q45" s="460"/>
      <c r="R45" s="459">
        <v>18494</v>
      </c>
      <c r="S45" s="460">
        <v>0.35</v>
      </c>
    </row>
    <row r="46" spans="1:19">
      <c r="A46" s="454"/>
      <c r="B46" s="454"/>
      <c r="C46" s="451">
        <v>2</v>
      </c>
      <c r="D46" s="449">
        <v>4965.34</v>
      </c>
      <c r="E46" s="449">
        <v>93.59</v>
      </c>
      <c r="F46" s="464">
        <v>7006.6</v>
      </c>
      <c r="G46" s="464"/>
      <c r="H46" s="464">
        <v>14.99</v>
      </c>
      <c r="I46" s="464"/>
      <c r="J46" s="449">
        <v>181.5</v>
      </c>
      <c r="K46" s="449"/>
      <c r="L46" s="449"/>
      <c r="M46" s="469"/>
      <c r="N46" s="471">
        <v>1702</v>
      </c>
      <c r="O46" s="471"/>
      <c r="P46" s="459"/>
      <c r="Q46" s="460"/>
      <c r="R46" s="459">
        <v>12388.41</v>
      </c>
      <c r="S46" s="460">
        <v>0.17</v>
      </c>
    </row>
    <row r="47" spans="1:19">
      <c r="A47" s="454"/>
      <c r="B47" s="454"/>
      <c r="C47" s="451">
        <v>1.45</v>
      </c>
      <c r="D47" s="449">
        <v>9915</v>
      </c>
      <c r="E47" s="449">
        <v>1891</v>
      </c>
      <c r="F47" s="464"/>
      <c r="G47" s="464"/>
      <c r="H47" s="464">
        <v>2174</v>
      </c>
      <c r="I47" s="464">
        <v>3570</v>
      </c>
      <c r="J47" s="449">
        <v>59</v>
      </c>
      <c r="K47" s="449"/>
      <c r="L47" s="449"/>
      <c r="M47" s="469"/>
      <c r="N47" s="471"/>
      <c r="O47" s="471"/>
      <c r="P47" s="459"/>
      <c r="Q47" s="460"/>
      <c r="R47" s="459">
        <v>4164</v>
      </c>
      <c r="S47" s="460">
        <v>0.06</v>
      </c>
    </row>
    <row r="48" spans="1:19">
      <c r="A48" s="454"/>
      <c r="B48" s="454"/>
      <c r="C48" s="451">
        <v>3.1855691665280901</v>
      </c>
      <c r="D48" s="449">
        <v>8998.1216999999997</v>
      </c>
      <c r="E48" s="449">
        <v>68.599400000000003</v>
      </c>
      <c r="F48" s="464">
        <v>121.4854</v>
      </c>
      <c r="G48" s="464"/>
      <c r="H48" s="464">
        <v>1122.827</v>
      </c>
      <c r="I48" s="464"/>
      <c r="J48" s="449">
        <v>879.91340000000002</v>
      </c>
      <c r="K48" s="449"/>
      <c r="L48" s="449"/>
      <c r="M48" s="469"/>
      <c r="N48" s="471">
        <v>425.3929</v>
      </c>
      <c r="O48" s="471"/>
      <c r="P48" s="459"/>
      <c r="Q48" s="460"/>
      <c r="R48" s="459">
        <v>4964</v>
      </c>
      <c r="S48" s="460">
        <v>0.1</v>
      </c>
    </row>
    <row r="49" spans="1:19">
      <c r="A49" s="454"/>
      <c r="B49" s="454"/>
      <c r="C49" s="451">
        <v>2.62</v>
      </c>
      <c r="D49" s="449">
        <v>38353</v>
      </c>
      <c r="E49" s="449">
        <v>1050</v>
      </c>
      <c r="F49" s="464">
        <v>2450</v>
      </c>
      <c r="G49" s="464"/>
      <c r="H49" s="464"/>
      <c r="I49" s="464"/>
      <c r="J49" s="449"/>
      <c r="K49" s="449"/>
      <c r="L49" s="449"/>
      <c r="M49" s="469"/>
      <c r="N49" s="471">
        <v>14785</v>
      </c>
      <c r="O49" s="471"/>
      <c r="P49" s="459"/>
      <c r="Q49" s="460"/>
      <c r="R49" s="459">
        <v>4340</v>
      </c>
      <c r="S49" s="460">
        <v>0.06</v>
      </c>
    </row>
    <row r="50" spans="1:19">
      <c r="A50" s="454"/>
      <c r="B50" s="454"/>
      <c r="C50" s="451">
        <v>62.17</v>
      </c>
      <c r="D50" s="449">
        <v>394105</v>
      </c>
      <c r="E50" s="449">
        <v>3330</v>
      </c>
      <c r="F50" s="464">
        <v>57029</v>
      </c>
      <c r="G50" s="464"/>
      <c r="H50" s="464">
        <v>72975</v>
      </c>
      <c r="I50" s="464">
        <v>36523</v>
      </c>
      <c r="J50" s="449">
        <v>8069</v>
      </c>
      <c r="K50" s="449">
        <v>201</v>
      </c>
      <c r="L50" s="449"/>
      <c r="M50" s="469"/>
      <c r="N50" s="471">
        <v>57010</v>
      </c>
      <c r="O50" s="471"/>
      <c r="P50" s="459"/>
      <c r="Q50" s="460"/>
      <c r="R50" s="459">
        <v>595563</v>
      </c>
      <c r="S50" s="460">
        <v>9.93</v>
      </c>
    </row>
    <row r="51" spans="1:19">
      <c r="A51" s="454"/>
      <c r="B51" s="454"/>
      <c r="C51" s="451">
        <v>4.9400000000000004</v>
      </c>
      <c r="D51" s="449">
        <v>58575</v>
      </c>
      <c r="E51" s="449">
        <v>8918</v>
      </c>
      <c r="F51" s="464">
        <v>1073</v>
      </c>
      <c r="G51" s="464">
        <v>12782</v>
      </c>
      <c r="H51" s="464">
        <v>7331</v>
      </c>
      <c r="I51" s="464">
        <v>11853</v>
      </c>
      <c r="J51" s="449">
        <v>21398</v>
      </c>
      <c r="K51" s="449"/>
      <c r="L51" s="449">
        <v>35</v>
      </c>
      <c r="M51" s="469"/>
      <c r="N51" s="471"/>
      <c r="O51" s="471"/>
      <c r="P51" s="459">
        <v>11274</v>
      </c>
      <c r="Q51" s="460">
        <v>0.12</v>
      </c>
      <c r="R51" s="459">
        <v>13755</v>
      </c>
      <c r="S51" s="460">
        <v>0.17</v>
      </c>
    </row>
    <row r="52" spans="1:19">
      <c r="A52" s="454"/>
      <c r="B52" s="454"/>
      <c r="C52" s="451">
        <v>0.38463600165327</v>
      </c>
      <c r="D52" s="449">
        <v>5446.0646999999999</v>
      </c>
      <c r="E52" s="449">
        <v>114.069</v>
      </c>
      <c r="F52" s="464">
        <v>11.8873</v>
      </c>
      <c r="G52" s="464"/>
      <c r="H52" s="464">
        <v>909.10749999999996</v>
      </c>
      <c r="I52" s="464"/>
      <c r="J52" s="449">
        <v>206.93180000000001</v>
      </c>
      <c r="K52" s="449">
        <v>7.5705999999999998</v>
      </c>
      <c r="L52" s="449"/>
      <c r="M52" s="469"/>
      <c r="N52" s="471">
        <v>133.70480000000001</v>
      </c>
      <c r="O52" s="471">
        <v>18.241</v>
      </c>
      <c r="P52" s="459"/>
      <c r="Q52" s="460"/>
      <c r="R52" s="459">
        <v>2861.1107999999999</v>
      </c>
      <c r="S52" s="460">
        <v>5.67657735282329E-2</v>
      </c>
    </row>
    <row r="53" spans="1:19">
      <c r="A53" s="454"/>
      <c r="B53" s="454"/>
      <c r="C53" s="451">
        <v>3.5</v>
      </c>
      <c r="D53" s="449">
        <v>44803</v>
      </c>
      <c r="E53" s="449">
        <v>994</v>
      </c>
      <c r="F53" s="464"/>
      <c r="G53" s="464"/>
      <c r="H53" s="464">
        <v>1480</v>
      </c>
      <c r="I53" s="464">
        <v>511</v>
      </c>
      <c r="J53" s="449"/>
      <c r="K53" s="449"/>
      <c r="L53" s="449"/>
      <c r="M53" s="469"/>
      <c r="N53" s="471">
        <v>8940</v>
      </c>
      <c r="O53" s="471"/>
      <c r="P53" s="459"/>
      <c r="Q53" s="460"/>
      <c r="R53" s="459">
        <v>82001</v>
      </c>
      <c r="S53" s="460">
        <v>1</v>
      </c>
    </row>
    <row r="54" spans="1:19">
      <c r="A54" s="454"/>
      <c r="B54" s="454"/>
      <c r="C54" s="451">
        <v>7.3617999999999997</v>
      </c>
      <c r="D54" s="449">
        <v>27180</v>
      </c>
      <c r="E54" s="449">
        <v>915</v>
      </c>
      <c r="F54" s="464">
        <v>1470</v>
      </c>
      <c r="G54" s="464">
        <v>958</v>
      </c>
      <c r="H54" s="464">
        <v>25368</v>
      </c>
      <c r="I54" s="464"/>
      <c r="J54" s="449">
        <v>648</v>
      </c>
      <c r="K54" s="449"/>
      <c r="L54" s="449"/>
      <c r="M54" s="469"/>
      <c r="N54" s="471">
        <v>1029</v>
      </c>
      <c r="O54" s="471"/>
      <c r="P54" s="459"/>
      <c r="Q54" s="460"/>
      <c r="R54" s="459">
        <v>42839</v>
      </c>
      <c r="S54" s="460">
        <v>0.76129999999999998</v>
      </c>
    </row>
    <row r="55" spans="1:19">
      <c r="A55" s="454"/>
      <c r="B55" s="454"/>
      <c r="C55" s="451">
        <v>3.8069999999999999</v>
      </c>
      <c r="D55" s="449">
        <v>52309</v>
      </c>
      <c r="E55" s="449">
        <v>73</v>
      </c>
      <c r="F55" s="464">
        <v>397</v>
      </c>
      <c r="G55" s="464">
        <v>176</v>
      </c>
      <c r="H55" s="464">
        <v>3891</v>
      </c>
      <c r="I55" s="464"/>
      <c r="J55" s="449">
        <v>3811</v>
      </c>
      <c r="K55" s="449"/>
      <c r="L55" s="449"/>
      <c r="M55" s="469"/>
      <c r="N55" s="471"/>
      <c r="O55" s="471"/>
      <c r="P55" s="459"/>
      <c r="Q55" s="460"/>
      <c r="R55" s="459">
        <v>3406.01</v>
      </c>
      <c r="S55" s="460">
        <v>2.69E-2</v>
      </c>
    </row>
    <row r="56" spans="1:19">
      <c r="A56" s="454"/>
      <c r="B56" s="454"/>
      <c r="C56" s="451">
        <v>1.5</v>
      </c>
      <c r="D56" s="449">
        <v>2486</v>
      </c>
      <c r="E56" s="449">
        <v>21</v>
      </c>
      <c r="F56" s="464">
        <v>3703</v>
      </c>
      <c r="G56" s="464"/>
      <c r="H56" s="464"/>
      <c r="I56" s="464">
        <v>91</v>
      </c>
      <c r="J56" s="449">
        <v>61</v>
      </c>
      <c r="K56" s="449"/>
      <c r="L56" s="449">
        <v>79</v>
      </c>
      <c r="M56" s="469"/>
      <c r="N56" s="471"/>
      <c r="O56" s="471"/>
      <c r="P56" s="459"/>
      <c r="Q56" s="460"/>
      <c r="R56" s="459">
        <v>37188</v>
      </c>
      <c r="S56" s="460">
        <v>1</v>
      </c>
    </row>
    <row r="57" spans="1:19">
      <c r="A57" s="454"/>
      <c r="B57" s="454"/>
      <c r="C57" s="451">
        <v>2.65</v>
      </c>
      <c r="D57" s="449"/>
      <c r="E57" s="449"/>
      <c r="F57" s="464"/>
      <c r="G57" s="464"/>
      <c r="H57" s="464"/>
      <c r="I57" s="464"/>
      <c r="J57" s="449"/>
      <c r="K57" s="449"/>
      <c r="L57" s="449"/>
      <c r="M57" s="469"/>
      <c r="N57" s="471"/>
      <c r="O57" s="471"/>
      <c r="P57" s="459"/>
      <c r="Q57" s="460"/>
      <c r="R57" s="459"/>
      <c r="S57" s="460"/>
    </row>
    <row r="58" spans="1:19">
      <c r="A58" s="454"/>
      <c r="B58" s="454"/>
      <c r="C58" s="451">
        <v>27.83</v>
      </c>
      <c r="D58" s="449">
        <v>86695</v>
      </c>
      <c r="E58" s="449">
        <v>9274</v>
      </c>
      <c r="F58" s="464">
        <v>49345</v>
      </c>
      <c r="G58" s="464">
        <v>22047</v>
      </c>
      <c r="H58" s="464"/>
      <c r="I58" s="464"/>
      <c r="J58" s="449">
        <v>338</v>
      </c>
      <c r="K58" s="449"/>
      <c r="L58" s="449">
        <v>1280</v>
      </c>
      <c r="M58" s="469"/>
      <c r="N58" s="471"/>
      <c r="O58" s="471"/>
      <c r="P58" s="459">
        <v>117641</v>
      </c>
      <c r="Q58" s="460">
        <v>2.35</v>
      </c>
      <c r="R58" s="459"/>
      <c r="S58" s="460"/>
    </row>
    <row r="59" spans="1:19">
      <c r="A59" s="454"/>
      <c r="B59" s="454"/>
      <c r="C59" s="451">
        <v>6.8680000000000003</v>
      </c>
      <c r="D59" s="449">
        <v>110140</v>
      </c>
      <c r="E59" s="449">
        <v>87</v>
      </c>
      <c r="F59" s="464">
        <v>9819</v>
      </c>
      <c r="G59" s="464"/>
      <c r="H59" s="464">
        <v>6610</v>
      </c>
      <c r="I59" s="464">
        <v>4137</v>
      </c>
      <c r="J59" s="449">
        <v>6050</v>
      </c>
      <c r="K59" s="449"/>
      <c r="L59" s="449"/>
      <c r="M59" s="469"/>
      <c r="N59" s="471"/>
      <c r="O59" s="471">
        <v>3430</v>
      </c>
      <c r="P59" s="459"/>
      <c r="Q59" s="460"/>
      <c r="R59" s="459">
        <v>37871</v>
      </c>
      <c r="S59" s="460">
        <v>0.61099999999999999</v>
      </c>
    </row>
    <row r="60" spans="1:19">
      <c r="A60" s="454"/>
      <c r="B60" s="454"/>
      <c r="C60" s="451">
        <v>16.32</v>
      </c>
      <c r="D60" s="449">
        <v>195073</v>
      </c>
      <c r="E60" s="449">
        <v>4369</v>
      </c>
      <c r="F60" s="464">
        <v>18893</v>
      </c>
      <c r="G60" s="464"/>
      <c r="H60" s="464">
        <v>16099</v>
      </c>
      <c r="I60" s="464">
        <v>5117</v>
      </c>
      <c r="J60" s="449">
        <v>16937</v>
      </c>
      <c r="K60" s="449">
        <v>3931</v>
      </c>
      <c r="L60" s="449">
        <v>318</v>
      </c>
      <c r="M60" s="469"/>
      <c r="N60" s="471"/>
      <c r="O60" s="471"/>
      <c r="P60" s="459"/>
      <c r="Q60" s="460"/>
      <c r="R60" s="459">
        <v>297460</v>
      </c>
      <c r="S60" s="460">
        <v>6.54</v>
      </c>
    </row>
    <row r="61" spans="1:19">
      <c r="A61" s="454"/>
      <c r="B61" s="454"/>
      <c r="C61" s="451">
        <v>4.5060000000000002</v>
      </c>
      <c r="D61" s="449">
        <v>26722</v>
      </c>
      <c r="E61" s="449">
        <v>930</v>
      </c>
      <c r="F61" s="464">
        <v>899</v>
      </c>
      <c r="G61" s="464">
        <v>1885</v>
      </c>
      <c r="H61" s="464"/>
      <c r="I61" s="464"/>
      <c r="J61" s="449">
        <v>5056</v>
      </c>
      <c r="K61" s="449"/>
      <c r="L61" s="449"/>
      <c r="M61" s="469"/>
      <c r="N61" s="471"/>
      <c r="O61" s="471">
        <v>1054</v>
      </c>
      <c r="P61" s="459"/>
      <c r="Q61" s="460"/>
      <c r="R61" s="459">
        <v>65517</v>
      </c>
      <c r="S61" s="460">
        <v>1.5609999999999999</v>
      </c>
    </row>
    <row r="62" spans="1:19">
      <c r="A62" s="454"/>
      <c r="B62" s="454"/>
      <c r="C62" s="451">
        <v>7.0000000000000007E-2</v>
      </c>
      <c r="D62" s="449">
        <v>523</v>
      </c>
      <c r="E62" s="449">
        <v>6</v>
      </c>
      <c r="F62" s="464">
        <v>1</v>
      </c>
      <c r="G62" s="464"/>
      <c r="H62" s="464">
        <v>22</v>
      </c>
      <c r="I62" s="464"/>
      <c r="J62" s="449"/>
      <c r="K62" s="449">
        <v>1</v>
      </c>
      <c r="L62" s="449"/>
      <c r="M62" s="469"/>
      <c r="N62" s="471"/>
      <c r="O62" s="471"/>
      <c r="P62" s="459"/>
      <c r="Q62" s="460"/>
      <c r="R62" s="459">
        <v>274</v>
      </c>
      <c r="S62" s="460">
        <v>0.01</v>
      </c>
    </row>
    <row r="63" spans="1:19">
      <c r="A63" s="454"/>
      <c r="B63" s="454"/>
      <c r="C63" s="451">
        <v>5.0999999999999996</v>
      </c>
      <c r="D63" s="449">
        <v>14406</v>
      </c>
      <c r="E63" s="449">
        <v>928</v>
      </c>
      <c r="F63" s="464">
        <v>19534</v>
      </c>
      <c r="G63" s="464"/>
      <c r="H63" s="464"/>
      <c r="I63" s="464"/>
      <c r="J63" s="449">
        <v>303</v>
      </c>
      <c r="K63" s="449"/>
      <c r="L63" s="449"/>
      <c r="M63" s="469"/>
      <c r="N63" s="471"/>
      <c r="O63" s="471"/>
      <c r="P63" s="459">
        <v>20603</v>
      </c>
      <c r="Q63" s="460">
        <v>0.2</v>
      </c>
      <c r="R63" s="459"/>
      <c r="S63" s="460"/>
    </row>
    <row r="64" spans="1:19">
      <c r="A64" s="454"/>
      <c r="B64" s="454"/>
      <c r="C64" s="451">
        <v>0.93</v>
      </c>
      <c r="D64" s="449">
        <v>12952</v>
      </c>
      <c r="E64" s="449">
        <v>772</v>
      </c>
      <c r="F64" s="464">
        <v>1481</v>
      </c>
      <c r="G64" s="464"/>
      <c r="H64" s="464"/>
      <c r="I64" s="464"/>
      <c r="J64" s="449">
        <v>23711</v>
      </c>
      <c r="K64" s="449"/>
      <c r="L64" s="449"/>
      <c r="M64" s="469"/>
      <c r="N64" s="471">
        <v>73</v>
      </c>
      <c r="O64" s="471">
        <v>3847</v>
      </c>
      <c r="P64" s="459"/>
      <c r="Q64" s="460"/>
      <c r="R64" s="459">
        <v>1752</v>
      </c>
      <c r="S64" s="460">
        <v>0.03</v>
      </c>
    </row>
    <row r="65" spans="1:19">
      <c r="A65" s="454"/>
      <c r="B65" s="454"/>
      <c r="C65" s="451">
        <v>12.2</v>
      </c>
      <c r="D65" s="449">
        <v>24275</v>
      </c>
      <c r="E65" s="449">
        <v>575</v>
      </c>
      <c r="F65" s="464">
        <v>9747</v>
      </c>
      <c r="G65" s="464"/>
      <c r="H65" s="464">
        <v>44546</v>
      </c>
      <c r="I65" s="464"/>
      <c r="J65" s="449">
        <v>14491</v>
      </c>
      <c r="K65" s="449"/>
      <c r="L65" s="449"/>
      <c r="M65" s="469"/>
      <c r="N65" s="471"/>
      <c r="O65" s="471">
        <v>6242</v>
      </c>
      <c r="P65" s="459"/>
      <c r="Q65" s="460"/>
      <c r="R65" s="459">
        <v>49587</v>
      </c>
      <c r="S65" s="460">
        <v>0.6</v>
      </c>
    </row>
    <row r="66" spans="1:19">
      <c r="A66" s="454"/>
      <c r="B66" s="454"/>
      <c r="C66" s="451">
        <v>10.63</v>
      </c>
      <c r="D66" s="449">
        <v>85300</v>
      </c>
      <c r="E66" s="449"/>
      <c r="F66" s="464">
        <v>1414</v>
      </c>
      <c r="G66" s="464"/>
      <c r="H66" s="464">
        <v>15838</v>
      </c>
      <c r="I66" s="464">
        <v>6180</v>
      </c>
      <c r="J66" s="449"/>
      <c r="K66" s="449"/>
      <c r="L66" s="449"/>
      <c r="M66" s="469">
        <v>5226</v>
      </c>
      <c r="N66" s="471"/>
      <c r="O66" s="471">
        <v>5765</v>
      </c>
      <c r="P66" s="459"/>
      <c r="Q66" s="460"/>
      <c r="R66" s="459">
        <v>53657</v>
      </c>
      <c r="S66" s="460">
        <v>1.06</v>
      </c>
    </row>
    <row r="67" spans="1:19">
      <c r="A67" s="454"/>
      <c r="B67" s="454"/>
      <c r="C67" s="451">
        <v>0.27500000000000002</v>
      </c>
      <c r="D67" s="449">
        <v>1698</v>
      </c>
      <c r="E67" s="449">
        <v>642</v>
      </c>
      <c r="F67" s="464"/>
      <c r="G67" s="464"/>
      <c r="H67" s="464">
        <v>1988</v>
      </c>
      <c r="I67" s="464">
        <v>1000</v>
      </c>
      <c r="J67" s="449">
        <v>2317</v>
      </c>
      <c r="K67" s="449"/>
      <c r="L67" s="449"/>
      <c r="M67" s="469"/>
      <c r="N67" s="471"/>
      <c r="O67" s="471"/>
      <c r="P67" s="459"/>
      <c r="Q67" s="460"/>
      <c r="R67" s="459"/>
      <c r="S67" s="460"/>
    </row>
    <row r="68" spans="1:19">
      <c r="A68" s="454"/>
      <c r="B68" s="454"/>
      <c r="C68" s="451">
        <v>21.45</v>
      </c>
      <c r="D68" s="449">
        <v>108291</v>
      </c>
      <c r="E68" s="449">
        <v>2640</v>
      </c>
      <c r="F68" s="464">
        <v>24341</v>
      </c>
      <c r="G68" s="464"/>
      <c r="H68" s="464">
        <v>2734</v>
      </c>
      <c r="I68" s="464"/>
      <c r="J68" s="449">
        <v>47385</v>
      </c>
      <c r="K68" s="449"/>
      <c r="L68" s="449"/>
      <c r="M68" s="469"/>
      <c r="N68" s="471"/>
      <c r="O68" s="471"/>
      <c r="P68" s="459"/>
      <c r="Q68" s="460"/>
      <c r="R68" s="459">
        <v>85405</v>
      </c>
      <c r="S68" s="460">
        <v>1.1000000000000001</v>
      </c>
    </row>
    <row r="69" spans="1:19">
      <c r="A69" s="454"/>
      <c r="B69" s="454"/>
      <c r="C69" s="451">
        <v>0</v>
      </c>
      <c r="D69" s="449">
        <v>75615.45</v>
      </c>
      <c r="E69" s="449">
        <v>437.04</v>
      </c>
      <c r="F69" s="464">
        <v>20921.32</v>
      </c>
      <c r="G69" s="464"/>
      <c r="H69" s="464">
        <v>4083.05</v>
      </c>
      <c r="I69" s="464">
        <v>3400</v>
      </c>
      <c r="J69" s="449">
        <v>3336.09</v>
      </c>
      <c r="K69" s="449"/>
      <c r="L69" s="449"/>
      <c r="M69" s="469"/>
      <c r="N69" s="471"/>
      <c r="O69" s="471">
        <v>1111</v>
      </c>
      <c r="P69" s="459"/>
      <c r="Q69" s="460"/>
      <c r="R69" s="459"/>
      <c r="S69" s="460"/>
    </row>
    <row r="70" spans="1:19">
      <c r="A70" s="454"/>
      <c r="B70" s="454"/>
      <c r="C70" s="451">
        <v>0.75</v>
      </c>
      <c r="D70" s="449">
        <v>1000</v>
      </c>
      <c r="E70" s="449"/>
      <c r="F70" s="464"/>
      <c r="G70" s="464"/>
      <c r="H70" s="464"/>
      <c r="I70" s="464"/>
      <c r="J70" s="449"/>
      <c r="K70" s="449"/>
      <c r="L70" s="449"/>
      <c r="M70" s="469"/>
      <c r="N70" s="471"/>
      <c r="O70" s="471"/>
      <c r="P70" s="459"/>
      <c r="Q70" s="460"/>
      <c r="R70" s="459"/>
      <c r="S70" s="460"/>
    </row>
    <row r="71" spans="1:19">
      <c r="A71" s="454"/>
      <c r="B71" s="454"/>
      <c r="C71" s="451">
        <v>10.69</v>
      </c>
      <c r="D71" s="449"/>
      <c r="E71" s="449"/>
      <c r="F71" s="464"/>
      <c r="G71" s="464"/>
      <c r="H71" s="464">
        <v>19142</v>
      </c>
      <c r="I71" s="464"/>
      <c r="J71" s="449"/>
      <c r="K71" s="449"/>
      <c r="L71" s="449"/>
      <c r="M71" s="469"/>
      <c r="N71" s="471"/>
      <c r="O71" s="471"/>
      <c r="P71" s="459"/>
      <c r="Q71" s="460"/>
      <c r="R71" s="459">
        <v>20725</v>
      </c>
      <c r="S71" s="460">
        <v>0.4</v>
      </c>
    </row>
    <row r="72" spans="1:19">
      <c r="A72" s="454"/>
      <c r="B72" s="454"/>
      <c r="C72" s="451">
        <v>4.0599999999999996</v>
      </c>
      <c r="D72" s="449">
        <v>14981</v>
      </c>
      <c r="E72" s="449"/>
      <c r="F72" s="464">
        <v>7111</v>
      </c>
      <c r="G72" s="464">
        <v>8337</v>
      </c>
      <c r="H72" s="464"/>
      <c r="I72" s="464">
        <v>3566</v>
      </c>
      <c r="J72" s="449">
        <v>2329</v>
      </c>
      <c r="K72" s="449"/>
      <c r="L72" s="449"/>
      <c r="M72" s="469"/>
      <c r="N72" s="471"/>
      <c r="O72" s="471"/>
      <c r="P72" s="459">
        <v>15000</v>
      </c>
      <c r="Q72" s="460">
        <v>0.25</v>
      </c>
      <c r="R72" s="459">
        <v>12250</v>
      </c>
      <c r="S72" s="460">
        <v>0.25</v>
      </c>
    </row>
    <row r="73" spans="1:19">
      <c r="A73" s="454"/>
      <c r="B73" s="454"/>
      <c r="C73" s="451">
        <v>0.69799999999999995</v>
      </c>
      <c r="D73" s="449">
        <v>1520</v>
      </c>
      <c r="E73" s="449">
        <v>207</v>
      </c>
      <c r="F73" s="464">
        <v>1383</v>
      </c>
      <c r="G73" s="464"/>
      <c r="H73" s="464"/>
      <c r="I73" s="464"/>
      <c r="J73" s="449">
        <v>13</v>
      </c>
      <c r="K73" s="449"/>
      <c r="L73" s="449"/>
      <c r="M73" s="469"/>
      <c r="N73" s="471">
        <v>191</v>
      </c>
      <c r="O73" s="471">
        <v>518</v>
      </c>
      <c r="P73" s="459">
        <v>434</v>
      </c>
      <c r="Q73" s="460">
        <v>6.0000000000000001E-3</v>
      </c>
      <c r="R73" s="459">
        <v>1989</v>
      </c>
      <c r="S73" s="460">
        <v>1.7999999999999999E-2</v>
      </c>
    </row>
    <row r="74" spans="1:19">
      <c r="A74" s="454"/>
      <c r="B74" s="454"/>
      <c r="C74" s="451">
        <v>0.05</v>
      </c>
      <c r="D74" s="449">
        <v>400</v>
      </c>
      <c r="E74" s="449">
        <v>3</v>
      </c>
      <c r="F74" s="464">
        <v>8</v>
      </c>
      <c r="G74" s="464"/>
      <c r="H74" s="464"/>
      <c r="I74" s="464"/>
      <c r="J74" s="449">
        <v>27</v>
      </c>
      <c r="K74" s="449"/>
      <c r="L74" s="449"/>
      <c r="M74" s="469"/>
      <c r="N74" s="471"/>
      <c r="O74" s="471">
        <v>50</v>
      </c>
      <c r="P74" s="459"/>
      <c r="Q74" s="460"/>
      <c r="R74" s="459">
        <v>1610</v>
      </c>
      <c r="S74" s="460">
        <v>0.05</v>
      </c>
    </row>
    <row r="75" spans="1:19">
      <c r="A75" s="454"/>
      <c r="B75" s="454"/>
      <c r="C75" s="451">
        <v>1.74</v>
      </c>
      <c r="D75" s="449">
        <v>12888.02</v>
      </c>
      <c r="E75" s="449">
        <v>4089.2</v>
      </c>
      <c r="F75" s="464">
        <v>5797.08</v>
      </c>
      <c r="G75" s="464"/>
      <c r="H75" s="464"/>
      <c r="I75" s="464"/>
      <c r="J75" s="449">
        <v>457.47</v>
      </c>
      <c r="K75" s="449"/>
      <c r="L75" s="449"/>
      <c r="M75" s="469"/>
      <c r="N75" s="471"/>
      <c r="O75" s="471">
        <v>2571.5100000000002</v>
      </c>
      <c r="P75" s="459">
        <v>36898.300000000003</v>
      </c>
      <c r="Q75" s="460">
        <v>0.63</v>
      </c>
      <c r="R75" s="459"/>
      <c r="S75" s="460"/>
    </row>
    <row r="76" spans="1:19">
      <c r="A76" s="454"/>
      <c r="B76" s="454"/>
      <c r="C76" s="451">
        <v>2.77</v>
      </c>
      <c r="D76" s="449">
        <v>29978</v>
      </c>
      <c r="E76" s="449">
        <v>5817</v>
      </c>
      <c r="F76" s="464">
        <v>5625</v>
      </c>
      <c r="G76" s="464"/>
      <c r="H76" s="464">
        <v>143</v>
      </c>
      <c r="I76" s="464">
        <v>21</v>
      </c>
      <c r="J76" s="449">
        <v>970</v>
      </c>
      <c r="K76" s="449"/>
      <c r="L76" s="449">
        <v>1444</v>
      </c>
      <c r="M76" s="469">
        <v>188</v>
      </c>
      <c r="N76" s="471"/>
      <c r="O76" s="471">
        <v>2335</v>
      </c>
      <c r="P76" s="459"/>
      <c r="Q76" s="460"/>
      <c r="R76" s="459">
        <v>10014</v>
      </c>
      <c r="S76" s="460">
        <v>0.21</v>
      </c>
    </row>
    <row r="77" spans="1:19">
      <c r="A77" s="454"/>
      <c r="B77" s="454"/>
      <c r="C77" s="451">
        <v>3.59</v>
      </c>
      <c r="D77" s="449">
        <v>1713</v>
      </c>
      <c r="E77" s="449">
        <v>2299</v>
      </c>
      <c r="F77" s="464">
        <v>8997</v>
      </c>
      <c r="G77" s="464"/>
      <c r="H77" s="464">
        <v>199</v>
      </c>
      <c r="I77" s="464">
        <v>29</v>
      </c>
      <c r="J77" s="449">
        <v>3312</v>
      </c>
      <c r="K77" s="449"/>
      <c r="L77" s="449">
        <v>3844</v>
      </c>
      <c r="M77" s="469">
        <v>500</v>
      </c>
      <c r="N77" s="471"/>
      <c r="O77" s="471">
        <v>2465</v>
      </c>
      <c r="P77" s="459"/>
      <c r="Q77" s="460"/>
      <c r="R77" s="459">
        <v>44188</v>
      </c>
      <c r="S77" s="460">
        <v>0.75</v>
      </c>
    </row>
    <row r="78" spans="1:19">
      <c r="A78" s="454"/>
      <c r="B78" s="454"/>
      <c r="C78" s="451">
        <v>5.47</v>
      </c>
      <c r="D78" s="449">
        <v>25955</v>
      </c>
      <c r="E78" s="449">
        <v>521</v>
      </c>
      <c r="F78" s="464">
        <v>15258</v>
      </c>
      <c r="G78" s="464"/>
      <c r="H78" s="464">
        <v>10082</v>
      </c>
      <c r="I78" s="464"/>
      <c r="J78" s="449">
        <v>10564</v>
      </c>
      <c r="K78" s="449"/>
      <c r="L78" s="449">
        <v>673</v>
      </c>
      <c r="M78" s="469"/>
      <c r="N78" s="471">
        <v>1900</v>
      </c>
      <c r="O78" s="471"/>
      <c r="P78" s="459">
        <v>19822</v>
      </c>
      <c r="Q78" s="460">
        <v>0.34</v>
      </c>
      <c r="R78" s="459"/>
      <c r="S78" s="460"/>
    </row>
    <row r="79" spans="1:19">
      <c r="A79" s="454"/>
      <c r="B79" s="454"/>
      <c r="C79" s="451">
        <v>39.979999999999997</v>
      </c>
      <c r="D79" s="449">
        <v>265585</v>
      </c>
      <c r="E79" s="449">
        <v>8954</v>
      </c>
      <c r="F79" s="464">
        <v>9400</v>
      </c>
      <c r="G79" s="464"/>
      <c r="H79" s="464">
        <v>34628</v>
      </c>
      <c r="I79" s="464"/>
      <c r="J79" s="449">
        <v>27261</v>
      </c>
      <c r="K79" s="449"/>
      <c r="L79" s="449"/>
      <c r="M79" s="469"/>
      <c r="N79" s="471">
        <v>5105</v>
      </c>
      <c r="O79" s="471"/>
      <c r="P79" s="459"/>
      <c r="Q79" s="460"/>
      <c r="R79" s="459">
        <v>173180</v>
      </c>
      <c r="S79" s="460">
        <v>3.25</v>
      </c>
    </row>
    <row r="80" spans="1:19">
      <c r="A80" s="454"/>
      <c r="B80" s="454"/>
      <c r="C80" s="451">
        <v>2.44</v>
      </c>
      <c r="D80" s="449">
        <v>18887</v>
      </c>
      <c r="E80" s="449">
        <v>248</v>
      </c>
      <c r="F80" s="464">
        <v>962</v>
      </c>
      <c r="G80" s="464"/>
      <c r="H80" s="464">
        <v>2105</v>
      </c>
      <c r="I80" s="464">
        <v>241</v>
      </c>
      <c r="J80" s="449">
        <v>2426</v>
      </c>
      <c r="K80" s="449"/>
      <c r="L80" s="449"/>
      <c r="M80" s="469"/>
      <c r="N80" s="471"/>
      <c r="O80" s="471"/>
      <c r="P80" s="459"/>
      <c r="Q80" s="460"/>
      <c r="R80" s="459">
        <v>19667</v>
      </c>
      <c r="S80" s="460">
        <v>0.37</v>
      </c>
    </row>
    <row r="81" spans="1:19">
      <c r="A81" s="454"/>
      <c r="B81" s="454"/>
      <c r="C81" s="451">
        <v>23.56</v>
      </c>
      <c r="D81" s="449">
        <v>86644</v>
      </c>
      <c r="E81" s="449">
        <v>1279</v>
      </c>
      <c r="F81" s="464">
        <v>27147</v>
      </c>
      <c r="G81" s="464"/>
      <c r="H81" s="464">
        <v>1810</v>
      </c>
      <c r="I81" s="464">
        <v>7297</v>
      </c>
      <c r="J81" s="449">
        <v>1558</v>
      </c>
      <c r="K81" s="449"/>
      <c r="L81" s="449">
        <v>128</v>
      </c>
      <c r="M81" s="469"/>
      <c r="N81" s="471"/>
      <c r="O81" s="471"/>
      <c r="P81" s="459"/>
      <c r="Q81" s="460"/>
      <c r="R81" s="459">
        <v>102207</v>
      </c>
      <c r="S81" s="460">
        <v>1.6</v>
      </c>
    </row>
    <row r="82" spans="1:19">
      <c r="A82" s="454"/>
      <c r="B82" s="454"/>
      <c r="C82" s="451">
        <v>0.26</v>
      </c>
      <c r="D82" s="449">
        <v>4185</v>
      </c>
      <c r="E82" s="449">
        <v>245</v>
      </c>
      <c r="F82" s="464">
        <v>31</v>
      </c>
      <c r="G82" s="464">
        <v>78</v>
      </c>
      <c r="H82" s="464">
        <v>523</v>
      </c>
      <c r="I82" s="464"/>
      <c r="J82" s="449">
        <v>469</v>
      </c>
      <c r="K82" s="449"/>
      <c r="L82" s="449"/>
      <c r="M82" s="469">
        <v>1</v>
      </c>
      <c r="N82" s="471"/>
      <c r="O82" s="471">
        <v>176</v>
      </c>
      <c r="P82" s="459"/>
      <c r="Q82" s="460"/>
      <c r="R82" s="459">
        <v>1238</v>
      </c>
      <c r="S82" s="460">
        <v>0.02</v>
      </c>
    </row>
    <row r="83" spans="1:19">
      <c r="A83" s="454"/>
      <c r="B83" s="454"/>
      <c r="C83" s="451">
        <v>1.02</v>
      </c>
      <c r="D83" s="449">
        <v>6037</v>
      </c>
      <c r="E83" s="449">
        <v>242</v>
      </c>
      <c r="F83" s="464">
        <v>190</v>
      </c>
      <c r="G83" s="464"/>
      <c r="H83" s="464">
        <v>280</v>
      </c>
      <c r="I83" s="464"/>
      <c r="J83" s="449">
        <v>407</v>
      </c>
      <c r="K83" s="449"/>
      <c r="L83" s="449">
        <v>53</v>
      </c>
      <c r="M83" s="469"/>
      <c r="N83" s="471"/>
      <c r="O83" s="471">
        <v>1010</v>
      </c>
      <c r="P83" s="459"/>
      <c r="Q83" s="460"/>
      <c r="R83" s="459">
        <v>2058</v>
      </c>
      <c r="S83" s="460">
        <v>0.03</v>
      </c>
    </row>
    <row r="84" spans="1:19">
      <c r="A84" s="454"/>
      <c r="B84" s="454"/>
      <c r="C84" s="451">
        <v>5.78</v>
      </c>
      <c r="D84" s="449">
        <v>8071</v>
      </c>
      <c r="E84" s="449">
        <v>489</v>
      </c>
      <c r="F84" s="464">
        <v>8032</v>
      </c>
      <c r="G84" s="464"/>
      <c r="H84" s="464">
        <v>716</v>
      </c>
      <c r="I84" s="464"/>
      <c r="J84" s="449"/>
      <c r="K84" s="449">
        <v>550</v>
      </c>
      <c r="L84" s="449"/>
      <c r="M84" s="469"/>
      <c r="N84" s="471"/>
      <c r="O84" s="471">
        <v>19152</v>
      </c>
      <c r="P84" s="459"/>
      <c r="Q84" s="460"/>
      <c r="R84" s="459">
        <v>8556</v>
      </c>
      <c r="S84" s="460">
        <v>0.08</v>
      </c>
    </row>
    <row r="85" spans="1:19">
      <c r="A85" s="454"/>
      <c r="B85" s="454"/>
      <c r="C85" s="451">
        <v>4.05</v>
      </c>
      <c r="D85" s="449">
        <v>1439</v>
      </c>
      <c r="E85" s="449">
        <v>245</v>
      </c>
      <c r="F85" s="464">
        <v>7141</v>
      </c>
      <c r="G85" s="464"/>
      <c r="H85" s="464">
        <v>378</v>
      </c>
      <c r="I85" s="464"/>
      <c r="J85" s="449"/>
      <c r="K85" s="449">
        <v>266</v>
      </c>
      <c r="L85" s="449"/>
      <c r="M85" s="469"/>
      <c r="N85" s="471"/>
      <c r="O85" s="471">
        <v>9503</v>
      </c>
      <c r="P85" s="459"/>
      <c r="Q85" s="460"/>
      <c r="R85" s="459">
        <v>6616</v>
      </c>
      <c r="S85" s="460">
        <v>0.06</v>
      </c>
    </row>
    <row r="86" spans="1:19">
      <c r="A86" s="454"/>
      <c r="B86" s="454"/>
      <c r="C86" s="451">
        <v>2.66</v>
      </c>
      <c r="D86" s="449">
        <v>2600</v>
      </c>
      <c r="E86" s="449">
        <v>167</v>
      </c>
      <c r="F86" s="464">
        <v>3265</v>
      </c>
      <c r="G86" s="464"/>
      <c r="H86" s="464">
        <v>293</v>
      </c>
      <c r="I86" s="464"/>
      <c r="J86" s="449"/>
      <c r="K86" s="449">
        <v>438</v>
      </c>
      <c r="L86" s="449"/>
      <c r="M86" s="469"/>
      <c r="N86" s="471"/>
      <c r="O86" s="471">
        <v>6617</v>
      </c>
      <c r="P86" s="459"/>
      <c r="Q86" s="460"/>
      <c r="R86" s="459">
        <v>4185</v>
      </c>
      <c r="S86" s="460">
        <v>0.05</v>
      </c>
    </row>
    <row r="87" spans="1:19">
      <c r="A87" s="454"/>
      <c r="B87" s="454"/>
      <c r="C87" s="451">
        <v>5.35</v>
      </c>
      <c r="D87" s="449">
        <v>7339</v>
      </c>
      <c r="E87" s="449">
        <v>403</v>
      </c>
      <c r="F87" s="464">
        <v>15007</v>
      </c>
      <c r="G87" s="464"/>
      <c r="H87" s="464">
        <v>569</v>
      </c>
      <c r="I87" s="464"/>
      <c r="J87" s="449"/>
      <c r="K87" s="449">
        <v>228</v>
      </c>
      <c r="L87" s="449"/>
      <c r="M87" s="469"/>
      <c r="N87" s="471"/>
      <c r="O87" s="471">
        <v>13698</v>
      </c>
      <c r="P87" s="459"/>
      <c r="Q87" s="460"/>
      <c r="R87" s="459">
        <v>6179</v>
      </c>
      <c r="S87" s="460">
        <v>0.06</v>
      </c>
    </row>
    <row r="88" spans="1:19">
      <c r="A88" s="454"/>
      <c r="B88" s="454"/>
      <c r="C88" s="451">
        <v>3.66</v>
      </c>
      <c r="D88" s="449">
        <v>6979</v>
      </c>
      <c r="E88" s="449">
        <v>517</v>
      </c>
      <c r="F88" s="464">
        <v>4484</v>
      </c>
      <c r="G88" s="464"/>
      <c r="H88" s="464">
        <v>931</v>
      </c>
      <c r="I88" s="464"/>
      <c r="J88" s="449"/>
      <c r="K88" s="449">
        <v>400</v>
      </c>
      <c r="L88" s="449"/>
      <c r="M88" s="469"/>
      <c r="N88" s="471"/>
      <c r="O88" s="471">
        <v>12337</v>
      </c>
      <c r="P88" s="459"/>
      <c r="Q88" s="460"/>
      <c r="R88" s="459">
        <v>4922</v>
      </c>
      <c r="S88" s="460">
        <v>0.05</v>
      </c>
    </row>
    <row r="89" spans="1:19">
      <c r="A89" s="454"/>
      <c r="B89" s="454"/>
      <c r="C89" s="451">
        <v>10.14</v>
      </c>
      <c r="D89" s="449">
        <v>2670</v>
      </c>
      <c r="E89" s="449">
        <v>775</v>
      </c>
      <c r="F89" s="464">
        <v>18459</v>
      </c>
      <c r="G89" s="464"/>
      <c r="H89" s="464">
        <v>1953</v>
      </c>
      <c r="I89" s="464"/>
      <c r="J89" s="449"/>
      <c r="K89" s="449">
        <v>933</v>
      </c>
      <c r="L89" s="449"/>
      <c r="M89" s="469"/>
      <c r="N89" s="471"/>
      <c r="O89" s="471">
        <v>28544</v>
      </c>
      <c r="P89" s="459"/>
      <c r="Q89" s="460"/>
      <c r="R89" s="459">
        <v>17569</v>
      </c>
      <c r="S89" s="460">
        <v>0.16</v>
      </c>
    </row>
    <row r="90" spans="1:19">
      <c r="A90" s="454"/>
      <c r="B90" s="454"/>
      <c r="C90" s="451">
        <v>1.59</v>
      </c>
      <c r="D90" s="449">
        <v>2102</v>
      </c>
      <c r="E90" s="449">
        <v>145</v>
      </c>
      <c r="F90" s="464">
        <v>3859</v>
      </c>
      <c r="G90" s="464"/>
      <c r="H90" s="464">
        <v>171</v>
      </c>
      <c r="I90" s="464"/>
      <c r="J90" s="449"/>
      <c r="K90" s="449">
        <v>397</v>
      </c>
      <c r="L90" s="449"/>
      <c r="M90" s="469"/>
      <c r="N90" s="471"/>
      <c r="O90" s="471">
        <v>4233</v>
      </c>
      <c r="P90" s="459"/>
      <c r="Q90" s="460"/>
      <c r="R90" s="459">
        <v>2453</v>
      </c>
      <c r="S90" s="460">
        <v>0.02</v>
      </c>
    </row>
    <row r="91" spans="1:19">
      <c r="A91" s="454"/>
      <c r="B91" s="454"/>
      <c r="C91" s="451">
        <v>4.71</v>
      </c>
      <c r="D91" s="449">
        <v>5952</v>
      </c>
      <c r="E91" s="449">
        <v>1189</v>
      </c>
      <c r="F91" s="464">
        <v>7555</v>
      </c>
      <c r="G91" s="464"/>
      <c r="H91" s="464">
        <v>694</v>
      </c>
      <c r="I91" s="464"/>
      <c r="J91" s="449"/>
      <c r="K91" s="449">
        <v>606</v>
      </c>
      <c r="L91" s="449"/>
      <c r="M91" s="469"/>
      <c r="N91" s="471"/>
      <c r="O91" s="471">
        <v>13797</v>
      </c>
      <c r="P91" s="459"/>
      <c r="Q91" s="460"/>
      <c r="R91" s="459">
        <v>6257</v>
      </c>
      <c r="S91" s="460">
        <v>0.06</v>
      </c>
    </row>
    <row r="92" spans="1:19">
      <c r="A92" s="454"/>
      <c r="B92" s="454"/>
      <c r="C92" s="451">
        <v>4.7</v>
      </c>
      <c r="D92" s="449">
        <v>6553</v>
      </c>
      <c r="E92" s="449">
        <v>868</v>
      </c>
      <c r="F92" s="464">
        <v>3413</v>
      </c>
      <c r="G92" s="464"/>
      <c r="H92" s="464">
        <v>975</v>
      </c>
      <c r="I92" s="464"/>
      <c r="J92" s="449"/>
      <c r="K92" s="449">
        <v>583</v>
      </c>
      <c r="L92" s="449"/>
      <c r="M92" s="469"/>
      <c r="N92" s="471"/>
      <c r="O92" s="471">
        <v>11722</v>
      </c>
      <c r="P92" s="459"/>
      <c r="Q92" s="460"/>
      <c r="R92" s="459">
        <v>7438</v>
      </c>
      <c r="S92" s="460">
        <v>0.08</v>
      </c>
    </row>
    <row r="93" spans="1:19">
      <c r="A93" s="454"/>
      <c r="B93" s="454"/>
      <c r="C93" s="451">
        <v>8.85</v>
      </c>
      <c r="D93" s="449">
        <v>29140</v>
      </c>
      <c r="E93" s="449">
        <v>20</v>
      </c>
      <c r="F93" s="464">
        <v>18501</v>
      </c>
      <c r="G93" s="464"/>
      <c r="H93" s="464">
        <v>144</v>
      </c>
      <c r="I93" s="464"/>
      <c r="J93" s="449">
        <v>136</v>
      </c>
      <c r="K93" s="449"/>
      <c r="L93" s="449"/>
      <c r="M93" s="469"/>
      <c r="N93" s="471"/>
      <c r="O93" s="471"/>
      <c r="P93" s="459"/>
      <c r="Q93" s="460"/>
      <c r="R93" s="459">
        <v>6497</v>
      </c>
      <c r="S93" s="460">
        <v>0.1</v>
      </c>
    </row>
    <row r="94" spans="1:19">
      <c r="A94" s="454"/>
      <c r="B94" s="454"/>
      <c r="C94" s="451">
        <v>3.26</v>
      </c>
      <c r="D94" s="449">
        <v>21543</v>
      </c>
      <c r="E94" s="449">
        <v>696</v>
      </c>
      <c r="F94" s="464">
        <v>20037</v>
      </c>
      <c r="G94" s="464"/>
      <c r="H94" s="464"/>
      <c r="I94" s="464"/>
      <c r="J94" s="449">
        <v>739</v>
      </c>
      <c r="K94" s="449"/>
      <c r="L94" s="449"/>
      <c r="M94" s="469"/>
      <c r="N94" s="471"/>
      <c r="O94" s="471">
        <v>5966</v>
      </c>
      <c r="P94" s="459"/>
      <c r="Q94" s="460"/>
      <c r="R94" s="459">
        <v>76292.565700000006</v>
      </c>
      <c r="S94" s="460">
        <v>1.63</v>
      </c>
    </row>
    <row r="95" spans="1:19">
      <c r="A95" s="454"/>
      <c r="B95" s="454"/>
      <c r="C95" s="451">
        <v>1.81</v>
      </c>
      <c r="D95" s="449">
        <v>5313</v>
      </c>
      <c r="E95" s="449">
        <v>545</v>
      </c>
      <c r="F95" s="464">
        <v>759</v>
      </c>
      <c r="G95" s="464"/>
      <c r="H95" s="464">
        <v>809</v>
      </c>
      <c r="I95" s="464">
        <v>206</v>
      </c>
      <c r="J95" s="449">
        <v>392</v>
      </c>
      <c r="K95" s="449"/>
      <c r="L95" s="449"/>
      <c r="M95" s="469"/>
      <c r="N95" s="471"/>
      <c r="O95" s="471">
        <v>1179</v>
      </c>
      <c r="P95" s="459"/>
      <c r="Q95" s="460"/>
      <c r="R95" s="459">
        <v>7337.6808000000001</v>
      </c>
      <c r="S95" s="460">
        <v>0.17</v>
      </c>
    </row>
    <row r="96" spans="1:19">
      <c r="A96" s="454"/>
      <c r="B96" s="454"/>
      <c r="C96" s="451">
        <v>0.53</v>
      </c>
      <c r="D96" s="449">
        <v>7034</v>
      </c>
      <c r="E96" s="449">
        <v>156</v>
      </c>
      <c r="F96" s="464">
        <v>897</v>
      </c>
      <c r="G96" s="464"/>
      <c r="H96" s="464">
        <v>3454</v>
      </c>
      <c r="I96" s="464">
        <v>866</v>
      </c>
      <c r="J96" s="449">
        <v>256</v>
      </c>
      <c r="K96" s="449"/>
      <c r="L96" s="449"/>
      <c r="M96" s="469"/>
      <c r="N96" s="471"/>
      <c r="O96" s="471">
        <v>675</v>
      </c>
      <c r="P96" s="459"/>
      <c r="Q96" s="460"/>
      <c r="R96" s="459">
        <v>6465.3858</v>
      </c>
      <c r="S96" s="460">
        <v>0.1</v>
      </c>
    </row>
    <row r="97" spans="1:19" ht="15" thickBot="1">
      <c r="B97" s="447"/>
      <c r="C97" s="452">
        <v>637.20423956362936</v>
      </c>
      <c r="D97" s="448">
        <v>4241624.7264</v>
      </c>
      <c r="E97" s="448">
        <v>101791.83839999998</v>
      </c>
      <c r="F97" s="465">
        <v>715984.85269999993</v>
      </c>
      <c r="G97" s="465">
        <v>100713</v>
      </c>
      <c r="H97" s="465">
        <v>842922.02450000017</v>
      </c>
      <c r="I97" s="465">
        <v>153848</v>
      </c>
      <c r="J97" s="448">
        <v>364114.04519999999</v>
      </c>
      <c r="K97" s="448">
        <f>SUM(K2:K96)</f>
        <v>15736.570599999999</v>
      </c>
      <c r="L97" s="448">
        <f t="shared" ref="L97:M97" si="0">SUM(L2:L96)</f>
        <v>20160</v>
      </c>
      <c r="M97" s="448">
        <f t="shared" si="0"/>
        <v>7740</v>
      </c>
      <c r="N97" s="472">
        <f t="shared" ref="N97" si="1">SUM(N2:N96)</f>
        <v>123208.09770000001</v>
      </c>
      <c r="O97" s="472">
        <f t="shared" ref="O97" si="2">SUM(O2:O96)</f>
        <v>265731.83100000001</v>
      </c>
      <c r="P97" s="461">
        <v>486769.3</v>
      </c>
      <c r="Q97" s="462">
        <v>8.6660000000000004</v>
      </c>
      <c r="R97" s="461">
        <v>3518181.2831000001</v>
      </c>
      <c r="S97" s="462">
        <v>63.014965773528239</v>
      </c>
    </row>
    <row r="98" spans="1:19">
      <c r="B98" s="447" t="s">
        <v>298</v>
      </c>
      <c r="C98" s="447"/>
      <c r="D98" s="453">
        <f>D97/C97</f>
        <v>6656.61723987391</v>
      </c>
      <c r="E98" s="453">
        <f>E97/$C$97</f>
        <v>159.74758496539371</v>
      </c>
      <c r="F98" s="466">
        <f t="shared" ref="F98:J98" si="3">F97/$C$97</f>
        <v>1123.6347912410645</v>
      </c>
      <c r="G98" s="466">
        <f t="shared" si="3"/>
        <v>158.05450395146514</v>
      </c>
      <c r="H98" s="466">
        <f t="shared" si="3"/>
        <v>1322.8443443459362</v>
      </c>
      <c r="I98" s="466">
        <f t="shared" si="3"/>
        <v>241.44221027995403</v>
      </c>
      <c r="J98" s="453">
        <f t="shared" si="3"/>
        <v>571.42439204320556</v>
      </c>
      <c r="K98" s="453">
        <f>K97/C97</f>
        <v>24.696274165998531</v>
      </c>
      <c r="L98" s="453">
        <f>L97/C97</f>
        <v>31.638207576594258</v>
      </c>
      <c r="M98" s="453">
        <f>M97/C97</f>
        <v>12.146811837442439</v>
      </c>
      <c r="N98" s="473">
        <f>N97/C97</f>
        <v>193.35731002727707</v>
      </c>
      <c r="O98" s="473">
        <f>O97/C97</f>
        <v>417.02771968682862</v>
      </c>
      <c r="P98" s="611">
        <v>55871.883698573532</v>
      </c>
      <c r="Q98" s="611"/>
      <c r="R98" s="611"/>
      <c r="S98" s="611"/>
    </row>
    <row r="99" spans="1:19" s="453" customFormat="1">
      <c r="B99" s="456" t="s">
        <v>329</v>
      </c>
      <c r="E99" s="453">
        <f>E97/$D$103</f>
        <v>5.9801849893546512E-2</v>
      </c>
      <c r="F99" s="466">
        <f t="shared" ref="F99:J99" si="4">F97/$D$103</f>
        <v>0.42063508587952186</v>
      </c>
      <c r="G99" s="466">
        <f t="shared" si="4"/>
        <v>5.9168041397008021E-2</v>
      </c>
      <c r="H99" s="466">
        <f t="shared" si="4"/>
        <v>0.49520960789635721</v>
      </c>
      <c r="I99" s="466">
        <f t="shared" si="4"/>
        <v>9.0384407502972705E-2</v>
      </c>
      <c r="J99" s="453">
        <f t="shared" si="4"/>
        <v>0.21391394258562102</v>
      </c>
      <c r="K99" s="453">
        <f>K97/D103</f>
        <v>9.2451030225267766E-3</v>
      </c>
      <c r="L99" s="453">
        <f>L97/D103</f>
        <v>1.1843830633221945E-2</v>
      </c>
      <c r="M99" s="453">
        <f>M97/D103</f>
        <v>4.5471849752548536E-3</v>
      </c>
      <c r="N99" s="473">
        <f>N97/D103</f>
        <v>7.2383722311520959E-2</v>
      </c>
      <c r="O99" s="473">
        <f>O97/D103</f>
        <v>0.15611521826487881</v>
      </c>
    </row>
    <row r="100" spans="1:19" s="275" customFormat="1" ht="43.2">
      <c r="B100" s="275" t="s">
        <v>118</v>
      </c>
      <c r="C100" s="275" t="s">
        <v>318</v>
      </c>
      <c r="D100" s="275" t="s">
        <v>319</v>
      </c>
    </row>
    <row r="101" spans="1:19">
      <c r="A101" s="447" t="s">
        <v>320</v>
      </c>
      <c r="B101" s="447" t="s">
        <v>323</v>
      </c>
      <c r="C101" s="447">
        <v>128006</v>
      </c>
      <c r="D101" s="447">
        <v>1536072</v>
      </c>
      <c r="E101" s="447"/>
      <c r="F101" s="447"/>
      <c r="G101" s="447"/>
      <c r="H101" s="447"/>
      <c r="I101" s="447"/>
      <c r="J101" s="447"/>
      <c r="K101" s="447"/>
      <c r="L101" s="447"/>
      <c r="M101" s="447"/>
      <c r="O101" s="447"/>
    </row>
    <row r="102" spans="1:19" ht="15" thickBot="1">
      <c r="A102" s="447"/>
      <c r="B102" s="455" t="s">
        <v>324</v>
      </c>
      <c r="C102" s="455">
        <v>13840</v>
      </c>
      <c r="D102" s="455">
        <v>166080</v>
      </c>
      <c r="E102" s="447"/>
      <c r="F102" s="447"/>
      <c r="G102" s="447"/>
      <c r="H102" s="447"/>
      <c r="I102" s="447"/>
      <c r="J102" s="447"/>
      <c r="K102" s="447"/>
      <c r="L102" s="447"/>
      <c r="M102" s="447"/>
      <c r="O102" s="447"/>
    </row>
    <row r="103" spans="1:19" ht="15" thickTop="1">
      <c r="A103" s="447"/>
      <c r="B103" s="447" t="s">
        <v>322</v>
      </c>
      <c r="C103" s="447">
        <v>141846</v>
      </c>
      <c r="D103" s="447">
        <v>1702152</v>
      </c>
      <c r="E103" s="447"/>
      <c r="F103" s="447"/>
      <c r="G103" s="447"/>
      <c r="H103" s="447"/>
      <c r="I103" s="447"/>
      <c r="J103" s="447"/>
      <c r="K103" s="447"/>
      <c r="L103" s="447"/>
      <c r="M103" s="447"/>
      <c r="O103" s="447"/>
    </row>
    <row r="104" spans="1:19">
      <c r="B104" s="447"/>
      <c r="C104" s="447"/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O104" s="447"/>
    </row>
    <row r="105" spans="1:19">
      <c r="B105" s="447"/>
      <c r="C105" s="447"/>
      <c r="D105" s="447"/>
      <c r="E105" s="447"/>
      <c r="F105" s="447"/>
      <c r="G105" s="447"/>
      <c r="H105" s="447"/>
      <c r="I105" s="447"/>
      <c r="J105" s="447"/>
      <c r="K105" s="447"/>
      <c r="L105" s="447"/>
      <c r="M105" s="447"/>
      <c r="O105" s="447"/>
    </row>
    <row r="106" spans="1:19">
      <c r="B106" s="447"/>
      <c r="C106" s="447"/>
      <c r="D106" s="447"/>
      <c r="E106" s="447"/>
      <c r="F106" s="447"/>
      <c r="G106" s="447"/>
      <c r="H106" s="447"/>
      <c r="I106" s="447"/>
      <c r="J106" s="447"/>
      <c r="K106" s="447"/>
      <c r="L106" s="447"/>
      <c r="M106" s="447"/>
      <c r="O106" s="447"/>
    </row>
    <row r="107" spans="1:19">
      <c r="B107" s="447"/>
      <c r="C107" s="447"/>
      <c r="D107" s="447"/>
      <c r="E107" s="447"/>
      <c r="F107" s="447"/>
      <c r="G107" s="447"/>
      <c r="H107" s="447"/>
      <c r="I107" s="447"/>
      <c r="J107" s="447"/>
      <c r="K107" s="447"/>
      <c r="L107" s="447"/>
      <c r="M107" s="447"/>
      <c r="O107" s="447"/>
    </row>
    <row r="108" spans="1:19">
      <c r="B108" s="447"/>
      <c r="C108" s="447"/>
      <c r="D108" s="447"/>
      <c r="E108" s="447"/>
      <c r="F108" s="447"/>
      <c r="G108" s="447"/>
      <c r="H108" s="447"/>
      <c r="I108" s="447"/>
      <c r="J108" s="447"/>
      <c r="K108" s="447"/>
      <c r="L108" s="447"/>
      <c r="M108" s="447"/>
      <c r="O108" s="447"/>
    </row>
    <row r="109" spans="1:19">
      <c r="B109" s="447"/>
      <c r="C109" s="447"/>
      <c r="D109" s="447"/>
      <c r="E109" s="447"/>
      <c r="F109" s="447"/>
      <c r="G109" s="447"/>
      <c r="H109" s="447"/>
      <c r="I109" s="447"/>
      <c r="J109" s="447"/>
      <c r="K109" s="447"/>
      <c r="L109" s="447"/>
      <c r="M109" s="447"/>
      <c r="O109" s="447"/>
    </row>
    <row r="110" spans="1:19">
      <c r="B110" s="447"/>
      <c r="C110" s="447"/>
      <c r="D110" s="447"/>
      <c r="E110" s="447"/>
      <c r="F110" s="447"/>
      <c r="G110" s="447"/>
      <c r="H110" s="447"/>
      <c r="I110" s="447"/>
      <c r="J110" s="447"/>
      <c r="K110" s="447"/>
      <c r="L110" s="447"/>
      <c r="M110" s="447"/>
      <c r="O110" s="447"/>
    </row>
    <row r="111" spans="1:19">
      <c r="B111" s="447"/>
      <c r="C111" s="447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O111" s="447"/>
    </row>
    <row r="112" spans="1:19">
      <c r="B112" s="447"/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O112" s="447"/>
    </row>
  </sheetData>
  <mergeCells count="1">
    <mergeCell ref="P98:S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1"/>
  <sheetViews>
    <sheetView tabSelected="1" zoomScale="70" zoomScaleNormal="70" workbookViewId="0">
      <selection activeCell="E26" sqref="E26"/>
    </sheetView>
  </sheetViews>
  <sheetFormatPr defaultColWidth="8.88671875" defaultRowHeight="14.4"/>
  <cols>
    <col min="1" max="1" width="8.88671875" style="287"/>
    <col min="2" max="2" width="31.5546875" style="287" customWidth="1"/>
    <col min="3" max="3" width="18.109375" style="287" hidden="1" customWidth="1"/>
    <col min="4" max="4" width="18.109375" style="287" customWidth="1"/>
    <col min="5" max="5" width="23" style="287" customWidth="1"/>
    <col min="6" max="6" width="18.5546875" style="287" customWidth="1"/>
    <col min="7" max="8" width="2.88671875" style="287" customWidth="1"/>
    <col min="9" max="9" width="29.33203125" style="287" bestFit="1" customWidth="1"/>
    <col min="10" max="10" width="13.33203125" style="287" bestFit="1" customWidth="1"/>
    <col min="11" max="11" width="18.6640625" style="287" customWidth="1"/>
    <col min="12" max="12" width="14.33203125" style="287" customWidth="1"/>
    <col min="13" max="13" width="12.6640625" style="287" bestFit="1" customWidth="1"/>
    <col min="14" max="16" width="8.88671875" style="287"/>
    <col min="17" max="17" width="15.88671875" style="287" customWidth="1"/>
    <col min="18" max="18" width="9.33203125" style="287" customWidth="1"/>
    <col min="19" max="21" width="15.88671875" style="287" customWidth="1"/>
    <col min="22" max="16384" width="8.88671875" style="287"/>
  </cols>
  <sheetData>
    <row r="1" spans="2:21">
      <c r="B1" s="286"/>
      <c r="C1" s="286"/>
      <c r="D1" s="286"/>
      <c r="E1" s="286"/>
      <c r="F1" s="286"/>
      <c r="G1" s="286"/>
      <c r="H1" s="286"/>
      <c r="I1" s="553" t="s">
        <v>168</v>
      </c>
      <c r="J1" s="553"/>
      <c r="K1" s="553"/>
      <c r="L1" s="553"/>
      <c r="M1" s="553"/>
      <c r="N1" s="286"/>
      <c r="O1" s="286"/>
      <c r="P1" s="286"/>
    </row>
    <row r="2" spans="2:21" ht="15" thickBot="1">
      <c r="B2" s="286"/>
      <c r="C2" s="286"/>
      <c r="D2" s="286"/>
      <c r="E2" s="286"/>
      <c r="F2" s="286"/>
      <c r="G2" s="286"/>
      <c r="H2" s="286"/>
      <c r="I2" s="184"/>
      <c r="J2" s="185"/>
      <c r="K2" s="185"/>
      <c r="L2" s="185"/>
      <c r="M2" s="185"/>
      <c r="N2" s="286"/>
      <c r="O2" s="286"/>
      <c r="P2" s="286"/>
    </row>
    <row r="3" spans="2:21" ht="15" thickBot="1">
      <c r="B3" s="554" t="s">
        <v>169</v>
      </c>
      <c r="C3" s="555"/>
      <c r="D3" s="555"/>
      <c r="E3" s="555"/>
      <c r="F3" s="186"/>
      <c r="G3" s="286"/>
      <c r="H3" s="286"/>
      <c r="I3" s="549" t="s">
        <v>295</v>
      </c>
      <c r="J3" s="550"/>
      <c r="K3" s="550"/>
      <c r="L3" s="550"/>
      <c r="M3" s="551"/>
      <c r="N3" s="286"/>
      <c r="O3" s="286"/>
      <c r="P3" s="286"/>
      <c r="Q3" s="549" t="s">
        <v>296</v>
      </c>
      <c r="R3" s="550"/>
      <c r="S3" s="550"/>
      <c r="T3" s="550"/>
      <c r="U3" s="551"/>
    </row>
    <row r="4" spans="2:21" ht="15" thickBot="1">
      <c r="B4" s="556" t="s">
        <v>121</v>
      </c>
      <c r="C4" s="557"/>
      <c r="D4" s="288"/>
      <c r="E4" s="289" t="s">
        <v>122</v>
      </c>
      <c r="F4" s="290"/>
      <c r="G4" s="286"/>
      <c r="H4" s="286"/>
      <c r="I4" s="187" t="s">
        <v>0</v>
      </c>
      <c r="J4" s="188"/>
      <c r="K4" s="189"/>
      <c r="L4" s="190" t="s">
        <v>117</v>
      </c>
      <c r="M4" s="191">
        <v>1500</v>
      </c>
      <c r="N4" s="286"/>
      <c r="O4" s="286"/>
      <c r="P4" s="286"/>
      <c r="Q4" s="187" t="s">
        <v>0</v>
      </c>
      <c r="R4" s="188"/>
      <c r="S4" s="189"/>
      <c r="T4" s="190" t="s">
        <v>117</v>
      </c>
      <c r="U4" s="191">
        <v>1808</v>
      </c>
    </row>
    <row r="5" spans="2:21" ht="15" thickBot="1">
      <c r="B5" s="41" t="s">
        <v>123</v>
      </c>
      <c r="C5" s="182">
        <v>58864</v>
      </c>
      <c r="D5" s="47">
        <v>59419</v>
      </c>
      <c r="E5" s="46" t="s">
        <v>342</v>
      </c>
      <c r="F5" s="42"/>
      <c r="G5" s="286"/>
      <c r="H5" s="286"/>
      <c r="I5" s="192" t="s">
        <v>1</v>
      </c>
      <c r="J5" s="193"/>
      <c r="K5" s="194" t="s">
        <v>2</v>
      </c>
      <c r="L5" s="194" t="s">
        <v>3</v>
      </c>
      <c r="M5" s="195" t="s">
        <v>4</v>
      </c>
      <c r="N5" s="286"/>
      <c r="O5" s="286"/>
      <c r="P5" s="286"/>
      <c r="Q5" s="187" t="s">
        <v>1</v>
      </c>
      <c r="R5" s="188"/>
      <c r="S5" s="189" t="s">
        <v>2</v>
      </c>
      <c r="T5" s="189" t="s">
        <v>3</v>
      </c>
      <c r="U5" s="411" t="s">
        <v>4</v>
      </c>
    </row>
    <row r="6" spans="2:21">
      <c r="B6" s="41" t="s">
        <v>306</v>
      </c>
      <c r="C6" s="47">
        <v>53818</v>
      </c>
      <c r="D6" s="47">
        <f>Chart!C14</f>
        <v>52665.599999999999</v>
      </c>
      <c r="E6" s="291" t="s">
        <v>191</v>
      </c>
      <c r="F6" s="42"/>
      <c r="G6" s="286"/>
      <c r="H6" s="286"/>
      <c r="I6" s="196" t="str">
        <f>B5</f>
        <v>Management</v>
      </c>
      <c r="J6" s="197"/>
      <c r="K6" s="198">
        <f>D5</f>
        <v>59419</v>
      </c>
      <c r="L6" s="199">
        <v>0.1</v>
      </c>
      <c r="M6" s="200">
        <f>K6*L6</f>
        <v>5941.9000000000005</v>
      </c>
      <c r="N6" s="286"/>
      <c r="O6" s="286"/>
      <c r="P6" s="286"/>
      <c r="Q6" s="412" t="str">
        <f>I6</f>
        <v>Management</v>
      </c>
      <c r="R6" s="413"/>
      <c r="S6" s="414">
        <f>K6</f>
        <v>59419</v>
      </c>
      <c r="T6" s="415">
        <v>0.05</v>
      </c>
      <c r="U6" s="416">
        <f>S6*T6</f>
        <v>2970.9500000000003</v>
      </c>
    </row>
    <row r="7" spans="2:21">
      <c r="B7" s="41" t="s">
        <v>343</v>
      </c>
      <c r="C7" s="182">
        <v>43447</v>
      </c>
      <c r="D7" s="47">
        <f>Chart!C12</f>
        <v>43971.200000000004</v>
      </c>
      <c r="E7" s="291" t="s">
        <v>191</v>
      </c>
      <c r="F7" s="292"/>
      <c r="G7" s="286"/>
      <c r="H7" s="286"/>
      <c r="I7" s="196" t="str">
        <f>B6</f>
        <v>Clinical (MA Level)</v>
      </c>
      <c r="J7" s="197"/>
      <c r="K7" s="198">
        <f>D6</f>
        <v>52665.599999999999</v>
      </c>
      <c r="L7" s="199">
        <v>0.01</v>
      </c>
      <c r="M7" s="200">
        <f>L7*K7</f>
        <v>526.65599999999995</v>
      </c>
      <c r="N7" s="286"/>
      <c r="O7" s="286"/>
      <c r="P7" s="286"/>
      <c r="Q7" s="202" t="s">
        <v>119</v>
      </c>
      <c r="R7" s="203"/>
      <c r="S7" s="198">
        <f>K8</f>
        <v>43971.200000000004</v>
      </c>
      <c r="T7" s="199">
        <v>1</v>
      </c>
      <c r="U7" s="200">
        <f t="shared" ref="U7:U8" si="0">S7*T7</f>
        <v>43971.200000000004</v>
      </c>
    </row>
    <row r="8" spans="2:21" ht="15" thickBot="1">
      <c r="B8" s="41" t="s">
        <v>154</v>
      </c>
      <c r="C8" s="182">
        <v>32311</v>
      </c>
      <c r="D8" s="47">
        <f>Chart!C6</f>
        <v>32198.400000000001</v>
      </c>
      <c r="E8" s="46" t="s">
        <v>191</v>
      </c>
      <c r="F8" s="42"/>
      <c r="G8" s="286"/>
      <c r="H8" s="286"/>
      <c r="I8" s="202" t="str">
        <f>B7</f>
        <v>Employment Specialist (Caseworker)</v>
      </c>
      <c r="J8" s="203"/>
      <c r="K8" s="198">
        <f>D7</f>
        <v>43971.200000000004</v>
      </c>
      <c r="L8" s="199">
        <v>1</v>
      </c>
      <c r="M8" s="200">
        <f t="shared" ref="M8:M9" si="1">K8*L8</f>
        <v>43971.200000000004</v>
      </c>
      <c r="N8" s="286"/>
      <c r="O8" s="286"/>
      <c r="P8" s="286"/>
      <c r="Q8" s="204" t="s">
        <v>155</v>
      </c>
      <c r="R8" s="205"/>
      <c r="S8" s="206">
        <f>K9</f>
        <v>32198.400000000001</v>
      </c>
      <c r="T8" s="307">
        <v>0.02</v>
      </c>
      <c r="U8" s="208">
        <f t="shared" si="0"/>
        <v>643.96800000000007</v>
      </c>
    </row>
    <row r="9" spans="2:21" ht="15" thickBot="1">
      <c r="B9" s="41" t="s">
        <v>303</v>
      </c>
      <c r="C9" s="182">
        <f>37009*1.0272359</f>
        <v>38016.973423099997</v>
      </c>
      <c r="D9" s="47">
        <f>Chart!C14</f>
        <v>52665.599999999999</v>
      </c>
      <c r="E9" s="291" t="s">
        <v>191</v>
      </c>
      <c r="F9" s="42"/>
      <c r="G9" s="286"/>
      <c r="H9" s="286"/>
      <c r="I9" s="204" t="s">
        <v>155</v>
      </c>
      <c r="J9" s="205"/>
      <c r="K9" s="206">
        <f>D8</f>
        <v>32198.400000000001</v>
      </c>
      <c r="L9" s="307">
        <v>0.02</v>
      </c>
      <c r="M9" s="208">
        <f t="shared" si="1"/>
        <v>643.96800000000007</v>
      </c>
      <c r="N9" s="286"/>
      <c r="O9" s="286"/>
      <c r="P9" s="286"/>
      <c r="Q9" s="441" t="s">
        <v>6</v>
      </c>
      <c r="R9" s="442"/>
      <c r="S9" s="443"/>
      <c r="T9" s="444">
        <f>SUM(T6:T8)</f>
        <v>1.07</v>
      </c>
      <c r="U9" s="445">
        <f>SUM(U6:U8)</f>
        <v>47586.118000000002</v>
      </c>
    </row>
    <row r="10" spans="2:21" ht="15" thickBot="1">
      <c r="B10" s="558" t="s">
        <v>124</v>
      </c>
      <c r="C10" s="559"/>
      <c r="D10" s="293"/>
      <c r="E10" s="294"/>
      <c r="F10" s="295"/>
      <c r="G10" s="286"/>
      <c r="H10" s="286"/>
      <c r="I10" s="441" t="s">
        <v>6</v>
      </c>
      <c r="J10" s="442"/>
      <c r="K10" s="443"/>
      <c r="L10" s="444">
        <f>SUM(L6:L9)</f>
        <v>1.1300000000000001</v>
      </c>
      <c r="M10" s="445">
        <f>SUM(M6:M9)</f>
        <v>51083.724000000009</v>
      </c>
      <c r="N10" s="286"/>
      <c r="O10" s="286"/>
      <c r="P10" s="286"/>
      <c r="Q10" s="209" t="s">
        <v>126</v>
      </c>
      <c r="R10" s="210"/>
      <c r="S10" s="247">
        <f>K11</f>
        <v>3.7000000000000002E-3</v>
      </c>
      <c r="T10" s="210"/>
      <c r="U10" s="200">
        <f>S10*U9</f>
        <v>176.06863660000002</v>
      </c>
    </row>
    <row r="11" spans="2:21">
      <c r="B11" s="43" t="s">
        <v>7</v>
      </c>
      <c r="C11" s="254">
        <v>0.23</v>
      </c>
      <c r="D11" s="211">
        <v>0.224</v>
      </c>
      <c r="E11" s="212" t="s">
        <v>183</v>
      </c>
      <c r="F11" s="548"/>
      <c r="G11" s="286"/>
      <c r="H11" s="286"/>
      <c r="I11" s="209" t="s">
        <v>126</v>
      </c>
      <c r="J11" s="210"/>
      <c r="K11" s="247">
        <f>D19</f>
        <v>3.7000000000000002E-3</v>
      </c>
      <c r="L11" s="210"/>
      <c r="M11" s="200">
        <f>K11*M10</f>
        <v>189.00977880000005</v>
      </c>
      <c r="N11" s="286"/>
      <c r="O11" s="286"/>
      <c r="P11" s="286"/>
      <c r="Q11" s="214" t="s">
        <v>7</v>
      </c>
      <c r="R11" s="215"/>
      <c r="S11" s="216">
        <f>K12</f>
        <v>0.224</v>
      </c>
      <c r="T11" s="215"/>
      <c r="U11" s="217">
        <f>S11*U9</f>
        <v>10659.290432000002</v>
      </c>
    </row>
    <row r="12" spans="2:21" ht="15" thickBot="1">
      <c r="B12" s="44" t="s">
        <v>304</v>
      </c>
      <c r="C12" s="255">
        <f>6123</f>
        <v>6123</v>
      </c>
      <c r="D12" s="95">
        <f>'3168 FY19 UFR'!D98*40%</f>
        <v>2662.6468959495642</v>
      </c>
      <c r="E12" s="560" t="s">
        <v>344</v>
      </c>
      <c r="F12" s="561"/>
      <c r="G12" s="286"/>
      <c r="H12" s="286"/>
      <c r="I12" s="214" t="s">
        <v>7</v>
      </c>
      <c r="J12" s="215"/>
      <c r="K12" s="216">
        <f>D11</f>
        <v>0.224</v>
      </c>
      <c r="L12" s="215"/>
      <c r="M12" s="217">
        <f>K12*M10</f>
        <v>11442.754176000002</v>
      </c>
      <c r="N12" s="286"/>
      <c r="O12" s="286"/>
      <c r="P12" s="286"/>
      <c r="Q12" s="218" t="s">
        <v>8</v>
      </c>
      <c r="R12" s="219"/>
      <c r="S12" s="285"/>
      <c r="T12" s="439"/>
      <c r="U12" s="220">
        <f>SUM(U9:U11)</f>
        <v>58421.477068600005</v>
      </c>
    </row>
    <row r="13" spans="2:21" ht="15" thickBot="1">
      <c r="B13" s="44" t="s">
        <v>305</v>
      </c>
      <c r="C13" s="255"/>
      <c r="D13" s="95">
        <f>'3168 &amp; 3181 FY19 UFR'!D165</f>
        <v>6332.1725318681101</v>
      </c>
      <c r="E13" s="183" t="s">
        <v>340</v>
      </c>
      <c r="F13" s="42"/>
      <c r="G13" s="286"/>
      <c r="H13" s="286"/>
      <c r="I13" s="436" t="s">
        <v>8</v>
      </c>
      <c r="J13" s="437"/>
      <c r="K13" s="438"/>
      <c r="L13" s="439"/>
      <c r="M13" s="440">
        <f>SUM(M10:M12)</f>
        <v>62715.48795480001</v>
      </c>
      <c r="N13" s="286"/>
      <c r="O13" s="286"/>
      <c r="P13" s="286"/>
      <c r="Q13" s="221"/>
      <c r="R13" s="222"/>
      <c r="S13" s="237" t="s">
        <v>297</v>
      </c>
      <c r="T13" s="446" t="s">
        <v>299</v>
      </c>
      <c r="U13" s="223"/>
    </row>
    <row r="14" spans="2:21">
      <c r="B14" s="44" t="s">
        <v>187</v>
      </c>
      <c r="C14" s="255">
        <f>5755*40%</f>
        <v>2302</v>
      </c>
      <c r="D14" s="95">
        <f>'3168 &amp; 3181 FY19 UFR'!E172</f>
        <v>149.05139436967258</v>
      </c>
      <c r="E14" s="610" t="s">
        <v>339</v>
      </c>
      <c r="F14" s="562"/>
      <c r="G14" s="286"/>
      <c r="H14" s="286"/>
      <c r="I14" s="187"/>
      <c r="J14" s="188"/>
      <c r="K14" s="446" t="s">
        <v>298</v>
      </c>
      <c r="L14" s="446" t="s">
        <v>299</v>
      </c>
      <c r="M14" s="230"/>
      <c r="N14" s="286"/>
      <c r="O14" s="286"/>
      <c r="P14" s="286"/>
      <c r="Q14" s="44" t="s">
        <v>186</v>
      </c>
      <c r="R14" s="210"/>
      <c r="S14" s="257">
        <f>K15</f>
        <v>2662.6468959495642</v>
      </c>
      <c r="T14" s="201"/>
      <c r="U14" s="258">
        <f>S14*$T$9</f>
        <v>2849.0321786660338</v>
      </c>
    </row>
    <row r="15" spans="2:21" ht="14.4" customHeight="1">
      <c r="B15" s="44" t="s">
        <v>188</v>
      </c>
      <c r="C15" s="256">
        <v>0.54</v>
      </c>
      <c r="D15" s="435">
        <f>'3168 &amp; 3181 FY19 UFR'!F173+'3168 &amp; 3181 FY19 UFR'!G173+'3168 &amp; 3181 FY19 UFR'!H173+'3168 &amp; 3181 FY19 UFR'!I173</f>
        <v>0.99437011948023779</v>
      </c>
      <c r="E15" s="610" t="s">
        <v>339</v>
      </c>
      <c r="F15" s="562"/>
      <c r="G15" s="286"/>
      <c r="H15" s="286"/>
      <c r="I15" s="44" t="s">
        <v>186</v>
      </c>
      <c r="J15" s="210"/>
      <c r="K15" s="257">
        <f>D12</f>
        <v>2662.6468959495642</v>
      </c>
      <c r="L15" s="201"/>
      <c r="M15" s="258">
        <f>K15*L10</f>
        <v>3008.790992423008</v>
      </c>
      <c r="N15" s="286"/>
      <c r="O15" s="286"/>
      <c r="P15" s="286"/>
      <c r="Q15" s="44" t="s">
        <v>187</v>
      </c>
      <c r="R15" s="224"/>
      <c r="S15" s="257">
        <f>K16</f>
        <v>149.05139436967258</v>
      </c>
      <c r="T15" s="296"/>
      <c r="U15" s="258">
        <f t="shared" ref="U15" si="2">S15*$T$9</f>
        <v>159.48499197554966</v>
      </c>
    </row>
    <row r="16" spans="2:21" ht="14.4" customHeight="1">
      <c r="B16" s="43" t="s">
        <v>189</v>
      </c>
      <c r="C16" s="256">
        <v>0.08</v>
      </c>
      <c r="D16" s="435">
        <f>'3168 &amp; 3181 FY19 UFR'!J173</f>
        <v>0.9147208838042975</v>
      </c>
      <c r="E16" s="610" t="s">
        <v>339</v>
      </c>
      <c r="F16" s="562"/>
      <c r="G16" s="286"/>
      <c r="H16" s="286"/>
      <c r="I16" s="44" t="s">
        <v>187</v>
      </c>
      <c r="J16" s="224"/>
      <c r="K16" s="257">
        <f>D14</f>
        <v>149.05139436967258</v>
      </c>
      <c r="L16" s="296"/>
      <c r="M16" s="258">
        <f>K16*L10</f>
        <v>168.42807563773002</v>
      </c>
      <c r="N16" s="286"/>
      <c r="O16" s="286"/>
      <c r="P16" s="286"/>
      <c r="Q16" s="44" t="s">
        <v>188</v>
      </c>
      <c r="R16" s="224"/>
      <c r="S16" s="257"/>
      <c r="T16" s="297">
        <f>D15</f>
        <v>0.99437011948023779</v>
      </c>
      <c r="U16" s="258">
        <f>T16*U4</f>
        <v>1797.8211760202698</v>
      </c>
    </row>
    <row r="17" spans="2:22">
      <c r="B17" s="44" t="s">
        <v>190</v>
      </c>
      <c r="C17" s="256">
        <v>1.47</v>
      </c>
      <c r="D17" s="435">
        <f>'3168 &amp; 3181 FY19 UFR'!N173+'3168 &amp; 3181 FY19 UFR'!O173</f>
        <v>0.19603787534441655</v>
      </c>
      <c r="E17" s="610" t="s">
        <v>339</v>
      </c>
      <c r="F17" s="562"/>
      <c r="G17" s="286"/>
      <c r="H17" s="286"/>
      <c r="I17" s="44" t="s">
        <v>188</v>
      </c>
      <c r="J17" s="224"/>
      <c r="K17" s="257"/>
      <c r="L17" s="297">
        <f>D15*4</f>
        <v>3.9774804779209512</v>
      </c>
      <c r="M17" s="258">
        <f>L17*M4</f>
        <v>5966.2207168814266</v>
      </c>
      <c r="N17" s="286"/>
      <c r="O17" s="286"/>
      <c r="P17" s="286"/>
      <c r="Q17" s="43" t="s">
        <v>189</v>
      </c>
      <c r="R17" s="224"/>
      <c r="T17" s="430">
        <f>L18</f>
        <v>0.9147208838042975</v>
      </c>
      <c r="U17" s="258">
        <f>T17*U4</f>
        <v>1653.8153579181699</v>
      </c>
    </row>
    <row r="18" spans="2:22">
      <c r="B18" s="44" t="s">
        <v>125</v>
      </c>
      <c r="C18" s="254">
        <v>0.125</v>
      </c>
      <c r="D18" s="211">
        <v>0.12</v>
      </c>
      <c r="E18" s="225" t="s">
        <v>245</v>
      </c>
      <c r="F18" s="42"/>
      <c r="G18" s="286"/>
      <c r="H18" s="286"/>
      <c r="I18" s="43" t="s">
        <v>189</v>
      </c>
      <c r="J18" s="224"/>
      <c r="L18" s="430">
        <f>D16</f>
        <v>0.9147208838042975</v>
      </c>
      <c r="M18" s="258">
        <f>(L18*$M$4)/4</f>
        <v>343.02033142661156</v>
      </c>
      <c r="N18" s="286"/>
      <c r="O18" s="286"/>
      <c r="P18" s="286"/>
      <c r="Q18" s="44" t="s">
        <v>190</v>
      </c>
      <c r="R18" s="224"/>
      <c r="T18" s="430">
        <f>L19</f>
        <v>0.19603787534441655</v>
      </c>
      <c r="U18" s="258">
        <f>T18*U4</f>
        <v>354.43647862270512</v>
      </c>
    </row>
    <row r="19" spans="2:22" ht="15" thickBot="1">
      <c r="B19" s="298" t="s">
        <v>126</v>
      </c>
      <c r="D19" s="211">
        <v>3.7000000000000002E-3</v>
      </c>
      <c r="E19" s="225" t="s">
        <v>127</v>
      </c>
      <c r="F19" s="299"/>
      <c r="G19" s="286"/>
      <c r="H19" s="286"/>
      <c r="I19" s="44" t="s">
        <v>190</v>
      </c>
      <c r="J19" s="224"/>
      <c r="K19" s="432"/>
      <c r="L19" s="431">
        <f>D17</f>
        <v>0.19603787534441655</v>
      </c>
      <c r="M19" s="259">
        <f>(L19*$M$4)/4</f>
        <v>73.5142032541562</v>
      </c>
      <c r="N19" s="286"/>
      <c r="O19" s="286"/>
      <c r="P19" s="286"/>
      <c r="Q19" s="209"/>
      <c r="R19" s="210"/>
      <c r="S19" s="201"/>
      <c r="T19" s="201"/>
      <c r="U19" s="200">
        <f>SUM(U14:U18)</f>
        <v>6814.5901832027284</v>
      </c>
    </row>
    <row r="20" spans="2:22" ht="15" thickBot="1">
      <c r="B20" s="277" t="s">
        <v>246</v>
      </c>
      <c r="D20" s="278">
        <f>'Fall 2020 CAF'!BX26</f>
        <v>1.9959404600811814E-2</v>
      </c>
      <c r="E20" s="612" t="s">
        <v>254</v>
      </c>
      <c r="F20" s="300"/>
      <c r="G20" s="286"/>
      <c r="H20" s="286"/>
      <c r="I20" s="209"/>
      <c r="J20" s="210"/>
      <c r="K20" s="201"/>
      <c r="L20" s="201"/>
      <c r="M20" s="230">
        <f>SUM(M15:M19)</f>
        <v>9559.9743196229319</v>
      </c>
      <c r="N20" s="286"/>
      <c r="O20" s="286"/>
      <c r="P20" s="286"/>
      <c r="Q20" s="209"/>
      <c r="R20" s="210"/>
      <c r="S20" s="201"/>
      <c r="T20" s="210"/>
      <c r="U20" s="213"/>
    </row>
    <row r="21" spans="2:22" ht="15" thickBot="1">
      <c r="B21" s="286"/>
      <c r="C21" s="286"/>
      <c r="D21" s="286"/>
      <c r="E21" s="286"/>
      <c r="F21" s="286"/>
      <c r="G21" s="286"/>
      <c r="H21" s="286"/>
      <c r="I21" s="209"/>
      <c r="J21" s="210"/>
      <c r="K21" s="201"/>
      <c r="L21" s="210"/>
      <c r="M21" s="213"/>
      <c r="N21" s="286"/>
      <c r="O21" s="286"/>
      <c r="P21" s="286"/>
      <c r="Q21" s="226" t="s">
        <v>9</v>
      </c>
      <c r="R21" s="227"/>
      <c r="S21" s="282"/>
      <c r="T21" s="227"/>
      <c r="U21" s="228">
        <f>U19+U12</f>
        <v>65236.067251802735</v>
      </c>
    </row>
    <row r="22" spans="2:22" ht="15.6" thickTop="1" thickBot="1">
      <c r="B22" s="286"/>
      <c r="C22" s="286"/>
      <c r="D22" s="286"/>
      <c r="E22" s="286"/>
      <c r="F22" s="286"/>
      <c r="G22" s="286"/>
      <c r="H22" s="286"/>
      <c r="I22" s="226" t="s">
        <v>9</v>
      </c>
      <c r="J22" s="227"/>
      <c r="K22" s="282"/>
      <c r="L22" s="227"/>
      <c r="M22" s="228">
        <f>M20+M13</f>
        <v>72275.462274422942</v>
      </c>
      <c r="N22" s="286"/>
      <c r="O22" s="286"/>
      <c r="P22" s="286"/>
      <c r="Q22" s="209" t="s">
        <v>10</v>
      </c>
      <c r="R22" s="210"/>
      <c r="S22" s="247">
        <f>K23</f>
        <v>0.12</v>
      </c>
      <c r="T22" s="210"/>
      <c r="U22" s="200">
        <f>S22*U21</f>
        <v>7828.3280702163283</v>
      </c>
    </row>
    <row r="23" spans="2:22" ht="15.6" thickTop="1" thickBot="1">
      <c r="B23" s="286"/>
      <c r="C23" s="286"/>
      <c r="D23" s="286"/>
      <c r="E23" s="286"/>
      <c r="F23" s="286"/>
      <c r="G23" s="286"/>
      <c r="H23" s="286"/>
      <c r="I23" s="209" t="s">
        <v>10</v>
      </c>
      <c r="J23" s="210"/>
      <c r="K23" s="247">
        <f>D18</f>
        <v>0.12</v>
      </c>
      <c r="L23" s="210"/>
      <c r="M23" s="200">
        <f>K23*M22</f>
        <v>8673.0554729307532</v>
      </c>
      <c r="N23" s="286"/>
      <c r="O23" s="286"/>
      <c r="P23" s="286"/>
      <c r="Q23" s="306" t="s">
        <v>246</v>
      </c>
      <c r="R23" s="279"/>
      <c r="S23" s="283">
        <f>K24</f>
        <v>1.9959404600811814E-2</v>
      </c>
      <c r="T23" s="301"/>
      <c r="U23" s="280">
        <f>(U21+U22-U9)*S23</f>
        <v>508.53124560186649</v>
      </c>
    </row>
    <row r="24" spans="2:22" ht="15.6" thickTop="1" thickBot="1">
      <c r="B24" s="286"/>
      <c r="C24" s="286"/>
      <c r="D24" s="286"/>
      <c r="E24" s="286"/>
      <c r="F24" s="286"/>
      <c r="G24" s="286"/>
      <c r="H24" s="286"/>
      <c r="I24" s="306" t="s">
        <v>246</v>
      </c>
      <c r="J24" s="279"/>
      <c r="K24" s="283">
        <f>D20</f>
        <v>1.9959404600811814E-2</v>
      </c>
      <c r="L24" s="301"/>
      <c r="M24" s="280">
        <f>(M22+M23-M10)*K24</f>
        <v>596.08350172322696</v>
      </c>
      <c r="N24" s="286"/>
      <c r="O24" s="286"/>
      <c r="P24" s="286"/>
      <c r="Q24" s="187" t="s">
        <v>11</v>
      </c>
      <c r="R24" s="188"/>
      <c r="S24" s="247"/>
      <c r="T24" s="210"/>
      <c r="U24" s="230">
        <f>SUM(U21:U23)</f>
        <v>73572.926567620932</v>
      </c>
    </row>
    <row r="25" spans="2:22" ht="15.6" thickTop="1" thickBot="1">
      <c r="B25" s="286"/>
      <c r="C25" s="286"/>
      <c r="D25" s="286"/>
      <c r="E25" s="286"/>
      <c r="F25" s="286"/>
      <c r="G25" s="286"/>
      <c r="H25" s="286"/>
      <c r="I25" s="187" t="s">
        <v>11</v>
      </c>
      <c r="J25" s="188"/>
      <c r="K25" s="247"/>
      <c r="L25" s="210"/>
      <c r="M25" s="230">
        <f>SUM(M22:M24)</f>
        <v>81544.601249076921</v>
      </c>
      <c r="N25" s="286"/>
      <c r="O25" s="286"/>
      <c r="P25" s="286"/>
      <c r="Q25" s="209" t="s">
        <v>12</v>
      </c>
      <c r="R25" s="210"/>
      <c r="S25" s="210"/>
      <c r="T25" s="210"/>
      <c r="U25" s="231">
        <f>U24/U4-0.05</f>
        <v>40.642990358197423</v>
      </c>
    </row>
    <row r="26" spans="2:22" ht="15" thickBot="1">
      <c r="B26" s="286"/>
      <c r="C26" s="286"/>
      <c r="D26" s="286"/>
      <c r="E26" s="286"/>
      <c r="F26" s="286"/>
      <c r="G26" s="286"/>
      <c r="H26" s="286"/>
      <c r="I26" s="209" t="s">
        <v>12</v>
      </c>
      <c r="J26" s="210"/>
      <c r="K26" s="210"/>
      <c r="L26" s="210"/>
      <c r="M26" s="231">
        <f>M25/M4-0.04</f>
        <v>54.323067499384614</v>
      </c>
      <c r="N26" s="286"/>
      <c r="O26" s="286"/>
      <c r="P26" s="286"/>
      <c r="Q26" s="232" t="s">
        <v>13</v>
      </c>
      <c r="R26" s="233"/>
      <c r="S26" s="233"/>
      <c r="T26" s="233"/>
      <c r="U26" s="234">
        <f>U25*0.25</f>
        <v>10.160747589549356</v>
      </c>
      <c r="V26" s="417"/>
    </row>
    <row r="27" spans="2:22" ht="15" thickBot="1">
      <c r="B27" s="286"/>
      <c r="C27" s="286"/>
      <c r="D27" s="286"/>
      <c r="E27" s="286"/>
      <c r="F27" s="286"/>
      <c r="G27" s="286"/>
      <c r="H27" s="286"/>
      <c r="I27" s="232" t="s">
        <v>13</v>
      </c>
      <c r="J27" s="233"/>
      <c r="K27" s="233"/>
      <c r="L27" s="233"/>
      <c r="M27" s="234">
        <f>M26*0.25</f>
        <v>13.580766874846153</v>
      </c>
      <c r="N27" s="302"/>
      <c r="O27" s="303"/>
      <c r="P27" s="286"/>
    </row>
    <row r="28" spans="2:22" ht="15" thickBot="1">
      <c r="B28" s="286"/>
      <c r="C28" s="286"/>
      <c r="D28" s="286"/>
      <c r="E28" s="286"/>
      <c r="F28" s="286"/>
      <c r="G28" s="286"/>
      <c r="H28" s="286"/>
      <c r="I28" s="185"/>
      <c r="J28" s="185"/>
      <c r="K28" s="185"/>
      <c r="L28" s="185"/>
      <c r="M28" s="185"/>
      <c r="N28" s="302"/>
      <c r="O28" s="286"/>
      <c r="P28" s="286"/>
    </row>
    <row r="29" spans="2:22" ht="15" thickBot="1">
      <c r="B29" s="44"/>
      <c r="C29" s="286"/>
      <c r="D29" s="302"/>
      <c r="E29" s="286"/>
      <c r="F29" s="286"/>
      <c r="G29" s="286"/>
      <c r="H29" s="286"/>
      <c r="I29" s="549" t="s">
        <v>112</v>
      </c>
      <c r="J29" s="550"/>
      <c r="K29" s="550"/>
      <c r="L29" s="550"/>
      <c r="M29" s="551"/>
      <c r="N29" s="302"/>
      <c r="O29" s="286"/>
      <c r="P29" s="286"/>
    </row>
    <row r="30" spans="2:22">
      <c r="B30" s="44"/>
      <c r="C30" s="286"/>
      <c r="D30" s="302"/>
      <c r="E30" s="286"/>
      <c r="F30" s="286"/>
      <c r="G30" s="286"/>
      <c r="H30" s="286"/>
      <c r="I30" s="235" t="s">
        <v>120</v>
      </c>
      <c r="J30" s="236">
        <v>10</v>
      </c>
      <c r="K30" s="237" t="s">
        <v>114</v>
      </c>
      <c r="L30" s="237">
        <v>4</v>
      </c>
      <c r="M30" s="238">
        <v>10314</v>
      </c>
      <c r="N30" s="302"/>
      <c r="O30" s="286"/>
      <c r="P30" s="286"/>
      <c r="Q30" s="418"/>
      <c r="R30" s="419"/>
      <c r="S30" s="420"/>
      <c r="T30" s="419"/>
    </row>
    <row r="31" spans="2:22">
      <c r="B31" s="44"/>
      <c r="C31" s="286"/>
      <c r="D31" s="302"/>
      <c r="E31" s="286"/>
      <c r="F31" s="286"/>
      <c r="G31" s="286"/>
      <c r="H31" s="286"/>
      <c r="I31" s="192" t="s">
        <v>1</v>
      </c>
      <c r="J31" s="194" t="s">
        <v>115</v>
      </c>
      <c r="K31" s="194" t="s">
        <v>2</v>
      </c>
      <c r="L31" s="194" t="s">
        <v>3</v>
      </c>
      <c r="M31" s="195" t="s">
        <v>4</v>
      </c>
      <c r="N31" s="302"/>
      <c r="O31" s="286"/>
      <c r="P31" s="286"/>
      <c r="Q31" s="421"/>
      <c r="R31" s="421"/>
      <c r="S31" s="422"/>
      <c r="T31" s="423"/>
    </row>
    <row r="32" spans="2:22">
      <c r="B32" s="43"/>
      <c r="C32" s="286"/>
      <c r="D32" s="302"/>
      <c r="E32" s="286"/>
      <c r="F32" s="286"/>
      <c r="G32" s="286"/>
      <c r="H32" s="286"/>
      <c r="I32" s="239" t="str">
        <f>B5</f>
        <v>Management</v>
      </c>
      <c r="J32" s="199">
        <v>77.328424472822888</v>
      </c>
      <c r="K32" s="198">
        <f>D5</f>
        <v>59419</v>
      </c>
      <c r="L32" s="199">
        <v>0.13</v>
      </c>
      <c r="M32" s="200">
        <f>K32*L32</f>
        <v>7724.47</v>
      </c>
      <c r="N32" s="302"/>
      <c r="O32" s="286"/>
      <c r="P32" s="286"/>
      <c r="Q32" s="424"/>
      <c r="R32" s="425"/>
      <c r="S32" s="426"/>
      <c r="T32" s="427"/>
    </row>
    <row r="33" spans="2:20">
      <c r="B33" s="44"/>
      <c r="C33" s="286"/>
      <c r="D33" s="302"/>
      <c r="E33" s="286"/>
      <c r="F33" s="286"/>
      <c r="G33" s="286"/>
      <c r="H33" s="286"/>
      <c r="I33" s="240" t="s">
        <v>5</v>
      </c>
      <c r="J33" s="199">
        <v>4.1847512268877489</v>
      </c>
      <c r="K33" s="284">
        <f>D8</f>
        <v>32198.400000000001</v>
      </c>
      <c r="L33" s="199">
        <v>2.46</v>
      </c>
      <c r="M33" s="200">
        <f>K33*L33</f>
        <v>79208.063999999998</v>
      </c>
      <c r="N33" s="302"/>
      <c r="O33" s="286"/>
      <c r="P33" s="286"/>
      <c r="Q33" s="424"/>
      <c r="R33" s="425"/>
      <c r="S33" s="428"/>
      <c r="T33" s="429"/>
    </row>
    <row r="34" spans="2:20">
      <c r="B34" s="304"/>
      <c r="C34" s="304"/>
      <c r="D34" s="304"/>
      <c r="E34" s="304"/>
      <c r="F34" s="304"/>
      <c r="G34" s="286"/>
      <c r="H34" s="286"/>
      <c r="I34" s="241" t="s">
        <v>155</v>
      </c>
      <c r="J34" s="242">
        <v>121.96422275526065</v>
      </c>
      <c r="K34" s="250">
        <f>D8</f>
        <v>32198.400000000001</v>
      </c>
      <c r="L34" s="242">
        <v>0.08</v>
      </c>
      <c r="M34" s="217">
        <f>K34*L34</f>
        <v>2575.8720000000003</v>
      </c>
      <c r="N34" s="302"/>
      <c r="O34" s="286"/>
      <c r="P34" s="286"/>
      <c r="Q34" s="424"/>
      <c r="R34" s="424"/>
      <c r="S34" s="425"/>
      <c r="T34" s="429"/>
    </row>
    <row r="35" spans="2:20" ht="13.8" customHeight="1">
      <c r="B35" s="304"/>
      <c r="C35" s="304"/>
      <c r="D35" s="304"/>
      <c r="E35" s="304"/>
      <c r="F35" s="304"/>
      <c r="G35" s="286"/>
      <c r="H35" s="286"/>
      <c r="I35" s="536" t="s">
        <v>6</v>
      </c>
      <c r="J35" s="537"/>
      <c r="K35" s="538"/>
      <c r="L35" s="539">
        <f>SUM(L32:L34)</f>
        <v>2.67</v>
      </c>
      <c r="M35" s="540">
        <f>SUM(M32:M34)</f>
        <v>89508.406000000003</v>
      </c>
      <c r="N35" s="302"/>
      <c r="O35" s="286"/>
      <c r="P35" s="286"/>
      <c r="Q35" s="424"/>
      <c r="R35" s="424"/>
      <c r="S35" s="425"/>
      <c r="T35" s="429"/>
    </row>
    <row r="36" spans="2:20">
      <c r="B36" s="304"/>
      <c r="C36" s="304"/>
      <c r="D36" s="304"/>
      <c r="E36" s="304"/>
      <c r="F36" s="304"/>
      <c r="G36" s="286"/>
      <c r="H36" s="286"/>
      <c r="I36" s="209" t="s">
        <v>126</v>
      </c>
      <c r="J36" s="210"/>
      <c r="K36" s="247">
        <f>D19</f>
        <v>3.7000000000000002E-3</v>
      </c>
      <c r="L36" s="210"/>
      <c r="M36" s="200">
        <f>K36*M35</f>
        <v>331.1811022</v>
      </c>
      <c r="N36" s="302"/>
      <c r="O36" s="286"/>
      <c r="P36" s="286"/>
      <c r="Q36" s="418"/>
      <c r="R36" s="418"/>
      <c r="S36" s="418"/>
      <c r="T36" s="418"/>
    </row>
    <row r="37" spans="2:20">
      <c r="B37" s="304"/>
      <c r="C37" s="304"/>
      <c r="D37" s="304"/>
      <c r="E37" s="304"/>
      <c r="F37" s="304"/>
      <c r="G37" s="286"/>
      <c r="H37" s="286"/>
      <c r="I37" s="214" t="s">
        <v>7</v>
      </c>
      <c r="J37" s="215"/>
      <c r="K37" s="216">
        <f>D11</f>
        <v>0.224</v>
      </c>
      <c r="L37" s="215"/>
      <c r="M37" s="217">
        <f>K37*M35</f>
        <v>20049.882944000001</v>
      </c>
      <c r="N37" s="302"/>
      <c r="O37" s="286"/>
      <c r="P37" s="286"/>
      <c r="Q37" s="418"/>
      <c r="R37" s="418"/>
      <c r="S37" s="418"/>
      <c r="T37" s="418"/>
    </row>
    <row r="38" spans="2:20" ht="15" thickBot="1">
      <c r="B38" s="286"/>
      <c r="C38" s="286"/>
      <c r="D38" s="286"/>
      <c r="E38" s="286"/>
      <c r="F38" s="286"/>
      <c r="G38" s="304"/>
      <c r="H38" s="286"/>
      <c r="I38" s="243" t="s">
        <v>8</v>
      </c>
      <c r="J38" s="244"/>
      <c r="K38" s="282"/>
      <c r="L38" s="227"/>
      <c r="M38" s="228">
        <f>SUM(M35:M37)</f>
        <v>109889.4700462</v>
      </c>
      <c r="N38" s="302"/>
      <c r="O38" s="286"/>
      <c r="P38" s="286"/>
      <c r="Q38" s="418"/>
      <c r="R38" s="419"/>
      <c r="S38" s="420"/>
      <c r="T38" s="419"/>
    </row>
    <row r="39" spans="2:20" ht="15" thickTop="1">
      <c r="B39" s="286"/>
      <c r="C39" s="286"/>
      <c r="D39" s="286"/>
      <c r="E39" s="286"/>
      <c r="F39" s="286"/>
      <c r="G39" s="304"/>
      <c r="H39" s="286"/>
      <c r="I39" s="209"/>
      <c r="J39" s="210"/>
      <c r="K39" s="189" t="s">
        <v>297</v>
      </c>
      <c r="L39" s="446" t="s">
        <v>299</v>
      </c>
      <c r="M39" s="213"/>
      <c r="N39" s="302"/>
      <c r="O39" s="286"/>
      <c r="P39" s="286"/>
      <c r="Q39" s="421"/>
      <c r="R39" s="421"/>
      <c r="S39" s="422"/>
      <c r="T39" s="423"/>
    </row>
    <row r="40" spans="2:20">
      <c r="B40" s="286"/>
      <c r="C40" s="286"/>
      <c r="D40" s="286"/>
      <c r="E40" s="286"/>
      <c r="F40" s="286"/>
      <c r="G40" s="304"/>
      <c r="H40" s="286"/>
      <c r="I40" s="44" t="s">
        <v>186</v>
      </c>
      <c r="J40" s="245"/>
      <c r="K40" s="257">
        <f>D13</f>
        <v>6332.1725318681101</v>
      </c>
      <c r="L40" s="246"/>
      <c r="M40" s="200">
        <f>K40*L35</f>
        <v>16906.900660087853</v>
      </c>
      <c r="N40" s="302"/>
      <c r="O40" s="286"/>
      <c r="P40" s="286"/>
      <c r="Q40" s="424"/>
      <c r="R40" s="425"/>
      <c r="S40" s="426"/>
      <c r="T40" s="427"/>
    </row>
    <row r="41" spans="2:20">
      <c r="B41" s="286"/>
      <c r="C41" s="286"/>
      <c r="D41" s="286"/>
      <c r="E41" s="286"/>
      <c r="F41" s="286"/>
      <c r="G41" s="304"/>
      <c r="H41" s="286"/>
      <c r="I41" s="44" t="s">
        <v>187</v>
      </c>
      <c r="J41" s="224"/>
      <c r="K41" s="257">
        <f>K16</f>
        <v>149.05139436967258</v>
      </c>
      <c r="L41" s="246"/>
      <c r="M41" s="200">
        <f>K41*L35</f>
        <v>397.96722296702575</v>
      </c>
      <c r="N41" s="302"/>
      <c r="O41" s="286"/>
      <c r="P41" s="286"/>
      <c r="Q41" s="424"/>
      <c r="R41" s="425"/>
      <c r="S41" s="426"/>
      <c r="T41" s="427"/>
    </row>
    <row r="42" spans="2:20">
      <c r="B42" s="286"/>
      <c r="C42" s="286"/>
      <c r="D42" s="286"/>
      <c r="E42" s="286"/>
      <c r="F42" s="286"/>
      <c r="G42" s="286"/>
      <c r="H42" s="286"/>
      <c r="I42" s="44" t="s">
        <v>188</v>
      </c>
      <c r="J42" s="224"/>
      <c r="K42" s="257"/>
      <c r="L42" s="246">
        <f>D15</f>
        <v>0.99437011948023779</v>
      </c>
      <c r="M42" s="200">
        <f>L42*M30</f>
        <v>10255.933412319173</v>
      </c>
      <c r="N42" s="302"/>
      <c r="O42" s="286"/>
      <c r="P42" s="286"/>
      <c r="Q42" s="424"/>
      <c r="R42" s="425"/>
      <c r="S42" s="428"/>
      <c r="T42" s="429"/>
    </row>
    <row r="43" spans="2:20">
      <c r="B43" s="286"/>
      <c r="C43" s="286"/>
      <c r="D43" s="286"/>
      <c r="E43" s="286"/>
      <c r="F43" s="286"/>
      <c r="G43" s="286"/>
      <c r="H43" s="286"/>
      <c r="I43" s="43" t="s">
        <v>189</v>
      </c>
      <c r="J43" s="210"/>
      <c r="L43" s="430">
        <f>L18</f>
        <v>0.9147208838042975</v>
      </c>
      <c r="M43" s="200">
        <f>(L43*$M$30)/4</f>
        <v>2358.6077988893812</v>
      </c>
      <c r="N43" s="302"/>
      <c r="O43" s="286"/>
      <c r="P43" s="286"/>
      <c r="Q43" s="424"/>
      <c r="R43" s="424"/>
      <c r="S43" s="425"/>
      <c r="T43" s="429"/>
    </row>
    <row r="44" spans="2:20" ht="15" thickBot="1">
      <c r="B44" s="286"/>
      <c r="C44" s="286"/>
      <c r="D44" s="286"/>
      <c r="E44" s="286"/>
      <c r="F44" s="286"/>
      <c r="G44" s="286"/>
      <c r="H44" s="286"/>
      <c r="I44" s="44" t="s">
        <v>190</v>
      </c>
      <c r="J44" s="210"/>
      <c r="L44" s="430">
        <f>L19</f>
        <v>0.19603787534441655</v>
      </c>
      <c r="M44" s="208">
        <f>(L44*$M$30)/4</f>
        <v>505.48366157557808</v>
      </c>
      <c r="N44" s="302"/>
      <c r="O44" s="286"/>
      <c r="P44" s="286"/>
      <c r="Q44" s="424"/>
      <c r="R44" s="424"/>
      <c r="S44" s="425"/>
      <c r="T44" s="429"/>
    </row>
    <row r="45" spans="2:20">
      <c r="B45" s="286"/>
      <c r="C45" s="286"/>
      <c r="D45" s="286"/>
      <c r="E45" s="286"/>
      <c r="F45" s="286"/>
      <c r="G45" s="286"/>
      <c r="H45" s="286"/>
      <c r="I45" s="44"/>
      <c r="J45" s="210"/>
      <c r="K45" s="257"/>
      <c r="L45" s="201"/>
      <c r="M45" s="200">
        <f>SUM(M40:M44)</f>
        <v>30424.89275583901</v>
      </c>
      <c r="N45" s="302"/>
      <c r="O45" s="286"/>
      <c r="P45" s="286"/>
      <c r="Q45" s="418"/>
      <c r="R45" s="418"/>
      <c r="S45" s="418"/>
      <c r="T45" s="418"/>
    </row>
    <row r="46" spans="2:20">
      <c r="B46" s="286"/>
      <c r="C46" s="286"/>
      <c r="D46" s="286"/>
      <c r="E46" s="286"/>
      <c r="F46" s="286"/>
      <c r="G46" s="286"/>
      <c r="H46" s="286"/>
      <c r="I46" s="209"/>
      <c r="J46" s="210"/>
      <c r="K46" s="201"/>
      <c r="L46" s="210"/>
      <c r="M46" s="213"/>
      <c r="N46" s="302"/>
      <c r="O46" s="286"/>
      <c r="P46" s="286"/>
      <c r="Q46" s="418"/>
      <c r="R46" s="418"/>
      <c r="S46" s="418"/>
      <c r="T46" s="418"/>
    </row>
    <row r="47" spans="2:20" ht="15" thickBot="1">
      <c r="B47" s="286"/>
      <c r="C47" s="286"/>
      <c r="D47" s="286"/>
      <c r="E47" s="286"/>
      <c r="F47" s="286"/>
      <c r="G47" s="286"/>
      <c r="H47" s="286"/>
      <c r="I47" s="226" t="s">
        <v>9</v>
      </c>
      <c r="J47" s="227"/>
      <c r="K47" s="282"/>
      <c r="L47" s="227"/>
      <c r="M47" s="228">
        <f>M45+M38</f>
        <v>140314.36280203902</v>
      </c>
      <c r="N47" s="302"/>
      <c r="O47" s="286"/>
      <c r="P47" s="286"/>
    </row>
    <row r="48" spans="2:20" ht="15" thickTop="1">
      <c r="B48" s="286"/>
      <c r="C48" s="286"/>
      <c r="D48" s="286"/>
      <c r="E48" s="286"/>
      <c r="F48" s="286"/>
      <c r="G48" s="286"/>
      <c r="H48" s="286"/>
      <c r="I48" s="209" t="s">
        <v>10</v>
      </c>
      <c r="J48" s="210"/>
      <c r="K48" s="247">
        <f>D18</f>
        <v>0.12</v>
      </c>
      <c r="L48" s="210"/>
      <c r="M48" s="200">
        <f>K48*M47</f>
        <v>16837.723536244681</v>
      </c>
      <c r="N48" s="302"/>
      <c r="O48" s="286"/>
      <c r="P48" s="286"/>
    </row>
    <row r="49" spans="2:16" ht="15" thickBot="1">
      <c r="B49" s="286"/>
      <c r="C49" s="286"/>
      <c r="D49" s="286"/>
      <c r="E49" s="286"/>
      <c r="F49" s="286"/>
      <c r="G49" s="286"/>
      <c r="H49" s="286"/>
      <c r="I49" s="281" t="s">
        <v>246</v>
      </c>
      <c r="J49" s="279"/>
      <c r="K49" s="283">
        <f>D20</f>
        <v>1.9959404600811814E-2</v>
      </c>
      <c r="L49" s="301"/>
      <c r="M49" s="280">
        <f>(M47+M48-M35)*K49</f>
        <v>1350.1275845597831</v>
      </c>
      <c r="N49" s="302"/>
      <c r="O49" s="286"/>
      <c r="P49" s="286"/>
    </row>
    <row r="50" spans="2:16" ht="15" thickTop="1">
      <c r="B50" s="286"/>
      <c r="C50" s="286"/>
      <c r="D50" s="286"/>
      <c r="E50" s="286"/>
      <c r="F50" s="286"/>
      <c r="G50" s="286"/>
      <c r="H50" s="286"/>
      <c r="I50" s="187" t="s">
        <v>11</v>
      </c>
      <c r="J50" s="188"/>
      <c r="K50" s="229"/>
      <c r="L50" s="210"/>
      <c r="M50" s="230">
        <f>SUM(M47:M49)</f>
        <v>158502.21392284348</v>
      </c>
      <c r="N50" s="302"/>
      <c r="O50" s="286"/>
      <c r="P50" s="286"/>
    </row>
    <row r="51" spans="2:16" ht="15" thickBot="1">
      <c r="B51" s="247"/>
      <c r="C51" s="247"/>
      <c r="D51" s="247"/>
      <c r="E51" s="247"/>
      <c r="F51" s="247"/>
      <c r="G51" s="286"/>
      <c r="H51" s="286"/>
      <c r="I51" s="209" t="s">
        <v>12</v>
      </c>
      <c r="J51" s="210"/>
      <c r="K51" s="210"/>
      <c r="L51" s="210"/>
      <c r="M51" s="231">
        <f>M50/M30-0.05</f>
        <v>15.317676354745343</v>
      </c>
      <c r="N51" s="302"/>
      <c r="O51" s="286"/>
      <c r="P51" s="286"/>
    </row>
    <row r="52" spans="2:16" ht="15" thickBot="1">
      <c r="B52" s="247"/>
      <c r="C52" s="247"/>
      <c r="D52" s="247"/>
      <c r="E52" s="247"/>
      <c r="F52" s="247"/>
      <c r="G52" s="248"/>
      <c r="H52" s="286"/>
      <c r="I52" s="232" t="s">
        <v>13</v>
      </c>
      <c r="J52" s="233"/>
      <c r="K52" s="233"/>
      <c r="L52" s="233"/>
      <c r="M52" s="234">
        <f>M51*0.25</f>
        <v>3.8294190886863357</v>
      </c>
      <c r="N52" s="302"/>
      <c r="O52" s="303"/>
      <c r="P52" s="286"/>
    </row>
    <row r="53" spans="2:16" ht="15" thickBot="1">
      <c r="B53" s="247"/>
      <c r="C53" s="247"/>
      <c r="D53" s="247"/>
      <c r="E53" s="247"/>
      <c r="F53" s="247"/>
      <c r="G53" s="248"/>
      <c r="H53" s="286"/>
      <c r="I53" s="286"/>
      <c r="J53" s="286"/>
      <c r="K53" s="286"/>
      <c r="L53" s="286"/>
      <c r="M53" s="286"/>
      <c r="N53" s="302"/>
      <c r="O53" s="286"/>
      <c r="P53" s="286"/>
    </row>
    <row r="54" spans="2:16" ht="15" thickBot="1">
      <c r="B54" s="248"/>
      <c r="C54" s="248"/>
      <c r="D54" s="248"/>
      <c r="E54" s="248"/>
      <c r="F54" s="248"/>
      <c r="G54" s="248"/>
      <c r="H54" s="286"/>
      <c r="I54" s="549" t="s">
        <v>116</v>
      </c>
      <c r="J54" s="550"/>
      <c r="K54" s="550"/>
      <c r="L54" s="550"/>
      <c r="M54" s="551"/>
      <c r="N54" s="302"/>
      <c r="O54" s="286"/>
      <c r="P54" s="286"/>
    </row>
    <row r="55" spans="2:16">
      <c r="B55" s="248"/>
      <c r="C55" s="248"/>
      <c r="D55" s="248"/>
      <c r="E55" s="248"/>
      <c r="F55" s="248"/>
      <c r="G55" s="248"/>
      <c r="H55" s="286"/>
      <c r="I55" s="235" t="s">
        <v>113</v>
      </c>
      <c r="J55" s="236">
        <v>10</v>
      </c>
      <c r="K55" s="237" t="s">
        <v>114</v>
      </c>
      <c r="L55" s="237">
        <v>4</v>
      </c>
      <c r="M55" s="238">
        <f>J55*L55*250</f>
        <v>10000</v>
      </c>
      <c r="N55" s="302"/>
      <c r="O55" s="286"/>
      <c r="P55" s="286"/>
    </row>
    <row r="56" spans="2:16">
      <c r="B56" s="248"/>
      <c r="C56" s="248"/>
      <c r="D56" s="248"/>
      <c r="E56" s="248"/>
      <c r="F56" s="248"/>
      <c r="G56" s="248"/>
      <c r="H56" s="286"/>
      <c r="I56" s="192" t="s">
        <v>1</v>
      </c>
      <c r="J56" s="194" t="s">
        <v>115</v>
      </c>
      <c r="K56" s="194" t="s">
        <v>2</v>
      </c>
      <c r="L56" s="194" t="s">
        <v>3</v>
      </c>
      <c r="M56" s="195" t="s">
        <v>4</v>
      </c>
      <c r="N56" s="302"/>
      <c r="O56" s="286"/>
      <c r="P56" s="286"/>
    </row>
    <row r="57" spans="2:16">
      <c r="B57" s="248"/>
      <c r="C57" s="248"/>
      <c r="D57" s="248"/>
      <c r="E57" s="248"/>
      <c r="F57" s="248"/>
      <c r="G57" s="249"/>
      <c r="H57" s="286"/>
      <c r="I57" s="239" t="str">
        <f>B5</f>
        <v>Management</v>
      </c>
      <c r="J57" s="199">
        <v>77.328424472822888</v>
      </c>
      <c r="K57" s="198">
        <f>D5</f>
        <v>59419</v>
      </c>
      <c r="L57" s="199">
        <v>0.13</v>
      </c>
      <c r="M57" s="200">
        <f>K57*L57</f>
        <v>7724.47</v>
      </c>
      <c r="N57" s="302"/>
      <c r="O57" s="286"/>
      <c r="P57" s="286"/>
    </row>
    <row r="58" spans="2:16">
      <c r="B58" s="248"/>
      <c r="C58" s="248"/>
      <c r="D58" s="248"/>
      <c r="E58" s="248"/>
      <c r="F58" s="248"/>
      <c r="G58" s="248"/>
      <c r="H58" s="286"/>
      <c r="I58" s="240" t="s">
        <v>5</v>
      </c>
      <c r="J58" s="552">
        <v>53</v>
      </c>
      <c r="K58" s="198">
        <f>D8</f>
        <v>32198.400000000001</v>
      </c>
      <c r="L58" s="199">
        <v>3.33</v>
      </c>
      <c r="M58" s="200">
        <f>K58*L58</f>
        <v>107220.67200000001</v>
      </c>
      <c r="N58" s="302"/>
      <c r="O58" s="286"/>
      <c r="P58" s="286"/>
    </row>
    <row r="59" spans="2:16">
      <c r="B59" s="248"/>
      <c r="C59" s="248"/>
      <c r="D59" s="248"/>
      <c r="E59" s="248"/>
      <c r="F59" s="248"/>
      <c r="G59" s="248"/>
      <c r="H59" s="286"/>
      <c r="I59" s="240" t="str">
        <f>B9</f>
        <v>Case Manager</v>
      </c>
      <c r="J59" s="552"/>
      <c r="K59" s="198">
        <f>D9</f>
        <v>52665.599999999999</v>
      </c>
      <c r="L59" s="199">
        <v>0.2</v>
      </c>
      <c r="M59" s="200">
        <f>K59*L59</f>
        <v>10533.12</v>
      </c>
      <c r="N59" s="302"/>
      <c r="O59" s="286"/>
      <c r="P59" s="286"/>
    </row>
    <row r="60" spans="2:16">
      <c r="B60" s="248"/>
      <c r="C60" s="248"/>
      <c r="D60" s="248"/>
      <c r="E60" s="248"/>
      <c r="F60" s="248"/>
      <c r="G60" s="248"/>
      <c r="H60" s="286"/>
      <c r="I60" s="241" t="s">
        <v>155</v>
      </c>
      <c r="J60" s="242">
        <v>121.96422275526065</v>
      </c>
      <c r="K60" s="250">
        <f>D8</f>
        <v>32198.400000000001</v>
      </c>
      <c r="L60" s="242">
        <v>0.08</v>
      </c>
      <c r="M60" s="217">
        <f t="shared" ref="M60" si="3">K60*L60</f>
        <v>2575.8720000000003</v>
      </c>
      <c r="N60" s="302"/>
      <c r="O60" s="286"/>
      <c r="P60" s="286"/>
    </row>
    <row r="61" spans="2:16">
      <c r="B61" s="248"/>
      <c r="C61" s="248"/>
      <c r="D61" s="248"/>
      <c r="E61" s="248"/>
      <c r="F61" s="248"/>
      <c r="G61" s="248"/>
      <c r="H61" s="286"/>
      <c r="I61" s="536" t="s">
        <v>6</v>
      </c>
      <c r="J61" s="537"/>
      <c r="K61" s="538"/>
      <c r="L61" s="539">
        <f>SUM(L57:L60)</f>
        <v>3.74</v>
      </c>
      <c r="M61" s="540">
        <f>SUM(M57:M60)</f>
        <v>128054.13400000001</v>
      </c>
      <c r="N61" s="302"/>
      <c r="O61" s="286"/>
      <c r="P61" s="286"/>
    </row>
    <row r="62" spans="2:16">
      <c r="B62" s="248"/>
      <c r="C62" s="248"/>
      <c r="D62" s="248"/>
      <c r="E62" s="248"/>
      <c r="F62" s="248"/>
      <c r="G62" s="248"/>
      <c r="H62" s="286"/>
      <c r="I62" s="209" t="s">
        <v>126</v>
      </c>
      <c r="J62" s="210"/>
      <c r="K62" s="247">
        <f>D19</f>
        <v>3.7000000000000002E-3</v>
      </c>
      <c r="L62" s="210"/>
      <c r="M62" s="200">
        <f>M61*K62</f>
        <v>473.80029580000001</v>
      </c>
      <c r="N62" s="302"/>
      <c r="O62" s="286"/>
      <c r="P62" s="286"/>
    </row>
    <row r="63" spans="2:16">
      <c r="B63" s="248"/>
      <c r="C63" s="248"/>
      <c r="D63" s="248"/>
      <c r="E63" s="248"/>
      <c r="F63" s="248"/>
      <c r="G63" s="248"/>
      <c r="H63" s="286"/>
      <c r="I63" s="214" t="s">
        <v>7</v>
      </c>
      <c r="J63" s="215"/>
      <c r="K63" s="216">
        <f>D11</f>
        <v>0.224</v>
      </c>
      <c r="L63" s="215"/>
      <c r="M63" s="217">
        <f>K63*M61</f>
        <v>28684.126016000002</v>
      </c>
      <c r="N63" s="302"/>
      <c r="O63" s="286"/>
      <c r="P63" s="286"/>
    </row>
    <row r="64" spans="2:16" ht="15" thickBot="1">
      <c r="B64" s="248"/>
      <c r="C64" s="248"/>
      <c r="D64" s="248"/>
      <c r="E64" s="248"/>
      <c r="F64" s="248"/>
      <c r="G64" s="248"/>
      <c r="H64" s="286"/>
      <c r="I64" s="243" t="s">
        <v>8</v>
      </c>
      <c r="J64" s="244"/>
      <c r="K64" s="282"/>
      <c r="L64" s="227"/>
      <c r="M64" s="228">
        <f>SUM(M61:M63)</f>
        <v>157212.06031180001</v>
      </c>
      <c r="N64" s="302"/>
      <c r="O64" s="286"/>
      <c r="P64" s="286"/>
    </row>
    <row r="65" spans="2:16" ht="15" thickTop="1">
      <c r="B65" s="248"/>
      <c r="C65" s="248"/>
      <c r="D65" s="248"/>
      <c r="E65" s="248"/>
      <c r="F65" s="248"/>
      <c r="G65" s="248"/>
      <c r="H65" s="286"/>
      <c r="I65" s="209"/>
      <c r="J65" s="210"/>
      <c r="K65" s="189" t="s">
        <v>297</v>
      </c>
      <c r="L65" s="446" t="s">
        <v>299</v>
      </c>
      <c r="M65" s="213"/>
      <c r="N65" s="302"/>
      <c r="O65" s="286"/>
      <c r="P65" s="286"/>
    </row>
    <row r="66" spans="2:16">
      <c r="B66" s="248"/>
      <c r="C66" s="248"/>
      <c r="D66" s="248"/>
      <c r="E66" s="248"/>
      <c r="F66" s="248"/>
      <c r="G66" s="248"/>
      <c r="H66" s="286"/>
      <c r="I66" s="209" t="s">
        <v>341</v>
      </c>
      <c r="J66" s="210">
        <v>0.3</v>
      </c>
      <c r="K66" s="189"/>
      <c r="L66" s="547">
        <v>82.07</v>
      </c>
      <c r="M66" s="258">
        <f>J66*J55*L66*50</f>
        <v>12310.499999999998</v>
      </c>
      <c r="N66" s="302"/>
      <c r="O66" s="286"/>
      <c r="P66" s="286"/>
    </row>
    <row r="67" spans="2:16">
      <c r="B67" s="248"/>
      <c r="C67" s="248"/>
      <c r="D67" s="248"/>
      <c r="E67" s="248"/>
      <c r="F67" s="248"/>
      <c r="G67" s="248"/>
      <c r="H67" s="286"/>
      <c r="I67" s="44" t="s">
        <v>186</v>
      </c>
      <c r="J67" s="251"/>
      <c r="K67" s="257">
        <f>K40</f>
        <v>6332.1725318681101</v>
      </c>
      <c r="L67" s="246"/>
      <c r="M67" s="252">
        <f>K67*L61</f>
        <v>23682.325269186735</v>
      </c>
      <c r="N67" s="302"/>
      <c r="O67" s="286"/>
      <c r="P67" s="286"/>
    </row>
    <row r="68" spans="2:16">
      <c r="B68" s="248"/>
      <c r="C68" s="248"/>
      <c r="D68" s="248"/>
      <c r="E68" s="248"/>
      <c r="F68" s="248"/>
      <c r="G68" s="248"/>
      <c r="H68" s="286"/>
      <c r="I68" s="44" t="s">
        <v>187</v>
      </c>
      <c r="J68" s="224"/>
      <c r="K68" s="257">
        <f>K41</f>
        <v>149.05139436967258</v>
      </c>
      <c r="L68" s="198"/>
      <c r="M68" s="252">
        <f>K68*L61</f>
        <v>557.45221494257544</v>
      </c>
      <c r="N68" s="302"/>
      <c r="O68" s="286"/>
      <c r="P68" s="286"/>
    </row>
    <row r="69" spans="2:16">
      <c r="B69" s="248"/>
      <c r="C69" s="248"/>
      <c r="D69" s="248"/>
      <c r="E69" s="248"/>
      <c r="F69" s="248"/>
      <c r="G69" s="248"/>
      <c r="H69" s="286"/>
      <c r="I69" s="44" t="s">
        <v>188</v>
      </c>
      <c r="J69" s="224"/>
      <c r="K69" s="257"/>
      <c r="L69" s="246">
        <f>D15</f>
        <v>0.99437011948023779</v>
      </c>
      <c r="M69" s="252">
        <f>L69*M55</f>
        <v>9943.7011948023774</v>
      </c>
      <c r="N69" s="302"/>
      <c r="O69" s="286"/>
      <c r="P69" s="286"/>
    </row>
    <row r="70" spans="2:16">
      <c r="B70" s="248"/>
      <c r="C70" s="248"/>
      <c r="D70" s="248"/>
      <c r="E70" s="248"/>
      <c r="F70" s="248"/>
      <c r="G70" s="248"/>
      <c r="H70" s="286"/>
      <c r="I70" s="43" t="s">
        <v>189</v>
      </c>
      <c r="J70" s="224"/>
      <c r="L70" s="430">
        <f>L43</f>
        <v>0.9147208838042975</v>
      </c>
      <c r="M70" s="252">
        <f>(L70*$M$55)/4</f>
        <v>2286.802209510744</v>
      </c>
      <c r="N70" s="302"/>
      <c r="O70" s="286"/>
      <c r="P70" s="286"/>
    </row>
    <row r="71" spans="2:16" ht="15" thickBot="1">
      <c r="B71" s="248"/>
      <c r="C71" s="248"/>
      <c r="D71" s="248"/>
      <c r="E71" s="248"/>
      <c r="F71" s="248"/>
      <c r="G71" s="248"/>
      <c r="H71" s="286"/>
      <c r="I71" s="44" t="s">
        <v>190</v>
      </c>
      <c r="J71" s="210"/>
      <c r="L71" s="430">
        <f>L44</f>
        <v>0.19603787534441655</v>
      </c>
      <c r="M71" s="260">
        <f>(L71*$M$55)/4</f>
        <v>490.09468836104139</v>
      </c>
      <c r="N71" s="302"/>
      <c r="O71" s="286"/>
      <c r="P71" s="286"/>
    </row>
    <row r="72" spans="2:16">
      <c r="B72" s="248"/>
      <c r="C72" s="248"/>
      <c r="D72" s="248"/>
      <c r="E72" s="248"/>
      <c r="F72" s="248"/>
      <c r="G72" s="248"/>
      <c r="H72" s="286"/>
      <c r="I72" s="209"/>
      <c r="J72" s="210"/>
      <c r="K72" s="201"/>
      <c r="L72" s="210"/>
      <c r="M72" s="200">
        <f>SUM(M66:M71)</f>
        <v>49270.875576803475</v>
      </c>
      <c r="N72" s="302"/>
      <c r="O72" s="286"/>
      <c r="P72" s="286"/>
    </row>
    <row r="73" spans="2:16" ht="15" thickBot="1">
      <c r="B73" s="248"/>
      <c r="C73" s="248"/>
      <c r="D73" s="248"/>
      <c r="E73" s="248"/>
      <c r="F73" s="248"/>
      <c r="G73" s="248"/>
      <c r="H73" s="286"/>
      <c r="I73" s="226" t="s">
        <v>9</v>
      </c>
      <c r="J73" s="227"/>
      <c r="K73" s="282"/>
      <c r="L73" s="227"/>
      <c r="M73" s="228">
        <f>M72+M64</f>
        <v>206482.9358886035</v>
      </c>
      <c r="N73" s="302"/>
      <c r="O73" s="286"/>
      <c r="P73" s="286"/>
    </row>
    <row r="74" spans="2:16" ht="15" thickTop="1">
      <c r="B74" s="253"/>
      <c r="C74" s="253"/>
      <c r="D74" s="253"/>
      <c r="E74" s="253"/>
      <c r="F74" s="253"/>
      <c r="G74" s="248"/>
      <c r="H74" s="286"/>
      <c r="I74" s="209" t="s">
        <v>10</v>
      </c>
      <c r="J74" s="210"/>
      <c r="K74" s="247">
        <f>D18</f>
        <v>0.12</v>
      </c>
      <c r="L74" s="210"/>
      <c r="M74" s="200">
        <f>K74*M73</f>
        <v>24777.952306632418</v>
      </c>
      <c r="N74" s="302"/>
      <c r="O74" s="286"/>
      <c r="P74" s="286"/>
    </row>
    <row r="75" spans="2:16" ht="15" thickBot="1">
      <c r="B75" s="248"/>
      <c r="C75" s="248"/>
      <c r="D75" s="248"/>
      <c r="E75" s="248"/>
      <c r="F75" s="248"/>
      <c r="G75" s="248"/>
      <c r="H75" s="286"/>
      <c r="I75" s="281" t="s">
        <v>246</v>
      </c>
      <c r="J75" s="279"/>
      <c r="K75" s="283">
        <f>D20</f>
        <v>1.9959404600811814E-2</v>
      </c>
      <c r="L75" s="301"/>
      <c r="M75" s="280">
        <f>(M73+M74-M61)*K75</f>
        <v>2059.9453645192457</v>
      </c>
      <c r="N75" s="302"/>
      <c r="O75" s="286"/>
      <c r="P75" s="286"/>
    </row>
    <row r="76" spans="2:16" ht="15" thickTop="1">
      <c r="B76" s="305"/>
      <c r="C76" s="305"/>
      <c r="D76" s="305"/>
      <c r="E76" s="305"/>
      <c r="F76" s="305"/>
      <c r="G76" s="248"/>
      <c r="H76" s="286"/>
      <c r="I76" s="187" t="s">
        <v>11</v>
      </c>
      <c r="J76" s="188"/>
      <c r="K76" s="247"/>
      <c r="L76" s="210"/>
      <c r="M76" s="230">
        <f>SUM(M73:M75)</f>
        <v>233320.83355975518</v>
      </c>
      <c r="N76" s="302"/>
      <c r="O76" s="286"/>
      <c r="P76" s="286"/>
    </row>
    <row r="77" spans="2:16" ht="15" thickBot="1">
      <c r="B77" s="286"/>
      <c r="C77" s="286"/>
      <c r="D77" s="286"/>
      <c r="E77" s="286"/>
      <c r="F77" s="286"/>
      <c r="G77" s="253"/>
      <c r="H77" s="286"/>
      <c r="I77" s="209" t="s">
        <v>12</v>
      </c>
      <c r="J77" s="210"/>
      <c r="K77" s="201"/>
      <c r="L77" s="210"/>
      <c r="M77" s="231">
        <f>M76/M55-0.05</f>
        <v>23.282083355975516</v>
      </c>
      <c r="N77" s="302"/>
      <c r="O77" s="286"/>
      <c r="P77" s="286"/>
    </row>
    <row r="78" spans="2:16" ht="15" thickBot="1">
      <c r="B78" s="286"/>
      <c r="C78" s="286"/>
      <c r="D78" s="286"/>
      <c r="E78" s="286"/>
      <c r="F78" s="286"/>
      <c r="G78" s="305"/>
      <c r="I78" s="232" t="s">
        <v>13</v>
      </c>
      <c r="J78" s="233"/>
      <c r="K78" s="207"/>
      <c r="L78" s="233"/>
      <c r="M78" s="234">
        <f>M77*0.25</f>
        <v>5.820520838993879</v>
      </c>
      <c r="N78" s="302"/>
      <c r="O78" s="303"/>
    </row>
    <row r="79" spans="2:16">
      <c r="B79" s="286"/>
      <c r="C79" s="286"/>
      <c r="D79" s="286"/>
      <c r="E79" s="286"/>
      <c r="F79" s="286"/>
      <c r="I79" s="286"/>
      <c r="J79" s="286"/>
      <c r="K79" s="286"/>
      <c r="L79" s="286"/>
      <c r="M79" s="286"/>
      <c r="N79" s="286"/>
      <c r="O79" s="286"/>
    </row>
    <row r="83" spans="2:11">
      <c r="B83" s="418"/>
      <c r="C83" s="418"/>
      <c r="D83" s="418"/>
      <c r="E83" s="418"/>
      <c r="F83" s="418"/>
      <c r="G83" s="418"/>
      <c r="H83" s="418"/>
      <c r="I83" s="418"/>
      <c r="J83" s="418"/>
      <c r="K83" s="418"/>
    </row>
    <row r="84" spans="2:11" hidden="1">
      <c r="B84" s="418"/>
      <c r="C84" s="418"/>
      <c r="D84" s="418"/>
      <c r="E84" s="418"/>
      <c r="F84" s="418"/>
      <c r="G84" s="418"/>
      <c r="H84" s="418"/>
      <c r="I84" s="418"/>
      <c r="J84" s="418"/>
      <c r="K84" s="418"/>
    </row>
    <row r="85" spans="2:11">
      <c r="B85" s="418"/>
      <c r="C85" s="418"/>
      <c r="D85" s="418"/>
      <c r="E85" s="418"/>
      <c r="F85" s="418"/>
      <c r="G85" s="418"/>
      <c r="H85" s="418"/>
      <c r="I85" s="418"/>
      <c r="J85" s="418"/>
      <c r="K85" s="541"/>
    </row>
    <row r="86" spans="2:11">
      <c r="B86" s="542"/>
      <c r="C86" s="543"/>
      <c r="D86" s="543"/>
      <c r="E86" s="544"/>
      <c r="F86" s="544"/>
      <c r="G86" s="418"/>
      <c r="H86" s="418"/>
      <c r="I86" s="418"/>
      <c r="J86" s="418"/>
      <c r="K86" s="418"/>
    </row>
    <row r="87" spans="2:11">
      <c r="B87" s="418"/>
      <c r="C87" s="418"/>
      <c r="D87" s="418"/>
      <c r="E87" s="418"/>
      <c r="F87" s="418"/>
      <c r="G87" s="418"/>
      <c r="H87" s="418"/>
      <c r="I87" s="418"/>
      <c r="J87" s="418"/>
      <c r="K87" s="418"/>
    </row>
    <row r="88" spans="2:11">
      <c r="B88" s="418"/>
      <c r="C88" s="418"/>
      <c r="D88" s="418"/>
      <c r="E88" s="418"/>
      <c r="F88" s="418"/>
      <c r="G88" s="418"/>
      <c r="H88" s="418"/>
      <c r="I88" s="418"/>
      <c r="J88" s="418"/>
      <c r="K88" s="418"/>
    </row>
    <row r="89" spans="2:11">
      <c r="B89" s="418"/>
      <c r="C89" s="418"/>
      <c r="D89" s="418"/>
      <c r="E89" s="418"/>
      <c r="F89" s="418"/>
      <c r="G89" s="418"/>
      <c r="H89" s="418"/>
      <c r="I89" s="418"/>
      <c r="J89" s="418"/>
      <c r="K89" s="418"/>
    </row>
    <row r="90" spans="2:11">
      <c r="B90" s="418"/>
      <c r="C90" s="418"/>
      <c r="D90" s="418"/>
      <c r="E90" s="418"/>
      <c r="F90" s="418"/>
      <c r="G90" s="418"/>
      <c r="H90" s="418"/>
      <c r="I90" s="418"/>
      <c r="J90" s="418"/>
      <c r="K90" s="418"/>
    </row>
    <row r="91" spans="2:11">
      <c r="B91" s="418"/>
      <c r="C91" s="418"/>
      <c r="D91" s="418"/>
      <c r="E91" s="418"/>
      <c r="F91" s="418"/>
      <c r="G91" s="418"/>
      <c r="H91" s="418"/>
      <c r="I91" s="418"/>
      <c r="J91" s="418"/>
      <c r="K91" s="418"/>
    </row>
  </sheetData>
  <mergeCells count="14">
    <mergeCell ref="Q3:U3"/>
    <mergeCell ref="J58:J59"/>
    <mergeCell ref="I54:M54"/>
    <mergeCell ref="I1:M1"/>
    <mergeCell ref="B3:E3"/>
    <mergeCell ref="I3:M3"/>
    <mergeCell ref="B4:C4"/>
    <mergeCell ref="B10:C10"/>
    <mergeCell ref="I29:M29"/>
    <mergeCell ref="E12:F12"/>
    <mergeCell ref="E14:F14"/>
    <mergeCell ref="E15:F15"/>
    <mergeCell ref="E16:F16"/>
    <mergeCell ref="E17:F17"/>
  </mergeCells>
  <pageMargins left="0.7" right="0.7" top="0.75" bottom="0.75" header="0.3" footer="0.3"/>
  <pageSetup fitToHeight="0" orientation="landscape" r:id="rId1"/>
  <rowBreaks count="1" manualBreakCount="1">
    <brk id="27" max="16383" man="1"/>
  </rowBreaks>
  <ignoredErrors>
    <ignoredError sqref="K33 D8 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6" zoomScale="90" zoomScaleNormal="90" workbookViewId="0">
      <selection activeCell="H36" sqref="H36"/>
    </sheetView>
  </sheetViews>
  <sheetFormatPr defaultRowHeight="14.4"/>
  <cols>
    <col min="1" max="1" width="16.44140625" customWidth="1"/>
    <col min="2" max="2" width="16.33203125" style="276" customWidth="1"/>
    <col min="3" max="3" width="13.33203125" style="328" customWidth="1"/>
    <col min="4" max="4" width="33.88671875" style="276" customWidth="1"/>
    <col min="5" max="5" width="1" style="276" customWidth="1"/>
    <col min="6" max="6" width="41.109375" customWidth="1"/>
    <col min="7" max="7" width="1.33203125" customWidth="1"/>
    <col min="8" max="8" width="14.6640625" customWidth="1"/>
    <col min="9" max="9" width="12" bestFit="1" customWidth="1"/>
    <col min="11" max="11" width="8.88671875" customWidth="1"/>
    <col min="14" max="15" width="10" bestFit="1" customWidth="1"/>
    <col min="248" max="248" width="38.44140625" customWidth="1"/>
    <col min="249" max="249" width="16.33203125" customWidth="1"/>
    <col min="250" max="250" width="13.33203125" customWidth="1"/>
    <col min="251" max="251" width="15.109375" bestFit="1" customWidth="1"/>
    <col min="252" max="254" width="15.109375" customWidth="1"/>
    <col min="255" max="255" width="17.6640625" customWidth="1"/>
    <col min="256" max="256" width="17.109375" customWidth="1"/>
    <col min="257" max="257" width="15.109375" customWidth="1"/>
    <col min="258" max="258" width="17.6640625" customWidth="1"/>
    <col min="259" max="259" width="15" bestFit="1" customWidth="1"/>
    <col min="260" max="260" width="22.5546875" customWidth="1"/>
    <col min="261" max="261" width="1" customWidth="1"/>
    <col min="262" max="262" width="28" customWidth="1"/>
    <col min="263" max="263" width="1.33203125" customWidth="1"/>
    <col min="264" max="264" width="14.6640625" customWidth="1"/>
    <col min="265" max="265" width="12" bestFit="1" customWidth="1"/>
    <col min="267" max="267" width="8.88671875" customWidth="1"/>
    <col min="270" max="271" width="10" bestFit="1" customWidth="1"/>
    <col min="504" max="504" width="38.44140625" customWidth="1"/>
    <col min="505" max="505" width="16.33203125" customWidth="1"/>
    <col min="506" max="506" width="13.33203125" customWidth="1"/>
    <col min="507" max="507" width="15.109375" bestFit="1" customWidth="1"/>
    <col min="508" max="510" width="15.109375" customWidth="1"/>
    <col min="511" max="511" width="17.6640625" customWidth="1"/>
    <col min="512" max="512" width="17.109375" customWidth="1"/>
    <col min="513" max="513" width="15.109375" customWidth="1"/>
    <col min="514" max="514" width="17.6640625" customWidth="1"/>
    <col min="515" max="515" width="15" bestFit="1" customWidth="1"/>
    <col min="516" max="516" width="22.5546875" customWidth="1"/>
    <col min="517" max="517" width="1" customWidth="1"/>
    <col min="518" max="518" width="28" customWidth="1"/>
    <col min="519" max="519" width="1.33203125" customWidth="1"/>
    <col min="520" max="520" width="14.6640625" customWidth="1"/>
    <col min="521" max="521" width="12" bestFit="1" customWidth="1"/>
    <col min="523" max="523" width="8.88671875" customWidth="1"/>
    <col min="526" max="527" width="10" bestFit="1" customWidth="1"/>
    <col min="760" max="760" width="38.44140625" customWidth="1"/>
    <col min="761" max="761" width="16.33203125" customWidth="1"/>
    <col min="762" max="762" width="13.33203125" customWidth="1"/>
    <col min="763" max="763" width="15.109375" bestFit="1" customWidth="1"/>
    <col min="764" max="766" width="15.109375" customWidth="1"/>
    <col min="767" max="767" width="17.6640625" customWidth="1"/>
    <col min="768" max="768" width="17.109375" customWidth="1"/>
    <col min="769" max="769" width="15.109375" customWidth="1"/>
    <col min="770" max="770" width="17.6640625" customWidth="1"/>
    <col min="771" max="771" width="15" bestFit="1" customWidth="1"/>
    <col min="772" max="772" width="22.5546875" customWidth="1"/>
    <col min="773" max="773" width="1" customWidth="1"/>
    <col min="774" max="774" width="28" customWidth="1"/>
    <col min="775" max="775" width="1.33203125" customWidth="1"/>
    <col min="776" max="776" width="14.6640625" customWidth="1"/>
    <col min="777" max="777" width="12" bestFit="1" customWidth="1"/>
    <col min="779" max="779" width="8.88671875" customWidth="1"/>
    <col min="782" max="783" width="10" bestFit="1" customWidth="1"/>
    <col min="1016" max="1016" width="38.44140625" customWidth="1"/>
    <col min="1017" max="1017" width="16.33203125" customWidth="1"/>
    <col min="1018" max="1018" width="13.33203125" customWidth="1"/>
    <col min="1019" max="1019" width="15.109375" bestFit="1" customWidth="1"/>
    <col min="1020" max="1022" width="15.109375" customWidth="1"/>
    <col min="1023" max="1023" width="17.6640625" customWidth="1"/>
    <col min="1024" max="1024" width="17.109375" customWidth="1"/>
    <col min="1025" max="1025" width="15.109375" customWidth="1"/>
    <col min="1026" max="1026" width="17.6640625" customWidth="1"/>
    <col min="1027" max="1027" width="15" bestFit="1" customWidth="1"/>
    <col min="1028" max="1028" width="22.5546875" customWidth="1"/>
    <col min="1029" max="1029" width="1" customWidth="1"/>
    <col min="1030" max="1030" width="28" customWidth="1"/>
    <col min="1031" max="1031" width="1.33203125" customWidth="1"/>
    <col min="1032" max="1032" width="14.6640625" customWidth="1"/>
    <col min="1033" max="1033" width="12" bestFit="1" customWidth="1"/>
    <col min="1035" max="1035" width="8.88671875" customWidth="1"/>
    <col min="1038" max="1039" width="10" bestFit="1" customWidth="1"/>
    <col min="1272" max="1272" width="38.44140625" customWidth="1"/>
    <col min="1273" max="1273" width="16.33203125" customWidth="1"/>
    <col min="1274" max="1274" width="13.33203125" customWidth="1"/>
    <col min="1275" max="1275" width="15.109375" bestFit="1" customWidth="1"/>
    <col min="1276" max="1278" width="15.109375" customWidth="1"/>
    <col min="1279" max="1279" width="17.6640625" customWidth="1"/>
    <col min="1280" max="1280" width="17.109375" customWidth="1"/>
    <col min="1281" max="1281" width="15.109375" customWidth="1"/>
    <col min="1282" max="1282" width="17.6640625" customWidth="1"/>
    <col min="1283" max="1283" width="15" bestFit="1" customWidth="1"/>
    <col min="1284" max="1284" width="22.5546875" customWidth="1"/>
    <col min="1285" max="1285" width="1" customWidth="1"/>
    <col min="1286" max="1286" width="28" customWidth="1"/>
    <col min="1287" max="1287" width="1.33203125" customWidth="1"/>
    <col min="1288" max="1288" width="14.6640625" customWidth="1"/>
    <col min="1289" max="1289" width="12" bestFit="1" customWidth="1"/>
    <col min="1291" max="1291" width="8.88671875" customWidth="1"/>
    <col min="1294" max="1295" width="10" bestFit="1" customWidth="1"/>
    <col min="1528" max="1528" width="38.44140625" customWidth="1"/>
    <col min="1529" max="1529" width="16.33203125" customWidth="1"/>
    <col min="1530" max="1530" width="13.33203125" customWidth="1"/>
    <col min="1531" max="1531" width="15.109375" bestFit="1" customWidth="1"/>
    <col min="1532" max="1534" width="15.109375" customWidth="1"/>
    <col min="1535" max="1535" width="17.6640625" customWidth="1"/>
    <col min="1536" max="1536" width="17.109375" customWidth="1"/>
    <col min="1537" max="1537" width="15.109375" customWidth="1"/>
    <col min="1538" max="1538" width="17.6640625" customWidth="1"/>
    <col min="1539" max="1539" width="15" bestFit="1" customWidth="1"/>
    <col min="1540" max="1540" width="22.5546875" customWidth="1"/>
    <col min="1541" max="1541" width="1" customWidth="1"/>
    <col min="1542" max="1542" width="28" customWidth="1"/>
    <col min="1543" max="1543" width="1.33203125" customWidth="1"/>
    <col min="1544" max="1544" width="14.6640625" customWidth="1"/>
    <col min="1545" max="1545" width="12" bestFit="1" customWidth="1"/>
    <col min="1547" max="1547" width="8.88671875" customWidth="1"/>
    <col min="1550" max="1551" width="10" bestFit="1" customWidth="1"/>
    <col min="1784" max="1784" width="38.44140625" customWidth="1"/>
    <col min="1785" max="1785" width="16.33203125" customWidth="1"/>
    <col min="1786" max="1786" width="13.33203125" customWidth="1"/>
    <col min="1787" max="1787" width="15.109375" bestFit="1" customWidth="1"/>
    <col min="1788" max="1790" width="15.109375" customWidth="1"/>
    <col min="1791" max="1791" width="17.6640625" customWidth="1"/>
    <col min="1792" max="1792" width="17.109375" customWidth="1"/>
    <col min="1793" max="1793" width="15.109375" customWidth="1"/>
    <col min="1794" max="1794" width="17.6640625" customWidth="1"/>
    <col min="1795" max="1795" width="15" bestFit="1" customWidth="1"/>
    <col min="1796" max="1796" width="22.5546875" customWidth="1"/>
    <col min="1797" max="1797" width="1" customWidth="1"/>
    <col min="1798" max="1798" width="28" customWidth="1"/>
    <col min="1799" max="1799" width="1.33203125" customWidth="1"/>
    <col min="1800" max="1800" width="14.6640625" customWidth="1"/>
    <col min="1801" max="1801" width="12" bestFit="1" customWidth="1"/>
    <col min="1803" max="1803" width="8.88671875" customWidth="1"/>
    <col min="1806" max="1807" width="10" bestFit="1" customWidth="1"/>
    <col min="2040" max="2040" width="38.44140625" customWidth="1"/>
    <col min="2041" max="2041" width="16.33203125" customWidth="1"/>
    <col min="2042" max="2042" width="13.33203125" customWidth="1"/>
    <col min="2043" max="2043" width="15.109375" bestFit="1" customWidth="1"/>
    <col min="2044" max="2046" width="15.109375" customWidth="1"/>
    <col min="2047" max="2047" width="17.6640625" customWidth="1"/>
    <col min="2048" max="2048" width="17.109375" customWidth="1"/>
    <col min="2049" max="2049" width="15.109375" customWidth="1"/>
    <col min="2050" max="2050" width="17.6640625" customWidth="1"/>
    <col min="2051" max="2051" width="15" bestFit="1" customWidth="1"/>
    <col min="2052" max="2052" width="22.5546875" customWidth="1"/>
    <col min="2053" max="2053" width="1" customWidth="1"/>
    <col min="2054" max="2054" width="28" customWidth="1"/>
    <col min="2055" max="2055" width="1.33203125" customWidth="1"/>
    <col min="2056" max="2056" width="14.6640625" customWidth="1"/>
    <col min="2057" max="2057" width="12" bestFit="1" customWidth="1"/>
    <col min="2059" max="2059" width="8.88671875" customWidth="1"/>
    <col min="2062" max="2063" width="10" bestFit="1" customWidth="1"/>
    <col min="2296" max="2296" width="38.44140625" customWidth="1"/>
    <col min="2297" max="2297" width="16.33203125" customWidth="1"/>
    <col min="2298" max="2298" width="13.33203125" customWidth="1"/>
    <col min="2299" max="2299" width="15.109375" bestFit="1" customWidth="1"/>
    <col min="2300" max="2302" width="15.109375" customWidth="1"/>
    <col min="2303" max="2303" width="17.6640625" customWidth="1"/>
    <col min="2304" max="2304" width="17.109375" customWidth="1"/>
    <col min="2305" max="2305" width="15.109375" customWidth="1"/>
    <col min="2306" max="2306" width="17.6640625" customWidth="1"/>
    <col min="2307" max="2307" width="15" bestFit="1" customWidth="1"/>
    <col min="2308" max="2308" width="22.5546875" customWidth="1"/>
    <col min="2309" max="2309" width="1" customWidth="1"/>
    <col min="2310" max="2310" width="28" customWidth="1"/>
    <col min="2311" max="2311" width="1.33203125" customWidth="1"/>
    <col min="2312" max="2312" width="14.6640625" customWidth="1"/>
    <col min="2313" max="2313" width="12" bestFit="1" customWidth="1"/>
    <col min="2315" max="2315" width="8.88671875" customWidth="1"/>
    <col min="2318" max="2319" width="10" bestFit="1" customWidth="1"/>
    <col min="2552" max="2552" width="38.44140625" customWidth="1"/>
    <col min="2553" max="2553" width="16.33203125" customWidth="1"/>
    <col min="2554" max="2554" width="13.33203125" customWidth="1"/>
    <col min="2555" max="2555" width="15.109375" bestFit="1" customWidth="1"/>
    <col min="2556" max="2558" width="15.109375" customWidth="1"/>
    <col min="2559" max="2559" width="17.6640625" customWidth="1"/>
    <col min="2560" max="2560" width="17.109375" customWidth="1"/>
    <col min="2561" max="2561" width="15.109375" customWidth="1"/>
    <col min="2562" max="2562" width="17.6640625" customWidth="1"/>
    <col min="2563" max="2563" width="15" bestFit="1" customWidth="1"/>
    <col min="2564" max="2564" width="22.5546875" customWidth="1"/>
    <col min="2565" max="2565" width="1" customWidth="1"/>
    <col min="2566" max="2566" width="28" customWidth="1"/>
    <col min="2567" max="2567" width="1.33203125" customWidth="1"/>
    <col min="2568" max="2568" width="14.6640625" customWidth="1"/>
    <col min="2569" max="2569" width="12" bestFit="1" customWidth="1"/>
    <col min="2571" max="2571" width="8.88671875" customWidth="1"/>
    <col min="2574" max="2575" width="10" bestFit="1" customWidth="1"/>
    <col min="2808" max="2808" width="38.44140625" customWidth="1"/>
    <col min="2809" max="2809" width="16.33203125" customWidth="1"/>
    <col min="2810" max="2810" width="13.33203125" customWidth="1"/>
    <col min="2811" max="2811" width="15.109375" bestFit="1" customWidth="1"/>
    <col min="2812" max="2814" width="15.109375" customWidth="1"/>
    <col min="2815" max="2815" width="17.6640625" customWidth="1"/>
    <col min="2816" max="2816" width="17.109375" customWidth="1"/>
    <col min="2817" max="2817" width="15.109375" customWidth="1"/>
    <col min="2818" max="2818" width="17.6640625" customWidth="1"/>
    <col min="2819" max="2819" width="15" bestFit="1" customWidth="1"/>
    <col min="2820" max="2820" width="22.5546875" customWidth="1"/>
    <col min="2821" max="2821" width="1" customWidth="1"/>
    <col min="2822" max="2822" width="28" customWidth="1"/>
    <col min="2823" max="2823" width="1.33203125" customWidth="1"/>
    <col min="2824" max="2824" width="14.6640625" customWidth="1"/>
    <col min="2825" max="2825" width="12" bestFit="1" customWidth="1"/>
    <col min="2827" max="2827" width="8.88671875" customWidth="1"/>
    <col min="2830" max="2831" width="10" bestFit="1" customWidth="1"/>
    <col min="3064" max="3064" width="38.44140625" customWidth="1"/>
    <col min="3065" max="3065" width="16.33203125" customWidth="1"/>
    <col min="3066" max="3066" width="13.33203125" customWidth="1"/>
    <col min="3067" max="3067" width="15.109375" bestFit="1" customWidth="1"/>
    <col min="3068" max="3070" width="15.109375" customWidth="1"/>
    <col min="3071" max="3071" width="17.6640625" customWidth="1"/>
    <col min="3072" max="3072" width="17.109375" customWidth="1"/>
    <col min="3073" max="3073" width="15.109375" customWidth="1"/>
    <col min="3074" max="3074" width="17.6640625" customWidth="1"/>
    <col min="3075" max="3075" width="15" bestFit="1" customWidth="1"/>
    <col min="3076" max="3076" width="22.5546875" customWidth="1"/>
    <col min="3077" max="3077" width="1" customWidth="1"/>
    <col min="3078" max="3078" width="28" customWidth="1"/>
    <col min="3079" max="3079" width="1.33203125" customWidth="1"/>
    <col min="3080" max="3080" width="14.6640625" customWidth="1"/>
    <col min="3081" max="3081" width="12" bestFit="1" customWidth="1"/>
    <col min="3083" max="3083" width="8.88671875" customWidth="1"/>
    <col min="3086" max="3087" width="10" bestFit="1" customWidth="1"/>
    <col min="3320" max="3320" width="38.44140625" customWidth="1"/>
    <col min="3321" max="3321" width="16.33203125" customWidth="1"/>
    <col min="3322" max="3322" width="13.33203125" customWidth="1"/>
    <col min="3323" max="3323" width="15.109375" bestFit="1" customWidth="1"/>
    <col min="3324" max="3326" width="15.109375" customWidth="1"/>
    <col min="3327" max="3327" width="17.6640625" customWidth="1"/>
    <col min="3328" max="3328" width="17.109375" customWidth="1"/>
    <col min="3329" max="3329" width="15.109375" customWidth="1"/>
    <col min="3330" max="3330" width="17.6640625" customWidth="1"/>
    <col min="3331" max="3331" width="15" bestFit="1" customWidth="1"/>
    <col min="3332" max="3332" width="22.5546875" customWidth="1"/>
    <col min="3333" max="3333" width="1" customWidth="1"/>
    <col min="3334" max="3334" width="28" customWidth="1"/>
    <col min="3335" max="3335" width="1.33203125" customWidth="1"/>
    <col min="3336" max="3336" width="14.6640625" customWidth="1"/>
    <col min="3337" max="3337" width="12" bestFit="1" customWidth="1"/>
    <col min="3339" max="3339" width="8.88671875" customWidth="1"/>
    <col min="3342" max="3343" width="10" bestFit="1" customWidth="1"/>
    <col min="3576" max="3576" width="38.44140625" customWidth="1"/>
    <col min="3577" max="3577" width="16.33203125" customWidth="1"/>
    <col min="3578" max="3578" width="13.33203125" customWidth="1"/>
    <col min="3579" max="3579" width="15.109375" bestFit="1" customWidth="1"/>
    <col min="3580" max="3582" width="15.109375" customWidth="1"/>
    <col min="3583" max="3583" width="17.6640625" customWidth="1"/>
    <col min="3584" max="3584" width="17.109375" customWidth="1"/>
    <col min="3585" max="3585" width="15.109375" customWidth="1"/>
    <col min="3586" max="3586" width="17.6640625" customWidth="1"/>
    <col min="3587" max="3587" width="15" bestFit="1" customWidth="1"/>
    <col min="3588" max="3588" width="22.5546875" customWidth="1"/>
    <col min="3589" max="3589" width="1" customWidth="1"/>
    <col min="3590" max="3590" width="28" customWidth="1"/>
    <col min="3591" max="3591" width="1.33203125" customWidth="1"/>
    <col min="3592" max="3592" width="14.6640625" customWidth="1"/>
    <col min="3593" max="3593" width="12" bestFit="1" customWidth="1"/>
    <col min="3595" max="3595" width="8.88671875" customWidth="1"/>
    <col min="3598" max="3599" width="10" bestFit="1" customWidth="1"/>
    <col min="3832" max="3832" width="38.44140625" customWidth="1"/>
    <col min="3833" max="3833" width="16.33203125" customWidth="1"/>
    <col min="3834" max="3834" width="13.33203125" customWidth="1"/>
    <col min="3835" max="3835" width="15.109375" bestFit="1" customWidth="1"/>
    <col min="3836" max="3838" width="15.109375" customWidth="1"/>
    <col min="3839" max="3839" width="17.6640625" customWidth="1"/>
    <col min="3840" max="3840" width="17.109375" customWidth="1"/>
    <col min="3841" max="3841" width="15.109375" customWidth="1"/>
    <col min="3842" max="3842" width="17.6640625" customWidth="1"/>
    <col min="3843" max="3843" width="15" bestFit="1" customWidth="1"/>
    <col min="3844" max="3844" width="22.5546875" customWidth="1"/>
    <col min="3845" max="3845" width="1" customWidth="1"/>
    <col min="3846" max="3846" width="28" customWidth="1"/>
    <col min="3847" max="3847" width="1.33203125" customWidth="1"/>
    <col min="3848" max="3848" width="14.6640625" customWidth="1"/>
    <col min="3849" max="3849" width="12" bestFit="1" customWidth="1"/>
    <col min="3851" max="3851" width="8.88671875" customWidth="1"/>
    <col min="3854" max="3855" width="10" bestFit="1" customWidth="1"/>
    <col min="4088" max="4088" width="38.44140625" customWidth="1"/>
    <col min="4089" max="4089" width="16.33203125" customWidth="1"/>
    <col min="4090" max="4090" width="13.33203125" customWidth="1"/>
    <col min="4091" max="4091" width="15.109375" bestFit="1" customWidth="1"/>
    <col min="4092" max="4094" width="15.109375" customWidth="1"/>
    <col min="4095" max="4095" width="17.6640625" customWidth="1"/>
    <col min="4096" max="4096" width="17.109375" customWidth="1"/>
    <col min="4097" max="4097" width="15.109375" customWidth="1"/>
    <col min="4098" max="4098" width="17.6640625" customWidth="1"/>
    <col min="4099" max="4099" width="15" bestFit="1" customWidth="1"/>
    <col min="4100" max="4100" width="22.5546875" customWidth="1"/>
    <col min="4101" max="4101" width="1" customWidth="1"/>
    <col min="4102" max="4102" width="28" customWidth="1"/>
    <col min="4103" max="4103" width="1.33203125" customWidth="1"/>
    <col min="4104" max="4104" width="14.6640625" customWidth="1"/>
    <col min="4105" max="4105" width="12" bestFit="1" customWidth="1"/>
    <col min="4107" max="4107" width="8.88671875" customWidth="1"/>
    <col min="4110" max="4111" width="10" bestFit="1" customWidth="1"/>
    <col min="4344" max="4344" width="38.44140625" customWidth="1"/>
    <col min="4345" max="4345" width="16.33203125" customWidth="1"/>
    <col min="4346" max="4346" width="13.33203125" customWidth="1"/>
    <col min="4347" max="4347" width="15.109375" bestFit="1" customWidth="1"/>
    <col min="4348" max="4350" width="15.109375" customWidth="1"/>
    <col min="4351" max="4351" width="17.6640625" customWidth="1"/>
    <col min="4352" max="4352" width="17.109375" customWidth="1"/>
    <col min="4353" max="4353" width="15.109375" customWidth="1"/>
    <col min="4354" max="4354" width="17.6640625" customWidth="1"/>
    <col min="4355" max="4355" width="15" bestFit="1" customWidth="1"/>
    <col min="4356" max="4356" width="22.5546875" customWidth="1"/>
    <col min="4357" max="4357" width="1" customWidth="1"/>
    <col min="4358" max="4358" width="28" customWidth="1"/>
    <col min="4359" max="4359" width="1.33203125" customWidth="1"/>
    <col min="4360" max="4360" width="14.6640625" customWidth="1"/>
    <col min="4361" max="4361" width="12" bestFit="1" customWidth="1"/>
    <col min="4363" max="4363" width="8.88671875" customWidth="1"/>
    <col min="4366" max="4367" width="10" bestFit="1" customWidth="1"/>
    <col min="4600" max="4600" width="38.44140625" customWidth="1"/>
    <col min="4601" max="4601" width="16.33203125" customWidth="1"/>
    <col min="4602" max="4602" width="13.33203125" customWidth="1"/>
    <col min="4603" max="4603" width="15.109375" bestFit="1" customWidth="1"/>
    <col min="4604" max="4606" width="15.109375" customWidth="1"/>
    <col min="4607" max="4607" width="17.6640625" customWidth="1"/>
    <col min="4608" max="4608" width="17.109375" customWidth="1"/>
    <col min="4609" max="4609" width="15.109375" customWidth="1"/>
    <col min="4610" max="4610" width="17.6640625" customWidth="1"/>
    <col min="4611" max="4611" width="15" bestFit="1" customWidth="1"/>
    <col min="4612" max="4612" width="22.5546875" customWidth="1"/>
    <col min="4613" max="4613" width="1" customWidth="1"/>
    <col min="4614" max="4614" width="28" customWidth="1"/>
    <col min="4615" max="4615" width="1.33203125" customWidth="1"/>
    <col min="4616" max="4616" width="14.6640625" customWidth="1"/>
    <col min="4617" max="4617" width="12" bestFit="1" customWidth="1"/>
    <col min="4619" max="4619" width="8.88671875" customWidth="1"/>
    <col min="4622" max="4623" width="10" bestFit="1" customWidth="1"/>
    <col min="4856" max="4856" width="38.44140625" customWidth="1"/>
    <col min="4857" max="4857" width="16.33203125" customWidth="1"/>
    <col min="4858" max="4858" width="13.33203125" customWidth="1"/>
    <col min="4859" max="4859" width="15.109375" bestFit="1" customWidth="1"/>
    <col min="4860" max="4862" width="15.109375" customWidth="1"/>
    <col min="4863" max="4863" width="17.6640625" customWidth="1"/>
    <col min="4864" max="4864" width="17.109375" customWidth="1"/>
    <col min="4865" max="4865" width="15.109375" customWidth="1"/>
    <col min="4866" max="4866" width="17.6640625" customWidth="1"/>
    <col min="4867" max="4867" width="15" bestFit="1" customWidth="1"/>
    <col min="4868" max="4868" width="22.5546875" customWidth="1"/>
    <col min="4869" max="4869" width="1" customWidth="1"/>
    <col min="4870" max="4870" width="28" customWidth="1"/>
    <col min="4871" max="4871" width="1.33203125" customWidth="1"/>
    <col min="4872" max="4872" width="14.6640625" customWidth="1"/>
    <col min="4873" max="4873" width="12" bestFit="1" customWidth="1"/>
    <col min="4875" max="4875" width="8.88671875" customWidth="1"/>
    <col min="4878" max="4879" width="10" bestFit="1" customWidth="1"/>
    <col min="5112" max="5112" width="38.44140625" customWidth="1"/>
    <col min="5113" max="5113" width="16.33203125" customWidth="1"/>
    <col min="5114" max="5114" width="13.33203125" customWidth="1"/>
    <col min="5115" max="5115" width="15.109375" bestFit="1" customWidth="1"/>
    <col min="5116" max="5118" width="15.109375" customWidth="1"/>
    <col min="5119" max="5119" width="17.6640625" customWidth="1"/>
    <col min="5120" max="5120" width="17.109375" customWidth="1"/>
    <col min="5121" max="5121" width="15.109375" customWidth="1"/>
    <col min="5122" max="5122" width="17.6640625" customWidth="1"/>
    <col min="5123" max="5123" width="15" bestFit="1" customWidth="1"/>
    <col min="5124" max="5124" width="22.5546875" customWidth="1"/>
    <col min="5125" max="5125" width="1" customWidth="1"/>
    <col min="5126" max="5126" width="28" customWidth="1"/>
    <col min="5127" max="5127" width="1.33203125" customWidth="1"/>
    <col min="5128" max="5128" width="14.6640625" customWidth="1"/>
    <col min="5129" max="5129" width="12" bestFit="1" customWidth="1"/>
    <col min="5131" max="5131" width="8.88671875" customWidth="1"/>
    <col min="5134" max="5135" width="10" bestFit="1" customWidth="1"/>
    <col min="5368" max="5368" width="38.44140625" customWidth="1"/>
    <col min="5369" max="5369" width="16.33203125" customWidth="1"/>
    <col min="5370" max="5370" width="13.33203125" customWidth="1"/>
    <col min="5371" max="5371" width="15.109375" bestFit="1" customWidth="1"/>
    <col min="5372" max="5374" width="15.109375" customWidth="1"/>
    <col min="5375" max="5375" width="17.6640625" customWidth="1"/>
    <col min="5376" max="5376" width="17.109375" customWidth="1"/>
    <col min="5377" max="5377" width="15.109375" customWidth="1"/>
    <col min="5378" max="5378" width="17.6640625" customWidth="1"/>
    <col min="5379" max="5379" width="15" bestFit="1" customWidth="1"/>
    <col min="5380" max="5380" width="22.5546875" customWidth="1"/>
    <col min="5381" max="5381" width="1" customWidth="1"/>
    <col min="5382" max="5382" width="28" customWidth="1"/>
    <col min="5383" max="5383" width="1.33203125" customWidth="1"/>
    <col min="5384" max="5384" width="14.6640625" customWidth="1"/>
    <col min="5385" max="5385" width="12" bestFit="1" customWidth="1"/>
    <col min="5387" max="5387" width="8.88671875" customWidth="1"/>
    <col min="5390" max="5391" width="10" bestFit="1" customWidth="1"/>
    <col min="5624" max="5624" width="38.44140625" customWidth="1"/>
    <col min="5625" max="5625" width="16.33203125" customWidth="1"/>
    <col min="5626" max="5626" width="13.33203125" customWidth="1"/>
    <col min="5627" max="5627" width="15.109375" bestFit="1" customWidth="1"/>
    <col min="5628" max="5630" width="15.109375" customWidth="1"/>
    <col min="5631" max="5631" width="17.6640625" customWidth="1"/>
    <col min="5632" max="5632" width="17.109375" customWidth="1"/>
    <col min="5633" max="5633" width="15.109375" customWidth="1"/>
    <col min="5634" max="5634" width="17.6640625" customWidth="1"/>
    <col min="5635" max="5635" width="15" bestFit="1" customWidth="1"/>
    <col min="5636" max="5636" width="22.5546875" customWidth="1"/>
    <col min="5637" max="5637" width="1" customWidth="1"/>
    <col min="5638" max="5638" width="28" customWidth="1"/>
    <col min="5639" max="5639" width="1.33203125" customWidth="1"/>
    <col min="5640" max="5640" width="14.6640625" customWidth="1"/>
    <col min="5641" max="5641" width="12" bestFit="1" customWidth="1"/>
    <col min="5643" max="5643" width="8.88671875" customWidth="1"/>
    <col min="5646" max="5647" width="10" bestFit="1" customWidth="1"/>
    <col min="5880" max="5880" width="38.44140625" customWidth="1"/>
    <col min="5881" max="5881" width="16.33203125" customWidth="1"/>
    <col min="5882" max="5882" width="13.33203125" customWidth="1"/>
    <col min="5883" max="5883" width="15.109375" bestFit="1" customWidth="1"/>
    <col min="5884" max="5886" width="15.109375" customWidth="1"/>
    <col min="5887" max="5887" width="17.6640625" customWidth="1"/>
    <col min="5888" max="5888" width="17.109375" customWidth="1"/>
    <col min="5889" max="5889" width="15.109375" customWidth="1"/>
    <col min="5890" max="5890" width="17.6640625" customWidth="1"/>
    <col min="5891" max="5891" width="15" bestFit="1" customWidth="1"/>
    <col min="5892" max="5892" width="22.5546875" customWidth="1"/>
    <col min="5893" max="5893" width="1" customWidth="1"/>
    <col min="5894" max="5894" width="28" customWidth="1"/>
    <col min="5895" max="5895" width="1.33203125" customWidth="1"/>
    <col min="5896" max="5896" width="14.6640625" customWidth="1"/>
    <col min="5897" max="5897" width="12" bestFit="1" customWidth="1"/>
    <col min="5899" max="5899" width="8.88671875" customWidth="1"/>
    <col min="5902" max="5903" width="10" bestFit="1" customWidth="1"/>
    <col min="6136" max="6136" width="38.44140625" customWidth="1"/>
    <col min="6137" max="6137" width="16.33203125" customWidth="1"/>
    <col min="6138" max="6138" width="13.33203125" customWidth="1"/>
    <col min="6139" max="6139" width="15.109375" bestFit="1" customWidth="1"/>
    <col min="6140" max="6142" width="15.109375" customWidth="1"/>
    <col min="6143" max="6143" width="17.6640625" customWidth="1"/>
    <col min="6144" max="6144" width="17.109375" customWidth="1"/>
    <col min="6145" max="6145" width="15.109375" customWidth="1"/>
    <col min="6146" max="6146" width="17.6640625" customWidth="1"/>
    <col min="6147" max="6147" width="15" bestFit="1" customWidth="1"/>
    <col min="6148" max="6148" width="22.5546875" customWidth="1"/>
    <col min="6149" max="6149" width="1" customWidth="1"/>
    <col min="6150" max="6150" width="28" customWidth="1"/>
    <col min="6151" max="6151" width="1.33203125" customWidth="1"/>
    <col min="6152" max="6152" width="14.6640625" customWidth="1"/>
    <col min="6153" max="6153" width="12" bestFit="1" customWidth="1"/>
    <col min="6155" max="6155" width="8.88671875" customWidth="1"/>
    <col min="6158" max="6159" width="10" bestFit="1" customWidth="1"/>
    <col min="6392" max="6392" width="38.44140625" customWidth="1"/>
    <col min="6393" max="6393" width="16.33203125" customWidth="1"/>
    <col min="6394" max="6394" width="13.33203125" customWidth="1"/>
    <col min="6395" max="6395" width="15.109375" bestFit="1" customWidth="1"/>
    <col min="6396" max="6398" width="15.109375" customWidth="1"/>
    <col min="6399" max="6399" width="17.6640625" customWidth="1"/>
    <col min="6400" max="6400" width="17.109375" customWidth="1"/>
    <col min="6401" max="6401" width="15.109375" customWidth="1"/>
    <col min="6402" max="6402" width="17.6640625" customWidth="1"/>
    <col min="6403" max="6403" width="15" bestFit="1" customWidth="1"/>
    <col min="6404" max="6404" width="22.5546875" customWidth="1"/>
    <col min="6405" max="6405" width="1" customWidth="1"/>
    <col min="6406" max="6406" width="28" customWidth="1"/>
    <col min="6407" max="6407" width="1.33203125" customWidth="1"/>
    <col min="6408" max="6408" width="14.6640625" customWidth="1"/>
    <col min="6409" max="6409" width="12" bestFit="1" customWidth="1"/>
    <col min="6411" max="6411" width="8.88671875" customWidth="1"/>
    <col min="6414" max="6415" width="10" bestFit="1" customWidth="1"/>
    <col min="6648" max="6648" width="38.44140625" customWidth="1"/>
    <col min="6649" max="6649" width="16.33203125" customWidth="1"/>
    <col min="6650" max="6650" width="13.33203125" customWidth="1"/>
    <col min="6651" max="6651" width="15.109375" bestFit="1" customWidth="1"/>
    <col min="6652" max="6654" width="15.109375" customWidth="1"/>
    <col min="6655" max="6655" width="17.6640625" customWidth="1"/>
    <col min="6656" max="6656" width="17.109375" customWidth="1"/>
    <col min="6657" max="6657" width="15.109375" customWidth="1"/>
    <col min="6658" max="6658" width="17.6640625" customWidth="1"/>
    <col min="6659" max="6659" width="15" bestFit="1" customWidth="1"/>
    <col min="6660" max="6660" width="22.5546875" customWidth="1"/>
    <col min="6661" max="6661" width="1" customWidth="1"/>
    <col min="6662" max="6662" width="28" customWidth="1"/>
    <col min="6663" max="6663" width="1.33203125" customWidth="1"/>
    <col min="6664" max="6664" width="14.6640625" customWidth="1"/>
    <col min="6665" max="6665" width="12" bestFit="1" customWidth="1"/>
    <col min="6667" max="6667" width="8.88671875" customWidth="1"/>
    <col min="6670" max="6671" width="10" bestFit="1" customWidth="1"/>
    <col min="6904" max="6904" width="38.44140625" customWidth="1"/>
    <col min="6905" max="6905" width="16.33203125" customWidth="1"/>
    <col min="6906" max="6906" width="13.33203125" customWidth="1"/>
    <col min="6907" max="6907" width="15.109375" bestFit="1" customWidth="1"/>
    <col min="6908" max="6910" width="15.109375" customWidth="1"/>
    <col min="6911" max="6911" width="17.6640625" customWidth="1"/>
    <col min="6912" max="6912" width="17.109375" customWidth="1"/>
    <col min="6913" max="6913" width="15.109375" customWidth="1"/>
    <col min="6914" max="6914" width="17.6640625" customWidth="1"/>
    <col min="6915" max="6915" width="15" bestFit="1" customWidth="1"/>
    <col min="6916" max="6916" width="22.5546875" customWidth="1"/>
    <col min="6917" max="6917" width="1" customWidth="1"/>
    <col min="6918" max="6918" width="28" customWidth="1"/>
    <col min="6919" max="6919" width="1.33203125" customWidth="1"/>
    <col min="6920" max="6920" width="14.6640625" customWidth="1"/>
    <col min="6921" max="6921" width="12" bestFit="1" customWidth="1"/>
    <col min="6923" max="6923" width="8.88671875" customWidth="1"/>
    <col min="6926" max="6927" width="10" bestFit="1" customWidth="1"/>
    <col min="7160" max="7160" width="38.44140625" customWidth="1"/>
    <col min="7161" max="7161" width="16.33203125" customWidth="1"/>
    <col min="7162" max="7162" width="13.33203125" customWidth="1"/>
    <col min="7163" max="7163" width="15.109375" bestFit="1" customWidth="1"/>
    <col min="7164" max="7166" width="15.109375" customWidth="1"/>
    <col min="7167" max="7167" width="17.6640625" customWidth="1"/>
    <col min="7168" max="7168" width="17.109375" customWidth="1"/>
    <col min="7169" max="7169" width="15.109375" customWidth="1"/>
    <col min="7170" max="7170" width="17.6640625" customWidth="1"/>
    <col min="7171" max="7171" width="15" bestFit="1" customWidth="1"/>
    <col min="7172" max="7172" width="22.5546875" customWidth="1"/>
    <col min="7173" max="7173" width="1" customWidth="1"/>
    <col min="7174" max="7174" width="28" customWidth="1"/>
    <col min="7175" max="7175" width="1.33203125" customWidth="1"/>
    <col min="7176" max="7176" width="14.6640625" customWidth="1"/>
    <col min="7177" max="7177" width="12" bestFit="1" customWidth="1"/>
    <col min="7179" max="7179" width="8.88671875" customWidth="1"/>
    <col min="7182" max="7183" width="10" bestFit="1" customWidth="1"/>
    <col min="7416" max="7416" width="38.44140625" customWidth="1"/>
    <col min="7417" max="7417" width="16.33203125" customWidth="1"/>
    <col min="7418" max="7418" width="13.33203125" customWidth="1"/>
    <col min="7419" max="7419" width="15.109375" bestFit="1" customWidth="1"/>
    <col min="7420" max="7422" width="15.109375" customWidth="1"/>
    <col min="7423" max="7423" width="17.6640625" customWidth="1"/>
    <col min="7424" max="7424" width="17.109375" customWidth="1"/>
    <col min="7425" max="7425" width="15.109375" customWidth="1"/>
    <col min="7426" max="7426" width="17.6640625" customWidth="1"/>
    <col min="7427" max="7427" width="15" bestFit="1" customWidth="1"/>
    <col min="7428" max="7428" width="22.5546875" customWidth="1"/>
    <col min="7429" max="7429" width="1" customWidth="1"/>
    <col min="7430" max="7430" width="28" customWidth="1"/>
    <col min="7431" max="7431" width="1.33203125" customWidth="1"/>
    <col min="7432" max="7432" width="14.6640625" customWidth="1"/>
    <col min="7433" max="7433" width="12" bestFit="1" customWidth="1"/>
    <col min="7435" max="7435" width="8.88671875" customWidth="1"/>
    <col min="7438" max="7439" width="10" bestFit="1" customWidth="1"/>
    <col min="7672" max="7672" width="38.44140625" customWidth="1"/>
    <col min="7673" max="7673" width="16.33203125" customWidth="1"/>
    <col min="7674" max="7674" width="13.33203125" customWidth="1"/>
    <col min="7675" max="7675" width="15.109375" bestFit="1" customWidth="1"/>
    <col min="7676" max="7678" width="15.109375" customWidth="1"/>
    <col min="7679" max="7679" width="17.6640625" customWidth="1"/>
    <col min="7680" max="7680" width="17.109375" customWidth="1"/>
    <col min="7681" max="7681" width="15.109375" customWidth="1"/>
    <col min="7682" max="7682" width="17.6640625" customWidth="1"/>
    <col min="7683" max="7683" width="15" bestFit="1" customWidth="1"/>
    <col min="7684" max="7684" width="22.5546875" customWidth="1"/>
    <col min="7685" max="7685" width="1" customWidth="1"/>
    <col min="7686" max="7686" width="28" customWidth="1"/>
    <col min="7687" max="7687" width="1.33203125" customWidth="1"/>
    <col min="7688" max="7688" width="14.6640625" customWidth="1"/>
    <col min="7689" max="7689" width="12" bestFit="1" customWidth="1"/>
    <col min="7691" max="7691" width="8.88671875" customWidth="1"/>
    <col min="7694" max="7695" width="10" bestFit="1" customWidth="1"/>
    <col min="7928" max="7928" width="38.44140625" customWidth="1"/>
    <col min="7929" max="7929" width="16.33203125" customWidth="1"/>
    <col min="7930" max="7930" width="13.33203125" customWidth="1"/>
    <col min="7931" max="7931" width="15.109375" bestFit="1" customWidth="1"/>
    <col min="7932" max="7934" width="15.109375" customWidth="1"/>
    <col min="7935" max="7935" width="17.6640625" customWidth="1"/>
    <col min="7936" max="7936" width="17.109375" customWidth="1"/>
    <col min="7937" max="7937" width="15.109375" customWidth="1"/>
    <col min="7938" max="7938" width="17.6640625" customWidth="1"/>
    <col min="7939" max="7939" width="15" bestFit="1" customWidth="1"/>
    <col min="7940" max="7940" width="22.5546875" customWidth="1"/>
    <col min="7941" max="7941" width="1" customWidth="1"/>
    <col min="7942" max="7942" width="28" customWidth="1"/>
    <col min="7943" max="7943" width="1.33203125" customWidth="1"/>
    <col min="7944" max="7944" width="14.6640625" customWidth="1"/>
    <col min="7945" max="7945" width="12" bestFit="1" customWidth="1"/>
    <col min="7947" max="7947" width="8.88671875" customWidth="1"/>
    <col min="7950" max="7951" width="10" bestFit="1" customWidth="1"/>
    <col min="8184" max="8184" width="38.44140625" customWidth="1"/>
    <col min="8185" max="8185" width="16.33203125" customWidth="1"/>
    <col min="8186" max="8186" width="13.33203125" customWidth="1"/>
    <col min="8187" max="8187" width="15.109375" bestFit="1" customWidth="1"/>
    <col min="8188" max="8190" width="15.109375" customWidth="1"/>
    <col min="8191" max="8191" width="17.6640625" customWidth="1"/>
    <col min="8192" max="8192" width="17.109375" customWidth="1"/>
    <col min="8193" max="8193" width="15.109375" customWidth="1"/>
    <col min="8194" max="8194" width="17.6640625" customWidth="1"/>
    <col min="8195" max="8195" width="15" bestFit="1" customWidth="1"/>
    <col min="8196" max="8196" width="22.5546875" customWidth="1"/>
    <col min="8197" max="8197" width="1" customWidth="1"/>
    <col min="8198" max="8198" width="28" customWidth="1"/>
    <col min="8199" max="8199" width="1.33203125" customWidth="1"/>
    <col min="8200" max="8200" width="14.6640625" customWidth="1"/>
    <col min="8201" max="8201" width="12" bestFit="1" customWidth="1"/>
    <col min="8203" max="8203" width="8.88671875" customWidth="1"/>
    <col min="8206" max="8207" width="10" bestFit="1" customWidth="1"/>
    <col min="8440" max="8440" width="38.44140625" customWidth="1"/>
    <col min="8441" max="8441" width="16.33203125" customWidth="1"/>
    <col min="8442" max="8442" width="13.33203125" customWidth="1"/>
    <col min="8443" max="8443" width="15.109375" bestFit="1" customWidth="1"/>
    <col min="8444" max="8446" width="15.109375" customWidth="1"/>
    <col min="8447" max="8447" width="17.6640625" customWidth="1"/>
    <col min="8448" max="8448" width="17.109375" customWidth="1"/>
    <col min="8449" max="8449" width="15.109375" customWidth="1"/>
    <col min="8450" max="8450" width="17.6640625" customWidth="1"/>
    <col min="8451" max="8451" width="15" bestFit="1" customWidth="1"/>
    <col min="8452" max="8452" width="22.5546875" customWidth="1"/>
    <col min="8453" max="8453" width="1" customWidth="1"/>
    <col min="8454" max="8454" width="28" customWidth="1"/>
    <col min="8455" max="8455" width="1.33203125" customWidth="1"/>
    <col min="8456" max="8456" width="14.6640625" customWidth="1"/>
    <col min="8457" max="8457" width="12" bestFit="1" customWidth="1"/>
    <col min="8459" max="8459" width="8.88671875" customWidth="1"/>
    <col min="8462" max="8463" width="10" bestFit="1" customWidth="1"/>
    <col min="8696" max="8696" width="38.44140625" customWidth="1"/>
    <col min="8697" max="8697" width="16.33203125" customWidth="1"/>
    <col min="8698" max="8698" width="13.33203125" customWidth="1"/>
    <col min="8699" max="8699" width="15.109375" bestFit="1" customWidth="1"/>
    <col min="8700" max="8702" width="15.109375" customWidth="1"/>
    <col min="8703" max="8703" width="17.6640625" customWidth="1"/>
    <col min="8704" max="8704" width="17.109375" customWidth="1"/>
    <col min="8705" max="8705" width="15.109375" customWidth="1"/>
    <col min="8706" max="8706" width="17.6640625" customWidth="1"/>
    <col min="8707" max="8707" width="15" bestFit="1" customWidth="1"/>
    <col min="8708" max="8708" width="22.5546875" customWidth="1"/>
    <col min="8709" max="8709" width="1" customWidth="1"/>
    <col min="8710" max="8710" width="28" customWidth="1"/>
    <col min="8711" max="8711" width="1.33203125" customWidth="1"/>
    <col min="8712" max="8712" width="14.6640625" customWidth="1"/>
    <col min="8713" max="8713" width="12" bestFit="1" customWidth="1"/>
    <col min="8715" max="8715" width="8.88671875" customWidth="1"/>
    <col min="8718" max="8719" width="10" bestFit="1" customWidth="1"/>
    <col min="8952" max="8952" width="38.44140625" customWidth="1"/>
    <col min="8953" max="8953" width="16.33203125" customWidth="1"/>
    <col min="8954" max="8954" width="13.33203125" customWidth="1"/>
    <col min="8955" max="8955" width="15.109375" bestFit="1" customWidth="1"/>
    <col min="8956" max="8958" width="15.109375" customWidth="1"/>
    <col min="8959" max="8959" width="17.6640625" customWidth="1"/>
    <col min="8960" max="8960" width="17.109375" customWidth="1"/>
    <col min="8961" max="8961" width="15.109375" customWidth="1"/>
    <col min="8962" max="8962" width="17.6640625" customWidth="1"/>
    <col min="8963" max="8963" width="15" bestFit="1" customWidth="1"/>
    <col min="8964" max="8964" width="22.5546875" customWidth="1"/>
    <col min="8965" max="8965" width="1" customWidth="1"/>
    <col min="8966" max="8966" width="28" customWidth="1"/>
    <col min="8967" max="8967" width="1.33203125" customWidth="1"/>
    <col min="8968" max="8968" width="14.6640625" customWidth="1"/>
    <col min="8969" max="8969" width="12" bestFit="1" customWidth="1"/>
    <col min="8971" max="8971" width="8.88671875" customWidth="1"/>
    <col min="8974" max="8975" width="10" bestFit="1" customWidth="1"/>
    <col min="9208" max="9208" width="38.44140625" customWidth="1"/>
    <col min="9209" max="9209" width="16.33203125" customWidth="1"/>
    <col min="9210" max="9210" width="13.33203125" customWidth="1"/>
    <col min="9211" max="9211" width="15.109375" bestFit="1" customWidth="1"/>
    <col min="9212" max="9214" width="15.109375" customWidth="1"/>
    <col min="9215" max="9215" width="17.6640625" customWidth="1"/>
    <col min="9216" max="9216" width="17.109375" customWidth="1"/>
    <col min="9217" max="9217" width="15.109375" customWidth="1"/>
    <col min="9218" max="9218" width="17.6640625" customWidth="1"/>
    <col min="9219" max="9219" width="15" bestFit="1" customWidth="1"/>
    <col min="9220" max="9220" width="22.5546875" customWidth="1"/>
    <col min="9221" max="9221" width="1" customWidth="1"/>
    <col min="9222" max="9222" width="28" customWidth="1"/>
    <col min="9223" max="9223" width="1.33203125" customWidth="1"/>
    <col min="9224" max="9224" width="14.6640625" customWidth="1"/>
    <col min="9225" max="9225" width="12" bestFit="1" customWidth="1"/>
    <col min="9227" max="9227" width="8.88671875" customWidth="1"/>
    <col min="9230" max="9231" width="10" bestFit="1" customWidth="1"/>
    <col min="9464" max="9464" width="38.44140625" customWidth="1"/>
    <col min="9465" max="9465" width="16.33203125" customWidth="1"/>
    <col min="9466" max="9466" width="13.33203125" customWidth="1"/>
    <col min="9467" max="9467" width="15.109375" bestFit="1" customWidth="1"/>
    <col min="9468" max="9470" width="15.109375" customWidth="1"/>
    <col min="9471" max="9471" width="17.6640625" customWidth="1"/>
    <col min="9472" max="9472" width="17.109375" customWidth="1"/>
    <col min="9473" max="9473" width="15.109375" customWidth="1"/>
    <col min="9474" max="9474" width="17.6640625" customWidth="1"/>
    <col min="9475" max="9475" width="15" bestFit="1" customWidth="1"/>
    <col min="9476" max="9476" width="22.5546875" customWidth="1"/>
    <col min="9477" max="9477" width="1" customWidth="1"/>
    <col min="9478" max="9478" width="28" customWidth="1"/>
    <col min="9479" max="9479" width="1.33203125" customWidth="1"/>
    <col min="9480" max="9480" width="14.6640625" customWidth="1"/>
    <col min="9481" max="9481" width="12" bestFit="1" customWidth="1"/>
    <col min="9483" max="9483" width="8.88671875" customWidth="1"/>
    <col min="9486" max="9487" width="10" bestFit="1" customWidth="1"/>
    <col min="9720" max="9720" width="38.44140625" customWidth="1"/>
    <col min="9721" max="9721" width="16.33203125" customWidth="1"/>
    <col min="9722" max="9722" width="13.33203125" customWidth="1"/>
    <col min="9723" max="9723" width="15.109375" bestFit="1" customWidth="1"/>
    <col min="9724" max="9726" width="15.109375" customWidth="1"/>
    <col min="9727" max="9727" width="17.6640625" customWidth="1"/>
    <col min="9728" max="9728" width="17.109375" customWidth="1"/>
    <col min="9729" max="9729" width="15.109375" customWidth="1"/>
    <col min="9730" max="9730" width="17.6640625" customWidth="1"/>
    <col min="9731" max="9731" width="15" bestFit="1" customWidth="1"/>
    <col min="9732" max="9732" width="22.5546875" customWidth="1"/>
    <col min="9733" max="9733" width="1" customWidth="1"/>
    <col min="9734" max="9734" width="28" customWidth="1"/>
    <col min="9735" max="9735" width="1.33203125" customWidth="1"/>
    <col min="9736" max="9736" width="14.6640625" customWidth="1"/>
    <col min="9737" max="9737" width="12" bestFit="1" customWidth="1"/>
    <col min="9739" max="9739" width="8.88671875" customWidth="1"/>
    <col min="9742" max="9743" width="10" bestFit="1" customWidth="1"/>
    <col min="9976" max="9976" width="38.44140625" customWidth="1"/>
    <col min="9977" max="9977" width="16.33203125" customWidth="1"/>
    <col min="9978" max="9978" width="13.33203125" customWidth="1"/>
    <col min="9979" max="9979" width="15.109375" bestFit="1" customWidth="1"/>
    <col min="9980" max="9982" width="15.109375" customWidth="1"/>
    <col min="9983" max="9983" width="17.6640625" customWidth="1"/>
    <col min="9984" max="9984" width="17.109375" customWidth="1"/>
    <col min="9985" max="9985" width="15.109375" customWidth="1"/>
    <col min="9986" max="9986" width="17.6640625" customWidth="1"/>
    <col min="9987" max="9987" width="15" bestFit="1" customWidth="1"/>
    <col min="9988" max="9988" width="22.5546875" customWidth="1"/>
    <col min="9989" max="9989" width="1" customWidth="1"/>
    <col min="9990" max="9990" width="28" customWidth="1"/>
    <col min="9991" max="9991" width="1.33203125" customWidth="1"/>
    <col min="9992" max="9992" width="14.6640625" customWidth="1"/>
    <col min="9993" max="9993" width="12" bestFit="1" customWidth="1"/>
    <col min="9995" max="9995" width="8.88671875" customWidth="1"/>
    <col min="9998" max="9999" width="10" bestFit="1" customWidth="1"/>
    <col min="10232" max="10232" width="38.44140625" customWidth="1"/>
    <col min="10233" max="10233" width="16.33203125" customWidth="1"/>
    <col min="10234" max="10234" width="13.33203125" customWidth="1"/>
    <col min="10235" max="10235" width="15.109375" bestFit="1" customWidth="1"/>
    <col min="10236" max="10238" width="15.109375" customWidth="1"/>
    <col min="10239" max="10239" width="17.6640625" customWidth="1"/>
    <col min="10240" max="10240" width="17.109375" customWidth="1"/>
    <col min="10241" max="10241" width="15.109375" customWidth="1"/>
    <col min="10242" max="10242" width="17.6640625" customWidth="1"/>
    <col min="10243" max="10243" width="15" bestFit="1" customWidth="1"/>
    <col min="10244" max="10244" width="22.5546875" customWidth="1"/>
    <col min="10245" max="10245" width="1" customWidth="1"/>
    <col min="10246" max="10246" width="28" customWidth="1"/>
    <col min="10247" max="10247" width="1.33203125" customWidth="1"/>
    <col min="10248" max="10248" width="14.6640625" customWidth="1"/>
    <col min="10249" max="10249" width="12" bestFit="1" customWidth="1"/>
    <col min="10251" max="10251" width="8.88671875" customWidth="1"/>
    <col min="10254" max="10255" width="10" bestFit="1" customWidth="1"/>
    <col min="10488" max="10488" width="38.44140625" customWidth="1"/>
    <col min="10489" max="10489" width="16.33203125" customWidth="1"/>
    <col min="10490" max="10490" width="13.33203125" customWidth="1"/>
    <col min="10491" max="10491" width="15.109375" bestFit="1" customWidth="1"/>
    <col min="10492" max="10494" width="15.109375" customWidth="1"/>
    <col min="10495" max="10495" width="17.6640625" customWidth="1"/>
    <col min="10496" max="10496" width="17.109375" customWidth="1"/>
    <col min="10497" max="10497" width="15.109375" customWidth="1"/>
    <col min="10498" max="10498" width="17.6640625" customWidth="1"/>
    <col min="10499" max="10499" width="15" bestFit="1" customWidth="1"/>
    <col min="10500" max="10500" width="22.5546875" customWidth="1"/>
    <col min="10501" max="10501" width="1" customWidth="1"/>
    <col min="10502" max="10502" width="28" customWidth="1"/>
    <col min="10503" max="10503" width="1.33203125" customWidth="1"/>
    <col min="10504" max="10504" width="14.6640625" customWidth="1"/>
    <col min="10505" max="10505" width="12" bestFit="1" customWidth="1"/>
    <col min="10507" max="10507" width="8.88671875" customWidth="1"/>
    <col min="10510" max="10511" width="10" bestFit="1" customWidth="1"/>
    <col min="10744" max="10744" width="38.44140625" customWidth="1"/>
    <col min="10745" max="10745" width="16.33203125" customWidth="1"/>
    <col min="10746" max="10746" width="13.33203125" customWidth="1"/>
    <col min="10747" max="10747" width="15.109375" bestFit="1" customWidth="1"/>
    <col min="10748" max="10750" width="15.109375" customWidth="1"/>
    <col min="10751" max="10751" width="17.6640625" customWidth="1"/>
    <col min="10752" max="10752" width="17.109375" customWidth="1"/>
    <col min="10753" max="10753" width="15.109375" customWidth="1"/>
    <col min="10754" max="10754" width="17.6640625" customWidth="1"/>
    <col min="10755" max="10755" width="15" bestFit="1" customWidth="1"/>
    <col min="10756" max="10756" width="22.5546875" customWidth="1"/>
    <col min="10757" max="10757" width="1" customWidth="1"/>
    <col min="10758" max="10758" width="28" customWidth="1"/>
    <col min="10759" max="10759" width="1.33203125" customWidth="1"/>
    <col min="10760" max="10760" width="14.6640625" customWidth="1"/>
    <col min="10761" max="10761" width="12" bestFit="1" customWidth="1"/>
    <col min="10763" max="10763" width="8.88671875" customWidth="1"/>
    <col min="10766" max="10767" width="10" bestFit="1" customWidth="1"/>
    <col min="11000" max="11000" width="38.44140625" customWidth="1"/>
    <col min="11001" max="11001" width="16.33203125" customWidth="1"/>
    <col min="11002" max="11002" width="13.33203125" customWidth="1"/>
    <col min="11003" max="11003" width="15.109375" bestFit="1" customWidth="1"/>
    <col min="11004" max="11006" width="15.109375" customWidth="1"/>
    <col min="11007" max="11007" width="17.6640625" customWidth="1"/>
    <col min="11008" max="11008" width="17.109375" customWidth="1"/>
    <col min="11009" max="11009" width="15.109375" customWidth="1"/>
    <col min="11010" max="11010" width="17.6640625" customWidth="1"/>
    <col min="11011" max="11011" width="15" bestFit="1" customWidth="1"/>
    <col min="11012" max="11012" width="22.5546875" customWidth="1"/>
    <col min="11013" max="11013" width="1" customWidth="1"/>
    <col min="11014" max="11014" width="28" customWidth="1"/>
    <col min="11015" max="11015" width="1.33203125" customWidth="1"/>
    <col min="11016" max="11016" width="14.6640625" customWidth="1"/>
    <col min="11017" max="11017" width="12" bestFit="1" customWidth="1"/>
    <col min="11019" max="11019" width="8.88671875" customWidth="1"/>
    <col min="11022" max="11023" width="10" bestFit="1" customWidth="1"/>
    <col min="11256" max="11256" width="38.44140625" customWidth="1"/>
    <col min="11257" max="11257" width="16.33203125" customWidth="1"/>
    <col min="11258" max="11258" width="13.33203125" customWidth="1"/>
    <col min="11259" max="11259" width="15.109375" bestFit="1" customWidth="1"/>
    <col min="11260" max="11262" width="15.109375" customWidth="1"/>
    <col min="11263" max="11263" width="17.6640625" customWidth="1"/>
    <col min="11264" max="11264" width="17.109375" customWidth="1"/>
    <col min="11265" max="11265" width="15.109375" customWidth="1"/>
    <col min="11266" max="11266" width="17.6640625" customWidth="1"/>
    <col min="11267" max="11267" width="15" bestFit="1" customWidth="1"/>
    <col min="11268" max="11268" width="22.5546875" customWidth="1"/>
    <col min="11269" max="11269" width="1" customWidth="1"/>
    <col min="11270" max="11270" width="28" customWidth="1"/>
    <col min="11271" max="11271" width="1.33203125" customWidth="1"/>
    <col min="11272" max="11272" width="14.6640625" customWidth="1"/>
    <col min="11273" max="11273" width="12" bestFit="1" customWidth="1"/>
    <col min="11275" max="11275" width="8.88671875" customWidth="1"/>
    <col min="11278" max="11279" width="10" bestFit="1" customWidth="1"/>
    <col min="11512" max="11512" width="38.44140625" customWidth="1"/>
    <col min="11513" max="11513" width="16.33203125" customWidth="1"/>
    <col min="11514" max="11514" width="13.33203125" customWidth="1"/>
    <col min="11515" max="11515" width="15.109375" bestFit="1" customWidth="1"/>
    <col min="11516" max="11518" width="15.109375" customWidth="1"/>
    <col min="11519" max="11519" width="17.6640625" customWidth="1"/>
    <col min="11520" max="11520" width="17.109375" customWidth="1"/>
    <col min="11521" max="11521" width="15.109375" customWidth="1"/>
    <col min="11522" max="11522" width="17.6640625" customWidth="1"/>
    <col min="11523" max="11523" width="15" bestFit="1" customWidth="1"/>
    <col min="11524" max="11524" width="22.5546875" customWidth="1"/>
    <col min="11525" max="11525" width="1" customWidth="1"/>
    <col min="11526" max="11526" width="28" customWidth="1"/>
    <col min="11527" max="11527" width="1.33203125" customWidth="1"/>
    <col min="11528" max="11528" width="14.6640625" customWidth="1"/>
    <col min="11529" max="11529" width="12" bestFit="1" customWidth="1"/>
    <col min="11531" max="11531" width="8.88671875" customWidth="1"/>
    <col min="11534" max="11535" width="10" bestFit="1" customWidth="1"/>
    <col min="11768" max="11768" width="38.44140625" customWidth="1"/>
    <col min="11769" max="11769" width="16.33203125" customWidth="1"/>
    <col min="11770" max="11770" width="13.33203125" customWidth="1"/>
    <col min="11771" max="11771" width="15.109375" bestFit="1" customWidth="1"/>
    <col min="11772" max="11774" width="15.109375" customWidth="1"/>
    <col min="11775" max="11775" width="17.6640625" customWidth="1"/>
    <col min="11776" max="11776" width="17.109375" customWidth="1"/>
    <col min="11777" max="11777" width="15.109375" customWidth="1"/>
    <col min="11778" max="11778" width="17.6640625" customWidth="1"/>
    <col min="11779" max="11779" width="15" bestFit="1" customWidth="1"/>
    <col min="11780" max="11780" width="22.5546875" customWidth="1"/>
    <col min="11781" max="11781" width="1" customWidth="1"/>
    <col min="11782" max="11782" width="28" customWidth="1"/>
    <col min="11783" max="11783" width="1.33203125" customWidth="1"/>
    <col min="11784" max="11784" width="14.6640625" customWidth="1"/>
    <col min="11785" max="11785" width="12" bestFit="1" customWidth="1"/>
    <col min="11787" max="11787" width="8.88671875" customWidth="1"/>
    <col min="11790" max="11791" width="10" bestFit="1" customWidth="1"/>
    <col min="12024" max="12024" width="38.44140625" customWidth="1"/>
    <col min="12025" max="12025" width="16.33203125" customWidth="1"/>
    <col min="12026" max="12026" width="13.33203125" customWidth="1"/>
    <col min="12027" max="12027" width="15.109375" bestFit="1" customWidth="1"/>
    <col min="12028" max="12030" width="15.109375" customWidth="1"/>
    <col min="12031" max="12031" width="17.6640625" customWidth="1"/>
    <col min="12032" max="12032" width="17.109375" customWidth="1"/>
    <col min="12033" max="12033" width="15.109375" customWidth="1"/>
    <col min="12034" max="12034" width="17.6640625" customWidth="1"/>
    <col min="12035" max="12035" width="15" bestFit="1" customWidth="1"/>
    <col min="12036" max="12036" width="22.5546875" customWidth="1"/>
    <col min="12037" max="12037" width="1" customWidth="1"/>
    <col min="12038" max="12038" width="28" customWidth="1"/>
    <col min="12039" max="12039" width="1.33203125" customWidth="1"/>
    <col min="12040" max="12040" width="14.6640625" customWidth="1"/>
    <col min="12041" max="12041" width="12" bestFit="1" customWidth="1"/>
    <col min="12043" max="12043" width="8.88671875" customWidth="1"/>
    <col min="12046" max="12047" width="10" bestFit="1" customWidth="1"/>
    <col min="12280" max="12280" width="38.44140625" customWidth="1"/>
    <col min="12281" max="12281" width="16.33203125" customWidth="1"/>
    <col min="12282" max="12282" width="13.33203125" customWidth="1"/>
    <col min="12283" max="12283" width="15.109375" bestFit="1" customWidth="1"/>
    <col min="12284" max="12286" width="15.109375" customWidth="1"/>
    <col min="12287" max="12287" width="17.6640625" customWidth="1"/>
    <col min="12288" max="12288" width="17.109375" customWidth="1"/>
    <col min="12289" max="12289" width="15.109375" customWidth="1"/>
    <col min="12290" max="12290" width="17.6640625" customWidth="1"/>
    <col min="12291" max="12291" width="15" bestFit="1" customWidth="1"/>
    <col min="12292" max="12292" width="22.5546875" customWidth="1"/>
    <col min="12293" max="12293" width="1" customWidth="1"/>
    <col min="12294" max="12294" width="28" customWidth="1"/>
    <col min="12295" max="12295" width="1.33203125" customWidth="1"/>
    <col min="12296" max="12296" width="14.6640625" customWidth="1"/>
    <col min="12297" max="12297" width="12" bestFit="1" customWidth="1"/>
    <col min="12299" max="12299" width="8.88671875" customWidth="1"/>
    <col min="12302" max="12303" width="10" bestFit="1" customWidth="1"/>
    <col min="12536" max="12536" width="38.44140625" customWidth="1"/>
    <col min="12537" max="12537" width="16.33203125" customWidth="1"/>
    <col min="12538" max="12538" width="13.33203125" customWidth="1"/>
    <col min="12539" max="12539" width="15.109375" bestFit="1" customWidth="1"/>
    <col min="12540" max="12542" width="15.109375" customWidth="1"/>
    <col min="12543" max="12543" width="17.6640625" customWidth="1"/>
    <col min="12544" max="12544" width="17.109375" customWidth="1"/>
    <col min="12545" max="12545" width="15.109375" customWidth="1"/>
    <col min="12546" max="12546" width="17.6640625" customWidth="1"/>
    <col min="12547" max="12547" width="15" bestFit="1" customWidth="1"/>
    <col min="12548" max="12548" width="22.5546875" customWidth="1"/>
    <col min="12549" max="12549" width="1" customWidth="1"/>
    <col min="12550" max="12550" width="28" customWidth="1"/>
    <col min="12551" max="12551" width="1.33203125" customWidth="1"/>
    <col min="12552" max="12552" width="14.6640625" customWidth="1"/>
    <col min="12553" max="12553" width="12" bestFit="1" customWidth="1"/>
    <col min="12555" max="12555" width="8.88671875" customWidth="1"/>
    <col min="12558" max="12559" width="10" bestFit="1" customWidth="1"/>
    <col min="12792" max="12792" width="38.44140625" customWidth="1"/>
    <col min="12793" max="12793" width="16.33203125" customWidth="1"/>
    <col min="12794" max="12794" width="13.33203125" customWidth="1"/>
    <col min="12795" max="12795" width="15.109375" bestFit="1" customWidth="1"/>
    <col min="12796" max="12798" width="15.109375" customWidth="1"/>
    <col min="12799" max="12799" width="17.6640625" customWidth="1"/>
    <col min="12800" max="12800" width="17.109375" customWidth="1"/>
    <col min="12801" max="12801" width="15.109375" customWidth="1"/>
    <col min="12802" max="12802" width="17.6640625" customWidth="1"/>
    <col min="12803" max="12803" width="15" bestFit="1" customWidth="1"/>
    <col min="12804" max="12804" width="22.5546875" customWidth="1"/>
    <col min="12805" max="12805" width="1" customWidth="1"/>
    <col min="12806" max="12806" width="28" customWidth="1"/>
    <col min="12807" max="12807" width="1.33203125" customWidth="1"/>
    <col min="12808" max="12808" width="14.6640625" customWidth="1"/>
    <col min="12809" max="12809" width="12" bestFit="1" customWidth="1"/>
    <col min="12811" max="12811" width="8.88671875" customWidth="1"/>
    <col min="12814" max="12815" width="10" bestFit="1" customWidth="1"/>
    <col min="13048" max="13048" width="38.44140625" customWidth="1"/>
    <col min="13049" max="13049" width="16.33203125" customWidth="1"/>
    <col min="13050" max="13050" width="13.33203125" customWidth="1"/>
    <col min="13051" max="13051" width="15.109375" bestFit="1" customWidth="1"/>
    <col min="13052" max="13054" width="15.109375" customWidth="1"/>
    <col min="13055" max="13055" width="17.6640625" customWidth="1"/>
    <col min="13056" max="13056" width="17.109375" customWidth="1"/>
    <col min="13057" max="13057" width="15.109375" customWidth="1"/>
    <col min="13058" max="13058" width="17.6640625" customWidth="1"/>
    <col min="13059" max="13059" width="15" bestFit="1" customWidth="1"/>
    <col min="13060" max="13060" width="22.5546875" customWidth="1"/>
    <col min="13061" max="13061" width="1" customWidth="1"/>
    <col min="13062" max="13062" width="28" customWidth="1"/>
    <col min="13063" max="13063" width="1.33203125" customWidth="1"/>
    <col min="13064" max="13064" width="14.6640625" customWidth="1"/>
    <col min="13065" max="13065" width="12" bestFit="1" customWidth="1"/>
    <col min="13067" max="13067" width="8.88671875" customWidth="1"/>
    <col min="13070" max="13071" width="10" bestFit="1" customWidth="1"/>
    <col min="13304" max="13304" width="38.44140625" customWidth="1"/>
    <col min="13305" max="13305" width="16.33203125" customWidth="1"/>
    <col min="13306" max="13306" width="13.33203125" customWidth="1"/>
    <col min="13307" max="13307" width="15.109375" bestFit="1" customWidth="1"/>
    <col min="13308" max="13310" width="15.109375" customWidth="1"/>
    <col min="13311" max="13311" width="17.6640625" customWidth="1"/>
    <col min="13312" max="13312" width="17.109375" customWidth="1"/>
    <col min="13313" max="13313" width="15.109375" customWidth="1"/>
    <col min="13314" max="13314" width="17.6640625" customWidth="1"/>
    <col min="13315" max="13315" width="15" bestFit="1" customWidth="1"/>
    <col min="13316" max="13316" width="22.5546875" customWidth="1"/>
    <col min="13317" max="13317" width="1" customWidth="1"/>
    <col min="13318" max="13318" width="28" customWidth="1"/>
    <col min="13319" max="13319" width="1.33203125" customWidth="1"/>
    <col min="13320" max="13320" width="14.6640625" customWidth="1"/>
    <col min="13321" max="13321" width="12" bestFit="1" customWidth="1"/>
    <col min="13323" max="13323" width="8.88671875" customWidth="1"/>
    <col min="13326" max="13327" width="10" bestFit="1" customWidth="1"/>
    <col min="13560" max="13560" width="38.44140625" customWidth="1"/>
    <col min="13561" max="13561" width="16.33203125" customWidth="1"/>
    <col min="13562" max="13562" width="13.33203125" customWidth="1"/>
    <col min="13563" max="13563" width="15.109375" bestFit="1" customWidth="1"/>
    <col min="13564" max="13566" width="15.109375" customWidth="1"/>
    <col min="13567" max="13567" width="17.6640625" customWidth="1"/>
    <col min="13568" max="13568" width="17.109375" customWidth="1"/>
    <col min="13569" max="13569" width="15.109375" customWidth="1"/>
    <col min="13570" max="13570" width="17.6640625" customWidth="1"/>
    <col min="13571" max="13571" width="15" bestFit="1" customWidth="1"/>
    <col min="13572" max="13572" width="22.5546875" customWidth="1"/>
    <col min="13573" max="13573" width="1" customWidth="1"/>
    <col min="13574" max="13574" width="28" customWidth="1"/>
    <col min="13575" max="13575" width="1.33203125" customWidth="1"/>
    <col min="13576" max="13576" width="14.6640625" customWidth="1"/>
    <col min="13577" max="13577" width="12" bestFit="1" customWidth="1"/>
    <col min="13579" max="13579" width="8.88671875" customWidth="1"/>
    <col min="13582" max="13583" width="10" bestFit="1" customWidth="1"/>
    <col min="13816" max="13816" width="38.44140625" customWidth="1"/>
    <col min="13817" max="13817" width="16.33203125" customWidth="1"/>
    <col min="13818" max="13818" width="13.33203125" customWidth="1"/>
    <col min="13819" max="13819" width="15.109375" bestFit="1" customWidth="1"/>
    <col min="13820" max="13822" width="15.109375" customWidth="1"/>
    <col min="13823" max="13823" width="17.6640625" customWidth="1"/>
    <col min="13824" max="13824" width="17.109375" customWidth="1"/>
    <col min="13825" max="13825" width="15.109375" customWidth="1"/>
    <col min="13826" max="13826" width="17.6640625" customWidth="1"/>
    <col min="13827" max="13827" width="15" bestFit="1" customWidth="1"/>
    <col min="13828" max="13828" width="22.5546875" customWidth="1"/>
    <col min="13829" max="13829" width="1" customWidth="1"/>
    <col min="13830" max="13830" width="28" customWidth="1"/>
    <col min="13831" max="13831" width="1.33203125" customWidth="1"/>
    <col min="13832" max="13832" width="14.6640625" customWidth="1"/>
    <col min="13833" max="13833" width="12" bestFit="1" customWidth="1"/>
    <col min="13835" max="13835" width="8.88671875" customWidth="1"/>
    <col min="13838" max="13839" width="10" bestFit="1" customWidth="1"/>
    <col min="14072" max="14072" width="38.44140625" customWidth="1"/>
    <col min="14073" max="14073" width="16.33203125" customWidth="1"/>
    <col min="14074" max="14074" width="13.33203125" customWidth="1"/>
    <col min="14075" max="14075" width="15.109375" bestFit="1" customWidth="1"/>
    <col min="14076" max="14078" width="15.109375" customWidth="1"/>
    <col min="14079" max="14079" width="17.6640625" customWidth="1"/>
    <col min="14080" max="14080" width="17.109375" customWidth="1"/>
    <col min="14081" max="14081" width="15.109375" customWidth="1"/>
    <col min="14082" max="14082" width="17.6640625" customWidth="1"/>
    <col min="14083" max="14083" width="15" bestFit="1" customWidth="1"/>
    <col min="14084" max="14084" width="22.5546875" customWidth="1"/>
    <col min="14085" max="14085" width="1" customWidth="1"/>
    <col min="14086" max="14086" width="28" customWidth="1"/>
    <col min="14087" max="14087" width="1.33203125" customWidth="1"/>
    <col min="14088" max="14088" width="14.6640625" customWidth="1"/>
    <col min="14089" max="14089" width="12" bestFit="1" customWidth="1"/>
    <col min="14091" max="14091" width="8.88671875" customWidth="1"/>
    <col min="14094" max="14095" width="10" bestFit="1" customWidth="1"/>
    <col min="14328" max="14328" width="38.44140625" customWidth="1"/>
    <col min="14329" max="14329" width="16.33203125" customWidth="1"/>
    <col min="14330" max="14330" width="13.33203125" customWidth="1"/>
    <col min="14331" max="14331" width="15.109375" bestFit="1" customWidth="1"/>
    <col min="14332" max="14334" width="15.109375" customWidth="1"/>
    <col min="14335" max="14335" width="17.6640625" customWidth="1"/>
    <col min="14336" max="14336" width="17.109375" customWidth="1"/>
    <col min="14337" max="14337" width="15.109375" customWidth="1"/>
    <col min="14338" max="14338" width="17.6640625" customWidth="1"/>
    <col min="14339" max="14339" width="15" bestFit="1" customWidth="1"/>
    <col min="14340" max="14340" width="22.5546875" customWidth="1"/>
    <col min="14341" max="14341" width="1" customWidth="1"/>
    <col min="14342" max="14342" width="28" customWidth="1"/>
    <col min="14343" max="14343" width="1.33203125" customWidth="1"/>
    <col min="14344" max="14344" width="14.6640625" customWidth="1"/>
    <col min="14345" max="14345" width="12" bestFit="1" customWidth="1"/>
    <col min="14347" max="14347" width="8.88671875" customWidth="1"/>
    <col min="14350" max="14351" width="10" bestFit="1" customWidth="1"/>
    <col min="14584" max="14584" width="38.44140625" customWidth="1"/>
    <col min="14585" max="14585" width="16.33203125" customWidth="1"/>
    <col min="14586" max="14586" width="13.33203125" customWidth="1"/>
    <col min="14587" max="14587" width="15.109375" bestFit="1" customWidth="1"/>
    <col min="14588" max="14590" width="15.109375" customWidth="1"/>
    <col min="14591" max="14591" width="17.6640625" customWidth="1"/>
    <col min="14592" max="14592" width="17.109375" customWidth="1"/>
    <col min="14593" max="14593" width="15.109375" customWidth="1"/>
    <col min="14594" max="14594" width="17.6640625" customWidth="1"/>
    <col min="14595" max="14595" width="15" bestFit="1" customWidth="1"/>
    <col min="14596" max="14596" width="22.5546875" customWidth="1"/>
    <col min="14597" max="14597" width="1" customWidth="1"/>
    <col min="14598" max="14598" width="28" customWidth="1"/>
    <col min="14599" max="14599" width="1.33203125" customWidth="1"/>
    <col min="14600" max="14600" width="14.6640625" customWidth="1"/>
    <col min="14601" max="14601" width="12" bestFit="1" customWidth="1"/>
    <col min="14603" max="14603" width="8.88671875" customWidth="1"/>
    <col min="14606" max="14607" width="10" bestFit="1" customWidth="1"/>
    <col min="14840" max="14840" width="38.44140625" customWidth="1"/>
    <col min="14841" max="14841" width="16.33203125" customWidth="1"/>
    <col min="14842" max="14842" width="13.33203125" customWidth="1"/>
    <col min="14843" max="14843" width="15.109375" bestFit="1" customWidth="1"/>
    <col min="14844" max="14846" width="15.109375" customWidth="1"/>
    <col min="14847" max="14847" width="17.6640625" customWidth="1"/>
    <col min="14848" max="14848" width="17.109375" customWidth="1"/>
    <col min="14849" max="14849" width="15.109375" customWidth="1"/>
    <col min="14850" max="14850" width="17.6640625" customWidth="1"/>
    <col min="14851" max="14851" width="15" bestFit="1" customWidth="1"/>
    <col min="14852" max="14852" width="22.5546875" customWidth="1"/>
    <col min="14853" max="14853" width="1" customWidth="1"/>
    <col min="14854" max="14854" width="28" customWidth="1"/>
    <col min="14855" max="14855" width="1.33203125" customWidth="1"/>
    <col min="14856" max="14856" width="14.6640625" customWidth="1"/>
    <col min="14857" max="14857" width="12" bestFit="1" customWidth="1"/>
    <col min="14859" max="14859" width="8.88671875" customWidth="1"/>
    <col min="14862" max="14863" width="10" bestFit="1" customWidth="1"/>
    <col min="15096" max="15096" width="38.44140625" customWidth="1"/>
    <col min="15097" max="15097" width="16.33203125" customWidth="1"/>
    <col min="15098" max="15098" width="13.33203125" customWidth="1"/>
    <col min="15099" max="15099" width="15.109375" bestFit="1" customWidth="1"/>
    <col min="15100" max="15102" width="15.109375" customWidth="1"/>
    <col min="15103" max="15103" width="17.6640625" customWidth="1"/>
    <col min="15104" max="15104" width="17.109375" customWidth="1"/>
    <col min="15105" max="15105" width="15.109375" customWidth="1"/>
    <col min="15106" max="15106" width="17.6640625" customWidth="1"/>
    <col min="15107" max="15107" width="15" bestFit="1" customWidth="1"/>
    <col min="15108" max="15108" width="22.5546875" customWidth="1"/>
    <col min="15109" max="15109" width="1" customWidth="1"/>
    <col min="15110" max="15110" width="28" customWidth="1"/>
    <col min="15111" max="15111" width="1.33203125" customWidth="1"/>
    <col min="15112" max="15112" width="14.6640625" customWidth="1"/>
    <col min="15113" max="15113" width="12" bestFit="1" customWidth="1"/>
    <col min="15115" max="15115" width="8.88671875" customWidth="1"/>
    <col min="15118" max="15119" width="10" bestFit="1" customWidth="1"/>
    <col min="15352" max="15352" width="38.44140625" customWidth="1"/>
    <col min="15353" max="15353" width="16.33203125" customWidth="1"/>
    <col min="15354" max="15354" width="13.33203125" customWidth="1"/>
    <col min="15355" max="15355" width="15.109375" bestFit="1" customWidth="1"/>
    <col min="15356" max="15358" width="15.109375" customWidth="1"/>
    <col min="15359" max="15359" width="17.6640625" customWidth="1"/>
    <col min="15360" max="15360" width="17.109375" customWidth="1"/>
    <col min="15361" max="15361" width="15.109375" customWidth="1"/>
    <col min="15362" max="15362" width="17.6640625" customWidth="1"/>
    <col min="15363" max="15363" width="15" bestFit="1" customWidth="1"/>
    <col min="15364" max="15364" width="22.5546875" customWidth="1"/>
    <col min="15365" max="15365" width="1" customWidth="1"/>
    <col min="15366" max="15366" width="28" customWidth="1"/>
    <col min="15367" max="15367" width="1.33203125" customWidth="1"/>
    <col min="15368" max="15368" width="14.6640625" customWidth="1"/>
    <col min="15369" max="15369" width="12" bestFit="1" customWidth="1"/>
    <col min="15371" max="15371" width="8.88671875" customWidth="1"/>
    <col min="15374" max="15375" width="10" bestFit="1" customWidth="1"/>
    <col min="15608" max="15608" width="38.44140625" customWidth="1"/>
    <col min="15609" max="15609" width="16.33203125" customWidth="1"/>
    <col min="15610" max="15610" width="13.33203125" customWidth="1"/>
    <col min="15611" max="15611" width="15.109375" bestFit="1" customWidth="1"/>
    <col min="15612" max="15614" width="15.109375" customWidth="1"/>
    <col min="15615" max="15615" width="17.6640625" customWidth="1"/>
    <col min="15616" max="15616" width="17.109375" customWidth="1"/>
    <col min="15617" max="15617" width="15.109375" customWidth="1"/>
    <col min="15618" max="15618" width="17.6640625" customWidth="1"/>
    <col min="15619" max="15619" width="15" bestFit="1" customWidth="1"/>
    <col min="15620" max="15620" width="22.5546875" customWidth="1"/>
    <col min="15621" max="15621" width="1" customWidth="1"/>
    <col min="15622" max="15622" width="28" customWidth="1"/>
    <col min="15623" max="15623" width="1.33203125" customWidth="1"/>
    <col min="15624" max="15624" width="14.6640625" customWidth="1"/>
    <col min="15625" max="15625" width="12" bestFit="1" customWidth="1"/>
    <col min="15627" max="15627" width="8.88671875" customWidth="1"/>
    <col min="15630" max="15631" width="10" bestFit="1" customWidth="1"/>
    <col min="15864" max="15864" width="38.44140625" customWidth="1"/>
    <col min="15865" max="15865" width="16.33203125" customWidth="1"/>
    <col min="15866" max="15866" width="13.33203125" customWidth="1"/>
    <col min="15867" max="15867" width="15.109375" bestFit="1" customWidth="1"/>
    <col min="15868" max="15870" width="15.109375" customWidth="1"/>
    <col min="15871" max="15871" width="17.6640625" customWidth="1"/>
    <col min="15872" max="15872" width="17.109375" customWidth="1"/>
    <col min="15873" max="15873" width="15.109375" customWidth="1"/>
    <col min="15874" max="15874" width="17.6640625" customWidth="1"/>
    <col min="15875" max="15875" width="15" bestFit="1" customWidth="1"/>
    <col min="15876" max="15876" width="22.5546875" customWidth="1"/>
    <col min="15877" max="15877" width="1" customWidth="1"/>
    <col min="15878" max="15878" width="28" customWidth="1"/>
    <col min="15879" max="15879" width="1.33203125" customWidth="1"/>
    <col min="15880" max="15880" width="14.6640625" customWidth="1"/>
    <col min="15881" max="15881" width="12" bestFit="1" customWidth="1"/>
    <col min="15883" max="15883" width="8.88671875" customWidth="1"/>
    <col min="15886" max="15887" width="10" bestFit="1" customWidth="1"/>
    <col min="16120" max="16120" width="38.44140625" customWidth="1"/>
    <col min="16121" max="16121" width="16.33203125" customWidth="1"/>
    <col min="16122" max="16122" width="13.33203125" customWidth="1"/>
    <col min="16123" max="16123" width="15.109375" bestFit="1" customWidth="1"/>
    <col min="16124" max="16126" width="15.109375" customWidth="1"/>
    <col min="16127" max="16127" width="17.6640625" customWidth="1"/>
    <col min="16128" max="16128" width="17.109375" customWidth="1"/>
    <col min="16129" max="16129" width="15.109375" customWidth="1"/>
    <col min="16130" max="16130" width="17.6640625" customWidth="1"/>
    <col min="16131" max="16131" width="15" bestFit="1" customWidth="1"/>
    <col min="16132" max="16132" width="22.5546875" customWidth="1"/>
    <col min="16133" max="16133" width="1" customWidth="1"/>
    <col min="16134" max="16134" width="28" customWidth="1"/>
    <col min="16135" max="16135" width="1.33203125" customWidth="1"/>
    <col min="16136" max="16136" width="14.6640625" customWidth="1"/>
    <col min="16137" max="16137" width="12" bestFit="1" customWidth="1"/>
    <col min="16139" max="16139" width="8.88671875" customWidth="1"/>
    <col min="16142" max="16143" width="10" bestFit="1" customWidth="1"/>
  </cols>
  <sheetData>
    <row r="1" spans="1:11" hidden="1">
      <c r="A1" s="563" t="s">
        <v>255</v>
      </c>
      <c r="B1" s="563"/>
      <c r="C1" s="563"/>
      <c r="D1" s="563"/>
    </row>
    <row r="2" spans="1:11" ht="72.599999999999994" hidden="1" customHeight="1" thickBot="1">
      <c r="A2" s="308"/>
      <c r="B2" s="309" t="s">
        <v>128</v>
      </c>
      <c r="C2" s="310" t="s">
        <v>256</v>
      </c>
      <c r="D2" s="310" t="s">
        <v>192</v>
      </c>
    </row>
    <row r="3" spans="1:11" s="276" customFormat="1" ht="14.4" hidden="1" customHeight="1">
      <c r="A3" s="311" t="s">
        <v>2</v>
      </c>
      <c r="B3" s="312">
        <f>'[13]Salary Bench Chart'!C4</f>
        <v>32198.400000000001</v>
      </c>
      <c r="C3" s="313">
        <f>32302</f>
        <v>32302</v>
      </c>
      <c r="D3" s="313">
        <v>41517</v>
      </c>
      <c r="F3"/>
      <c r="G3"/>
      <c r="H3"/>
      <c r="I3"/>
      <c r="J3"/>
      <c r="K3"/>
    </row>
    <row r="4" spans="1:11" s="276" customFormat="1" ht="14.4" hidden="1" customHeight="1">
      <c r="A4" s="314" t="s">
        <v>7</v>
      </c>
      <c r="B4" s="315">
        <f>'[13]Salary Bench Chart'!$C$30</f>
        <v>0.224</v>
      </c>
      <c r="C4" s="315">
        <f>'[13]Salary Bench Chart'!$C$30</f>
        <v>0.224</v>
      </c>
      <c r="D4" s="315">
        <f>'[13]Salary Bench Chart'!$C$30</f>
        <v>0.224</v>
      </c>
      <c r="F4"/>
      <c r="G4"/>
      <c r="H4"/>
      <c r="I4"/>
      <c r="J4"/>
      <c r="K4"/>
    </row>
    <row r="5" spans="1:11" s="276" customFormat="1" ht="14.4" hidden="1" customHeight="1">
      <c r="A5" s="314" t="s">
        <v>257</v>
      </c>
      <c r="B5" s="316">
        <f>B3*B4</f>
        <v>7212.4416000000001</v>
      </c>
      <c r="C5" s="317">
        <f t="shared" ref="C5:D5" si="0">C3*C4</f>
        <v>7235.6480000000001</v>
      </c>
      <c r="D5" s="317">
        <f t="shared" si="0"/>
        <v>9299.8080000000009</v>
      </c>
      <c r="F5"/>
      <c r="G5"/>
      <c r="H5"/>
      <c r="I5"/>
      <c r="J5"/>
      <c r="K5"/>
    </row>
    <row r="6" spans="1:11" s="276" customFormat="1" ht="14.4" hidden="1" customHeight="1">
      <c r="A6" s="314" t="s">
        <v>258</v>
      </c>
      <c r="B6" s="316">
        <f>B3+B5</f>
        <v>39410.8416</v>
      </c>
      <c r="C6" s="317">
        <f t="shared" ref="C6:D6" si="1">C3+C5</f>
        <v>39537.648000000001</v>
      </c>
      <c r="D6" s="317">
        <f t="shared" si="1"/>
        <v>50816.808000000005</v>
      </c>
      <c r="F6"/>
      <c r="G6"/>
      <c r="H6"/>
      <c r="I6"/>
      <c r="J6"/>
      <c r="K6"/>
    </row>
    <row r="7" spans="1:11" s="276" customFormat="1" ht="14.4" hidden="1" customHeight="1">
      <c r="A7" s="318" t="s">
        <v>184</v>
      </c>
      <c r="B7" s="319" t="e">
        <f>B3*#REF!</f>
        <v>#REF!</v>
      </c>
      <c r="C7" s="319">
        <f>C3*$D$23</f>
        <v>119.51740000000001</v>
      </c>
      <c r="D7" s="319">
        <f>D3*$D$23</f>
        <v>153.6129</v>
      </c>
      <c r="F7"/>
      <c r="G7"/>
      <c r="H7"/>
      <c r="I7"/>
      <c r="J7"/>
      <c r="K7"/>
    </row>
    <row r="8" spans="1:11" s="276" customFormat="1" hidden="1">
      <c r="A8" s="314" t="s">
        <v>259</v>
      </c>
      <c r="B8" s="316" t="e">
        <f>B7+B6</f>
        <v>#REF!</v>
      </c>
      <c r="C8" s="317">
        <f t="shared" ref="C8:D8" si="2">C7+C6</f>
        <v>39657.165399999998</v>
      </c>
      <c r="D8" s="317">
        <f t="shared" si="2"/>
        <v>50970.420900000005</v>
      </c>
      <c r="F8"/>
      <c r="G8"/>
      <c r="H8"/>
      <c r="I8"/>
      <c r="J8"/>
      <c r="K8"/>
    </row>
    <row r="9" spans="1:11" ht="15" hidden="1" customHeight="1" thickBot="1">
      <c r="A9" s="314" t="s">
        <v>246</v>
      </c>
      <c r="B9" s="322" t="e">
        <f>(B8*$D$25)-(B3*$D$25)</f>
        <v>#REF!</v>
      </c>
      <c r="C9" s="323">
        <f>(C8*$D$25)-(C3*$D$25)</f>
        <v>130.77667128952567</v>
      </c>
      <c r="D9" s="323">
        <f>(D8*$D$25)-(D3*$D$25)</f>
        <v>168.0841762716625</v>
      </c>
    </row>
    <row r="10" spans="1:11" ht="15" hidden="1" thickBot="1">
      <c r="A10" s="324" t="s">
        <v>260</v>
      </c>
      <c r="B10" s="325" t="e">
        <f>SUM(B8+B9)/12</f>
        <v>#REF!</v>
      </c>
      <c r="C10" s="325">
        <f t="shared" ref="C10:D10" si="3">SUM(C8+C9)/12</f>
        <v>3315.661839274127</v>
      </c>
      <c r="D10" s="325">
        <f t="shared" si="3"/>
        <v>4261.5420896893056</v>
      </c>
    </row>
    <row r="11" spans="1:11" ht="15" hidden="1" thickBot="1">
      <c r="A11" s="324" t="s">
        <v>261</v>
      </c>
      <c r="B11" s="325" t="e">
        <f>B10*0.75</f>
        <v>#REF!</v>
      </c>
      <c r="C11" s="325">
        <f t="shared" ref="C11:D11" si="4">C10*0.75</f>
        <v>2486.7463794555952</v>
      </c>
      <c r="D11" s="325">
        <f t="shared" si="4"/>
        <v>3196.1565672669794</v>
      </c>
    </row>
    <row r="12" spans="1:11" ht="15" hidden="1" thickBot="1">
      <c r="A12" s="324" t="s">
        <v>262</v>
      </c>
      <c r="B12" s="325" t="e">
        <f>B10*0.5</f>
        <v>#REF!</v>
      </c>
      <c r="C12" s="325">
        <f t="shared" ref="C12:D12" si="5">C10*0.5</f>
        <v>1657.8309196370635</v>
      </c>
      <c r="D12" s="325">
        <f t="shared" si="5"/>
        <v>2130.7710448446528</v>
      </c>
    </row>
    <row r="13" spans="1:11" ht="15" hidden="1" thickBot="1">
      <c r="A13" s="324" t="s">
        <v>263</v>
      </c>
      <c r="B13" s="325" t="e">
        <f>B10*0.25</f>
        <v>#REF!</v>
      </c>
      <c r="C13" s="325">
        <f t="shared" ref="C13:D13" si="6">C10*0.25</f>
        <v>828.91545981853176</v>
      </c>
      <c r="D13" s="325">
        <f t="shared" si="6"/>
        <v>1065.3855224223264</v>
      </c>
    </row>
    <row r="14" spans="1:11" hidden="1">
      <c r="G14" s="37"/>
      <c r="H14" s="37"/>
    </row>
    <row r="15" spans="1:11" ht="18" hidden="1">
      <c r="A15" s="329" t="s">
        <v>111</v>
      </c>
      <c r="B15" s="330"/>
      <c r="C15" s="331"/>
      <c r="D15" s="330"/>
      <c r="E15" s="332"/>
      <c r="F15" s="333"/>
      <c r="G15" s="334"/>
      <c r="H15" s="37"/>
    </row>
    <row r="16" spans="1:11">
      <c r="A16" s="563" t="s">
        <v>273</v>
      </c>
      <c r="B16" s="563"/>
      <c r="C16" s="563"/>
      <c r="D16" s="563"/>
      <c r="E16" s="335"/>
      <c r="F16" s="335"/>
      <c r="G16" s="335"/>
      <c r="H16" s="37"/>
    </row>
    <row r="17" spans="1:9" ht="15" customHeight="1" thickBot="1">
      <c r="A17" s="329"/>
      <c r="B17" s="336"/>
      <c r="C17" s="330"/>
      <c r="D17"/>
      <c r="E17"/>
      <c r="F17" s="37"/>
      <c r="G17" s="37"/>
    </row>
    <row r="18" spans="1:9" ht="15" thickBot="1">
      <c r="A18" s="308"/>
      <c r="B18" s="337" t="s">
        <v>128</v>
      </c>
      <c r="C18" s="338" t="s">
        <v>192</v>
      </c>
      <c r="D18" s="570" t="s">
        <v>122</v>
      </c>
      <c r="E18" s="571"/>
      <c r="H18" s="37"/>
      <c r="I18" s="37"/>
    </row>
    <row r="19" spans="1:9">
      <c r="A19" s="311" t="s">
        <v>2</v>
      </c>
      <c r="B19" s="312">
        <f>[14]Chart!C4</f>
        <v>32198.400000000001</v>
      </c>
      <c r="C19" s="313">
        <v>41517</v>
      </c>
      <c r="D19" s="572" t="s">
        <v>271</v>
      </c>
      <c r="E19" s="573"/>
      <c r="H19" s="37"/>
      <c r="I19" s="37"/>
    </row>
    <row r="20" spans="1:9">
      <c r="A20" s="314" t="s">
        <v>7</v>
      </c>
      <c r="B20" s="315">
        <f>'[13]Salary Bench Chart'!$C$30</f>
        <v>0.224</v>
      </c>
      <c r="C20" s="315">
        <f>'[13]Salary Bench Chart'!$C$30</f>
        <v>0.224</v>
      </c>
      <c r="D20" s="574" t="s">
        <v>272</v>
      </c>
      <c r="E20" s="575"/>
      <c r="H20" s="37"/>
      <c r="I20" s="37"/>
    </row>
    <row r="21" spans="1:9">
      <c r="A21" s="314" t="s">
        <v>257</v>
      </c>
      <c r="B21" s="316">
        <f t="shared" ref="B21:C21" si="7">B19*B20</f>
        <v>7212.4416000000001</v>
      </c>
      <c r="C21" s="317">
        <f t="shared" si="7"/>
        <v>9299.8080000000009</v>
      </c>
      <c r="D21" s="564"/>
      <c r="E21" s="565"/>
      <c r="H21" s="37"/>
      <c r="I21" s="339"/>
    </row>
    <row r="22" spans="1:9">
      <c r="A22" s="314" t="s">
        <v>258</v>
      </c>
      <c r="B22" s="316">
        <f>B19+B21</f>
        <v>39410.8416</v>
      </c>
      <c r="C22" s="317">
        <f t="shared" ref="C22" si="8">C19+C21</f>
        <v>50816.808000000005</v>
      </c>
      <c r="D22" s="564"/>
      <c r="E22" s="565"/>
      <c r="H22" s="37"/>
      <c r="I22" s="37"/>
    </row>
    <row r="23" spans="1:9">
      <c r="A23" s="318" t="s">
        <v>184</v>
      </c>
      <c r="B23" s="319">
        <f>B19*D23</f>
        <v>119.13408000000001</v>
      </c>
      <c r="C23" s="319">
        <f>C19*$D$23</f>
        <v>153.6129</v>
      </c>
      <c r="D23" s="566">
        <v>3.7000000000000002E-3</v>
      </c>
      <c r="E23" s="567"/>
      <c r="H23" s="37"/>
      <c r="I23" s="37"/>
    </row>
    <row r="24" spans="1:9">
      <c r="A24" s="314" t="s">
        <v>259</v>
      </c>
      <c r="B24" s="316">
        <f>B23+B22</f>
        <v>39529.975680000003</v>
      </c>
      <c r="C24" s="317">
        <f t="shared" ref="C24" si="9">C23+C22</f>
        <v>50970.420900000005</v>
      </c>
      <c r="D24" s="320"/>
      <c r="E24" s="321"/>
      <c r="H24" s="37"/>
      <c r="I24" s="37"/>
    </row>
    <row r="25" spans="1:9">
      <c r="A25" s="314" t="s">
        <v>246</v>
      </c>
      <c r="B25" s="316">
        <f>(B24*$D$25)-(B19*$D$25)</f>
        <v>130.35724019716008</v>
      </c>
      <c r="C25" s="317">
        <f>(C24*$D$25)-(C19*$D$25)</f>
        <v>168.0841762716625</v>
      </c>
      <c r="D25" s="568">
        <f>'[14]CAF 2019 Fall'!BZ25</f>
        <v>1.7780248869661817E-2</v>
      </c>
      <c r="E25" s="569"/>
      <c r="H25" s="37"/>
      <c r="I25" s="37"/>
    </row>
    <row r="26" spans="1:9" ht="15" thickBot="1">
      <c r="A26" s="314" t="s">
        <v>252</v>
      </c>
      <c r="B26" s="340">
        <f>D41</f>
        <v>1952</v>
      </c>
      <c r="C26" s="341">
        <f>$D$41</f>
        <v>1952</v>
      </c>
      <c r="D26" s="342"/>
      <c r="E26" s="343"/>
      <c r="H26" s="37"/>
      <c r="I26" s="37"/>
    </row>
    <row r="27" spans="1:9" s="39" customFormat="1" ht="15.6" thickTop="1" thickBot="1">
      <c r="A27" s="324" t="s">
        <v>269</v>
      </c>
      <c r="B27" s="372">
        <f>(B24+B25)/B26</f>
        <v>20.317793504199368</v>
      </c>
      <c r="C27" s="372">
        <f>(C24+C25)/C26</f>
        <v>26.198004649729334</v>
      </c>
      <c r="D27" s="326"/>
      <c r="E27" s="327"/>
      <c r="H27" s="80"/>
      <c r="I27" s="80"/>
    </row>
    <row r="28" spans="1:9" ht="15" hidden="1" thickBot="1">
      <c r="A28" s="344" t="s">
        <v>264</v>
      </c>
      <c r="B28" s="345">
        <f>(B24+B25)/12</f>
        <v>3305.0277433497636</v>
      </c>
      <c r="C28" s="345"/>
      <c r="D28" s="346"/>
      <c r="E28" s="37"/>
      <c r="F28" s="37"/>
      <c r="G28" s="37"/>
    </row>
    <row r="29" spans="1:9" ht="15" hidden="1" thickBot="1">
      <c r="A29" s="344" t="s">
        <v>265</v>
      </c>
      <c r="B29" s="345">
        <f>B28*0.75</f>
        <v>2478.7708075123228</v>
      </c>
      <c r="C29" s="345"/>
      <c r="D29" s="346"/>
      <c r="E29" s="37"/>
      <c r="F29" s="37"/>
      <c r="G29" s="37"/>
    </row>
    <row r="30" spans="1:9" ht="15" hidden="1" thickBot="1">
      <c r="A30" s="344" t="s">
        <v>266</v>
      </c>
      <c r="B30" s="345">
        <f>B28*0.5</f>
        <v>1652.5138716748818</v>
      </c>
      <c r="C30" s="345"/>
      <c r="D30" s="346"/>
      <c r="E30" s="37"/>
      <c r="F30" s="37"/>
      <c r="G30" s="37"/>
    </row>
    <row r="31" spans="1:9" ht="15" hidden="1" thickBot="1">
      <c r="A31" s="344" t="s">
        <v>267</v>
      </c>
      <c r="B31" s="345">
        <f>B28*0.25</f>
        <v>826.25693583744089</v>
      </c>
      <c r="C31" s="345"/>
      <c r="D31" s="346"/>
      <c r="E31" s="37"/>
      <c r="F31" s="37"/>
      <c r="G31" s="37"/>
    </row>
    <row r="32" spans="1:9" ht="15" hidden="1" thickBot="1">
      <c r="B32" s="347">
        <f>20.32*0.25</f>
        <v>5.08</v>
      </c>
      <c r="C32" s="349">
        <f>26.2*0.25</f>
        <v>6.55</v>
      </c>
      <c r="D32"/>
      <c r="E32"/>
    </row>
    <row r="33" spans="1:6" ht="15" thickBot="1">
      <c r="A33" s="373" t="s">
        <v>270</v>
      </c>
      <c r="B33" s="374">
        <f>20.32*0.25</f>
        <v>5.08</v>
      </c>
      <c r="C33" s="375">
        <f>26.2*0.25</f>
        <v>6.55</v>
      </c>
      <c r="D33" s="376"/>
      <c r="E33" s="377"/>
    </row>
    <row r="34" spans="1:6">
      <c r="B34" s="347"/>
      <c r="C34" s="348"/>
      <c r="D34" s="349"/>
      <c r="E34"/>
    </row>
    <row r="36" spans="1:6" ht="15" thickBot="1">
      <c r="A36" s="350" t="s">
        <v>247</v>
      </c>
      <c r="B36" s="351"/>
      <c r="C36" s="352"/>
      <c r="D36" s="351"/>
      <c r="E36"/>
    </row>
    <row r="37" spans="1:6">
      <c r="A37" s="353"/>
      <c r="B37" s="354"/>
      <c r="C37" s="355" t="s">
        <v>248</v>
      </c>
      <c r="D37" s="356" t="s">
        <v>114</v>
      </c>
      <c r="E37"/>
    </row>
    <row r="38" spans="1:6">
      <c r="A38" s="357"/>
      <c r="B38" s="358" t="s">
        <v>249</v>
      </c>
      <c r="C38" s="359">
        <v>15</v>
      </c>
      <c r="D38" s="360">
        <f>C38*8</f>
        <v>120</v>
      </c>
      <c r="E38" s="361"/>
      <c r="F38" s="37"/>
    </row>
    <row r="39" spans="1:6">
      <c r="A39" s="362"/>
      <c r="B39" s="363" t="s">
        <v>250</v>
      </c>
      <c r="C39" s="364">
        <v>1</v>
      </c>
      <c r="D39" s="365">
        <f>C39*8</f>
        <v>8</v>
      </c>
      <c r="E39" s="361"/>
    </row>
    <row r="40" spans="1:6">
      <c r="A40" s="357"/>
      <c r="B40" s="366"/>
      <c r="C40" s="358" t="s">
        <v>251</v>
      </c>
      <c r="D40" s="367">
        <f>SUM(D38:D39)</f>
        <v>128</v>
      </c>
      <c r="E40"/>
    </row>
    <row r="41" spans="1:6" ht="15" thickBot="1">
      <c r="A41" s="368"/>
      <c r="B41" s="369"/>
      <c r="C41" s="370" t="s">
        <v>252</v>
      </c>
      <c r="D41" s="371">
        <f>2080-D40</f>
        <v>1952</v>
      </c>
      <c r="E41"/>
    </row>
  </sheetData>
  <mergeCells count="8">
    <mergeCell ref="A1:D1"/>
    <mergeCell ref="D21:E22"/>
    <mergeCell ref="D23:E23"/>
    <mergeCell ref="D25:E25"/>
    <mergeCell ref="A16:D16"/>
    <mergeCell ref="D18:E18"/>
    <mergeCell ref="D19:E19"/>
    <mergeCell ref="D20:E20"/>
  </mergeCells>
  <pageMargins left="0.25" right="0.25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8"/>
  <sheetViews>
    <sheetView workbookViewId="0">
      <selection activeCell="K11" sqref="K11"/>
    </sheetView>
  </sheetViews>
  <sheetFormatPr defaultRowHeight="14.4"/>
  <cols>
    <col min="1" max="1" width="7.88671875" customWidth="1"/>
    <col min="2" max="3" width="12.6640625" customWidth="1"/>
    <col min="4" max="4" width="12" customWidth="1"/>
    <col min="5" max="5" width="15" customWidth="1"/>
    <col min="6" max="6" width="11.33203125" customWidth="1"/>
    <col min="7" max="7" width="11.109375" customWidth="1"/>
    <col min="8" max="8" width="23.33203125" customWidth="1"/>
    <col min="9" max="9" width="10.6640625" customWidth="1"/>
    <col min="10" max="10" width="10.88671875" customWidth="1"/>
    <col min="16" max="16" width="11.5546875" customWidth="1"/>
    <col min="17" max="17" width="15.44140625" customWidth="1"/>
    <col min="18" max="18" width="10.109375" customWidth="1"/>
    <col min="19" max="19" width="7.5546875" customWidth="1"/>
  </cols>
  <sheetData>
    <row r="1" spans="2:16" ht="15" thickBot="1"/>
    <row r="2" spans="2:16" ht="16.5" customHeight="1" thickBot="1">
      <c r="B2" s="576" t="s">
        <v>157</v>
      </c>
      <c r="C2" s="577"/>
      <c r="D2" s="577"/>
      <c r="E2" s="577"/>
      <c r="F2" s="577"/>
      <c r="G2" s="577"/>
      <c r="H2" s="578"/>
    </row>
    <row r="3" spans="2:16" ht="15" thickBot="1">
      <c r="B3" s="96" t="s">
        <v>158</v>
      </c>
      <c r="C3" s="37"/>
      <c r="D3" s="37"/>
      <c r="E3" s="37"/>
      <c r="F3" s="37"/>
      <c r="G3" s="37"/>
      <c r="H3" s="38"/>
    </row>
    <row r="4" spans="2:16" ht="28.2" thickBot="1">
      <c r="B4" s="97" t="s">
        <v>159</v>
      </c>
      <c r="C4" s="98" t="s">
        <v>160</v>
      </c>
      <c r="D4" s="99" t="s">
        <v>161</v>
      </c>
      <c r="E4" s="37"/>
      <c r="F4" s="579" t="s">
        <v>185</v>
      </c>
      <c r="G4" s="580"/>
      <c r="H4" s="613"/>
    </row>
    <row r="5" spans="2:16">
      <c r="B5" s="145">
        <v>0.45</v>
      </c>
      <c r="C5" s="113">
        <v>5</v>
      </c>
      <c r="D5" s="114">
        <f>B5*C5</f>
        <v>2.25</v>
      </c>
      <c r="E5" s="37"/>
      <c r="F5" s="100" t="s">
        <v>129</v>
      </c>
      <c r="G5" s="101">
        <f>D9</f>
        <v>2.4685213826944428</v>
      </c>
      <c r="H5" s="614"/>
    </row>
    <row r="6" spans="2:16">
      <c r="B6" s="145" t="s">
        <v>162</v>
      </c>
      <c r="C6" s="110"/>
      <c r="D6" s="114">
        <f>D5*(1+'[15]1. 3168 ISE'!C54)</f>
        <v>2.3215928903525764</v>
      </c>
      <c r="E6" s="37"/>
      <c r="F6" s="102" t="s">
        <v>163</v>
      </c>
      <c r="G6" s="103">
        <f>C16</f>
        <v>5.0522133696271636</v>
      </c>
      <c r="H6" s="614"/>
    </row>
    <row r="7" spans="2:16">
      <c r="B7" s="145" t="s">
        <v>164</v>
      </c>
      <c r="C7" s="110"/>
      <c r="D7" s="114">
        <f>D6*(1+'[15]Spring CAF'!BK27)</f>
        <v>2.3848236131667431</v>
      </c>
      <c r="E7" s="37"/>
      <c r="F7" s="100" t="s">
        <v>130</v>
      </c>
      <c r="G7" s="115">
        <f>SUM(G5:G6)</f>
        <v>7.5207347523216068</v>
      </c>
      <c r="H7" s="614"/>
      <c r="P7" s="181"/>
    </row>
    <row r="8" spans="2:16" ht="15" thickBot="1">
      <c r="B8" s="145" t="s">
        <v>153</v>
      </c>
      <c r="C8" s="110"/>
      <c r="D8" s="114">
        <f>D7*(1.48%+1)</f>
        <v>2.4201190026416106</v>
      </c>
      <c r="E8" s="37"/>
      <c r="F8" s="104" t="s">
        <v>165</v>
      </c>
      <c r="G8" s="105">
        <f>G7*4+0.02</f>
        <v>30.102939009286427</v>
      </c>
      <c r="H8" s="614"/>
      <c r="I8" s="45"/>
      <c r="P8" s="181"/>
    </row>
    <row r="9" spans="2:16" ht="15" thickTop="1">
      <c r="B9" s="145" t="s">
        <v>253</v>
      </c>
      <c r="C9" s="110"/>
      <c r="D9" s="114">
        <f>D8*(2%+1)</f>
        <v>2.4685213826944428</v>
      </c>
      <c r="E9" s="37"/>
      <c r="F9" s="37"/>
      <c r="G9" s="37"/>
      <c r="H9" s="38"/>
      <c r="P9" s="181"/>
    </row>
    <row r="10" spans="2:16">
      <c r="E10" s="37"/>
      <c r="F10" s="37"/>
      <c r="G10" s="37"/>
      <c r="H10" s="38"/>
      <c r="I10" s="48"/>
      <c r="P10" s="181"/>
    </row>
    <row r="11" spans="2:16">
      <c r="B11" s="111" t="s">
        <v>166</v>
      </c>
      <c r="C11" s="80"/>
      <c r="D11" s="80"/>
      <c r="E11" s="106"/>
      <c r="F11" s="37"/>
      <c r="G11" s="37"/>
      <c r="H11" s="38"/>
    </row>
    <row r="12" spans="2:16">
      <c r="B12" s="121" t="s">
        <v>167</v>
      </c>
      <c r="C12" s="81">
        <v>4.600879410174354</v>
      </c>
      <c r="D12" s="80"/>
      <c r="E12" s="37"/>
      <c r="F12" s="37"/>
      <c r="G12" s="37"/>
      <c r="H12" s="38"/>
    </row>
    <row r="13" spans="2:16">
      <c r="B13" s="121" t="s">
        <v>162</v>
      </c>
      <c r="C13" s="81">
        <f>C12*(1+'[15]1. 3168 ISE'!C54)</f>
        <v>4.7472750791245941</v>
      </c>
      <c r="D13" s="52"/>
      <c r="E13" s="37"/>
      <c r="F13" s="37"/>
      <c r="G13" s="37"/>
      <c r="H13" s="38"/>
    </row>
    <row r="14" spans="2:16">
      <c r="B14" s="121" t="s">
        <v>164</v>
      </c>
      <c r="C14" s="81">
        <f>C13*(1+'[15]Spring CAF'!BK27)</f>
        <v>4.8765714927628787</v>
      </c>
      <c r="D14" s="80"/>
      <c r="E14" s="37"/>
      <c r="F14" s="37"/>
      <c r="G14" s="37"/>
      <c r="H14" s="38"/>
    </row>
    <row r="15" spans="2:16">
      <c r="B15" s="121" t="s">
        <v>153</v>
      </c>
      <c r="C15" s="81">
        <f>C14*(1.48%+1)-0.01</f>
        <v>4.9387447508557694</v>
      </c>
      <c r="D15" s="80"/>
      <c r="E15" s="37"/>
      <c r="F15" s="37"/>
      <c r="G15" s="37"/>
      <c r="H15" s="38"/>
    </row>
    <row r="16" spans="2:16">
      <c r="B16" s="121" t="s">
        <v>153</v>
      </c>
      <c r="C16" s="81">
        <f>C15*(2.5%+1)-0.01</f>
        <v>5.0522133696271636</v>
      </c>
      <c r="D16" s="37"/>
      <c r="E16" s="37"/>
      <c r="F16" s="37"/>
      <c r="G16" s="37"/>
      <c r="H16" s="38"/>
    </row>
    <row r="17" spans="1:8" ht="15" thickBot="1">
      <c r="B17" s="107"/>
      <c r="C17" s="108"/>
      <c r="D17" s="108"/>
      <c r="E17" s="108"/>
      <c r="F17" s="108"/>
      <c r="G17" s="108"/>
      <c r="H17" s="109"/>
    </row>
    <row r="21" spans="1:8" s="80" customFormat="1"/>
    <row r="22" spans="1:8" s="80" customFormat="1" ht="25.8">
      <c r="A22" s="123"/>
    </row>
    <row r="23" spans="1:8" s="80" customFormat="1"/>
    <row r="24" spans="1:8" s="80" customFormat="1" ht="18">
      <c r="A24" s="124"/>
    </row>
    <row r="25" spans="1:8" s="80" customFormat="1"/>
    <row r="26" spans="1:8" s="80" customFormat="1">
      <c r="A26" s="125"/>
    </row>
    <row r="27" spans="1:8" s="80" customFormat="1">
      <c r="B27" s="126"/>
    </row>
    <row r="28" spans="1:8" s="80" customFormat="1" ht="34.5" customHeight="1">
      <c r="B28" s="130"/>
      <c r="C28" s="50"/>
    </row>
    <row r="29" spans="1:8" s="80" customFormat="1">
      <c r="C29" s="131"/>
    </row>
    <row r="30" spans="1:8" s="80" customFormat="1"/>
    <row r="31" spans="1:8" s="80" customFormat="1"/>
    <row r="32" spans="1:8" s="80" customFormat="1" ht="21">
      <c r="A32" s="127"/>
    </row>
    <row r="33" spans="1:17" s="80" customFormat="1" ht="26.25" customHeight="1"/>
    <row r="34" spans="1:17" s="80" customFormat="1" ht="33" customHeight="1"/>
    <row r="35" spans="1:17" s="80" customFormat="1">
      <c r="C35" s="50"/>
      <c r="D35" s="50"/>
      <c r="E35" s="50"/>
      <c r="G35" s="50"/>
    </row>
    <row r="36" spans="1:17" s="80" customFormat="1">
      <c r="B36" s="132"/>
      <c r="C36" s="132"/>
      <c r="D36" s="130"/>
      <c r="E36" s="130"/>
      <c r="F36" s="130"/>
      <c r="G36" s="130"/>
      <c r="H36" s="122"/>
      <c r="I36" s="122"/>
      <c r="O36" s="118"/>
      <c r="P36" s="119"/>
      <c r="Q36" s="119"/>
    </row>
    <row r="37" spans="1:17" s="80" customFormat="1">
      <c r="B37" s="52"/>
      <c r="C37" s="52"/>
      <c r="D37" s="52"/>
      <c r="E37" s="52"/>
      <c r="F37" s="52"/>
      <c r="G37" s="52"/>
      <c r="O37" s="118"/>
      <c r="P37" s="118"/>
      <c r="Q37" s="118"/>
    </row>
    <row r="38" spans="1:17" s="80" customFormat="1">
      <c r="B38" s="52"/>
      <c r="C38" s="52"/>
      <c r="D38" s="52"/>
      <c r="E38" s="52"/>
      <c r="F38" s="52"/>
      <c r="G38" s="52"/>
      <c r="O38" s="118"/>
      <c r="P38" s="118"/>
      <c r="Q38" s="118"/>
    </row>
    <row r="39" spans="1:17" s="80" customFormat="1">
      <c r="B39" s="52"/>
      <c r="C39" s="133"/>
      <c r="D39" s="133"/>
      <c r="E39" s="52"/>
      <c r="F39" s="133"/>
      <c r="G39" s="52"/>
      <c r="O39" s="118"/>
      <c r="P39" s="118"/>
      <c r="Q39" s="118"/>
    </row>
    <row r="40" spans="1:17" s="80" customFormat="1">
      <c r="B40" s="52"/>
      <c r="C40" s="52"/>
      <c r="D40" s="52"/>
      <c r="E40" s="52"/>
      <c r="F40" s="52"/>
      <c r="G40" s="52"/>
      <c r="O40" s="118"/>
      <c r="P40" s="118"/>
      <c r="Q40" s="118"/>
    </row>
    <row r="41" spans="1:17" s="80" customFormat="1">
      <c r="C41" s="120"/>
      <c r="D41" s="120"/>
      <c r="O41" s="118"/>
      <c r="P41" s="118"/>
      <c r="Q41" s="118"/>
    </row>
    <row r="42" spans="1:17" s="80" customFormat="1">
      <c r="C42" s="120"/>
      <c r="D42" s="120"/>
      <c r="O42" s="118"/>
      <c r="P42" s="118"/>
      <c r="Q42" s="118"/>
    </row>
    <row r="43" spans="1:17" s="80" customFormat="1" ht="18">
      <c r="A43" s="128"/>
    </row>
    <row r="44" spans="1:17" s="80" customFormat="1" ht="12" customHeight="1">
      <c r="A44" s="128"/>
    </row>
    <row r="45" spans="1:17" s="80" customFormat="1">
      <c r="B45" s="50"/>
      <c r="C45" s="50"/>
      <c r="D45" s="50"/>
    </row>
    <row r="46" spans="1:17" s="80" customFormat="1">
      <c r="B46" s="132"/>
      <c r="C46" s="132"/>
      <c r="D46" s="132"/>
    </row>
    <row r="47" spans="1:17" s="80" customFormat="1">
      <c r="A47" s="52"/>
      <c r="B47" s="134"/>
      <c r="C47" s="134"/>
      <c r="D47" s="134"/>
      <c r="F47" s="122"/>
    </row>
    <row r="48" spans="1:17" s="80" customFormat="1">
      <c r="A48" s="52"/>
      <c r="B48" s="134"/>
      <c r="C48" s="134"/>
      <c r="D48" s="134"/>
    </row>
    <row r="49" spans="1:11" s="80" customFormat="1">
      <c r="A49" s="52"/>
      <c r="B49" s="134"/>
      <c r="C49" s="134"/>
      <c r="D49" s="134"/>
    </row>
    <row r="50" spans="1:11" s="80" customFormat="1">
      <c r="A50" s="52"/>
      <c r="B50" s="134"/>
      <c r="C50" s="134"/>
      <c r="D50" s="134"/>
    </row>
    <row r="51" spans="1:11" s="80" customFormat="1">
      <c r="D51" s="52"/>
    </row>
    <row r="52" spans="1:11" s="80" customFormat="1">
      <c r="D52" s="52"/>
    </row>
    <row r="53" spans="1:11" s="80" customFormat="1">
      <c r="D53" s="52"/>
    </row>
    <row r="54" spans="1:11" s="80" customFormat="1" ht="18">
      <c r="A54" s="128"/>
      <c r="H54" s="128"/>
    </row>
    <row r="55" spans="1:11" s="80" customFormat="1"/>
    <row r="56" spans="1:11" s="80" customFormat="1" ht="33" customHeight="1"/>
    <row r="57" spans="1:11" s="80" customFormat="1"/>
    <row r="58" spans="1:11" s="80" customFormat="1"/>
    <row r="59" spans="1:11" s="80" customFormat="1">
      <c r="B59" s="135"/>
      <c r="C59" s="135"/>
      <c r="H59" s="136"/>
      <c r="I59" s="137"/>
      <c r="J59" s="50"/>
      <c r="K59" s="138"/>
    </row>
    <row r="60" spans="1:11" s="80" customFormat="1" ht="15.6">
      <c r="A60" s="139"/>
      <c r="B60" s="140"/>
      <c r="C60" s="140"/>
      <c r="H60" s="141"/>
      <c r="I60" s="79"/>
    </row>
    <row r="61" spans="1:11" s="80" customFormat="1" ht="15.6">
      <c r="A61" s="139"/>
      <c r="B61" s="140"/>
      <c r="C61" s="140"/>
      <c r="I61" s="79"/>
    </row>
    <row r="62" spans="1:11" s="80" customFormat="1" ht="15.6">
      <c r="A62" s="139"/>
      <c r="B62" s="140"/>
      <c r="C62" s="140"/>
      <c r="I62" s="79"/>
    </row>
    <row r="63" spans="1:11" s="80" customFormat="1" ht="15.6">
      <c r="A63" s="139"/>
      <c r="B63" s="140"/>
      <c r="C63" s="140"/>
      <c r="I63" s="79"/>
    </row>
    <row r="64" spans="1:11" s="80" customFormat="1">
      <c r="A64" s="142"/>
      <c r="B64" s="143"/>
      <c r="C64" s="143"/>
    </row>
    <row r="65" spans="1:6" s="80" customFormat="1">
      <c r="A65" s="142"/>
      <c r="B65" s="143"/>
      <c r="C65" s="143"/>
    </row>
    <row r="66" spans="1:6" s="80" customFormat="1"/>
    <row r="67" spans="1:6" s="80" customFormat="1" ht="18">
      <c r="A67" s="128"/>
    </row>
    <row r="68" spans="1:6" s="80" customFormat="1"/>
    <row r="69" spans="1:6" s="80" customFormat="1">
      <c r="C69" s="50"/>
      <c r="D69" s="50"/>
      <c r="E69" s="50"/>
      <c r="F69" s="50"/>
    </row>
    <row r="70" spans="1:6" s="80" customFormat="1">
      <c r="A70" s="50"/>
      <c r="C70" s="79"/>
      <c r="D70" s="79"/>
      <c r="E70" s="79"/>
      <c r="F70" s="79"/>
    </row>
    <row r="71" spans="1:6" s="80" customFormat="1">
      <c r="A71" s="50"/>
      <c r="C71" s="79"/>
      <c r="D71" s="79"/>
      <c r="E71" s="79"/>
      <c r="F71" s="79"/>
    </row>
    <row r="72" spans="1:6" s="80" customFormat="1"/>
    <row r="73" spans="1:6" s="80" customFormat="1"/>
    <row r="74" spans="1:6" s="80" customFormat="1">
      <c r="C74" s="50"/>
      <c r="D74" s="50"/>
      <c r="E74" s="50"/>
      <c r="F74" s="50"/>
    </row>
    <row r="75" spans="1:6" s="80" customFormat="1">
      <c r="A75" s="50"/>
      <c r="B75" s="129"/>
      <c r="C75" s="79"/>
      <c r="D75" s="79"/>
      <c r="E75" s="79"/>
      <c r="F75" s="79"/>
    </row>
    <row r="76" spans="1:6" s="80" customFormat="1">
      <c r="A76" s="50"/>
      <c r="B76" s="129"/>
      <c r="C76" s="79"/>
      <c r="D76" s="79"/>
      <c r="E76" s="79"/>
      <c r="F76" s="79"/>
    </row>
    <row r="77" spans="1:6" s="80" customFormat="1"/>
    <row r="78" spans="1:6" s="80" customFormat="1"/>
    <row r="79" spans="1:6" s="80" customFormat="1"/>
    <row r="80" spans="1:6" s="80" customFormat="1"/>
    <row r="81" s="80" customFormat="1"/>
    <row r="82" s="80" customFormat="1"/>
    <row r="83" s="80" customFormat="1"/>
    <row r="84" s="80" customFormat="1"/>
    <row r="85" s="80" customFormat="1"/>
    <row r="86" s="80" customFormat="1"/>
    <row r="87" s="80" customFormat="1"/>
    <row r="88" s="80" customFormat="1"/>
    <row r="89" s="80" customFormat="1"/>
    <row r="90" s="80" customFormat="1"/>
    <row r="91" s="80" customFormat="1"/>
    <row r="92" s="80" customFormat="1"/>
    <row r="93" s="80" customFormat="1"/>
    <row r="94" s="80" customFormat="1"/>
    <row r="95" s="80" customFormat="1"/>
    <row r="96" s="80" customFormat="1"/>
    <row r="97" s="80" customFormat="1"/>
    <row r="98" s="80" customFormat="1"/>
    <row r="99" s="80" customFormat="1"/>
    <row r="100" s="80" customFormat="1"/>
    <row r="101" s="80" customFormat="1"/>
    <row r="102" s="80" customFormat="1"/>
    <row r="103" s="80" customFormat="1"/>
    <row r="104" s="80" customFormat="1"/>
    <row r="105" s="80" customFormat="1"/>
    <row r="106" s="80" customFormat="1"/>
    <row r="107" s="80" customFormat="1"/>
    <row r="108" s="80" customFormat="1"/>
    <row r="109" s="80" customFormat="1"/>
    <row r="110" s="80" customFormat="1"/>
    <row r="111" s="80" customFormat="1"/>
    <row r="112" s="80" customFormat="1"/>
    <row r="113" s="80" customFormat="1"/>
    <row r="114" s="80" customFormat="1"/>
    <row r="115" s="80" customFormat="1"/>
    <row r="116" s="80" customFormat="1"/>
    <row r="117" s="80" customFormat="1"/>
    <row r="118" s="80" customFormat="1"/>
    <row r="119" s="80" customFormat="1"/>
    <row r="120" s="80" customFormat="1"/>
    <row r="121" s="80" customFormat="1"/>
    <row r="122" s="80" customFormat="1"/>
    <row r="123" s="80" customFormat="1"/>
    <row r="124" s="80" customFormat="1"/>
    <row r="125" s="80" customFormat="1"/>
    <row r="126" s="80" customFormat="1"/>
    <row r="127" s="80" customFormat="1"/>
    <row r="128" s="80" customFormat="1"/>
    <row r="129" s="80" customFormat="1"/>
    <row r="130" s="80" customFormat="1"/>
    <row r="131" s="80" customFormat="1"/>
    <row r="132" s="80" customFormat="1"/>
    <row r="133" s="80" customFormat="1"/>
    <row r="134" s="80" customFormat="1"/>
    <row r="135" s="80" customFormat="1"/>
    <row r="136" s="80" customFormat="1"/>
    <row r="137" s="80" customFormat="1"/>
    <row r="138" s="80" customFormat="1"/>
    <row r="139" s="80" customFormat="1"/>
    <row r="140" s="80" customFormat="1"/>
    <row r="141" s="80" customFormat="1"/>
    <row r="142" s="80" customFormat="1"/>
    <row r="143" s="80" customFormat="1"/>
    <row r="144" s="80" customFormat="1"/>
    <row r="145" s="80" customFormat="1"/>
    <row r="146" s="80" customFormat="1"/>
    <row r="147" s="80" customFormat="1"/>
    <row r="148" s="80" customFormat="1"/>
    <row r="149" s="80" customFormat="1"/>
    <row r="150" s="80" customFormat="1"/>
    <row r="151" s="80" customFormat="1"/>
    <row r="152" s="80" customFormat="1"/>
    <row r="153" s="80" customFormat="1"/>
    <row r="154" s="80" customFormat="1"/>
    <row r="155" s="80" customFormat="1"/>
    <row r="156" s="80" customFormat="1"/>
    <row r="157" s="80" customFormat="1"/>
    <row r="158" s="80" customFormat="1"/>
  </sheetData>
  <mergeCells count="2">
    <mergeCell ref="B2:H2"/>
    <mergeCell ref="F4:G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7" zoomScaleNormal="100" workbookViewId="0">
      <selection activeCell="K20" sqref="K20"/>
    </sheetView>
  </sheetViews>
  <sheetFormatPr defaultRowHeight="14.4"/>
  <cols>
    <col min="1" max="1" width="8.88671875" style="49"/>
    <col min="2" max="2" width="65.6640625" customWidth="1"/>
    <col min="3" max="3" width="11.88671875" style="49" hidden="1" customWidth="1"/>
    <col min="4" max="4" width="11.6640625" style="49" hidden="1" customWidth="1"/>
    <col min="5" max="5" width="8.88671875" style="49" hidden="1" customWidth="1"/>
    <col min="6" max="6" width="11.6640625" style="49" hidden="1" customWidth="1"/>
    <col min="7" max="7" width="12.109375" style="49" customWidth="1"/>
  </cols>
  <sheetData>
    <row r="1" spans="1:7" ht="18.600000000000001" thickBot="1">
      <c r="A1" s="53"/>
      <c r="B1" s="144" t="s">
        <v>131</v>
      </c>
      <c r="C1" s="54"/>
    </row>
    <row r="2" spans="1:7" ht="18.600000000000001" thickBot="1">
      <c r="B2" s="55"/>
    </row>
    <row r="3" spans="1:7" ht="30" customHeight="1">
      <c r="B3" s="86"/>
      <c r="C3" s="581" t="s">
        <v>132</v>
      </c>
      <c r="D3" s="582"/>
      <c r="E3" s="583" t="s">
        <v>133</v>
      </c>
      <c r="F3" s="587" t="s">
        <v>182</v>
      </c>
      <c r="G3" s="588"/>
    </row>
    <row r="4" spans="1:7" ht="15.75" customHeight="1" thickBot="1">
      <c r="B4" s="87"/>
      <c r="C4" s="56" t="s">
        <v>134</v>
      </c>
      <c r="D4" s="57">
        <v>2.7235921972764018E-2</v>
      </c>
      <c r="E4" s="584"/>
      <c r="F4" s="589"/>
      <c r="G4" s="590"/>
    </row>
    <row r="5" spans="1:7" ht="15" customHeight="1">
      <c r="B5" s="58"/>
      <c r="C5" s="59" t="s">
        <v>135</v>
      </c>
      <c r="D5" s="59" t="s">
        <v>135</v>
      </c>
      <c r="E5" s="585"/>
      <c r="F5" s="59" t="s">
        <v>135</v>
      </c>
      <c r="G5" s="59" t="s">
        <v>156</v>
      </c>
    </row>
    <row r="6" spans="1:7" ht="15" thickBot="1">
      <c r="B6" s="60" t="s">
        <v>136</v>
      </c>
      <c r="C6" s="61" t="s">
        <v>137</v>
      </c>
      <c r="D6" s="61" t="s">
        <v>138</v>
      </c>
      <c r="E6" s="586"/>
      <c r="F6" s="61" t="s">
        <v>137</v>
      </c>
      <c r="G6" s="61" t="s">
        <v>130</v>
      </c>
    </row>
    <row r="7" spans="1:7">
      <c r="B7" s="40" t="s">
        <v>139</v>
      </c>
      <c r="C7" s="62">
        <f>D7*4</f>
        <v>51.000710338259104</v>
      </c>
      <c r="D7" s="63">
        <f>'[15]1. 3168 ISE'!E27</f>
        <v>12.750177584564776</v>
      </c>
      <c r="E7" s="82"/>
      <c r="F7" s="92" t="e">
        <f>#REF!</f>
        <v>#REF!</v>
      </c>
      <c r="G7" s="88">
        <f>Models!M27</f>
        <v>13.580766874846153</v>
      </c>
    </row>
    <row r="8" spans="1:7" ht="15" hidden="1" customHeight="1">
      <c r="B8" s="64" t="s">
        <v>140</v>
      </c>
      <c r="C8" s="65">
        <f t="shared" ref="C8:C27" si="0">D8*4</f>
        <v>9.0223249816294278</v>
      </c>
      <c r="D8" s="66">
        <v>2.2555812454073569</v>
      </c>
      <c r="E8" s="83">
        <v>0.02</v>
      </c>
      <c r="F8" s="92">
        <v>14.72</v>
      </c>
      <c r="G8" s="88">
        <v>3.68</v>
      </c>
    </row>
    <row r="9" spans="1:7">
      <c r="B9" s="51" t="s">
        <v>112</v>
      </c>
      <c r="C9" s="65">
        <f t="shared" si="0"/>
        <v>14.644537730961851</v>
      </c>
      <c r="D9" s="66">
        <f>'[15]2. 3181 GSE'!F26</f>
        <v>3.6611344327404627</v>
      </c>
      <c r="E9" s="83">
        <v>0.02</v>
      </c>
      <c r="F9" s="92" t="e">
        <f>#REF!</f>
        <v>#REF!</v>
      </c>
      <c r="G9" s="88">
        <f>Models!M52</f>
        <v>3.8294190886863357</v>
      </c>
    </row>
    <row r="10" spans="1:7">
      <c r="B10" s="51"/>
      <c r="C10" s="65"/>
      <c r="D10" s="67"/>
      <c r="E10" s="84"/>
      <c r="F10" s="92"/>
      <c r="G10" s="88"/>
    </row>
    <row r="11" spans="1:7">
      <c r="B11" s="68" t="s">
        <v>141</v>
      </c>
      <c r="C11" s="65"/>
      <c r="D11" s="67"/>
      <c r="E11" s="84"/>
      <c r="F11" s="92"/>
      <c r="G11" s="88"/>
    </row>
    <row r="12" spans="1:7" ht="14.4" customHeight="1">
      <c r="B12" s="68" t="s">
        <v>142</v>
      </c>
      <c r="C12" s="65"/>
      <c r="D12" s="67"/>
      <c r="E12" s="84"/>
      <c r="F12" s="92"/>
      <c r="G12" s="88"/>
    </row>
    <row r="13" spans="1:7" ht="15" hidden="1" customHeight="1">
      <c r="B13" s="64" t="s">
        <v>143</v>
      </c>
      <c r="C13" s="65">
        <f t="shared" si="0"/>
        <v>20.75962090541038</v>
      </c>
      <c r="D13" s="69">
        <v>5.1899052263525949</v>
      </c>
      <c r="E13" s="84"/>
      <c r="F13" s="92">
        <v>21.796405155460288</v>
      </c>
      <c r="G13" s="88">
        <v>5.4491012888650721</v>
      </c>
    </row>
    <row r="14" spans="1:7">
      <c r="B14" s="51" t="s">
        <v>144</v>
      </c>
      <c r="C14" s="65">
        <f t="shared" si="0"/>
        <v>21.795793379904065</v>
      </c>
      <c r="D14" s="70">
        <f>'[15]3. 3181 HI Intnsty'!F28</f>
        <v>5.4489483449760163</v>
      </c>
      <c r="E14" s="84"/>
      <c r="F14" s="92" t="e">
        <f>#REF!</f>
        <v>#REF!</v>
      </c>
      <c r="G14" s="88">
        <f>Models!M78</f>
        <v>5.820520838993879</v>
      </c>
    </row>
    <row r="15" spans="1:7">
      <c r="B15" s="51"/>
      <c r="C15" s="65"/>
      <c r="D15" s="67"/>
      <c r="E15" s="84"/>
      <c r="F15" s="93"/>
      <c r="G15" s="89"/>
    </row>
    <row r="16" spans="1:7">
      <c r="B16" s="68" t="s">
        <v>145</v>
      </c>
      <c r="C16" s="65"/>
      <c r="D16" s="67"/>
      <c r="E16" s="84"/>
      <c r="F16" s="93"/>
      <c r="G16" s="89"/>
    </row>
    <row r="17" spans="2:7">
      <c r="B17" s="51" t="s">
        <v>128</v>
      </c>
      <c r="C17" s="65">
        <f t="shared" si="0"/>
        <v>17.718404953169852</v>
      </c>
      <c r="D17" s="70">
        <f>'[15]4. DC Add-On'!I8</f>
        <v>4.429601238292463</v>
      </c>
      <c r="E17" s="84"/>
      <c r="F17" s="93" t="e">
        <f>#REF!</f>
        <v>#REF!</v>
      </c>
      <c r="G17" s="88">
        <f>' Add on Rates '!B33</f>
        <v>5.08</v>
      </c>
    </row>
    <row r="18" spans="2:7">
      <c r="B18" s="51" t="s">
        <v>192</v>
      </c>
      <c r="C18" s="65">
        <f t="shared" si="0"/>
        <v>22.482977614523122</v>
      </c>
      <c r="D18" s="70">
        <f>'[15]4. DC Add-On'!I13</f>
        <v>5.6207444036307805</v>
      </c>
      <c r="E18" s="84"/>
      <c r="F18" s="93" t="e">
        <f>#REF!</f>
        <v>#REF!</v>
      </c>
      <c r="G18" s="88">
        <f>' Add on Rates '!C33</f>
        <v>6.55</v>
      </c>
    </row>
    <row r="19" spans="2:7">
      <c r="B19" s="51"/>
      <c r="C19" s="65"/>
      <c r="D19" s="67"/>
      <c r="E19" s="84"/>
      <c r="F19" s="93"/>
      <c r="G19" s="88"/>
    </row>
    <row r="20" spans="2:7">
      <c r="B20" s="68" t="s">
        <v>146</v>
      </c>
      <c r="C20" s="65"/>
      <c r="D20" s="67"/>
      <c r="E20" s="84"/>
      <c r="F20" s="93"/>
      <c r="G20" s="89"/>
    </row>
    <row r="21" spans="2:7">
      <c r="B21" s="112" t="s">
        <v>345</v>
      </c>
      <c r="C21" s="116">
        <f>(D21*4)-0.01</f>
        <v>29.075580423718485</v>
      </c>
      <c r="D21" s="117">
        <f>'[15]5. Travel'!G6</f>
        <v>7.2713951059296216</v>
      </c>
      <c r="E21" s="84"/>
      <c r="F21" s="92" t="e">
        <f>#REF!</f>
        <v>#REF!</v>
      </c>
      <c r="G21" s="88">
        <f>' Travel'!G7</f>
        <v>7.5207347523216068</v>
      </c>
    </row>
    <row r="22" spans="2:7">
      <c r="B22" s="51"/>
      <c r="C22" s="65"/>
      <c r="D22" s="67"/>
      <c r="E22" s="84"/>
      <c r="F22" s="93"/>
      <c r="G22" s="88"/>
    </row>
    <row r="23" spans="2:7">
      <c r="B23" s="68" t="s">
        <v>147</v>
      </c>
      <c r="C23" s="65"/>
      <c r="D23" s="67"/>
      <c r="E23" s="84"/>
      <c r="F23" s="93"/>
      <c r="G23" s="88"/>
    </row>
    <row r="24" spans="2:7" ht="14.4" customHeight="1">
      <c r="B24" s="68" t="s">
        <v>148</v>
      </c>
      <c r="C24" s="65"/>
      <c r="D24" s="67"/>
      <c r="E24" s="84"/>
      <c r="F24" s="93"/>
      <c r="G24" s="88"/>
    </row>
    <row r="25" spans="2:7" ht="15" hidden="1" customHeight="1">
      <c r="B25" s="71" t="s">
        <v>149</v>
      </c>
      <c r="C25" s="65">
        <f t="shared" si="0"/>
        <v>26.740185216359826</v>
      </c>
      <c r="D25" s="69">
        <v>6.6850463040899566</v>
      </c>
      <c r="E25" s="84"/>
      <c r="F25" s="93"/>
      <c r="G25" s="88"/>
    </row>
    <row r="26" spans="2:7">
      <c r="B26" s="72" t="s">
        <v>150</v>
      </c>
      <c r="C26" s="65">
        <f t="shared" si="0"/>
        <v>32.362942684131703</v>
      </c>
      <c r="D26" s="70">
        <f>D9+D17</f>
        <v>8.0907356710329257</v>
      </c>
      <c r="E26" s="83">
        <v>0.02</v>
      </c>
      <c r="F26" s="93">
        <f>G26*4</f>
        <v>35.637676354745345</v>
      </c>
      <c r="G26" s="88">
        <f>G9+G17</f>
        <v>8.9094190886863363</v>
      </c>
    </row>
    <row r="27" spans="2:7" ht="14.4" hidden="1" customHeight="1">
      <c r="B27" s="71" t="s">
        <v>151</v>
      </c>
      <c r="C27" s="65">
        <f t="shared" si="0"/>
        <v>14.911793299352711</v>
      </c>
      <c r="D27" s="73">
        <v>3.7279483248381777</v>
      </c>
      <c r="E27" s="83">
        <v>0.01</v>
      </c>
      <c r="F27" s="93">
        <v>32.438132593950122</v>
      </c>
      <c r="G27" s="90">
        <v>8.1095331484875306</v>
      </c>
    </row>
    <row r="28" spans="2:7" ht="15" thickBot="1">
      <c r="B28" s="74" t="s">
        <v>152</v>
      </c>
      <c r="C28" s="75">
        <f>D28*4</f>
        <v>20.518188972937658</v>
      </c>
      <c r="D28" s="76">
        <f>0.3315*D17+D9</f>
        <v>5.1295472432344145</v>
      </c>
      <c r="E28" s="85">
        <f>G28-D28</f>
        <v>0.39389184545192091</v>
      </c>
      <c r="F28" s="94">
        <f>G28*4</f>
        <v>22.093756354745341</v>
      </c>
      <c r="G28" s="91">
        <f>0.3315*G17+G9+0.01</f>
        <v>5.5234390886863354</v>
      </c>
    </row>
    <row r="29" spans="2:7">
      <c r="G29" s="77"/>
    </row>
    <row r="30" spans="2:7">
      <c r="B30" s="78"/>
      <c r="G30" s="77"/>
    </row>
    <row r="31" spans="2:7">
      <c r="B31" s="78"/>
    </row>
  </sheetData>
  <mergeCells count="3">
    <mergeCell ref="C3:D3"/>
    <mergeCell ref="E3:E6"/>
    <mergeCell ref="F3:G4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topLeftCell="BH14" workbookViewId="0">
      <selection activeCell="BU31" sqref="BU31"/>
    </sheetView>
  </sheetViews>
  <sheetFormatPr defaultRowHeight="13.2"/>
  <cols>
    <col min="1" max="1" width="38.44140625" style="263" customWidth="1"/>
    <col min="2" max="2" width="12.88671875" style="268" customWidth="1"/>
    <col min="3" max="82" width="7.6640625" style="263" customWidth="1"/>
    <col min="83" max="256" width="9" style="263"/>
    <col min="257" max="257" width="38.44140625" style="263" customWidth="1"/>
    <col min="258" max="258" width="12.88671875" style="263" customWidth="1"/>
    <col min="259" max="338" width="7.6640625" style="263" customWidth="1"/>
    <col min="339" max="512" width="9" style="263"/>
    <col min="513" max="513" width="38.44140625" style="263" customWidth="1"/>
    <col min="514" max="514" width="12.88671875" style="263" customWidth="1"/>
    <col min="515" max="594" width="7.6640625" style="263" customWidth="1"/>
    <col min="595" max="768" width="9" style="263"/>
    <col min="769" max="769" width="38.44140625" style="263" customWidth="1"/>
    <col min="770" max="770" width="12.88671875" style="263" customWidth="1"/>
    <col min="771" max="850" width="7.6640625" style="263" customWidth="1"/>
    <col min="851" max="1024" width="9" style="263"/>
    <col min="1025" max="1025" width="38.44140625" style="263" customWidth="1"/>
    <col min="1026" max="1026" width="12.88671875" style="263" customWidth="1"/>
    <col min="1027" max="1106" width="7.6640625" style="263" customWidth="1"/>
    <col min="1107" max="1280" width="9" style="263"/>
    <col min="1281" max="1281" width="38.44140625" style="263" customWidth="1"/>
    <col min="1282" max="1282" width="12.88671875" style="263" customWidth="1"/>
    <col min="1283" max="1362" width="7.6640625" style="263" customWidth="1"/>
    <col min="1363" max="1536" width="9" style="263"/>
    <col min="1537" max="1537" width="38.44140625" style="263" customWidth="1"/>
    <col min="1538" max="1538" width="12.88671875" style="263" customWidth="1"/>
    <col min="1539" max="1618" width="7.6640625" style="263" customWidth="1"/>
    <col min="1619" max="1792" width="9" style="263"/>
    <col min="1793" max="1793" width="38.44140625" style="263" customWidth="1"/>
    <col min="1794" max="1794" width="12.88671875" style="263" customWidth="1"/>
    <col min="1795" max="1874" width="7.6640625" style="263" customWidth="1"/>
    <col min="1875" max="2048" width="9" style="263"/>
    <col min="2049" max="2049" width="38.44140625" style="263" customWidth="1"/>
    <col min="2050" max="2050" width="12.88671875" style="263" customWidth="1"/>
    <col min="2051" max="2130" width="7.6640625" style="263" customWidth="1"/>
    <col min="2131" max="2304" width="9" style="263"/>
    <col min="2305" max="2305" width="38.44140625" style="263" customWidth="1"/>
    <col min="2306" max="2306" width="12.88671875" style="263" customWidth="1"/>
    <col min="2307" max="2386" width="7.6640625" style="263" customWidth="1"/>
    <col min="2387" max="2560" width="9" style="263"/>
    <col min="2561" max="2561" width="38.44140625" style="263" customWidth="1"/>
    <col min="2562" max="2562" width="12.88671875" style="263" customWidth="1"/>
    <col min="2563" max="2642" width="7.6640625" style="263" customWidth="1"/>
    <col min="2643" max="2816" width="9" style="263"/>
    <col min="2817" max="2817" width="38.44140625" style="263" customWidth="1"/>
    <col min="2818" max="2818" width="12.88671875" style="263" customWidth="1"/>
    <col min="2819" max="2898" width="7.6640625" style="263" customWidth="1"/>
    <col min="2899" max="3072" width="9" style="263"/>
    <col min="3073" max="3073" width="38.44140625" style="263" customWidth="1"/>
    <col min="3074" max="3074" width="12.88671875" style="263" customWidth="1"/>
    <col min="3075" max="3154" width="7.6640625" style="263" customWidth="1"/>
    <col min="3155" max="3328" width="9" style="263"/>
    <col min="3329" max="3329" width="38.44140625" style="263" customWidth="1"/>
    <col min="3330" max="3330" width="12.88671875" style="263" customWidth="1"/>
    <col min="3331" max="3410" width="7.6640625" style="263" customWidth="1"/>
    <col min="3411" max="3584" width="9" style="263"/>
    <col min="3585" max="3585" width="38.44140625" style="263" customWidth="1"/>
    <col min="3586" max="3586" width="12.88671875" style="263" customWidth="1"/>
    <col min="3587" max="3666" width="7.6640625" style="263" customWidth="1"/>
    <col min="3667" max="3840" width="9" style="263"/>
    <col min="3841" max="3841" width="38.44140625" style="263" customWidth="1"/>
    <col min="3842" max="3842" width="12.88671875" style="263" customWidth="1"/>
    <col min="3843" max="3922" width="7.6640625" style="263" customWidth="1"/>
    <col min="3923" max="4096" width="9" style="263"/>
    <col min="4097" max="4097" width="38.44140625" style="263" customWidth="1"/>
    <col min="4098" max="4098" width="12.88671875" style="263" customWidth="1"/>
    <col min="4099" max="4178" width="7.6640625" style="263" customWidth="1"/>
    <col min="4179" max="4352" width="9" style="263"/>
    <col min="4353" max="4353" width="38.44140625" style="263" customWidth="1"/>
    <col min="4354" max="4354" width="12.88671875" style="263" customWidth="1"/>
    <col min="4355" max="4434" width="7.6640625" style="263" customWidth="1"/>
    <col min="4435" max="4608" width="9" style="263"/>
    <col min="4609" max="4609" width="38.44140625" style="263" customWidth="1"/>
    <col min="4610" max="4610" width="12.88671875" style="263" customWidth="1"/>
    <col min="4611" max="4690" width="7.6640625" style="263" customWidth="1"/>
    <col min="4691" max="4864" width="9" style="263"/>
    <col min="4865" max="4865" width="38.44140625" style="263" customWidth="1"/>
    <col min="4866" max="4866" width="12.88671875" style="263" customWidth="1"/>
    <col min="4867" max="4946" width="7.6640625" style="263" customWidth="1"/>
    <col min="4947" max="5120" width="9" style="263"/>
    <col min="5121" max="5121" width="38.44140625" style="263" customWidth="1"/>
    <col min="5122" max="5122" width="12.88671875" style="263" customWidth="1"/>
    <col min="5123" max="5202" width="7.6640625" style="263" customWidth="1"/>
    <col min="5203" max="5376" width="9" style="263"/>
    <col min="5377" max="5377" width="38.44140625" style="263" customWidth="1"/>
    <col min="5378" max="5378" width="12.88671875" style="263" customWidth="1"/>
    <col min="5379" max="5458" width="7.6640625" style="263" customWidth="1"/>
    <col min="5459" max="5632" width="9" style="263"/>
    <col min="5633" max="5633" width="38.44140625" style="263" customWidth="1"/>
    <col min="5634" max="5634" width="12.88671875" style="263" customWidth="1"/>
    <col min="5635" max="5714" width="7.6640625" style="263" customWidth="1"/>
    <col min="5715" max="5888" width="9" style="263"/>
    <col min="5889" max="5889" width="38.44140625" style="263" customWidth="1"/>
    <col min="5890" max="5890" width="12.88671875" style="263" customWidth="1"/>
    <col min="5891" max="5970" width="7.6640625" style="263" customWidth="1"/>
    <col min="5971" max="6144" width="9" style="263"/>
    <col min="6145" max="6145" width="38.44140625" style="263" customWidth="1"/>
    <col min="6146" max="6146" width="12.88671875" style="263" customWidth="1"/>
    <col min="6147" max="6226" width="7.6640625" style="263" customWidth="1"/>
    <col min="6227" max="6400" width="9" style="263"/>
    <col min="6401" max="6401" width="38.44140625" style="263" customWidth="1"/>
    <col min="6402" max="6402" width="12.88671875" style="263" customWidth="1"/>
    <col min="6403" max="6482" width="7.6640625" style="263" customWidth="1"/>
    <col min="6483" max="6656" width="9" style="263"/>
    <col min="6657" max="6657" width="38.44140625" style="263" customWidth="1"/>
    <col min="6658" max="6658" width="12.88671875" style="263" customWidth="1"/>
    <col min="6659" max="6738" width="7.6640625" style="263" customWidth="1"/>
    <col min="6739" max="6912" width="9" style="263"/>
    <col min="6913" max="6913" width="38.44140625" style="263" customWidth="1"/>
    <col min="6914" max="6914" width="12.88671875" style="263" customWidth="1"/>
    <col min="6915" max="6994" width="7.6640625" style="263" customWidth="1"/>
    <col min="6995" max="7168" width="9" style="263"/>
    <col min="7169" max="7169" width="38.44140625" style="263" customWidth="1"/>
    <col min="7170" max="7170" width="12.88671875" style="263" customWidth="1"/>
    <col min="7171" max="7250" width="7.6640625" style="263" customWidth="1"/>
    <col min="7251" max="7424" width="9" style="263"/>
    <col min="7425" max="7425" width="38.44140625" style="263" customWidth="1"/>
    <col min="7426" max="7426" width="12.88671875" style="263" customWidth="1"/>
    <col min="7427" max="7506" width="7.6640625" style="263" customWidth="1"/>
    <col min="7507" max="7680" width="9" style="263"/>
    <col min="7681" max="7681" width="38.44140625" style="263" customWidth="1"/>
    <col min="7682" max="7682" width="12.88671875" style="263" customWidth="1"/>
    <col min="7683" max="7762" width="7.6640625" style="263" customWidth="1"/>
    <col min="7763" max="7936" width="9" style="263"/>
    <col min="7937" max="7937" width="38.44140625" style="263" customWidth="1"/>
    <col min="7938" max="7938" width="12.88671875" style="263" customWidth="1"/>
    <col min="7939" max="8018" width="7.6640625" style="263" customWidth="1"/>
    <col min="8019" max="8192" width="9" style="263"/>
    <col min="8193" max="8193" width="38.44140625" style="263" customWidth="1"/>
    <col min="8194" max="8194" width="12.88671875" style="263" customWidth="1"/>
    <col min="8195" max="8274" width="7.6640625" style="263" customWidth="1"/>
    <col min="8275" max="8448" width="9" style="263"/>
    <col min="8449" max="8449" width="38.44140625" style="263" customWidth="1"/>
    <col min="8450" max="8450" width="12.88671875" style="263" customWidth="1"/>
    <col min="8451" max="8530" width="7.6640625" style="263" customWidth="1"/>
    <col min="8531" max="8704" width="9" style="263"/>
    <col min="8705" max="8705" width="38.44140625" style="263" customWidth="1"/>
    <col min="8706" max="8706" width="12.88671875" style="263" customWidth="1"/>
    <col min="8707" max="8786" width="7.6640625" style="263" customWidth="1"/>
    <col min="8787" max="8960" width="9" style="263"/>
    <col min="8961" max="8961" width="38.44140625" style="263" customWidth="1"/>
    <col min="8962" max="8962" width="12.88671875" style="263" customWidth="1"/>
    <col min="8963" max="9042" width="7.6640625" style="263" customWidth="1"/>
    <col min="9043" max="9216" width="9" style="263"/>
    <col min="9217" max="9217" width="38.44140625" style="263" customWidth="1"/>
    <col min="9218" max="9218" width="12.88671875" style="263" customWidth="1"/>
    <col min="9219" max="9298" width="7.6640625" style="263" customWidth="1"/>
    <col min="9299" max="9472" width="9" style="263"/>
    <col min="9473" max="9473" width="38.44140625" style="263" customWidth="1"/>
    <col min="9474" max="9474" width="12.88671875" style="263" customWidth="1"/>
    <col min="9475" max="9554" width="7.6640625" style="263" customWidth="1"/>
    <col min="9555" max="9728" width="9" style="263"/>
    <col min="9729" max="9729" width="38.44140625" style="263" customWidth="1"/>
    <col min="9730" max="9730" width="12.88671875" style="263" customWidth="1"/>
    <col min="9731" max="9810" width="7.6640625" style="263" customWidth="1"/>
    <col min="9811" max="9984" width="9" style="263"/>
    <col min="9985" max="9985" width="38.44140625" style="263" customWidth="1"/>
    <col min="9986" max="9986" width="12.88671875" style="263" customWidth="1"/>
    <col min="9987" max="10066" width="7.6640625" style="263" customWidth="1"/>
    <col min="10067" max="10240" width="9" style="263"/>
    <col min="10241" max="10241" width="38.44140625" style="263" customWidth="1"/>
    <col min="10242" max="10242" width="12.88671875" style="263" customWidth="1"/>
    <col min="10243" max="10322" width="7.6640625" style="263" customWidth="1"/>
    <col min="10323" max="10496" width="9" style="263"/>
    <col min="10497" max="10497" width="38.44140625" style="263" customWidth="1"/>
    <col min="10498" max="10498" width="12.88671875" style="263" customWidth="1"/>
    <col min="10499" max="10578" width="7.6640625" style="263" customWidth="1"/>
    <col min="10579" max="10752" width="9" style="263"/>
    <col min="10753" max="10753" width="38.44140625" style="263" customWidth="1"/>
    <col min="10754" max="10754" width="12.88671875" style="263" customWidth="1"/>
    <col min="10755" max="10834" width="7.6640625" style="263" customWidth="1"/>
    <col min="10835" max="11008" width="9" style="263"/>
    <col min="11009" max="11009" width="38.44140625" style="263" customWidth="1"/>
    <col min="11010" max="11010" width="12.88671875" style="263" customWidth="1"/>
    <col min="11011" max="11090" width="7.6640625" style="263" customWidth="1"/>
    <col min="11091" max="11264" width="9" style="263"/>
    <col min="11265" max="11265" width="38.44140625" style="263" customWidth="1"/>
    <col min="11266" max="11266" width="12.88671875" style="263" customWidth="1"/>
    <col min="11267" max="11346" width="7.6640625" style="263" customWidth="1"/>
    <col min="11347" max="11520" width="9" style="263"/>
    <col min="11521" max="11521" width="38.44140625" style="263" customWidth="1"/>
    <col min="11522" max="11522" width="12.88671875" style="263" customWidth="1"/>
    <col min="11523" max="11602" width="7.6640625" style="263" customWidth="1"/>
    <col min="11603" max="11776" width="9" style="263"/>
    <col min="11777" max="11777" width="38.44140625" style="263" customWidth="1"/>
    <col min="11778" max="11778" width="12.88671875" style="263" customWidth="1"/>
    <col min="11779" max="11858" width="7.6640625" style="263" customWidth="1"/>
    <col min="11859" max="12032" width="9" style="263"/>
    <col min="12033" max="12033" width="38.44140625" style="263" customWidth="1"/>
    <col min="12034" max="12034" width="12.88671875" style="263" customWidth="1"/>
    <col min="12035" max="12114" width="7.6640625" style="263" customWidth="1"/>
    <col min="12115" max="12288" width="9" style="263"/>
    <col min="12289" max="12289" width="38.44140625" style="263" customWidth="1"/>
    <col min="12290" max="12290" width="12.88671875" style="263" customWidth="1"/>
    <col min="12291" max="12370" width="7.6640625" style="263" customWidth="1"/>
    <col min="12371" max="12544" width="9" style="263"/>
    <col min="12545" max="12545" width="38.44140625" style="263" customWidth="1"/>
    <col min="12546" max="12546" width="12.88671875" style="263" customWidth="1"/>
    <col min="12547" max="12626" width="7.6640625" style="263" customWidth="1"/>
    <col min="12627" max="12800" width="9" style="263"/>
    <col min="12801" max="12801" width="38.44140625" style="263" customWidth="1"/>
    <col min="12802" max="12802" width="12.88671875" style="263" customWidth="1"/>
    <col min="12803" max="12882" width="7.6640625" style="263" customWidth="1"/>
    <col min="12883" max="13056" width="9" style="263"/>
    <col min="13057" max="13057" width="38.44140625" style="263" customWidth="1"/>
    <col min="13058" max="13058" width="12.88671875" style="263" customWidth="1"/>
    <col min="13059" max="13138" width="7.6640625" style="263" customWidth="1"/>
    <col min="13139" max="13312" width="9" style="263"/>
    <col min="13313" max="13313" width="38.44140625" style="263" customWidth="1"/>
    <col min="13314" max="13314" width="12.88671875" style="263" customWidth="1"/>
    <col min="13315" max="13394" width="7.6640625" style="263" customWidth="1"/>
    <col min="13395" max="13568" width="9" style="263"/>
    <col min="13569" max="13569" width="38.44140625" style="263" customWidth="1"/>
    <col min="13570" max="13570" width="12.88671875" style="263" customWidth="1"/>
    <col min="13571" max="13650" width="7.6640625" style="263" customWidth="1"/>
    <col min="13651" max="13824" width="9" style="263"/>
    <col min="13825" max="13825" width="38.44140625" style="263" customWidth="1"/>
    <col min="13826" max="13826" width="12.88671875" style="263" customWidth="1"/>
    <col min="13827" max="13906" width="7.6640625" style="263" customWidth="1"/>
    <col min="13907" max="14080" width="9" style="263"/>
    <col min="14081" max="14081" width="38.44140625" style="263" customWidth="1"/>
    <col min="14082" max="14082" width="12.88671875" style="263" customWidth="1"/>
    <col min="14083" max="14162" width="7.6640625" style="263" customWidth="1"/>
    <col min="14163" max="14336" width="9" style="263"/>
    <col min="14337" max="14337" width="38.44140625" style="263" customWidth="1"/>
    <col min="14338" max="14338" width="12.88671875" style="263" customWidth="1"/>
    <col min="14339" max="14418" width="7.6640625" style="263" customWidth="1"/>
    <col min="14419" max="14592" width="9" style="263"/>
    <col min="14593" max="14593" width="38.44140625" style="263" customWidth="1"/>
    <col min="14594" max="14594" width="12.88671875" style="263" customWidth="1"/>
    <col min="14595" max="14674" width="7.6640625" style="263" customWidth="1"/>
    <col min="14675" max="14848" width="9" style="263"/>
    <col min="14849" max="14849" width="38.44140625" style="263" customWidth="1"/>
    <col min="14850" max="14850" width="12.88671875" style="263" customWidth="1"/>
    <col min="14851" max="14930" width="7.6640625" style="263" customWidth="1"/>
    <col min="14931" max="15104" width="9" style="263"/>
    <col min="15105" max="15105" width="38.44140625" style="263" customWidth="1"/>
    <col min="15106" max="15106" width="12.88671875" style="263" customWidth="1"/>
    <col min="15107" max="15186" width="7.6640625" style="263" customWidth="1"/>
    <col min="15187" max="15360" width="9" style="263"/>
    <col min="15361" max="15361" width="38.44140625" style="263" customWidth="1"/>
    <col min="15362" max="15362" width="12.88671875" style="263" customWidth="1"/>
    <col min="15363" max="15442" width="7.6640625" style="263" customWidth="1"/>
    <col min="15443" max="15616" width="9" style="263"/>
    <col min="15617" max="15617" width="38.44140625" style="263" customWidth="1"/>
    <col min="15618" max="15618" width="12.88671875" style="263" customWidth="1"/>
    <col min="15619" max="15698" width="7.6640625" style="263" customWidth="1"/>
    <col min="15699" max="15872" width="9" style="263"/>
    <col min="15873" max="15873" width="38.44140625" style="263" customWidth="1"/>
    <col min="15874" max="15874" width="12.88671875" style="263" customWidth="1"/>
    <col min="15875" max="15954" width="7.6640625" style="263" customWidth="1"/>
    <col min="15955" max="16128" width="9" style="263"/>
    <col min="16129" max="16129" width="38.44140625" style="263" customWidth="1"/>
    <col min="16130" max="16130" width="12.88671875" style="263" customWidth="1"/>
    <col min="16131" max="16210" width="7.6640625" style="263" customWidth="1"/>
    <col min="16211" max="16384" width="9" style="263"/>
  </cols>
  <sheetData>
    <row r="1" spans="1:87" ht="17.399999999999999">
      <c r="A1" s="261" t="s">
        <v>14</v>
      </c>
      <c r="B1" s="262"/>
    </row>
    <row r="2" spans="1:87" ht="15.6">
      <c r="A2" s="264" t="s">
        <v>193</v>
      </c>
      <c r="B2" s="265"/>
    </row>
    <row r="3" spans="1:87" ht="14.4" thickBot="1">
      <c r="A3" s="266" t="s">
        <v>16</v>
      </c>
      <c r="B3" s="267"/>
    </row>
    <row r="6" spans="1:87">
      <c r="BQ6" s="263" t="s">
        <v>194</v>
      </c>
      <c r="BR6" s="263" t="s">
        <v>106</v>
      </c>
      <c r="BS6" s="263" t="s">
        <v>195</v>
      </c>
      <c r="BT6" s="263" t="s">
        <v>196</v>
      </c>
      <c r="BU6" s="263" t="s">
        <v>197</v>
      </c>
      <c r="BV6" s="263" t="s">
        <v>198</v>
      </c>
      <c r="BW6" s="263" t="s">
        <v>199</v>
      </c>
      <c r="BX6" s="263" t="s">
        <v>200</v>
      </c>
      <c r="BY6" s="263" t="s">
        <v>201</v>
      </c>
      <c r="BZ6" s="263" t="s">
        <v>202</v>
      </c>
      <c r="CA6" s="263" t="s">
        <v>203</v>
      </c>
      <c r="CB6" s="263" t="s">
        <v>204</v>
      </c>
    </row>
    <row r="7" spans="1:87" s="268" customFormat="1">
      <c r="B7" s="268" t="s">
        <v>23</v>
      </c>
      <c r="C7" s="269" t="s">
        <v>24</v>
      </c>
      <c r="D7" s="269" t="s">
        <v>25</v>
      </c>
      <c r="E7" s="269" t="s">
        <v>26</v>
      </c>
      <c r="F7" s="269" t="s">
        <v>27</v>
      </c>
      <c r="G7" s="269" t="s">
        <v>28</v>
      </c>
      <c r="H7" s="269" t="s">
        <v>29</v>
      </c>
      <c r="I7" s="269" t="s">
        <v>30</v>
      </c>
      <c r="J7" s="269" t="s">
        <v>31</v>
      </c>
      <c r="K7" s="269" t="s">
        <v>32</v>
      </c>
      <c r="L7" s="269" t="s">
        <v>33</v>
      </c>
      <c r="M7" s="269" t="s">
        <v>34</v>
      </c>
      <c r="N7" s="269" t="s">
        <v>35</v>
      </c>
      <c r="O7" s="269" t="s">
        <v>36</v>
      </c>
      <c r="P7" s="269" t="s">
        <v>37</v>
      </c>
      <c r="Q7" s="269" t="s">
        <v>38</v>
      </c>
      <c r="R7" s="269" t="s">
        <v>39</v>
      </c>
      <c r="S7" s="269" t="s">
        <v>40</v>
      </c>
      <c r="T7" s="269" t="s">
        <v>41</v>
      </c>
      <c r="U7" s="269" t="s">
        <v>42</v>
      </c>
      <c r="V7" s="269" t="s">
        <v>43</v>
      </c>
      <c r="W7" s="269" t="s">
        <v>44</v>
      </c>
      <c r="X7" s="269" t="s">
        <v>45</v>
      </c>
      <c r="Y7" s="269" t="s">
        <v>46</v>
      </c>
      <c r="Z7" s="269" t="s">
        <v>47</v>
      </c>
      <c r="AA7" s="269" t="s">
        <v>48</v>
      </c>
      <c r="AB7" s="269" t="s">
        <v>49</v>
      </c>
      <c r="AC7" s="269" t="s">
        <v>50</v>
      </c>
      <c r="AD7" s="269" t="s">
        <v>51</v>
      </c>
      <c r="AE7" s="269" t="s">
        <v>52</v>
      </c>
      <c r="AF7" s="269" t="s">
        <v>53</v>
      </c>
      <c r="AG7" s="269" t="s">
        <v>54</v>
      </c>
      <c r="AH7" s="269" t="s">
        <v>55</v>
      </c>
      <c r="AI7" s="269" t="s">
        <v>56</v>
      </c>
      <c r="AJ7" s="269" t="s">
        <v>57</v>
      </c>
      <c r="AK7" s="269" t="s">
        <v>58</v>
      </c>
      <c r="AL7" s="269" t="s">
        <v>59</v>
      </c>
      <c r="AM7" s="269" t="s">
        <v>60</v>
      </c>
      <c r="AN7" s="269" t="s">
        <v>61</v>
      </c>
      <c r="AO7" s="269" t="s">
        <v>62</v>
      </c>
      <c r="AP7" s="269" t="s">
        <v>63</v>
      </c>
      <c r="AQ7" s="269" t="s">
        <v>64</v>
      </c>
      <c r="AR7" s="269" t="s">
        <v>65</v>
      </c>
      <c r="AS7" s="269" t="s">
        <v>66</v>
      </c>
      <c r="AT7" s="269" t="s">
        <v>67</v>
      </c>
      <c r="AU7" s="268" t="s">
        <v>68</v>
      </c>
      <c r="AV7" s="268" t="s">
        <v>69</v>
      </c>
      <c r="AW7" s="268" t="s">
        <v>70</v>
      </c>
      <c r="AX7" s="268" t="s">
        <v>71</v>
      </c>
      <c r="AY7" s="268" t="s">
        <v>72</v>
      </c>
      <c r="AZ7" s="268" t="s">
        <v>73</v>
      </c>
      <c r="BA7" s="268" t="s">
        <v>74</v>
      </c>
      <c r="BB7" s="268" t="s">
        <v>75</v>
      </c>
      <c r="BC7" s="268" t="s">
        <v>76</v>
      </c>
      <c r="BD7" s="268" t="s">
        <v>77</v>
      </c>
      <c r="BE7" s="268" t="s">
        <v>78</v>
      </c>
      <c r="BF7" s="268" t="s">
        <v>79</v>
      </c>
      <c r="BG7" s="268" t="s">
        <v>80</v>
      </c>
      <c r="BH7" s="268" t="s">
        <v>81</v>
      </c>
      <c r="BI7" s="268" t="s">
        <v>82</v>
      </c>
      <c r="BJ7" s="268" t="s">
        <v>83</v>
      </c>
      <c r="BK7" s="268" t="s">
        <v>84</v>
      </c>
      <c r="BL7" s="268" t="s">
        <v>85</v>
      </c>
      <c r="BM7" s="268" t="s">
        <v>86</v>
      </c>
      <c r="BN7" s="268" t="s">
        <v>87</v>
      </c>
      <c r="BO7" s="268" t="s">
        <v>88</v>
      </c>
      <c r="BP7" s="268" t="s">
        <v>89</v>
      </c>
      <c r="BQ7" s="268" t="s">
        <v>90</v>
      </c>
      <c r="BR7" s="268" t="s">
        <v>91</v>
      </c>
      <c r="BS7" s="268" t="s">
        <v>92</v>
      </c>
      <c r="BT7" s="268" t="s">
        <v>93</v>
      </c>
      <c r="BU7" s="268" t="s">
        <v>94</v>
      </c>
      <c r="BV7" s="268" t="s">
        <v>95</v>
      </c>
      <c r="BW7" s="268" t="s">
        <v>173</v>
      </c>
      <c r="BX7" s="268" t="s">
        <v>174</v>
      </c>
      <c r="BY7" s="268" t="s">
        <v>175</v>
      </c>
      <c r="BZ7" s="268" t="s">
        <v>176</v>
      </c>
      <c r="CA7" s="268" t="s">
        <v>177</v>
      </c>
      <c r="CB7" s="268" t="s">
        <v>178</v>
      </c>
      <c r="CC7" s="268" t="s">
        <v>179</v>
      </c>
      <c r="CD7" s="268" t="s">
        <v>180</v>
      </c>
      <c r="CE7" s="268" t="s">
        <v>205</v>
      </c>
      <c r="CF7" s="268" t="s">
        <v>206</v>
      </c>
      <c r="CG7" s="268" t="s">
        <v>207</v>
      </c>
      <c r="CH7" s="268" t="s">
        <v>208</v>
      </c>
      <c r="CI7" s="268" t="s">
        <v>96</v>
      </c>
    </row>
    <row r="8" spans="1:87">
      <c r="A8" s="268" t="s">
        <v>97</v>
      </c>
      <c r="B8" s="268" t="s">
        <v>98</v>
      </c>
      <c r="C8" s="270">
        <v>2.0350000000000001</v>
      </c>
      <c r="D8" s="270">
        <v>2.06</v>
      </c>
      <c r="E8" s="270">
        <v>2.0649999999999999</v>
      </c>
      <c r="F8" s="270">
        <v>2.0870000000000002</v>
      </c>
      <c r="G8" s="270">
        <v>2.1040000000000001</v>
      </c>
      <c r="H8" s="270">
        <v>2.1150000000000002</v>
      </c>
      <c r="I8" s="270">
        <v>2.1509999999999998</v>
      </c>
      <c r="J8" s="270">
        <v>2.17</v>
      </c>
      <c r="K8" s="270">
        <v>2.1869999999999998</v>
      </c>
      <c r="L8" s="270">
        <v>2.2130000000000001</v>
      </c>
      <c r="M8" s="270">
        <v>2.2349999999999999</v>
      </c>
      <c r="N8" s="270">
        <v>2.2200000000000002</v>
      </c>
      <c r="O8" s="270">
        <v>2.2320000000000002</v>
      </c>
      <c r="P8" s="270">
        <v>2.258</v>
      </c>
      <c r="Q8" s="270">
        <v>2.2759999999999998</v>
      </c>
      <c r="R8" s="270">
        <v>2.302</v>
      </c>
      <c r="S8" s="270">
        <v>2.319</v>
      </c>
      <c r="T8" s="270">
        <v>2.363</v>
      </c>
      <c r="U8" s="270">
        <v>2.4039999999999999</v>
      </c>
      <c r="V8" s="270">
        <v>2.351</v>
      </c>
      <c r="W8" s="270">
        <v>2.34</v>
      </c>
      <c r="X8" s="270">
        <v>2.3460000000000001</v>
      </c>
      <c r="Y8" s="270">
        <v>2.3660000000000001</v>
      </c>
      <c r="Z8" s="270">
        <v>2.3809999999999998</v>
      </c>
      <c r="AA8" s="270">
        <v>2.379</v>
      </c>
      <c r="AB8" s="270">
        <v>2.383</v>
      </c>
      <c r="AC8" s="270">
        <v>2.3980000000000001</v>
      </c>
      <c r="AD8" s="270">
        <v>2.4220000000000002</v>
      </c>
      <c r="AE8" s="270">
        <v>2.4319999999999999</v>
      </c>
      <c r="AF8" s="270">
        <v>2.4769999999999999</v>
      </c>
      <c r="AG8" s="270">
        <v>2.4889999999999999</v>
      </c>
      <c r="AH8" s="270">
        <v>2.4969999999999999</v>
      </c>
      <c r="AI8" s="270">
        <v>2.5129999999999999</v>
      </c>
      <c r="AJ8" s="270">
        <v>2.5190000000000001</v>
      </c>
      <c r="AK8" s="270">
        <v>2.5299999999999998</v>
      </c>
      <c r="AL8" s="270">
        <v>2.5499999999999998</v>
      </c>
      <c r="AM8" s="270">
        <v>2.5569999999999999</v>
      </c>
      <c r="AN8" s="270">
        <v>2.5550000000000002</v>
      </c>
      <c r="AO8" s="270">
        <v>2.5739999999999998</v>
      </c>
      <c r="AP8" s="270">
        <v>2.5880000000000001</v>
      </c>
      <c r="AQ8" s="270">
        <v>2.597</v>
      </c>
      <c r="AR8" s="270">
        <v>2.6080000000000001</v>
      </c>
      <c r="AS8" s="270">
        <v>2.6139999999999999</v>
      </c>
      <c r="AT8" s="270">
        <v>2.617</v>
      </c>
      <c r="AU8" s="263">
        <v>2.6120000000000001</v>
      </c>
      <c r="AV8" s="263">
        <v>2.6230000000000002</v>
      </c>
      <c r="AW8" s="263">
        <v>2.6190000000000002</v>
      </c>
      <c r="AX8" s="263">
        <v>2.6259999999999999</v>
      </c>
      <c r="AY8" s="263">
        <v>2.6190000000000002</v>
      </c>
      <c r="AZ8" s="263">
        <v>2.6419999999999999</v>
      </c>
      <c r="BA8" s="263">
        <v>2.6619999999999999</v>
      </c>
      <c r="BB8" s="263">
        <v>2.677</v>
      </c>
      <c r="BC8" s="263">
        <v>2.6909999999999998</v>
      </c>
      <c r="BD8" s="263">
        <v>2.6949999999999998</v>
      </c>
      <c r="BE8" s="263">
        <v>2.7069999999999999</v>
      </c>
      <c r="BF8" s="263">
        <v>2.7210000000000001</v>
      </c>
      <c r="BG8" s="263">
        <v>2.7570000000000001</v>
      </c>
      <c r="BH8" s="263">
        <v>2.77</v>
      </c>
      <c r="BI8" s="263">
        <v>2.7759999999999998</v>
      </c>
      <c r="BJ8" s="263">
        <v>2.7890000000000001</v>
      </c>
      <c r="BK8" s="263">
        <v>2.802</v>
      </c>
      <c r="BL8" s="263">
        <v>2.8149999999999999</v>
      </c>
      <c r="BM8" s="263">
        <v>2.8279999999999998</v>
      </c>
      <c r="BN8" s="263">
        <v>2.8439999999999999</v>
      </c>
      <c r="BO8" s="263">
        <v>2.8610000000000002</v>
      </c>
      <c r="BP8" s="263">
        <v>2.8660000000000001</v>
      </c>
      <c r="BQ8" s="263">
        <v>2.9039999999999999</v>
      </c>
      <c r="BR8" s="263">
        <v>2.92</v>
      </c>
      <c r="BS8" s="263">
        <v>2.944</v>
      </c>
      <c r="BT8" s="263">
        <v>2.964</v>
      </c>
      <c r="BU8" s="263">
        <v>2.9849999999999999</v>
      </c>
      <c r="BV8" s="263">
        <v>3.0049999999999999</v>
      </c>
      <c r="BW8" s="263">
        <v>3.0219999999999998</v>
      </c>
      <c r="BX8" s="263">
        <v>3.0379999999999998</v>
      </c>
      <c r="BY8" s="263">
        <v>3.052</v>
      </c>
      <c r="BZ8" s="263">
        <v>3.069</v>
      </c>
      <c r="CA8" s="263">
        <v>3.081</v>
      </c>
      <c r="CB8" s="263">
        <v>3.0939999999999999</v>
      </c>
      <c r="CC8" s="263">
        <v>3.1080000000000001</v>
      </c>
      <c r="CD8" s="263">
        <v>3.1230000000000002</v>
      </c>
      <c r="CE8" s="263">
        <v>3.1379999999999999</v>
      </c>
      <c r="CF8" s="263">
        <v>3.1539999999999999</v>
      </c>
      <c r="CG8" s="263">
        <v>3.1709999999999998</v>
      </c>
      <c r="CH8" s="263">
        <v>3.1880000000000002</v>
      </c>
    </row>
    <row r="9" spans="1:87">
      <c r="A9" s="268" t="s">
        <v>99</v>
      </c>
      <c r="B9" s="268" t="s">
        <v>100</v>
      </c>
      <c r="C9" s="270">
        <v>2.0350000000000001</v>
      </c>
      <c r="D9" s="270">
        <v>2.06</v>
      </c>
      <c r="E9" s="270">
        <v>2.0649999999999999</v>
      </c>
      <c r="F9" s="270">
        <v>2.0870000000000002</v>
      </c>
      <c r="G9" s="270">
        <v>2.1040000000000001</v>
      </c>
      <c r="H9" s="270">
        <v>2.1150000000000002</v>
      </c>
      <c r="I9" s="270">
        <v>2.1509999999999998</v>
      </c>
      <c r="J9" s="270">
        <v>2.17</v>
      </c>
      <c r="K9" s="270">
        <v>2.1869999999999998</v>
      </c>
      <c r="L9" s="270">
        <v>2.2130000000000001</v>
      </c>
      <c r="M9" s="270">
        <v>2.2349999999999999</v>
      </c>
      <c r="N9" s="270">
        <v>2.2200000000000002</v>
      </c>
      <c r="O9" s="270">
        <v>2.2320000000000002</v>
      </c>
      <c r="P9" s="270">
        <v>2.258</v>
      </c>
      <c r="Q9" s="270">
        <v>2.2759999999999998</v>
      </c>
      <c r="R9" s="270">
        <v>2.302</v>
      </c>
      <c r="S9" s="270">
        <v>2.319</v>
      </c>
      <c r="T9" s="270">
        <v>2.363</v>
      </c>
      <c r="U9" s="270">
        <v>2.4039999999999999</v>
      </c>
      <c r="V9" s="270">
        <v>2.351</v>
      </c>
      <c r="W9" s="270">
        <v>2.34</v>
      </c>
      <c r="X9" s="270">
        <v>2.3460000000000001</v>
      </c>
      <c r="Y9" s="270">
        <v>2.3660000000000001</v>
      </c>
      <c r="Z9" s="270">
        <v>2.3809999999999998</v>
      </c>
      <c r="AA9" s="270">
        <v>2.379</v>
      </c>
      <c r="AB9" s="270">
        <v>2.383</v>
      </c>
      <c r="AC9" s="270">
        <v>2.3980000000000001</v>
      </c>
      <c r="AD9" s="270">
        <v>2.4220000000000002</v>
      </c>
      <c r="AE9" s="270">
        <v>2.4319999999999999</v>
      </c>
      <c r="AF9" s="270">
        <v>2.4769999999999999</v>
      </c>
      <c r="AG9" s="270">
        <v>2.4889999999999999</v>
      </c>
      <c r="AH9" s="270">
        <v>2.4969999999999999</v>
      </c>
      <c r="AI9" s="270">
        <v>2.5129999999999999</v>
      </c>
      <c r="AJ9" s="270">
        <v>2.5190000000000001</v>
      </c>
      <c r="AK9" s="270">
        <v>2.5299999999999998</v>
      </c>
      <c r="AL9" s="270">
        <v>2.5499999999999998</v>
      </c>
      <c r="AM9" s="270">
        <v>2.5569999999999999</v>
      </c>
      <c r="AN9" s="270">
        <v>2.5550000000000002</v>
      </c>
      <c r="AO9" s="270">
        <v>2.5739999999999998</v>
      </c>
      <c r="AP9" s="270">
        <v>2.5880000000000001</v>
      </c>
      <c r="AQ9" s="270">
        <v>2.597</v>
      </c>
      <c r="AR9" s="270">
        <v>2.6080000000000001</v>
      </c>
      <c r="AS9" s="270">
        <v>2.6139999999999999</v>
      </c>
      <c r="AT9" s="270">
        <v>2.617</v>
      </c>
      <c r="AU9" s="263">
        <v>2.6120000000000001</v>
      </c>
      <c r="AV9" s="263">
        <v>2.6230000000000002</v>
      </c>
      <c r="AW9" s="263">
        <v>2.6190000000000002</v>
      </c>
      <c r="AX9" s="263">
        <v>2.6259999999999999</v>
      </c>
      <c r="AY9" s="263">
        <v>2.6190000000000002</v>
      </c>
      <c r="AZ9" s="263">
        <v>2.6419999999999999</v>
      </c>
      <c r="BA9" s="263">
        <v>2.6619999999999999</v>
      </c>
      <c r="BB9" s="263">
        <v>2.677</v>
      </c>
      <c r="BC9" s="263">
        <v>2.6909999999999998</v>
      </c>
      <c r="BD9" s="263">
        <v>2.6949999999999998</v>
      </c>
      <c r="BE9" s="263">
        <v>2.7069999999999999</v>
      </c>
      <c r="BF9" s="263">
        <v>2.7210000000000001</v>
      </c>
      <c r="BG9" s="263">
        <v>2.7570000000000001</v>
      </c>
      <c r="BH9" s="263">
        <v>2.77</v>
      </c>
      <c r="BI9" s="263">
        <v>2.7759999999999998</v>
      </c>
      <c r="BJ9" s="263">
        <v>2.7890000000000001</v>
      </c>
      <c r="BK9" s="263">
        <v>2.802</v>
      </c>
      <c r="BL9" s="263">
        <v>2.8149999999999999</v>
      </c>
      <c r="BM9" s="263">
        <v>2.8279999999999998</v>
      </c>
      <c r="BN9" s="263">
        <v>2.8439999999999999</v>
      </c>
      <c r="BO9" s="263">
        <v>2.8610000000000002</v>
      </c>
      <c r="BP9" s="263">
        <v>2.8660000000000001</v>
      </c>
      <c r="BQ9" s="263">
        <v>2.9039999999999999</v>
      </c>
      <c r="BR9" s="263">
        <v>2.9180000000000001</v>
      </c>
      <c r="BS9" s="263">
        <v>2.94</v>
      </c>
      <c r="BT9" s="263">
        <v>2.956</v>
      </c>
      <c r="BU9" s="263">
        <v>2.9729999999999999</v>
      </c>
      <c r="BV9" s="263">
        <v>2.9889999999999999</v>
      </c>
      <c r="BW9" s="263">
        <v>3.0009999999999999</v>
      </c>
      <c r="BX9" s="263">
        <v>3.0129999999999999</v>
      </c>
      <c r="BY9" s="263">
        <v>3.0219999999999998</v>
      </c>
      <c r="BZ9" s="263">
        <v>3.0329999999999999</v>
      </c>
      <c r="CA9" s="263">
        <v>3.04</v>
      </c>
      <c r="CB9" s="263">
        <v>3.0489999999999999</v>
      </c>
      <c r="CC9" s="263">
        <v>3.0590000000000002</v>
      </c>
      <c r="CD9" s="263">
        <v>3.0710000000000002</v>
      </c>
      <c r="CE9" s="263">
        <v>3.0819999999999999</v>
      </c>
      <c r="CF9" s="263">
        <v>3.0950000000000002</v>
      </c>
      <c r="CG9" s="263">
        <v>3.1080000000000001</v>
      </c>
      <c r="CH9" s="263">
        <v>3.121</v>
      </c>
    </row>
    <row r="10" spans="1:87">
      <c r="A10" s="268" t="s">
        <v>101</v>
      </c>
      <c r="B10" s="268" t="s">
        <v>102</v>
      </c>
      <c r="C10" s="270">
        <v>2.0350000000000001</v>
      </c>
      <c r="D10" s="270">
        <v>2.06</v>
      </c>
      <c r="E10" s="270">
        <v>2.0649999999999999</v>
      </c>
      <c r="F10" s="270">
        <v>2.0870000000000002</v>
      </c>
      <c r="G10" s="270">
        <v>2.1040000000000001</v>
      </c>
      <c r="H10" s="270">
        <v>2.1150000000000002</v>
      </c>
      <c r="I10" s="270">
        <v>2.1509999999999998</v>
      </c>
      <c r="J10" s="270">
        <v>2.17</v>
      </c>
      <c r="K10" s="270">
        <v>2.1869999999999998</v>
      </c>
      <c r="L10" s="270">
        <v>2.2130000000000001</v>
      </c>
      <c r="M10" s="270">
        <v>2.2349999999999999</v>
      </c>
      <c r="N10" s="270">
        <v>2.2200000000000002</v>
      </c>
      <c r="O10" s="270">
        <v>2.2320000000000002</v>
      </c>
      <c r="P10" s="270">
        <v>2.258</v>
      </c>
      <c r="Q10" s="270">
        <v>2.2759999999999998</v>
      </c>
      <c r="R10" s="270">
        <v>2.302</v>
      </c>
      <c r="S10" s="270">
        <v>2.319</v>
      </c>
      <c r="T10" s="270">
        <v>2.363</v>
      </c>
      <c r="U10" s="270">
        <v>2.4039999999999999</v>
      </c>
      <c r="V10" s="270">
        <v>2.351</v>
      </c>
      <c r="W10" s="270">
        <v>2.34</v>
      </c>
      <c r="X10" s="270">
        <v>2.3460000000000001</v>
      </c>
      <c r="Y10" s="270">
        <v>2.3660000000000001</v>
      </c>
      <c r="Z10" s="270">
        <v>2.3809999999999998</v>
      </c>
      <c r="AA10" s="270">
        <v>2.379</v>
      </c>
      <c r="AB10" s="270">
        <v>2.383</v>
      </c>
      <c r="AC10" s="270">
        <v>2.3980000000000001</v>
      </c>
      <c r="AD10" s="270">
        <v>2.4220000000000002</v>
      </c>
      <c r="AE10" s="270">
        <v>2.4319999999999999</v>
      </c>
      <c r="AF10" s="270">
        <v>2.4769999999999999</v>
      </c>
      <c r="AG10" s="270">
        <v>2.4889999999999999</v>
      </c>
      <c r="AH10" s="270">
        <v>2.4969999999999999</v>
      </c>
      <c r="AI10" s="270">
        <v>2.5129999999999999</v>
      </c>
      <c r="AJ10" s="270">
        <v>2.5190000000000001</v>
      </c>
      <c r="AK10" s="270">
        <v>2.5299999999999998</v>
      </c>
      <c r="AL10" s="270">
        <v>2.5499999999999998</v>
      </c>
      <c r="AM10" s="270">
        <v>2.5569999999999999</v>
      </c>
      <c r="AN10" s="270">
        <v>2.5550000000000002</v>
      </c>
      <c r="AO10" s="270">
        <v>2.5739999999999998</v>
      </c>
      <c r="AP10" s="270">
        <v>2.5880000000000001</v>
      </c>
      <c r="AQ10" s="270">
        <v>2.597</v>
      </c>
      <c r="AR10" s="270">
        <v>2.6080000000000001</v>
      </c>
      <c r="AS10" s="270">
        <v>2.6139999999999999</v>
      </c>
      <c r="AT10" s="270">
        <v>2.617</v>
      </c>
      <c r="AU10" s="263">
        <v>2.6120000000000001</v>
      </c>
      <c r="AV10" s="263">
        <v>2.6230000000000002</v>
      </c>
      <c r="AW10" s="263">
        <v>2.6190000000000002</v>
      </c>
      <c r="AX10" s="263">
        <v>2.6259999999999999</v>
      </c>
      <c r="AY10" s="263">
        <v>2.6190000000000002</v>
      </c>
      <c r="AZ10" s="263">
        <v>2.6419999999999999</v>
      </c>
      <c r="BA10" s="263">
        <v>2.6619999999999999</v>
      </c>
      <c r="BB10" s="263">
        <v>2.677</v>
      </c>
      <c r="BC10" s="263">
        <v>2.6909999999999998</v>
      </c>
      <c r="BD10" s="263">
        <v>2.6949999999999998</v>
      </c>
      <c r="BE10" s="263">
        <v>2.7069999999999999</v>
      </c>
      <c r="BF10" s="263">
        <v>2.7210000000000001</v>
      </c>
      <c r="BG10" s="263">
        <v>2.7570000000000001</v>
      </c>
      <c r="BH10" s="263">
        <v>2.77</v>
      </c>
      <c r="BI10" s="263">
        <v>2.7759999999999998</v>
      </c>
      <c r="BJ10" s="263">
        <v>2.7890000000000001</v>
      </c>
      <c r="BK10" s="263">
        <v>2.802</v>
      </c>
      <c r="BL10" s="263">
        <v>2.8149999999999999</v>
      </c>
      <c r="BM10" s="263">
        <v>2.8279999999999998</v>
      </c>
      <c r="BN10" s="263">
        <v>2.8439999999999999</v>
      </c>
      <c r="BO10" s="263">
        <v>2.8610000000000002</v>
      </c>
      <c r="BP10" s="263">
        <v>2.8660000000000001</v>
      </c>
      <c r="BQ10" s="263">
        <v>2.9039999999999999</v>
      </c>
      <c r="BR10" s="263">
        <v>2.923</v>
      </c>
      <c r="BS10" s="263">
        <v>2.95</v>
      </c>
      <c r="BT10" s="263">
        <v>2.9729999999999999</v>
      </c>
      <c r="BU10" s="263">
        <v>2.9990000000000001</v>
      </c>
      <c r="BV10" s="263">
        <v>3.0249999999999999</v>
      </c>
      <c r="BW10" s="263">
        <v>3.0470000000000002</v>
      </c>
      <c r="BX10" s="263">
        <v>3.069</v>
      </c>
      <c r="BY10" s="263">
        <v>3.09</v>
      </c>
      <c r="BZ10" s="263">
        <v>3.113</v>
      </c>
      <c r="CA10" s="263">
        <v>3.133</v>
      </c>
      <c r="CB10" s="263">
        <v>3.1539999999999999</v>
      </c>
      <c r="CC10" s="263">
        <v>3.1760000000000002</v>
      </c>
      <c r="CD10" s="263">
        <v>3.198</v>
      </c>
      <c r="CE10" s="263">
        <v>3.22</v>
      </c>
      <c r="CF10" s="263">
        <v>3.2440000000000002</v>
      </c>
      <c r="CG10" s="263">
        <v>3.2690000000000001</v>
      </c>
      <c r="CH10" s="263">
        <v>3.2949999999999999</v>
      </c>
    </row>
    <row r="12" spans="1:87"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</row>
    <row r="13" spans="1:87"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</row>
    <row r="14" spans="1:87"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</row>
    <row r="15" spans="1:87"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</row>
    <row r="16" spans="1:87"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BM16" s="161" t="s">
        <v>103</v>
      </c>
      <c r="BN16" s="162"/>
      <c r="BO16" s="162"/>
      <c r="BP16" s="163" t="s">
        <v>209</v>
      </c>
      <c r="BQ16" s="164"/>
      <c r="BR16" s="164"/>
      <c r="BS16" s="164"/>
      <c r="BT16" s="164"/>
      <c r="BU16" s="164"/>
      <c r="BV16" s="162"/>
      <c r="BW16" s="162"/>
      <c r="BX16" s="162"/>
    </row>
    <row r="17" spans="3:76"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BM17" s="165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7"/>
    </row>
    <row r="18" spans="3:76">
      <c r="BM18" s="168"/>
      <c r="BN18" s="273" t="s">
        <v>105</v>
      </c>
      <c r="BO18" s="162" t="s">
        <v>196</v>
      </c>
      <c r="BP18" s="162"/>
      <c r="BQ18" s="162"/>
      <c r="BR18" s="162"/>
      <c r="BS18" s="162"/>
      <c r="BT18" s="162"/>
      <c r="BU18" s="162"/>
      <c r="BV18" s="162"/>
      <c r="BW18" s="162"/>
      <c r="BX18" s="171"/>
    </row>
    <row r="19" spans="3:76">
      <c r="BM19" s="168"/>
      <c r="BN19" s="162"/>
      <c r="BO19" s="153" t="s">
        <v>93</v>
      </c>
      <c r="BP19" s="162"/>
      <c r="BQ19" s="162"/>
      <c r="BR19" s="162"/>
      <c r="BS19" s="162"/>
      <c r="BT19" s="162"/>
      <c r="BU19" s="162"/>
      <c r="BV19" s="162"/>
      <c r="BW19" s="162"/>
      <c r="BX19" s="172" t="s">
        <v>107</v>
      </c>
    </row>
    <row r="20" spans="3:76">
      <c r="BM20" s="168"/>
      <c r="BN20" s="162"/>
      <c r="BO20" s="173">
        <f>BT9</f>
        <v>2.956</v>
      </c>
      <c r="BP20" s="162"/>
      <c r="BQ20" s="162"/>
      <c r="BR20" s="162"/>
      <c r="BS20" s="162"/>
      <c r="BT20" s="162"/>
      <c r="BU20" s="162"/>
      <c r="BV20" s="162"/>
      <c r="BW20" s="162"/>
      <c r="BX20" s="174">
        <f>BO20</f>
        <v>2.956</v>
      </c>
    </row>
    <row r="21" spans="3:76">
      <c r="BM21" s="168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75"/>
    </row>
    <row r="22" spans="3:76">
      <c r="BM22" s="168"/>
      <c r="BN22" s="273" t="s">
        <v>108</v>
      </c>
      <c r="BO22" s="162" t="s">
        <v>210</v>
      </c>
      <c r="BP22" s="162"/>
      <c r="BQ22" s="162"/>
      <c r="BR22" s="162"/>
      <c r="BS22" s="162"/>
      <c r="BT22" s="162"/>
      <c r="BU22" s="162"/>
      <c r="BV22" s="162"/>
      <c r="BW22" s="162"/>
      <c r="BX22" s="175"/>
    </row>
    <row r="23" spans="3:76">
      <c r="BM23" s="168"/>
      <c r="BN23" s="162"/>
      <c r="BO23" s="176" t="str">
        <f>BU7</f>
        <v>2021Q3</v>
      </c>
      <c r="BP23" s="176" t="str">
        <f t="shared" ref="BP23:BV23" si="0">BV7</f>
        <v>2021Q4</v>
      </c>
      <c r="BQ23" s="176" t="str">
        <f t="shared" si="0"/>
        <v>2022Q1</v>
      </c>
      <c r="BR23" s="176" t="str">
        <f t="shared" si="0"/>
        <v>2022Q2</v>
      </c>
      <c r="BS23" s="176" t="str">
        <f t="shared" si="0"/>
        <v>2022Q3</v>
      </c>
      <c r="BT23" s="176" t="str">
        <f t="shared" si="0"/>
        <v>2022Q4</v>
      </c>
      <c r="BU23" s="176" t="str">
        <f t="shared" si="0"/>
        <v>2023Q1</v>
      </c>
      <c r="BV23" s="176" t="str">
        <f t="shared" si="0"/>
        <v>2023Q2</v>
      </c>
      <c r="BW23" s="162"/>
      <c r="BX23" s="175"/>
    </row>
    <row r="24" spans="3:76">
      <c r="BM24" s="168"/>
      <c r="BN24" s="162"/>
      <c r="BO24" s="160">
        <f>BU9</f>
        <v>2.9729999999999999</v>
      </c>
      <c r="BP24" s="160">
        <f t="shared" ref="BP24:BV24" si="1">BV9</f>
        <v>2.9889999999999999</v>
      </c>
      <c r="BQ24" s="160">
        <f t="shared" si="1"/>
        <v>3.0009999999999999</v>
      </c>
      <c r="BR24" s="160">
        <f t="shared" si="1"/>
        <v>3.0129999999999999</v>
      </c>
      <c r="BS24" s="160">
        <f t="shared" si="1"/>
        <v>3.0219999999999998</v>
      </c>
      <c r="BT24" s="160">
        <f t="shared" si="1"/>
        <v>3.0329999999999999</v>
      </c>
      <c r="BU24" s="160">
        <f t="shared" si="1"/>
        <v>3.04</v>
      </c>
      <c r="BV24" s="160">
        <f t="shared" si="1"/>
        <v>3.0489999999999999</v>
      </c>
      <c r="BW24" s="162"/>
      <c r="BX24" s="174">
        <f>AVERAGE(BO24:BV24)</f>
        <v>3.0149999999999997</v>
      </c>
    </row>
    <row r="25" spans="3:76">
      <c r="BM25" s="168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75"/>
    </row>
    <row r="26" spans="3:76">
      <c r="BM26" s="168"/>
      <c r="BN26" s="162"/>
      <c r="BO26" s="162"/>
      <c r="BP26" s="162"/>
      <c r="BQ26" s="162"/>
      <c r="BR26" s="162"/>
      <c r="BS26" s="162"/>
      <c r="BT26" s="162"/>
      <c r="BU26" s="162"/>
      <c r="BV26" s="162"/>
      <c r="BW26" s="274" t="s">
        <v>110</v>
      </c>
      <c r="BX26" s="32">
        <f>(BX24-BX20)/BX20</f>
        <v>1.9959404600811814E-2</v>
      </c>
    </row>
    <row r="27" spans="3:76">
      <c r="BM27" s="178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80"/>
    </row>
  </sheetData>
  <pageMargins left="0.25" right="0.2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topLeftCell="A3" zoomScale="80" zoomScaleNormal="80" workbookViewId="0">
      <selection activeCell="F39" sqref="F39"/>
    </sheetView>
  </sheetViews>
  <sheetFormatPr defaultRowHeight="14.4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275" customWidth="1"/>
    <col min="8" max="8" width="14.7773437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hidden="1">
      <c r="C1" s="378" t="s">
        <v>274</v>
      </c>
    </row>
    <row r="2" spans="2:10" hidden="1">
      <c r="C2" s="77" t="s">
        <v>275</v>
      </c>
    </row>
    <row r="3" spans="2:10" ht="21">
      <c r="B3" s="379"/>
      <c r="C3" s="380" t="s">
        <v>276</v>
      </c>
      <c r="D3" s="380" t="s">
        <v>277</v>
      </c>
      <c r="E3" s="381"/>
      <c r="F3" s="381"/>
      <c r="G3" s="382"/>
    </row>
    <row r="4" spans="2:10" ht="42.6" thickBot="1">
      <c r="B4" s="383" t="s">
        <v>1</v>
      </c>
      <c r="C4" s="384" t="s">
        <v>211</v>
      </c>
      <c r="D4" s="380" t="s">
        <v>212</v>
      </c>
      <c r="E4" s="381"/>
      <c r="F4" s="383" t="s">
        <v>278</v>
      </c>
      <c r="G4" s="385" t="s">
        <v>279</v>
      </c>
      <c r="H4" s="77" t="s">
        <v>280</v>
      </c>
      <c r="J4" t="s">
        <v>281</v>
      </c>
    </row>
    <row r="5" spans="2:10" ht="31.2" customHeight="1">
      <c r="B5" s="386" t="s">
        <v>282</v>
      </c>
      <c r="C5" s="387">
        <v>15.48</v>
      </c>
      <c r="D5" s="387" t="e">
        <f>'[16]Direct Care'!#REF!</f>
        <v>#REF!</v>
      </c>
      <c r="E5" s="388"/>
      <c r="F5" s="598" t="s">
        <v>283</v>
      </c>
      <c r="G5" s="591" t="s">
        <v>213</v>
      </c>
      <c r="H5" s="389">
        <f>H6/2080</f>
        <v>15.480288461538462</v>
      </c>
      <c r="J5" s="48" t="e">
        <f>D5-H5</f>
        <v>#REF!</v>
      </c>
    </row>
    <row r="6" spans="2:10" ht="31.2" customHeight="1" thickBot="1">
      <c r="B6" s="390" t="s">
        <v>284</v>
      </c>
      <c r="C6" s="391">
        <f>C5*2080</f>
        <v>32198.400000000001</v>
      </c>
      <c r="D6" s="392" t="e">
        <f>D5*2080</f>
        <v>#REF!</v>
      </c>
      <c r="E6" s="393"/>
      <c r="F6" s="599"/>
      <c r="G6" s="592"/>
      <c r="H6" s="394">
        <v>32199</v>
      </c>
      <c r="J6" s="48"/>
    </row>
    <row r="7" spans="2:10" ht="21">
      <c r="B7" s="386" t="s">
        <v>214</v>
      </c>
      <c r="C7" s="387">
        <v>19.96</v>
      </c>
      <c r="D7" s="395" t="e">
        <f>'[16]Direct Care III '!#REF!</f>
        <v>#REF!</v>
      </c>
      <c r="E7" s="388"/>
      <c r="F7" s="388" t="s">
        <v>215</v>
      </c>
      <c r="G7" s="591" t="s">
        <v>216</v>
      </c>
      <c r="H7" s="389">
        <f>H8/2080</f>
        <v>18.400480769230768</v>
      </c>
      <c r="J7" s="48" t="e">
        <f>D7-H7</f>
        <v>#REF!</v>
      </c>
    </row>
    <row r="8" spans="2:10" ht="21.6" thickBot="1">
      <c r="B8" s="396" t="s">
        <v>217</v>
      </c>
      <c r="C8" s="397">
        <f>C7*2080</f>
        <v>41516.800000000003</v>
      </c>
      <c r="D8" s="398" t="e">
        <f>D7*2080</f>
        <v>#REF!</v>
      </c>
      <c r="E8" s="399"/>
      <c r="F8" s="399"/>
      <c r="G8" s="592"/>
      <c r="H8" s="394">
        <v>38273</v>
      </c>
      <c r="J8" s="48"/>
    </row>
    <row r="9" spans="2:10" ht="21">
      <c r="B9" s="386" t="s">
        <v>218</v>
      </c>
      <c r="C9" s="387">
        <v>15.53</v>
      </c>
      <c r="D9" s="395" t="e">
        <f>[16]CNA!#REF!</f>
        <v>#REF!</v>
      </c>
      <c r="E9" s="388"/>
      <c r="F9" s="400"/>
      <c r="G9" s="591" t="s">
        <v>219</v>
      </c>
      <c r="H9" s="389">
        <f>H10/2080</f>
        <v>20.43028846153846</v>
      </c>
      <c r="J9" s="401" t="e">
        <f>D9-H9</f>
        <v>#REF!</v>
      </c>
    </row>
    <row r="10" spans="2:10" ht="21.6" thickBot="1">
      <c r="B10" s="396" t="s">
        <v>220</v>
      </c>
      <c r="C10" s="397">
        <f>C9*2080</f>
        <v>32302.399999999998</v>
      </c>
      <c r="D10" s="398" t="e">
        <f>D9*2080</f>
        <v>#REF!</v>
      </c>
      <c r="E10" s="399"/>
      <c r="F10" s="399"/>
      <c r="G10" s="592"/>
      <c r="H10" s="394">
        <v>42495</v>
      </c>
      <c r="J10" s="48"/>
    </row>
    <row r="11" spans="2:10" ht="21">
      <c r="B11" s="386" t="s">
        <v>221</v>
      </c>
      <c r="C11" s="387">
        <v>21.14</v>
      </c>
      <c r="D11" s="395" t="e">
        <f>'[16]Caseworker BA'!#REF!</f>
        <v>#REF!</v>
      </c>
      <c r="E11" s="388"/>
      <c r="F11" s="388" t="s">
        <v>222</v>
      </c>
      <c r="G11" s="591" t="s">
        <v>223</v>
      </c>
      <c r="H11" s="596" t="s">
        <v>268</v>
      </c>
      <c r="J11" s="48"/>
    </row>
    <row r="12" spans="2:10" ht="21.6" thickBot="1">
      <c r="B12" s="396" t="s">
        <v>224</v>
      </c>
      <c r="C12" s="397">
        <f>C11*2080</f>
        <v>43971.200000000004</v>
      </c>
      <c r="D12" s="398" t="e">
        <f>D11*2080</f>
        <v>#REF!</v>
      </c>
      <c r="E12" s="399"/>
      <c r="F12" s="399" t="s">
        <v>285</v>
      </c>
      <c r="G12" s="592"/>
      <c r="H12" s="597"/>
      <c r="J12" s="48"/>
    </row>
    <row r="13" spans="2:10" ht="42">
      <c r="B13" s="402" t="s">
        <v>225</v>
      </c>
      <c r="C13" s="403">
        <v>25.32</v>
      </c>
      <c r="D13" s="404" t="e">
        <f>'[16]Casemanager MA '!#REF!</f>
        <v>#REF!</v>
      </c>
      <c r="E13" s="393"/>
      <c r="F13" s="393" t="s">
        <v>286</v>
      </c>
      <c r="G13" s="593" t="s">
        <v>226</v>
      </c>
      <c r="H13" s="389">
        <f>H14/2080</f>
        <v>19.703365384615385</v>
      </c>
      <c r="J13" s="48" t="e">
        <f>D13-H13</f>
        <v>#REF!</v>
      </c>
    </row>
    <row r="14" spans="2:10" ht="42.6" thickBot="1">
      <c r="B14" s="402" t="s">
        <v>227</v>
      </c>
      <c r="C14" s="397">
        <f>C13*2080</f>
        <v>52665.599999999999</v>
      </c>
      <c r="D14" s="398" t="e">
        <f>D13*2080</f>
        <v>#REF!</v>
      </c>
      <c r="E14" s="399"/>
      <c r="F14" s="399" t="s">
        <v>228</v>
      </c>
      <c r="G14" s="592"/>
      <c r="H14" s="394">
        <v>40983</v>
      </c>
      <c r="J14" s="48"/>
    </row>
    <row r="15" spans="2:10" ht="21">
      <c r="B15" s="386" t="s">
        <v>229</v>
      </c>
      <c r="C15" s="387">
        <v>29.29</v>
      </c>
      <c r="D15" s="395" t="e">
        <f>'[16]Clinician w indep Lic'!#REF!</f>
        <v>#REF!</v>
      </c>
      <c r="E15" s="388"/>
      <c r="F15" s="388" t="s">
        <v>230</v>
      </c>
      <c r="G15" s="591" t="s">
        <v>231</v>
      </c>
      <c r="H15" s="389">
        <f>H16/2080</f>
        <v>27.190865384615385</v>
      </c>
      <c r="J15" s="48" t="e">
        <f>D15-H15</f>
        <v>#REF!</v>
      </c>
    </row>
    <row r="16" spans="2:10" ht="21.6" thickBot="1">
      <c r="B16" s="396" t="s">
        <v>232</v>
      </c>
      <c r="C16" s="397">
        <f>C15*2080</f>
        <v>60923.199999999997</v>
      </c>
      <c r="D16" s="398" t="e">
        <f>D15*2080</f>
        <v>#REF!</v>
      </c>
      <c r="E16" s="399"/>
      <c r="F16" s="399"/>
      <c r="G16" s="592"/>
      <c r="H16" s="394">
        <v>56557</v>
      </c>
      <c r="J16" s="48"/>
    </row>
    <row r="17" spans="2:10" ht="21">
      <c r="B17" s="386" t="s">
        <v>233</v>
      </c>
      <c r="C17" s="387">
        <v>40.06</v>
      </c>
      <c r="D17" s="395" t="e">
        <f>'[16]Clinical Manager'!#REF!</f>
        <v>#REF!</v>
      </c>
      <c r="E17" s="388"/>
      <c r="F17" s="594" t="s">
        <v>287</v>
      </c>
      <c r="G17" s="591" t="s">
        <v>234</v>
      </c>
      <c r="H17" s="389">
        <f>H18/2080</f>
        <v>33.217788461538461</v>
      </c>
      <c r="J17" s="48" t="e">
        <f>D17-H17</f>
        <v>#REF!</v>
      </c>
    </row>
    <row r="18" spans="2:10" ht="21.6" thickBot="1">
      <c r="B18" s="396" t="s">
        <v>235</v>
      </c>
      <c r="C18" s="397">
        <f>C17*2080</f>
        <v>83324.800000000003</v>
      </c>
      <c r="D18" s="398" t="e">
        <f>D17*2080</f>
        <v>#REF!</v>
      </c>
      <c r="E18" s="399"/>
      <c r="F18" s="595"/>
      <c r="G18" s="592"/>
      <c r="H18" s="394">
        <v>69093</v>
      </c>
      <c r="J18" s="48"/>
    </row>
    <row r="19" spans="2:10" ht="21">
      <c r="B19" s="386" t="s">
        <v>236</v>
      </c>
      <c r="C19" s="387">
        <v>27.62</v>
      </c>
      <c r="D19" s="395" t="e">
        <f>[16]LPN!#REF!</f>
        <v>#REF!</v>
      </c>
      <c r="E19" s="388"/>
      <c r="F19" s="388"/>
      <c r="G19" s="591" t="s">
        <v>237</v>
      </c>
      <c r="H19" s="389">
        <f>H20/2080</f>
        <v>25.143750000000001</v>
      </c>
      <c r="J19" s="48" t="e">
        <f>D19-H19</f>
        <v>#REF!</v>
      </c>
    </row>
    <row r="20" spans="2:10" ht="21.6" thickBot="1">
      <c r="B20" s="396" t="s">
        <v>238</v>
      </c>
      <c r="C20" s="397">
        <f>C19*2080</f>
        <v>57449.599999999999</v>
      </c>
      <c r="D20" s="398" t="e">
        <f>D19*2080</f>
        <v>#REF!</v>
      </c>
      <c r="E20" s="399"/>
      <c r="F20" s="399"/>
      <c r="G20" s="592"/>
      <c r="H20" s="394">
        <v>52299</v>
      </c>
      <c r="J20" s="48"/>
    </row>
    <row r="21" spans="2:10" ht="21">
      <c r="B21" s="386" t="s">
        <v>239</v>
      </c>
      <c r="C21" s="387">
        <v>41.76</v>
      </c>
      <c r="D21" s="395" t="e">
        <f>'[16]BS RN'!#REF!</f>
        <v>#REF!</v>
      </c>
      <c r="E21" s="388"/>
      <c r="F21" s="388"/>
      <c r="G21" s="591" t="s">
        <v>240</v>
      </c>
      <c r="H21" s="405">
        <f>H22/2080</f>
        <v>33.460576923076921</v>
      </c>
      <c r="J21" s="48" t="e">
        <f>D21-H21</f>
        <v>#REF!</v>
      </c>
    </row>
    <row r="22" spans="2:10" ht="21.6" thickBot="1">
      <c r="B22" s="396" t="s">
        <v>241</v>
      </c>
      <c r="C22" s="397">
        <f>C21*2080</f>
        <v>86860.800000000003</v>
      </c>
      <c r="D22" s="398" t="e">
        <f>D21*2080</f>
        <v>#REF!</v>
      </c>
      <c r="E22" s="399"/>
      <c r="F22" s="399"/>
      <c r="G22" s="592"/>
      <c r="H22" s="394">
        <v>69598</v>
      </c>
      <c r="J22" s="48"/>
    </row>
    <row r="23" spans="2:10" ht="21">
      <c r="B23" s="386" t="s">
        <v>242</v>
      </c>
      <c r="C23" s="387">
        <v>57.41</v>
      </c>
      <c r="D23" s="395" t="e">
        <f>'[16]MA RN. APRN'!#REF!</f>
        <v>#REF!</v>
      </c>
      <c r="E23" s="388"/>
      <c r="F23" s="388"/>
      <c r="G23" s="591" t="s">
        <v>243</v>
      </c>
      <c r="H23" s="389">
        <f>H24/2080</f>
        <v>48.354326923076925</v>
      </c>
      <c r="J23" s="48" t="e">
        <f>D23-H23</f>
        <v>#REF!</v>
      </c>
    </row>
    <row r="24" spans="2:10" ht="21.6" thickBot="1">
      <c r="B24" s="396" t="s">
        <v>244</v>
      </c>
      <c r="C24" s="397">
        <f>C23*2080</f>
        <v>119412.79999999999</v>
      </c>
      <c r="D24" s="398" t="e">
        <f>D23*2080</f>
        <v>#REF!</v>
      </c>
      <c r="E24" s="399"/>
      <c r="F24" s="399"/>
      <c r="G24" s="592"/>
      <c r="H24" s="394">
        <v>100577</v>
      </c>
      <c r="J24" s="48"/>
    </row>
    <row r="25" spans="2:10" ht="21">
      <c r="B25" s="381"/>
      <c r="C25" s="381"/>
      <c r="D25" s="381"/>
      <c r="E25" s="381"/>
      <c r="F25" s="381"/>
      <c r="G25" s="382"/>
    </row>
    <row r="26" spans="2:10" ht="42">
      <c r="B26" s="406" t="s">
        <v>288</v>
      </c>
      <c r="C26" s="407">
        <v>32198</v>
      </c>
      <c r="D26" s="381"/>
      <c r="E26" s="381"/>
      <c r="F26" s="381"/>
      <c r="G26" s="382"/>
    </row>
    <row r="27" spans="2:10" ht="21">
      <c r="B27" s="381"/>
      <c r="C27" s="381"/>
      <c r="D27" s="381"/>
      <c r="E27" s="381"/>
      <c r="F27" s="381"/>
      <c r="G27" s="382"/>
    </row>
    <row r="28" spans="2:10" ht="42">
      <c r="B28" s="406" t="s">
        <v>289</v>
      </c>
      <c r="C28" s="407">
        <v>29640</v>
      </c>
      <c r="D28" s="381"/>
      <c r="E28" s="381"/>
      <c r="F28" s="381" t="s">
        <v>293</v>
      </c>
      <c r="G28" s="382"/>
    </row>
    <row r="29" spans="2:10" ht="21">
      <c r="B29" s="381"/>
      <c r="C29" s="381"/>
      <c r="D29" s="381"/>
      <c r="E29" s="381"/>
      <c r="F29" s="381"/>
      <c r="G29" s="382"/>
    </row>
    <row r="30" spans="2:10" ht="21">
      <c r="B30" s="408" t="s">
        <v>290</v>
      </c>
      <c r="C30" s="409">
        <v>0.224</v>
      </c>
      <c r="D30" s="381"/>
      <c r="E30" s="381"/>
      <c r="F30" s="381" t="s">
        <v>294</v>
      </c>
      <c r="G30" s="382"/>
    </row>
    <row r="31" spans="2:10" ht="21">
      <c r="B31" s="408"/>
      <c r="C31" s="409"/>
      <c r="D31" s="381"/>
      <c r="E31" s="381"/>
      <c r="F31" s="381" t="s">
        <v>291</v>
      </c>
      <c r="G31" s="382"/>
    </row>
    <row r="32" spans="2:10" ht="21">
      <c r="B32" s="408"/>
      <c r="C32" s="409">
        <v>0.224</v>
      </c>
      <c r="D32" s="381"/>
      <c r="E32" s="381"/>
      <c r="F32" s="381" t="s">
        <v>292</v>
      </c>
      <c r="G32" s="382"/>
    </row>
    <row r="33" spans="2:7" ht="21">
      <c r="B33" s="410"/>
      <c r="C33" s="409"/>
      <c r="D33" s="381"/>
      <c r="E33" s="381"/>
      <c r="F33" s="381" t="s">
        <v>291</v>
      </c>
      <c r="G33" s="382"/>
    </row>
    <row r="34" spans="2:7" ht="21">
      <c r="B34" s="410" t="s">
        <v>184</v>
      </c>
      <c r="C34" s="409">
        <v>3.7000000000000002E-3</v>
      </c>
      <c r="D34" s="381"/>
      <c r="E34" s="381"/>
      <c r="F34" s="381"/>
      <c r="G34" s="382"/>
    </row>
  </sheetData>
  <mergeCells count="13">
    <mergeCell ref="H11:H12"/>
    <mergeCell ref="F5:F6"/>
    <mergeCell ref="G5:G6"/>
    <mergeCell ref="G7:G8"/>
    <mergeCell ref="G9:G10"/>
    <mergeCell ref="G11:G12"/>
    <mergeCell ref="G23:G24"/>
    <mergeCell ref="G13:G14"/>
    <mergeCell ref="G15:G16"/>
    <mergeCell ref="F17:F18"/>
    <mergeCell ref="G17:G18"/>
    <mergeCell ref="G19:G20"/>
    <mergeCell ref="G21:G22"/>
  </mergeCells>
  <pageMargins left="0.25" right="0.25" top="0.25" bottom="0.25" header="0.05" footer="0.05"/>
  <pageSetup scale="66" fitToHeight="0" orientation="landscape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5"/>
  <sheetViews>
    <sheetView topLeftCell="AY1" workbookViewId="0">
      <selection activeCell="BF14" sqref="BF14:BQ26"/>
    </sheetView>
  </sheetViews>
  <sheetFormatPr defaultRowHeight="13.2"/>
  <cols>
    <col min="1" max="1" width="38.44140625" style="1" customWidth="1"/>
    <col min="2" max="2" width="12.88671875" style="2" customWidth="1"/>
    <col min="3" max="74" width="10.33203125" style="1" customWidth="1"/>
    <col min="75" max="256" width="9.109375" style="1"/>
    <col min="257" max="257" width="38.44140625" style="1" customWidth="1"/>
    <col min="258" max="258" width="12.88671875" style="1" customWidth="1"/>
    <col min="259" max="330" width="10.33203125" style="1" customWidth="1"/>
    <col min="331" max="512" width="9.109375" style="1"/>
    <col min="513" max="513" width="38.44140625" style="1" customWidth="1"/>
    <col min="514" max="514" width="12.88671875" style="1" customWidth="1"/>
    <col min="515" max="586" width="10.33203125" style="1" customWidth="1"/>
    <col min="587" max="768" width="9.109375" style="1"/>
    <col min="769" max="769" width="38.44140625" style="1" customWidth="1"/>
    <col min="770" max="770" width="12.88671875" style="1" customWidth="1"/>
    <col min="771" max="842" width="10.33203125" style="1" customWidth="1"/>
    <col min="843" max="1024" width="9.109375" style="1"/>
    <col min="1025" max="1025" width="38.44140625" style="1" customWidth="1"/>
    <col min="1026" max="1026" width="12.88671875" style="1" customWidth="1"/>
    <col min="1027" max="1098" width="10.33203125" style="1" customWidth="1"/>
    <col min="1099" max="1280" width="9.109375" style="1"/>
    <col min="1281" max="1281" width="38.44140625" style="1" customWidth="1"/>
    <col min="1282" max="1282" width="12.88671875" style="1" customWidth="1"/>
    <col min="1283" max="1354" width="10.33203125" style="1" customWidth="1"/>
    <col min="1355" max="1536" width="9.109375" style="1"/>
    <col min="1537" max="1537" width="38.44140625" style="1" customWidth="1"/>
    <col min="1538" max="1538" width="12.88671875" style="1" customWidth="1"/>
    <col min="1539" max="1610" width="10.33203125" style="1" customWidth="1"/>
    <col min="1611" max="1792" width="9.109375" style="1"/>
    <col min="1793" max="1793" width="38.44140625" style="1" customWidth="1"/>
    <col min="1794" max="1794" width="12.88671875" style="1" customWidth="1"/>
    <col min="1795" max="1866" width="10.33203125" style="1" customWidth="1"/>
    <col min="1867" max="2048" width="9.109375" style="1"/>
    <col min="2049" max="2049" width="38.44140625" style="1" customWidth="1"/>
    <col min="2050" max="2050" width="12.88671875" style="1" customWidth="1"/>
    <col min="2051" max="2122" width="10.33203125" style="1" customWidth="1"/>
    <col min="2123" max="2304" width="9.109375" style="1"/>
    <col min="2305" max="2305" width="38.44140625" style="1" customWidth="1"/>
    <col min="2306" max="2306" width="12.88671875" style="1" customWidth="1"/>
    <col min="2307" max="2378" width="10.33203125" style="1" customWidth="1"/>
    <col min="2379" max="2560" width="9.109375" style="1"/>
    <col min="2561" max="2561" width="38.44140625" style="1" customWidth="1"/>
    <col min="2562" max="2562" width="12.88671875" style="1" customWidth="1"/>
    <col min="2563" max="2634" width="10.33203125" style="1" customWidth="1"/>
    <col min="2635" max="2816" width="9.109375" style="1"/>
    <col min="2817" max="2817" width="38.44140625" style="1" customWidth="1"/>
    <col min="2818" max="2818" width="12.88671875" style="1" customWidth="1"/>
    <col min="2819" max="2890" width="10.33203125" style="1" customWidth="1"/>
    <col min="2891" max="3072" width="9.109375" style="1"/>
    <col min="3073" max="3073" width="38.44140625" style="1" customWidth="1"/>
    <col min="3074" max="3074" width="12.88671875" style="1" customWidth="1"/>
    <col min="3075" max="3146" width="10.33203125" style="1" customWidth="1"/>
    <col min="3147" max="3328" width="9.109375" style="1"/>
    <col min="3329" max="3329" width="38.44140625" style="1" customWidth="1"/>
    <col min="3330" max="3330" width="12.88671875" style="1" customWidth="1"/>
    <col min="3331" max="3402" width="10.33203125" style="1" customWidth="1"/>
    <col min="3403" max="3584" width="9.109375" style="1"/>
    <col min="3585" max="3585" width="38.44140625" style="1" customWidth="1"/>
    <col min="3586" max="3586" width="12.88671875" style="1" customWidth="1"/>
    <col min="3587" max="3658" width="10.33203125" style="1" customWidth="1"/>
    <col min="3659" max="3840" width="9.109375" style="1"/>
    <col min="3841" max="3841" width="38.44140625" style="1" customWidth="1"/>
    <col min="3842" max="3842" width="12.88671875" style="1" customWidth="1"/>
    <col min="3843" max="3914" width="10.33203125" style="1" customWidth="1"/>
    <col min="3915" max="4096" width="9.109375" style="1"/>
    <col min="4097" max="4097" width="38.44140625" style="1" customWidth="1"/>
    <col min="4098" max="4098" width="12.88671875" style="1" customWidth="1"/>
    <col min="4099" max="4170" width="10.33203125" style="1" customWidth="1"/>
    <col min="4171" max="4352" width="9.109375" style="1"/>
    <col min="4353" max="4353" width="38.44140625" style="1" customWidth="1"/>
    <col min="4354" max="4354" width="12.88671875" style="1" customWidth="1"/>
    <col min="4355" max="4426" width="10.33203125" style="1" customWidth="1"/>
    <col min="4427" max="4608" width="9.109375" style="1"/>
    <col min="4609" max="4609" width="38.44140625" style="1" customWidth="1"/>
    <col min="4610" max="4610" width="12.88671875" style="1" customWidth="1"/>
    <col min="4611" max="4682" width="10.33203125" style="1" customWidth="1"/>
    <col min="4683" max="4864" width="9.109375" style="1"/>
    <col min="4865" max="4865" width="38.44140625" style="1" customWidth="1"/>
    <col min="4866" max="4866" width="12.88671875" style="1" customWidth="1"/>
    <col min="4867" max="4938" width="10.33203125" style="1" customWidth="1"/>
    <col min="4939" max="5120" width="9.109375" style="1"/>
    <col min="5121" max="5121" width="38.44140625" style="1" customWidth="1"/>
    <col min="5122" max="5122" width="12.88671875" style="1" customWidth="1"/>
    <col min="5123" max="5194" width="10.33203125" style="1" customWidth="1"/>
    <col min="5195" max="5376" width="9.109375" style="1"/>
    <col min="5377" max="5377" width="38.44140625" style="1" customWidth="1"/>
    <col min="5378" max="5378" width="12.88671875" style="1" customWidth="1"/>
    <col min="5379" max="5450" width="10.33203125" style="1" customWidth="1"/>
    <col min="5451" max="5632" width="9.109375" style="1"/>
    <col min="5633" max="5633" width="38.44140625" style="1" customWidth="1"/>
    <col min="5634" max="5634" width="12.88671875" style="1" customWidth="1"/>
    <col min="5635" max="5706" width="10.33203125" style="1" customWidth="1"/>
    <col min="5707" max="5888" width="9.109375" style="1"/>
    <col min="5889" max="5889" width="38.44140625" style="1" customWidth="1"/>
    <col min="5890" max="5890" width="12.88671875" style="1" customWidth="1"/>
    <col min="5891" max="5962" width="10.33203125" style="1" customWidth="1"/>
    <col min="5963" max="6144" width="9.109375" style="1"/>
    <col min="6145" max="6145" width="38.44140625" style="1" customWidth="1"/>
    <col min="6146" max="6146" width="12.88671875" style="1" customWidth="1"/>
    <col min="6147" max="6218" width="10.33203125" style="1" customWidth="1"/>
    <col min="6219" max="6400" width="9.109375" style="1"/>
    <col min="6401" max="6401" width="38.44140625" style="1" customWidth="1"/>
    <col min="6402" max="6402" width="12.88671875" style="1" customWidth="1"/>
    <col min="6403" max="6474" width="10.33203125" style="1" customWidth="1"/>
    <col min="6475" max="6656" width="9.109375" style="1"/>
    <col min="6657" max="6657" width="38.44140625" style="1" customWidth="1"/>
    <col min="6658" max="6658" width="12.88671875" style="1" customWidth="1"/>
    <col min="6659" max="6730" width="10.33203125" style="1" customWidth="1"/>
    <col min="6731" max="6912" width="9.109375" style="1"/>
    <col min="6913" max="6913" width="38.44140625" style="1" customWidth="1"/>
    <col min="6914" max="6914" width="12.88671875" style="1" customWidth="1"/>
    <col min="6915" max="6986" width="10.33203125" style="1" customWidth="1"/>
    <col min="6987" max="7168" width="9.109375" style="1"/>
    <col min="7169" max="7169" width="38.44140625" style="1" customWidth="1"/>
    <col min="7170" max="7170" width="12.88671875" style="1" customWidth="1"/>
    <col min="7171" max="7242" width="10.33203125" style="1" customWidth="1"/>
    <col min="7243" max="7424" width="9.109375" style="1"/>
    <col min="7425" max="7425" width="38.44140625" style="1" customWidth="1"/>
    <col min="7426" max="7426" width="12.88671875" style="1" customWidth="1"/>
    <col min="7427" max="7498" width="10.33203125" style="1" customWidth="1"/>
    <col min="7499" max="7680" width="9.109375" style="1"/>
    <col min="7681" max="7681" width="38.44140625" style="1" customWidth="1"/>
    <col min="7682" max="7682" width="12.88671875" style="1" customWidth="1"/>
    <col min="7683" max="7754" width="10.33203125" style="1" customWidth="1"/>
    <col min="7755" max="7936" width="9.109375" style="1"/>
    <col min="7937" max="7937" width="38.44140625" style="1" customWidth="1"/>
    <col min="7938" max="7938" width="12.88671875" style="1" customWidth="1"/>
    <col min="7939" max="8010" width="10.33203125" style="1" customWidth="1"/>
    <col min="8011" max="8192" width="9.109375" style="1"/>
    <col min="8193" max="8193" width="38.44140625" style="1" customWidth="1"/>
    <col min="8194" max="8194" width="12.88671875" style="1" customWidth="1"/>
    <col min="8195" max="8266" width="10.33203125" style="1" customWidth="1"/>
    <col min="8267" max="8448" width="9.109375" style="1"/>
    <col min="8449" max="8449" width="38.44140625" style="1" customWidth="1"/>
    <col min="8450" max="8450" width="12.88671875" style="1" customWidth="1"/>
    <col min="8451" max="8522" width="10.33203125" style="1" customWidth="1"/>
    <col min="8523" max="8704" width="9.109375" style="1"/>
    <col min="8705" max="8705" width="38.44140625" style="1" customWidth="1"/>
    <col min="8706" max="8706" width="12.88671875" style="1" customWidth="1"/>
    <col min="8707" max="8778" width="10.33203125" style="1" customWidth="1"/>
    <col min="8779" max="8960" width="9.109375" style="1"/>
    <col min="8961" max="8961" width="38.44140625" style="1" customWidth="1"/>
    <col min="8962" max="8962" width="12.88671875" style="1" customWidth="1"/>
    <col min="8963" max="9034" width="10.33203125" style="1" customWidth="1"/>
    <col min="9035" max="9216" width="9.109375" style="1"/>
    <col min="9217" max="9217" width="38.44140625" style="1" customWidth="1"/>
    <col min="9218" max="9218" width="12.88671875" style="1" customWidth="1"/>
    <col min="9219" max="9290" width="10.33203125" style="1" customWidth="1"/>
    <col min="9291" max="9472" width="9.109375" style="1"/>
    <col min="9473" max="9473" width="38.44140625" style="1" customWidth="1"/>
    <col min="9474" max="9474" width="12.88671875" style="1" customWidth="1"/>
    <col min="9475" max="9546" width="10.33203125" style="1" customWidth="1"/>
    <col min="9547" max="9728" width="9.109375" style="1"/>
    <col min="9729" max="9729" width="38.44140625" style="1" customWidth="1"/>
    <col min="9730" max="9730" width="12.88671875" style="1" customWidth="1"/>
    <col min="9731" max="9802" width="10.33203125" style="1" customWidth="1"/>
    <col min="9803" max="9984" width="9.109375" style="1"/>
    <col min="9985" max="9985" width="38.44140625" style="1" customWidth="1"/>
    <col min="9986" max="9986" width="12.88671875" style="1" customWidth="1"/>
    <col min="9987" max="10058" width="10.33203125" style="1" customWidth="1"/>
    <col min="10059" max="10240" width="9.109375" style="1"/>
    <col min="10241" max="10241" width="38.44140625" style="1" customWidth="1"/>
    <col min="10242" max="10242" width="12.88671875" style="1" customWidth="1"/>
    <col min="10243" max="10314" width="10.33203125" style="1" customWidth="1"/>
    <col min="10315" max="10496" width="9.109375" style="1"/>
    <col min="10497" max="10497" width="38.44140625" style="1" customWidth="1"/>
    <col min="10498" max="10498" width="12.88671875" style="1" customWidth="1"/>
    <col min="10499" max="10570" width="10.33203125" style="1" customWidth="1"/>
    <col min="10571" max="10752" width="9.109375" style="1"/>
    <col min="10753" max="10753" width="38.44140625" style="1" customWidth="1"/>
    <col min="10754" max="10754" width="12.88671875" style="1" customWidth="1"/>
    <col min="10755" max="10826" width="10.33203125" style="1" customWidth="1"/>
    <col min="10827" max="11008" width="9.109375" style="1"/>
    <col min="11009" max="11009" width="38.44140625" style="1" customWidth="1"/>
    <col min="11010" max="11010" width="12.88671875" style="1" customWidth="1"/>
    <col min="11011" max="11082" width="10.33203125" style="1" customWidth="1"/>
    <col min="11083" max="11264" width="9.109375" style="1"/>
    <col min="11265" max="11265" width="38.44140625" style="1" customWidth="1"/>
    <col min="11266" max="11266" width="12.88671875" style="1" customWidth="1"/>
    <col min="11267" max="11338" width="10.33203125" style="1" customWidth="1"/>
    <col min="11339" max="11520" width="9.109375" style="1"/>
    <col min="11521" max="11521" width="38.44140625" style="1" customWidth="1"/>
    <col min="11522" max="11522" width="12.88671875" style="1" customWidth="1"/>
    <col min="11523" max="11594" width="10.33203125" style="1" customWidth="1"/>
    <col min="11595" max="11776" width="9.109375" style="1"/>
    <col min="11777" max="11777" width="38.44140625" style="1" customWidth="1"/>
    <col min="11778" max="11778" width="12.88671875" style="1" customWidth="1"/>
    <col min="11779" max="11850" width="10.33203125" style="1" customWidth="1"/>
    <col min="11851" max="12032" width="9.109375" style="1"/>
    <col min="12033" max="12033" width="38.44140625" style="1" customWidth="1"/>
    <col min="12034" max="12034" width="12.88671875" style="1" customWidth="1"/>
    <col min="12035" max="12106" width="10.33203125" style="1" customWidth="1"/>
    <col min="12107" max="12288" width="9.109375" style="1"/>
    <col min="12289" max="12289" width="38.44140625" style="1" customWidth="1"/>
    <col min="12290" max="12290" width="12.88671875" style="1" customWidth="1"/>
    <col min="12291" max="12362" width="10.33203125" style="1" customWidth="1"/>
    <col min="12363" max="12544" width="9.109375" style="1"/>
    <col min="12545" max="12545" width="38.44140625" style="1" customWidth="1"/>
    <col min="12546" max="12546" width="12.88671875" style="1" customWidth="1"/>
    <col min="12547" max="12618" width="10.33203125" style="1" customWidth="1"/>
    <col min="12619" max="12800" width="9.109375" style="1"/>
    <col min="12801" max="12801" width="38.44140625" style="1" customWidth="1"/>
    <col min="12802" max="12802" width="12.88671875" style="1" customWidth="1"/>
    <col min="12803" max="12874" width="10.33203125" style="1" customWidth="1"/>
    <col min="12875" max="13056" width="9.109375" style="1"/>
    <col min="13057" max="13057" width="38.44140625" style="1" customWidth="1"/>
    <col min="13058" max="13058" width="12.88671875" style="1" customWidth="1"/>
    <col min="13059" max="13130" width="10.33203125" style="1" customWidth="1"/>
    <col min="13131" max="13312" width="9.109375" style="1"/>
    <col min="13313" max="13313" width="38.44140625" style="1" customWidth="1"/>
    <col min="13314" max="13314" width="12.88671875" style="1" customWidth="1"/>
    <col min="13315" max="13386" width="10.33203125" style="1" customWidth="1"/>
    <col min="13387" max="13568" width="9.109375" style="1"/>
    <col min="13569" max="13569" width="38.44140625" style="1" customWidth="1"/>
    <col min="13570" max="13570" width="12.88671875" style="1" customWidth="1"/>
    <col min="13571" max="13642" width="10.33203125" style="1" customWidth="1"/>
    <col min="13643" max="13824" width="9.109375" style="1"/>
    <col min="13825" max="13825" width="38.44140625" style="1" customWidth="1"/>
    <col min="13826" max="13826" width="12.88671875" style="1" customWidth="1"/>
    <col min="13827" max="13898" width="10.33203125" style="1" customWidth="1"/>
    <col min="13899" max="14080" width="9.109375" style="1"/>
    <col min="14081" max="14081" width="38.44140625" style="1" customWidth="1"/>
    <col min="14082" max="14082" width="12.88671875" style="1" customWidth="1"/>
    <col min="14083" max="14154" width="10.33203125" style="1" customWidth="1"/>
    <col min="14155" max="14336" width="9.109375" style="1"/>
    <col min="14337" max="14337" width="38.44140625" style="1" customWidth="1"/>
    <col min="14338" max="14338" width="12.88671875" style="1" customWidth="1"/>
    <col min="14339" max="14410" width="10.33203125" style="1" customWidth="1"/>
    <col min="14411" max="14592" width="9.109375" style="1"/>
    <col min="14593" max="14593" width="38.44140625" style="1" customWidth="1"/>
    <col min="14594" max="14594" width="12.88671875" style="1" customWidth="1"/>
    <col min="14595" max="14666" width="10.33203125" style="1" customWidth="1"/>
    <col min="14667" max="14848" width="9.109375" style="1"/>
    <col min="14849" max="14849" width="38.44140625" style="1" customWidth="1"/>
    <col min="14850" max="14850" width="12.88671875" style="1" customWidth="1"/>
    <col min="14851" max="14922" width="10.33203125" style="1" customWidth="1"/>
    <col min="14923" max="15104" width="9.109375" style="1"/>
    <col min="15105" max="15105" width="38.44140625" style="1" customWidth="1"/>
    <col min="15106" max="15106" width="12.88671875" style="1" customWidth="1"/>
    <col min="15107" max="15178" width="10.33203125" style="1" customWidth="1"/>
    <col min="15179" max="15360" width="9.109375" style="1"/>
    <col min="15361" max="15361" width="38.44140625" style="1" customWidth="1"/>
    <col min="15362" max="15362" width="12.88671875" style="1" customWidth="1"/>
    <col min="15363" max="15434" width="10.33203125" style="1" customWidth="1"/>
    <col min="15435" max="15616" width="9.109375" style="1"/>
    <col min="15617" max="15617" width="38.44140625" style="1" customWidth="1"/>
    <col min="15618" max="15618" width="12.88671875" style="1" customWidth="1"/>
    <col min="15619" max="15690" width="10.33203125" style="1" customWidth="1"/>
    <col min="15691" max="15872" width="9.109375" style="1"/>
    <col min="15873" max="15873" width="38.44140625" style="1" customWidth="1"/>
    <col min="15874" max="15874" width="12.88671875" style="1" customWidth="1"/>
    <col min="15875" max="15946" width="10.33203125" style="1" customWidth="1"/>
    <col min="15947" max="16128" width="9.109375" style="1"/>
    <col min="16129" max="16129" width="38.44140625" style="1" customWidth="1"/>
    <col min="16130" max="16130" width="12.88671875" style="1" customWidth="1"/>
    <col min="16131" max="16202" width="10.33203125" style="1" customWidth="1"/>
    <col min="16203" max="16384" width="9.109375" style="1"/>
  </cols>
  <sheetData>
    <row r="1" spans="1:75" ht="17.399999999999999">
      <c r="A1" s="600" t="s">
        <v>14</v>
      </c>
      <c r="B1" s="601"/>
    </row>
    <row r="2" spans="1:75" ht="15.6">
      <c r="A2" s="602" t="s">
        <v>15</v>
      </c>
      <c r="B2" s="603"/>
    </row>
    <row r="3" spans="1:75" ht="14.4" thickBot="1">
      <c r="A3" s="604" t="s">
        <v>16</v>
      </c>
      <c r="B3" s="605"/>
    </row>
    <row r="6" spans="1:75">
      <c r="AW6" s="3" t="s">
        <v>17</v>
      </c>
      <c r="AX6" s="4" t="s">
        <v>17</v>
      </c>
      <c r="AY6" s="4" t="s">
        <v>17</v>
      </c>
      <c r="AZ6" s="4" t="s">
        <v>17</v>
      </c>
      <c r="BA6" s="5" t="s">
        <v>18</v>
      </c>
      <c r="BB6" s="5" t="s">
        <v>18</v>
      </c>
      <c r="BC6" s="5" t="s">
        <v>18</v>
      </c>
      <c r="BD6" s="5" t="s">
        <v>18</v>
      </c>
      <c r="BE6" s="6" t="s">
        <v>19</v>
      </c>
      <c r="BF6" s="6" t="s">
        <v>19</v>
      </c>
      <c r="BG6" s="6" t="s">
        <v>19</v>
      </c>
      <c r="BH6" s="6" t="s">
        <v>19</v>
      </c>
      <c r="BI6" s="7" t="s">
        <v>20</v>
      </c>
      <c r="BJ6" s="7" t="s">
        <v>20</v>
      </c>
      <c r="BK6" s="7" t="s">
        <v>20</v>
      </c>
      <c r="BL6" s="7" t="s">
        <v>20</v>
      </c>
      <c r="BM6" s="8" t="s">
        <v>21</v>
      </c>
      <c r="BN6" s="8" t="s">
        <v>21</v>
      </c>
      <c r="BO6" s="8" t="s">
        <v>21</v>
      </c>
      <c r="BP6" s="8" t="s">
        <v>21</v>
      </c>
      <c r="BQ6" s="9" t="s">
        <v>22</v>
      </c>
      <c r="BR6" s="9" t="s">
        <v>22</v>
      </c>
      <c r="BS6" s="9" t="s">
        <v>22</v>
      </c>
      <c r="BT6" s="9" t="s">
        <v>22</v>
      </c>
    </row>
    <row r="7" spans="1:75" s="2" customFormat="1">
      <c r="B7" s="2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0" t="s">
        <v>32</v>
      </c>
      <c r="L7" s="10" t="s">
        <v>33</v>
      </c>
      <c r="M7" s="10" t="s">
        <v>34</v>
      </c>
      <c r="N7" s="10" t="s">
        <v>35</v>
      </c>
      <c r="O7" s="10" t="s">
        <v>36</v>
      </c>
      <c r="P7" s="10" t="s">
        <v>37</v>
      </c>
      <c r="Q7" s="10" t="s">
        <v>38</v>
      </c>
      <c r="R7" s="10" t="s">
        <v>39</v>
      </c>
      <c r="S7" s="10" t="s">
        <v>40</v>
      </c>
      <c r="T7" s="10" t="s">
        <v>41</v>
      </c>
      <c r="U7" s="10" t="s">
        <v>42</v>
      </c>
      <c r="V7" s="10" t="s">
        <v>43</v>
      </c>
      <c r="W7" s="10" t="s">
        <v>44</v>
      </c>
      <c r="X7" s="10" t="s">
        <v>45</v>
      </c>
      <c r="Y7" s="10" t="s">
        <v>46</v>
      </c>
      <c r="Z7" s="10" t="s">
        <v>47</v>
      </c>
      <c r="AA7" s="10" t="s">
        <v>48</v>
      </c>
      <c r="AB7" s="10" t="s">
        <v>49</v>
      </c>
      <c r="AC7" s="10" t="s">
        <v>50</v>
      </c>
      <c r="AD7" s="10" t="s">
        <v>51</v>
      </c>
      <c r="AE7" s="10" t="s">
        <v>52</v>
      </c>
      <c r="AF7" s="10" t="s">
        <v>53</v>
      </c>
      <c r="AG7" s="10" t="s">
        <v>54</v>
      </c>
      <c r="AH7" s="10" t="s">
        <v>55</v>
      </c>
      <c r="AI7" s="10" t="s">
        <v>56</v>
      </c>
      <c r="AJ7" s="10" t="s">
        <v>57</v>
      </c>
      <c r="AK7" s="10" t="s">
        <v>58</v>
      </c>
      <c r="AL7" s="10" t="s">
        <v>59</v>
      </c>
      <c r="AM7" s="10" t="s">
        <v>60</v>
      </c>
      <c r="AN7" s="10" t="s">
        <v>61</v>
      </c>
      <c r="AO7" s="10" t="s">
        <v>62</v>
      </c>
      <c r="AP7" s="10" t="s">
        <v>63</v>
      </c>
      <c r="AQ7" s="10" t="s">
        <v>64</v>
      </c>
      <c r="AR7" s="10" t="s">
        <v>65</v>
      </c>
      <c r="AS7" s="10" t="s">
        <v>66</v>
      </c>
      <c r="AT7" s="10" t="s">
        <v>67</v>
      </c>
      <c r="AU7" s="2" t="s">
        <v>68</v>
      </c>
      <c r="AV7" s="2" t="s">
        <v>69</v>
      </c>
      <c r="AW7" s="2" t="s">
        <v>70</v>
      </c>
      <c r="AX7" s="2" t="s">
        <v>71</v>
      </c>
      <c r="AY7" s="2" t="s">
        <v>72</v>
      </c>
      <c r="AZ7" s="2" t="s">
        <v>73</v>
      </c>
      <c r="BA7" s="2" t="s">
        <v>74</v>
      </c>
      <c r="BB7" s="2" t="s">
        <v>75</v>
      </c>
      <c r="BC7" s="2" t="s">
        <v>76</v>
      </c>
      <c r="BD7" s="2" t="s">
        <v>77</v>
      </c>
      <c r="BE7" s="2" t="s">
        <v>78</v>
      </c>
      <c r="BF7" s="2" t="s">
        <v>79</v>
      </c>
      <c r="BG7" s="2" t="s">
        <v>80</v>
      </c>
      <c r="BH7" s="2" t="s">
        <v>81</v>
      </c>
      <c r="BI7" s="2" t="s">
        <v>82</v>
      </c>
      <c r="BJ7" s="2" t="s">
        <v>83</v>
      </c>
      <c r="BK7" s="2" t="s">
        <v>84</v>
      </c>
      <c r="BL7" s="2" t="s">
        <v>85</v>
      </c>
      <c r="BM7" s="2" t="s">
        <v>86</v>
      </c>
      <c r="BN7" s="2" t="s">
        <v>87</v>
      </c>
      <c r="BO7" s="2" t="s">
        <v>88</v>
      </c>
      <c r="BP7" s="2" t="s">
        <v>89</v>
      </c>
      <c r="BQ7" s="2" t="s">
        <v>90</v>
      </c>
      <c r="BR7" s="2" t="s">
        <v>91</v>
      </c>
      <c r="BS7" s="2" t="s">
        <v>92</v>
      </c>
      <c r="BT7" s="2" t="s">
        <v>93</v>
      </c>
      <c r="BU7" s="2" t="s">
        <v>94</v>
      </c>
      <c r="BV7" s="2" t="s">
        <v>95</v>
      </c>
      <c r="BW7" s="2" t="s">
        <v>96</v>
      </c>
    </row>
    <row r="8" spans="1:75">
      <c r="A8" s="2" t="s">
        <v>97</v>
      </c>
      <c r="B8" s="2" t="s">
        <v>98</v>
      </c>
      <c r="C8" s="11">
        <v>2.0350000000000001</v>
      </c>
      <c r="D8" s="11">
        <v>2.06</v>
      </c>
      <c r="E8" s="11">
        <v>2.0640000000000001</v>
      </c>
      <c r="F8" s="11">
        <v>2.0870000000000002</v>
      </c>
      <c r="G8" s="11">
        <v>2.1040000000000001</v>
      </c>
      <c r="H8" s="11">
        <v>2.1150000000000002</v>
      </c>
      <c r="I8" s="11">
        <v>2.1480000000000001</v>
      </c>
      <c r="J8" s="11">
        <v>2.169</v>
      </c>
      <c r="K8" s="11">
        <v>2.1869999999999998</v>
      </c>
      <c r="L8" s="11">
        <v>2.214</v>
      </c>
      <c r="M8" s="11">
        <v>2.2330000000000001</v>
      </c>
      <c r="N8" s="11">
        <v>2.2210000000000001</v>
      </c>
      <c r="O8" s="11">
        <v>2.234</v>
      </c>
      <c r="P8" s="11">
        <v>2.2599999999999998</v>
      </c>
      <c r="Q8" s="11">
        <v>2.274</v>
      </c>
      <c r="R8" s="11">
        <v>2.3010000000000002</v>
      </c>
      <c r="S8" s="11">
        <v>2.3210000000000002</v>
      </c>
      <c r="T8" s="11">
        <v>2.3620000000000001</v>
      </c>
      <c r="U8" s="11">
        <v>2.4020000000000001</v>
      </c>
      <c r="V8" s="11">
        <v>2.351</v>
      </c>
      <c r="W8" s="11">
        <v>2.3439999999999999</v>
      </c>
      <c r="X8" s="11">
        <v>2.3479999999999999</v>
      </c>
      <c r="Y8" s="11">
        <v>2.3690000000000002</v>
      </c>
      <c r="Z8" s="11">
        <v>2.383</v>
      </c>
      <c r="AA8" s="11">
        <v>2.383</v>
      </c>
      <c r="AB8" s="11">
        <v>2.3839999999999999</v>
      </c>
      <c r="AC8" s="11">
        <v>2.399</v>
      </c>
      <c r="AD8" s="11">
        <v>2.4220000000000002</v>
      </c>
      <c r="AE8" s="11">
        <v>2.4350000000000001</v>
      </c>
      <c r="AF8" s="11">
        <v>2.4780000000000002</v>
      </c>
      <c r="AG8" s="11">
        <v>2.4889999999999999</v>
      </c>
      <c r="AH8" s="11">
        <v>2.4969999999999999</v>
      </c>
      <c r="AI8" s="11">
        <v>2.5169999999999999</v>
      </c>
      <c r="AJ8" s="11">
        <v>2.52</v>
      </c>
      <c r="AK8" s="11">
        <v>2.5299999999999998</v>
      </c>
      <c r="AL8" s="11">
        <v>2.5489999999999999</v>
      </c>
      <c r="AM8" s="11">
        <v>2.5579999999999998</v>
      </c>
      <c r="AN8" s="11">
        <v>2.5539999999999998</v>
      </c>
      <c r="AO8" s="11">
        <v>2.5739999999999998</v>
      </c>
      <c r="AP8" s="11">
        <v>2.589</v>
      </c>
      <c r="AQ8" s="11">
        <v>2.601</v>
      </c>
      <c r="AR8" s="11">
        <v>2.6070000000000002</v>
      </c>
      <c r="AS8" s="11">
        <v>2.6139999999999999</v>
      </c>
      <c r="AT8" s="11">
        <v>2.617</v>
      </c>
      <c r="AU8" s="11">
        <v>2.6190000000000002</v>
      </c>
      <c r="AV8" s="11">
        <v>2.6230000000000002</v>
      </c>
      <c r="AW8" s="11">
        <v>2.621</v>
      </c>
      <c r="AX8" s="11">
        <v>2.629</v>
      </c>
      <c r="AY8" s="11">
        <v>2.6320000000000001</v>
      </c>
      <c r="AZ8" s="11">
        <v>2.6459999999999999</v>
      </c>
      <c r="BA8" s="11">
        <v>2.6659999999999999</v>
      </c>
      <c r="BB8" s="11">
        <v>2.6779999999999999</v>
      </c>
      <c r="BC8" s="11">
        <v>2.6960000000000002</v>
      </c>
      <c r="BD8" s="11">
        <v>2.694</v>
      </c>
      <c r="BE8" s="11">
        <v>2.7090000000000001</v>
      </c>
      <c r="BF8" s="11">
        <v>2.7240000000000002</v>
      </c>
      <c r="BG8" s="11">
        <v>2.7349999999999999</v>
      </c>
      <c r="BH8" s="11">
        <v>2.7440000000000002</v>
      </c>
      <c r="BI8" s="11">
        <v>2.76</v>
      </c>
      <c r="BJ8" s="11">
        <v>2.7759999999999998</v>
      </c>
      <c r="BK8" s="11">
        <v>2.7909999999999999</v>
      </c>
      <c r="BL8" s="11">
        <v>2.8090000000000002</v>
      </c>
      <c r="BM8" s="11">
        <v>2.8239999999999998</v>
      </c>
      <c r="BN8" s="11">
        <v>2.8460000000000001</v>
      </c>
      <c r="BO8" s="11">
        <v>2.8660000000000001</v>
      </c>
      <c r="BP8" s="11">
        <v>2.8849999999999998</v>
      </c>
      <c r="BQ8" s="11">
        <v>2.9049999999999998</v>
      </c>
      <c r="BR8" s="11">
        <v>2.9239999999999999</v>
      </c>
      <c r="BS8" s="11">
        <v>2.9420000000000002</v>
      </c>
      <c r="BT8" s="11">
        <v>2.96</v>
      </c>
      <c r="BU8" s="11">
        <v>2.9790000000000001</v>
      </c>
      <c r="BV8" s="11">
        <v>2.9980000000000002</v>
      </c>
    </row>
    <row r="9" spans="1:75" s="14" customFormat="1">
      <c r="A9" s="12" t="s">
        <v>99</v>
      </c>
      <c r="B9" s="12" t="s">
        <v>100</v>
      </c>
      <c r="C9" s="13">
        <v>2.0350000000000001</v>
      </c>
      <c r="D9" s="13">
        <v>2.06</v>
      </c>
      <c r="E9" s="13">
        <v>2.0640000000000001</v>
      </c>
      <c r="F9" s="13">
        <v>2.0870000000000002</v>
      </c>
      <c r="G9" s="13">
        <v>2.1040000000000001</v>
      </c>
      <c r="H9" s="13">
        <v>2.1150000000000002</v>
      </c>
      <c r="I9" s="13">
        <v>2.1480000000000001</v>
      </c>
      <c r="J9" s="13">
        <v>2.169</v>
      </c>
      <c r="K9" s="13">
        <v>2.1869999999999998</v>
      </c>
      <c r="L9" s="13">
        <v>2.214</v>
      </c>
      <c r="M9" s="13">
        <v>2.2330000000000001</v>
      </c>
      <c r="N9" s="13">
        <v>2.2210000000000001</v>
      </c>
      <c r="O9" s="13">
        <v>2.234</v>
      </c>
      <c r="P9" s="13">
        <v>2.2599999999999998</v>
      </c>
      <c r="Q9" s="13">
        <v>2.274</v>
      </c>
      <c r="R9" s="13">
        <v>2.3010000000000002</v>
      </c>
      <c r="S9" s="13">
        <v>2.3210000000000002</v>
      </c>
      <c r="T9" s="13">
        <v>2.3620000000000001</v>
      </c>
      <c r="U9" s="13">
        <v>2.4020000000000001</v>
      </c>
      <c r="V9" s="13">
        <v>2.351</v>
      </c>
      <c r="W9" s="13">
        <v>2.3439999999999999</v>
      </c>
      <c r="X9" s="13">
        <v>2.3479999999999999</v>
      </c>
      <c r="Y9" s="13">
        <v>2.3690000000000002</v>
      </c>
      <c r="Z9" s="13">
        <v>2.383</v>
      </c>
      <c r="AA9" s="13">
        <v>2.383</v>
      </c>
      <c r="AB9" s="13">
        <v>2.3839999999999999</v>
      </c>
      <c r="AC9" s="13">
        <v>2.399</v>
      </c>
      <c r="AD9" s="13">
        <v>2.4220000000000002</v>
      </c>
      <c r="AE9" s="13">
        <v>2.4350000000000001</v>
      </c>
      <c r="AF9" s="13">
        <v>2.4780000000000002</v>
      </c>
      <c r="AG9" s="13">
        <v>2.4889999999999999</v>
      </c>
      <c r="AH9" s="13">
        <v>2.4969999999999999</v>
      </c>
      <c r="AI9" s="13">
        <v>2.5169999999999999</v>
      </c>
      <c r="AJ9" s="13">
        <v>2.52</v>
      </c>
      <c r="AK9" s="13">
        <v>2.5299999999999998</v>
      </c>
      <c r="AL9" s="13">
        <v>2.5489999999999999</v>
      </c>
      <c r="AM9" s="13">
        <v>2.5579999999999998</v>
      </c>
      <c r="AN9" s="13">
        <v>2.5539999999999998</v>
      </c>
      <c r="AO9" s="13">
        <v>2.5739999999999998</v>
      </c>
      <c r="AP9" s="13">
        <v>2.589</v>
      </c>
      <c r="AQ9" s="13">
        <v>2.601</v>
      </c>
      <c r="AR9" s="13">
        <v>2.6070000000000002</v>
      </c>
      <c r="AS9" s="13">
        <v>2.6139999999999999</v>
      </c>
      <c r="AT9" s="13">
        <v>2.617</v>
      </c>
      <c r="AU9" s="13">
        <v>2.6190000000000002</v>
      </c>
      <c r="AV9" s="13">
        <v>2.6230000000000002</v>
      </c>
      <c r="AW9" s="13">
        <v>2.621</v>
      </c>
      <c r="AX9" s="13">
        <v>2.629</v>
      </c>
      <c r="AY9" s="13">
        <v>2.6320000000000001</v>
      </c>
      <c r="AZ9" s="13">
        <v>2.6459999999999999</v>
      </c>
      <c r="BA9" s="13">
        <v>2.6659999999999999</v>
      </c>
      <c r="BB9" s="13">
        <v>2.6779999999999999</v>
      </c>
      <c r="BC9" s="13">
        <v>2.6960000000000002</v>
      </c>
      <c r="BD9" s="13">
        <v>2.694</v>
      </c>
      <c r="BE9" s="13">
        <v>2.7090000000000001</v>
      </c>
      <c r="BF9" s="13">
        <v>2.7240000000000002</v>
      </c>
      <c r="BG9" s="13">
        <v>2.7349999999999999</v>
      </c>
      <c r="BH9" s="13">
        <v>2.742</v>
      </c>
      <c r="BI9" s="13">
        <v>2.7549999999999999</v>
      </c>
      <c r="BJ9" s="13">
        <v>2.7690000000000001</v>
      </c>
      <c r="BK9" s="13">
        <v>2.782</v>
      </c>
      <c r="BL9" s="13">
        <v>2.798</v>
      </c>
      <c r="BM9" s="13">
        <v>2.81</v>
      </c>
      <c r="BN9" s="13">
        <v>2.831</v>
      </c>
      <c r="BO9" s="13">
        <v>2.8490000000000002</v>
      </c>
      <c r="BP9" s="13">
        <v>2.8660000000000001</v>
      </c>
      <c r="BQ9" s="13">
        <v>2.883</v>
      </c>
      <c r="BR9" s="13">
        <v>2.899</v>
      </c>
      <c r="BS9" s="13">
        <v>2.915</v>
      </c>
      <c r="BT9" s="13">
        <v>2.931</v>
      </c>
      <c r="BU9" s="13">
        <v>2.9470000000000001</v>
      </c>
      <c r="BV9" s="13">
        <v>2.9620000000000002</v>
      </c>
    </row>
    <row r="10" spans="1:75">
      <c r="A10" s="2" t="s">
        <v>101</v>
      </c>
      <c r="B10" s="2" t="s">
        <v>102</v>
      </c>
      <c r="C10" s="11">
        <v>2.0350000000000001</v>
      </c>
      <c r="D10" s="11">
        <v>2.06</v>
      </c>
      <c r="E10" s="11">
        <v>2.0640000000000001</v>
      </c>
      <c r="F10" s="11">
        <v>2.0870000000000002</v>
      </c>
      <c r="G10" s="11">
        <v>2.1040000000000001</v>
      </c>
      <c r="H10" s="11">
        <v>2.1150000000000002</v>
      </c>
      <c r="I10" s="11">
        <v>2.1480000000000001</v>
      </c>
      <c r="J10" s="11">
        <v>2.169</v>
      </c>
      <c r="K10" s="11">
        <v>2.1869999999999998</v>
      </c>
      <c r="L10" s="11">
        <v>2.214</v>
      </c>
      <c r="M10" s="11">
        <v>2.2330000000000001</v>
      </c>
      <c r="N10" s="11">
        <v>2.2210000000000001</v>
      </c>
      <c r="O10" s="11">
        <v>2.234</v>
      </c>
      <c r="P10" s="11">
        <v>2.2599999999999998</v>
      </c>
      <c r="Q10" s="11">
        <v>2.274</v>
      </c>
      <c r="R10" s="11">
        <v>2.3010000000000002</v>
      </c>
      <c r="S10" s="11">
        <v>2.3210000000000002</v>
      </c>
      <c r="T10" s="11">
        <v>2.3620000000000001</v>
      </c>
      <c r="U10" s="11">
        <v>2.4020000000000001</v>
      </c>
      <c r="V10" s="11">
        <v>2.351</v>
      </c>
      <c r="W10" s="11">
        <v>2.3439999999999999</v>
      </c>
      <c r="X10" s="11">
        <v>2.3479999999999999</v>
      </c>
      <c r="Y10" s="11">
        <v>2.3690000000000002</v>
      </c>
      <c r="Z10" s="11">
        <v>2.383</v>
      </c>
      <c r="AA10" s="11">
        <v>2.383</v>
      </c>
      <c r="AB10" s="11">
        <v>2.3839999999999999</v>
      </c>
      <c r="AC10" s="11">
        <v>2.399</v>
      </c>
      <c r="AD10" s="11">
        <v>2.4220000000000002</v>
      </c>
      <c r="AE10" s="11">
        <v>2.4350000000000001</v>
      </c>
      <c r="AF10" s="11">
        <v>2.4780000000000002</v>
      </c>
      <c r="AG10" s="11">
        <v>2.4889999999999999</v>
      </c>
      <c r="AH10" s="11">
        <v>2.4969999999999999</v>
      </c>
      <c r="AI10" s="11">
        <v>2.5169999999999999</v>
      </c>
      <c r="AJ10" s="11">
        <v>2.52</v>
      </c>
      <c r="AK10" s="11">
        <v>2.5299999999999998</v>
      </c>
      <c r="AL10" s="11">
        <v>2.5489999999999999</v>
      </c>
      <c r="AM10" s="11">
        <v>2.5579999999999998</v>
      </c>
      <c r="AN10" s="11">
        <v>2.5539999999999998</v>
      </c>
      <c r="AO10" s="11">
        <v>2.5739999999999998</v>
      </c>
      <c r="AP10" s="11">
        <v>2.589</v>
      </c>
      <c r="AQ10" s="11">
        <v>2.601</v>
      </c>
      <c r="AR10" s="11">
        <v>2.6070000000000002</v>
      </c>
      <c r="AS10" s="11">
        <v>2.6139999999999999</v>
      </c>
      <c r="AT10" s="11">
        <v>2.617</v>
      </c>
      <c r="AU10" s="11">
        <v>2.6190000000000002</v>
      </c>
      <c r="AV10" s="11">
        <v>2.6230000000000002</v>
      </c>
      <c r="AW10" s="11">
        <v>2.621</v>
      </c>
      <c r="AX10" s="11">
        <v>2.629</v>
      </c>
      <c r="AY10" s="11">
        <v>2.6320000000000001</v>
      </c>
      <c r="AZ10" s="11">
        <v>2.6459999999999999</v>
      </c>
      <c r="BA10" s="11">
        <v>2.6659999999999999</v>
      </c>
      <c r="BB10" s="11">
        <v>2.6779999999999999</v>
      </c>
      <c r="BC10" s="11">
        <v>2.6960000000000002</v>
      </c>
      <c r="BD10" s="11">
        <v>2.694</v>
      </c>
      <c r="BE10" s="11">
        <v>2.7090000000000001</v>
      </c>
      <c r="BF10" s="11">
        <v>2.7240000000000002</v>
      </c>
      <c r="BG10" s="11">
        <v>2.7349999999999999</v>
      </c>
      <c r="BH10" s="11">
        <v>2.7480000000000002</v>
      </c>
      <c r="BI10" s="11">
        <v>2.766</v>
      </c>
      <c r="BJ10" s="11">
        <v>2.7839999999999998</v>
      </c>
      <c r="BK10" s="11">
        <v>2.802</v>
      </c>
      <c r="BL10" s="11">
        <v>2.823</v>
      </c>
      <c r="BM10" s="11">
        <v>2.843</v>
      </c>
      <c r="BN10" s="11">
        <v>2.8690000000000002</v>
      </c>
      <c r="BO10" s="11">
        <v>2.895</v>
      </c>
      <c r="BP10" s="11">
        <v>2.919</v>
      </c>
      <c r="BQ10" s="11">
        <v>2.9449999999999998</v>
      </c>
      <c r="BR10" s="11">
        <v>2.97</v>
      </c>
      <c r="BS10" s="11">
        <v>2.9950000000000001</v>
      </c>
      <c r="BT10" s="11">
        <v>3.02</v>
      </c>
      <c r="BU10" s="11">
        <v>3.0470000000000002</v>
      </c>
      <c r="BV10" s="11">
        <v>3.0739999999999998</v>
      </c>
    </row>
    <row r="15" spans="1:75">
      <c r="BF15" s="15" t="s">
        <v>103</v>
      </c>
      <c r="BG15" s="16"/>
      <c r="BH15" s="16"/>
      <c r="BI15" s="17" t="s">
        <v>104</v>
      </c>
      <c r="BJ15" s="18"/>
      <c r="BK15" s="18"/>
      <c r="BL15" s="18"/>
      <c r="BM15" s="18"/>
      <c r="BN15" s="18"/>
      <c r="BO15" s="16"/>
      <c r="BP15" s="16"/>
      <c r="BQ15" s="16"/>
    </row>
    <row r="16" spans="1:75">
      <c r="BF16" s="19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1"/>
    </row>
    <row r="17" spans="58:69">
      <c r="BF17" s="22"/>
      <c r="BG17" s="23" t="s">
        <v>105</v>
      </c>
      <c r="BH17" s="24" t="s">
        <v>106</v>
      </c>
      <c r="BI17" s="24"/>
      <c r="BJ17" s="24"/>
      <c r="BK17" s="24"/>
      <c r="BL17" s="24"/>
      <c r="BM17" s="24"/>
      <c r="BN17" s="24"/>
      <c r="BO17" s="24"/>
      <c r="BP17" s="24"/>
      <c r="BQ17" s="25"/>
    </row>
    <row r="18" spans="58:69">
      <c r="BF18" s="22"/>
      <c r="BG18" s="24"/>
      <c r="BH18" s="26" t="s">
        <v>87</v>
      </c>
      <c r="BI18" s="26"/>
      <c r="BJ18" s="26"/>
      <c r="BK18" s="26"/>
      <c r="BL18" s="24"/>
      <c r="BM18" s="24"/>
      <c r="BN18" s="24"/>
      <c r="BO18" s="24"/>
      <c r="BP18" s="24"/>
      <c r="BQ18" s="27" t="s">
        <v>107</v>
      </c>
    </row>
    <row r="19" spans="58:69">
      <c r="BF19" s="22"/>
      <c r="BG19" s="24"/>
      <c r="BH19" s="28">
        <f>BN9</f>
        <v>2.831</v>
      </c>
      <c r="BI19" s="28"/>
      <c r="BJ19" s="28"/>
      <c r="BK19" s="28"/>
      <c r="BL19" s="24"/>
      <c r="BM19" s="24"/>
      <c r="BN19" s="24"/>
      <c r="BO19" s="24"/>
      <c r="BP19" s="24"/>
      <c r="BQ19" s="29">
        <f>AVERAGE(BH19:BK19)</f>
        <v>2.831</v>
      </c>
    </row>
    <row r="20" spans="58:69">
      <c r="BF20" s="22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30"/>
    </row>
    <row r="21" spans="58:69">
      <c r="BF21" s="22"/>
      <c r="BG21" s="23" t="s">
        <v>108</v>
      </c>
      <c r="BH21" s="24" t="s">
        <v>109</v>
      </c>
      <c r="BI21" s="24"/>
      <c r="BJ21" s="24"/>
      <c r="BK21" s="24"/>
      <c r="BL21" s="24"/>
      <c r="BM21" s="24"/>
      <c r="BN21" s="24"/>
      <c r="BO21" s="24"/>
      <c r="BP21" s="24"/>
      <c r="BQ21" s="30"/>
    </row>
    <row r="22" spans="58:69">
      <c r="BF22" s="22"/>
      <c r="BG22" s="24"/>
      <c r="BH22" s="2" t="str">
        <f>BM7</f>
        <v>2019Q3</v>
      </c>
      <c r="BI22" s="2" t="str">
        <f t="shared" ref="BI22:BO22" si="0">BN7</f>
        <v>2019Q4</v>
      </c>
      <c r="BJ22" s="2" t="str">
        <f t="shared" si="0"/>
        <v>2020Q1</v>
      </c>
      <c r="BK22" s="2" t="str">
        <f t="shared" si="0"/>
        <v>2020Q2</v>
      </c>
      <c r="BL22" s="2" t="str">
        <f t="shared" si="0"/>
        <v>2020Q3</v>
      </c>
      <c r="BM22" s="2" t="str">
        <f t="shared" si="0"/>
        <v>2020Q4</v>
      </c>
      <c r="BN22" s="2" t="str">
        <f t="shared" si="0"/>
        <v>2021Q1</v>
      </c>
      <c r="BO22" s="2" t="str">
        <f t="shared" si="0"/>
        <v>2021Q2</v>
      </c>
      <c r="BP22" s="24"/>
      <c r="BQ22" s="30"/>
    </row>
    <row r="23" spans="58:69">
      <c r="BF23" s="22"/>
      <c r="BG23" s="24"/>
      <c r="BH23" s="13">
        <f>BM9</f>
        <v>2.81</v>
      </c>
      <c r="BI23" s="13">
        <f t="shared" ref="BI23:BO23" si="1">BN9</f>
        <v>2.831</v>
      </c>
      <c r="BJ23" s="13">
        <f t="shared" si="1"/>
        <v>2.8490000000000002</v>
      </c>
      <c r="BK23" s="13">
        <f t="shared" si="1"/>
        <v>2.8660000000000001</v>
      </c>
      <c r="BL23" s="13">
        <f t="shared" si="1"/>
        <v>2.883</v>
      </c>
      <c r="BM23" s="13">
        <f t="shared" si="1"/>
        <v>2.899</v>
      </c>
      <c r="BN23" s="13">
        <f t="shared" si="1"/>
        <v>2.915</v>
      </c>
      <c r="BO23" s="13">
        <f t="shared" si="1"/>
        <v>2.931</v>
      </c>
      <c r="BP23" s="24"/>
      <c r="BQ23" s="29">
        <f>AVERAGE(BH23:BO23)</f>
        <v>2.8730000000000002</v>
      </c>
    </row>
    <row r="24" spans="58:69">
      <c r="BF24" s="22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30"/>
    </row>
    <row r="25" spans="58:69">
      <c r="BF25" s="22"/>
      <c r="BG25" s="24"/>
      <c r="BH25" s="24"/>
      <c r="BI25" s="24"/>
      <c r="BJ25" s="24"/>
      <c r="BK25" s="24"/>
      <c r="BL25" s="24"/>
      <c r="BM25" s="24"/>
      <c r="BN25" s="24"/>
      <c r="BO25" s="24"/>
      <c r="BP25" s="31" t="s">
        <v>110</v>
      </c>
      <c r="BQ25" s="32">
        <f>(BQ23-BQ19)/BQ19</f>
        <v>1.4835747085835486E-2</v>
      </c>
    </row>
    <row r="26" spans="58:69">
      <c r="BF26" s="33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5"/>
    </row>
    <row r="35" spans="66:66">
      <c r="BN35" s="36" t="s">
        <v>111</v>
      </c>
    </row>
  </sheetData>
  <mergeCells count="3">
    <mergeCell ref="A1:B1"/>
    <mergeCell ref="A2:B2"/>
    <mergeCell ref="A3:B3"/>
  </mergeCells>
  <pageMargins left="0.25" right="0.25" top="1" bottom="1" header="0.5" footer="0.5"/>
  <pageSetup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4"/>
  <sheetViews>
    <sheetView workbookViewId="0">
      <pane ySplit="1" topLeftCell="A161" activePane="bottomLeft" state="frozen"/>
      <selection pane="bottomLeft" activeCell="A163" sqref="A2:B163"/>
    </sheetView>
  </sheetViews>
  <sheetFormatPr defaultRowHeight="14.4"/>
  <cols>
    <col min="1" max="1" width="29.44140625" style="447" customWidth="1"/>
    <col min="2" max="2" width="8.6640625" style="447" bestFit="1" customWidth="1"/>
    <col min="3" max="3" width="12.77734375" style="447" bestFit="1" customWidth="1"/>
    <col min="4" max="4" width="14.33203125" style="447" bestFit="1" customWidth="1"/>
    <col min="5" max="5" width="14.6640625" style="447" bestFit="1" customWidth="1"/>
    <col min="6" max="6" width="12.77734375" style="447" bestFit="1" customWidth="1"/>
    <col min="7" max="7" width="11.88671875" style="447" bestFit="1" customWidth="1"/>
    <col min="8" max="8" width="12.88671875" style="447" bestFit="1" customWidth="1"/>
    <col min="9" max="9" width="12.77734375" style="447" bestFit="1" customWidth="1"/>
    <col min="10" max="10" width="14.44140625" style="447" bestFit="1" customWidth="1"/>
    <col min="11" max="11" width="16.109375" style="447" bestFit="1" customWidth="1"/>
    <col min="12" max="12" width="13.33203125" style="447" bestFit="1" customWidth="1"/>
    <col min="13" max="13" width="16" style="447" bestFit="1" customWidth="1"/>
    <col min="14" max="14" width="13.77734375" style="447" bestFit="1" customWidth="1"/>
    <col min="15" max="15" width="14.88671875" style="447" bestFit="1" customWidth="1"/>
    <col min="16" max="16" width="13.6640625" style="447" bestFit="1" customWidth="1"/>
    <col min="17" max="17" width="7.6640625" style="447" bestFit="1" customWidth="1"/>
    <col min="18" max="18" width="14.6640625" style="447" bestFit="1" customWidth="1"/>
    <col min="19" max="19" width="12.6640625" style="447" bestFit="1" customWidth="1"/>
    <col min="20" max="21" width="8.88671875" style="447"/>
    <col min="22" max="22" width="17.33203125" style="447" customWidth="1"/>
    <col min="23" max="23" width="66.21875" style="447" bestFit="1" customWidth="1"/>
    <col min="24" max="24" width="8.21875" style="447" bestFit="1" customWidth="1"/>
    <col min="25" max="25" width="15.5546875" style="447" bestFit="1" customWidth="1"/>
    <col min="26" max="26" width="24.77734375" style="447" bestFit="1" customWidth="1"/>
    <col min="27" max="16384" width="8.88671875" style="447"/>
  </cols>
  <sheetData>
    <row r="1" spans="1:26" s="489" customFormat="1" ht="43.2" customHeight="1">
      <c r="A1" s="482" t="s">
        <v>307</v>
      </c>
      <c r="B1" s="482" t="s">
        <v>308</v>
      </c>
      <c r="C1" s="483" t="s">
        <v>309</v>
      </c>
      <c r="D1" s="483" t="s">
        <v>300</v>
      </c>
      <c r="E1" s="483" t="s">
        <v>302</v>
      </c>
      <c r="F1" s="484" t="s">
        <v>301</v>
      </c>
      <c r="G1" s="484" t="s">
        <v>310</v>
      </c>
      <c r="H1" s="484" t="s">
        <v>311</v>
      </c>
      <c r="I1" s="484" t="s">
        <v>312</v>
      </c>
      <c r="J1" s="482" t="s">
        <v>313</v>
      </c>
      <c r="K1" s="485" t="s">
        <v>330</v>
      </c>
      <c r="L1" s="485" t="s">
        <v>331</v>
      </c>
      <c r="M1" s="485" t="s">
        <v>332</v>
      </c>
      <c r="N1" s="486" t="s">
        <v>333</v>
      </c>
      <c r="O1" s="486" t="s">
        <v>334</v>
      </c>
      <c r="P1" s="487" t="s">
        <v>314</v>
      </c>
      <c r="Q1" s="488" t="s">
        <v>3</v>
      </c>
      <c r="R1" s="487" t="s">
        <v>315</v>
      </c>
      <c r="S1" s="488" t="s">
        <v>316</v>
      </c>
      <c r="W1" s="489" t="s">
        <v>317</v>
      </c>
    </row>
    <row r="2" spans="1:26">
      <c r="A2" s="454"/>
      <c r="B2" s="454"/>
      <c r="C2" s="451">
        <v>3.98</v>
      </c>
      <c r="D2" s="449">
        <v>16381</v>
      </c>
      <c r="E2" s="449">
        <v>465</v>
      </c>
      <c r="F2" s="464">
        <v>4330</v>
      </c>
      <c r="G2" s="464">
        <v>49929</v>
      </c>
      <c r="H2" s="464">
        <v>6766</v>
      </c>
      <c r="I2" s="464">
        <v>1688</v>
      </c>
      <c r="J2" s="449">
        <v>3087</v>
      </c>
      <c r="K2" s="467">
        <v>245</v>
      </c>
      <c r="L2" s="467"/>
      <c r="M2" s="467"/>
      <c r="N2" s="471">
        <v>1193</v>
      </c>
      <c r="O2" s="471">
        <v>1248</v>
      </c>
      <c r="P2" s="459"/>
      <c r="Q2" s="460"/>
      <c r="R2" s="459">
        <v>18130</v>
      </c>
      <c r="S2" s="460">
        <v>0.27</v>
      </c>
      <c r="X2" s="447" t="s">
        <v>118</v>
      </c>
      <c r="Y2" s="447" t="s">
        <v>318</v>
      </c>
      <c r="Z2" s="447" t="s">
        <v>319</v>
      </c>
    </row>
    <row r="3" spans="1:26">
      <c r="A3" s="454"/>
      <c r="B3" s="454"/>
      <c r="C3" s="451">
        <v>8.5500000000000007</v>
      </c>
      <c r="D3" s="449">
        <v>77359</v>
      </c>
      <c r="E3" s="449">
        <v>120</v>
      </c>
      <c r="F3" s="464">
        <v>9925</v>
      </c>
      <c r="G3" s="464"/>
      <c r="H3" s="464">
        <v>-5233</v>
      </c>
      <c r="I3" s="464"/>
      <c r="J3" s="449">
        <v>6004</v>
      </c>
      <c r="K3" s="449">
        <v>564</v>
      </c>
      <c r="L3" s="449">
        <v>585</v>
      </c>
      <c r="M3" s="469"/>
      <c r="N3" s="471">
        <v>7</v>
      </c>
      <c r="O3" s="471">
        <v>13952</v>
      </c>
      <c r="P3" s="459">
        <v>96995</v>
      </c>
      <c r="Q3" s="460">
        <v>1.4</v>
      </c>
      <c r="R3" s="459">
        <v>4982</v>
      </c>
      <c r="S3" s="460">
        <v>0.05</v>
      </c>
      <c r="W3" s="447" t="s">
        <v>320</v>
      </c>
      <c r="X3" s="447" t="s">
        <v>323</v>
      </c>
      <c r="Y3" s="447">
        <v>128006</v>
      </c>
      <c r="Z3" s="447">
        <v>1536072</v>
      </c>
    </row>
    <row r="4" spans="1:26">
      <c r="A4" s="454"/>
      <c r="B4" s="454"/>
      <c r="C4" s="451">
        <v>7.8</v>
      </c>
      <c r="D4" s="449">
        <v>51693.73</v>
      </c>
      <c r="E4" s="449">
        <v>288.33999999999997</v>
      </c>
      <c r="F4" s="464">
        <v>5531.48</v>
      </c>
      <c r="G4" s="464"/>
      <c r="H4" s="464">
        <v>29575.05</v>
      </c>
      <c r="I4" s="464"/>
      <c r="J4" s="449">
        <v>14606.14</v>
      </c>
      <c r="K4" s="449"/>
      <c r="L4" s="449"/>
      <c r="M4" s="469"/>
      <c r="N4" s="471"/>
      <c r="O4" s="471">
        <v>6014.08</v>
      </c>
      <c r="P4" s="459"/>
      <c r="Q4" s="460"/>
      <c r="R4" s="459">
        <v>33622.019999999997</v>
      </c>
      <c r="S4" s="460">
        <v>0.53800000000000003</v>
      </c>
      <c r="X4" s="447" t="s">
        <v>324</v>
      </c>
      <c r="Y4" s="447">
        <v>13840</v>
      </c>
      <c r="Z4" s="447">
        <v>166080</v>
      </c>
    </row>
    <row r="5" spans="1:26">
      <c r="A5" s="454"/>
      <c r="B5" s="454"/>
      <c r="C5" s="451">
        <v>0.12</v>
      </c>
      <c r="D5" s="449"/>
      <c r="E5" s="449"/>
      <c r="F5" s="464"/>
      <c r="G5" s="464"/>
      <c r="H5" s="464"/>
      <c r="I5" s="464"/>
      <c r="J5" s="449"/>
      <c r="K5" s="449"/>
      <c r="L5" s="449"/>
      <c r="M5" s="469"/>
      <c r="N5" s="471"/>
      <c r="O5" s="471"/>
      <c r="P5" s="459"/>
      <c r="Q5" s="460"/>
      <c r="R5" s="459">
        <v>9131</v>
      </c>
      <c r="S5" s="460">
        <v>0.12</v>
      </c>
      <c r="X5" s="447" t="s">
        <v>322</v>
      </c>
      <c r="Y5" s="447">
        <v>141846</v>
      </c>
      <c r="Z5" s="447">
        <v>1702152</v>
      </c>
    </row>
    <row r="6" spans="1:26">
      <c r="A6" s="454"/>
      <c r="B6" s="454"/>
      <c r="C6" s="451">
        <v>2.6</v>
      </c>
      <c r="D6" s="449"/>
      <c r="E6" s="449"/>
      <c r="F6" s="464"/>
      <c r="G6" s="464"/>
      <c r="H6" s="464"/>
      <c r="I6" s="464"/>
      <c r="J6" s="449"/>
      <c r="K6" s="449"/>
      <c r="L6" s="449"/>
      <c r="M6" s="469"/>
      <c r="N6" s="471"/>
      <c r="O6" s="471"/>
      <c r="P6" s="459"/>
      <c r="Q6" s="460"/>
      <c r="R6" s="459">
        <v>20000</v>
      </c>
      <c r="S6" s="460">
        <v>0.6</v>
      </c>
    </row>
    <row r="7" spans="1:26">
      <c r="A7" s="454"/>
      <c r="B7" s="454"/>
      <c r="C7" s="451">
        <v>4.53</v>
      </c>
      <c r="D7" s="449">
        <v>45382</v>
      </c>
      <c r="E7" s="449">
        <v>1117</v>
      </c>
      <c r="F7" s="464">
        <v>1078</v>
      </c>
      <c r="G7" s="464"/>
      <c r="H7" s="464">
        <v>3707</v>
      </c>
      <c r="I7" s="464">
        <v>2902</v>
      </c>
      <c r="J7" s="449">
        <v>6996</v>
      </c>
      <c r="K7" s="449"/>
      <c r="L7" s="449"/>
      <c r="M7" s="469"/>
      <c r="N7" s="471">
        <v>498</v>
      </c>
      <c r="O7" s="471">
        <v>5176</v>
      </c>
      <c r="P7" s="459"/>
      <c r="Q7" s="460"/>
      <c r="R7" s="459">
        <v>36488</v>
      </c>
      <c r="S7" s="460">
        <v>0.54</v>
      </c>
      <c r="W7" s="447" t="s">
        <v>321</v>
      </c>
      <c r="X7" s="447" t="s">
        <v>325</v>
      </c>
      <c r="Y7" s="447">
        <v>429259</v>
      </c>
      <c r="Z7" s="447">
        <v>5151108</v>
      </c>
    </row>
    <row r="8" spans="1:26">
      <c r="A8" s="454"/>
      <c r="B8" s="454"/>
      <c r="C8" s="451">
        <v>7.0000000000000007E-2</v>
      </c>
      <c r="D8" s="449"/>
      <c r="E8" s="449">
        <v>4</v>
      </c>
      <c r="F8" s="464"/>
      <c r="G8" s="464"/>
      <c r="H8" s="464"/>
      <c r="I8" s="464"/>
      <c r="J8" s="449"/>
      <c r="K8" s="449"/>
      <c r="L8" s="449"/>
      <c r="M8" s="469"/>
      <c r="N8" s="471"/>
      <c r="O8" s="471"/>
      <c r="P8" s="459"/>
      <c r="Q8" s="460"/>
      <c r="R8" s="459"/>
      <c r="S8" s="460"/>
      <c r="X8" s="447" t="s">
        <v>326</v>
      </c>
      <c r="Y8" s="447">
        <v>17734</v>
      </c>
      <c r="Z8" s="447">
        <v>212808</v>
      </c>
    </row>
    <row r="9" spans="1:26">
      <c r="A9" s="454"/>
      <c r="B9" s="454"/>
      <c r="C9" s="451">
        <v>2.39</v>
      </c>
      <c r="D9" s="449">
        <v>8252</v>
      </c>
      <c r="E9" s="449">
        <v>270</v>
      </c>
      <c r="F9" s="464"/>
      <c r="G9" s="464"/>
      <c r="H9" s="464"/>
      <c r="I9" s="464"/>
      <c r="J9" s="449">
        <v>1124</v>
      </c>
      <c r="K9" s="449"/>
      <c r="L9" s="449"/>
      <c r="M9" s="469"/>
      <c r="N9" s="471"/>
      <c r="O9" s="471"/>
      <c r="P9" s="459"/>
      <c r="Q9" s="460"/>
      <c r="R9" s="459">
        <v>31257</v>
      </c>
      <c r="S9" s="460">
        <v>0.5</v>
      </c>
      <c r="X9" s="447" t="s">
        <v>327</v>
      </c>
      <c r="Y9" s="447">
        <v>21531</v>
      </c>
      <c r="Z9" s="447">
        <v>258372</v>
      </c>
    </row>
    <row r="10" spans="1:26">
      <c r="A10" s="454"/>
      <c r="B10" s="454"/>
      <c r="C10" s="451">
        <v>2.77</v>
      </c>
      <c r="D10" s="449"/>
      <c r="E10" s="449"/>
      <c r="F10" s="464"/>
      <c r="G10" s="464"/>
      <c r="H10" s="464"/>
      <c r="I10" s="464"/>
      <c r="J10" s="449"/>
      <c r="K10" s="449"/>
      <c r="L10" s="449"/>
      <c r="M10" s="469"/>
      <c r="N10" s="471"/>
      <c r="O10" s="471"/>
      <c r="P10" s="459"/>
      <c r="Q10" s="460"/>
      <c r="R10" s="459">
        <v>55871</v>
      </c>
      <c r="S10" s="460">
        <v>0.87</v>
      </c>
      <c r="X10" s="447" t="s">
        <v>328</v>
      </c>
      <c r="Y10" s="447">
        <v>95353</v>
      </c>
      <c r="Z10" s="447">
        <v>1144236</v>
      </c>
    </row>
    <row r="11" spans="1:26">
      <c r="A11" s="454"/>
      <c r="B11" s="454"/>
      <c r="C11" s="451">
        <v>0.68</v>
      </c>
      <c r="D11" s="449">
        <v>389</v>
      </c>
      <c r="E11" s="449">
        <v>5</v>
      </c>
      <c r="F11" s="464">
        <v>1510</v>
      </c>
      <c r="G11" s="464">
        <v>1</v>
      </c>
      <c r="H11" s="464"/>
      <c r="I11" s="464"/>
      <c r="J11" s="449">
        <v>57</v>
      </c>
      <c r="K11" s="449">
        <v>3</v>
      </c>
      <c r="L11" s="449"/>
      <c r="M11" s="469"/>
      <c r="N11" s="471"/>
      <c r="O11" s="471">
        <v>297</v>
      </c>
      <c r="P11" s="459"/>
      <c r="Q11" s="460"/>
      <c r="R11" s="459">
        <v>2768</v>
      </c>
      <c r="S11" s="460">
        <v>0.04</v>
      </c>
      <c r="X11" s="447" t="s">
        <v>322</v>
      </c>
      <c r="Y11" s="447">
        <v>563877</v>
      </c>
      <c r="Z11" s="447">
        <v>6766524</v>
      </c>
    </row>
    <row r="12" spans="1:26">
      <c r="A12" s="454"/>
      <c r="B12" s="454"/>
      <c r="C12" s="451">
        <v>0</v>
      </c>
      <c r="D12" s="449"/>
      <c r="E12" s="449">
        <v>1655</v>
      </c>
      <c r="F12" s="464">
        <v>3019</v>
      </c>
      <c r="G12" s="464"/>
      <c r="H12" s="464"/>
      <c r="I12" s="464"/>
      <c r="J12" s="449">
        <v>12236</v>
      </c>
      <c r="K12" s="449"/>
      <c r="L12" s="449"/>
      <c r="M12" s="469"/>
      <c r="N12" s="471"/>
      <c r="O12" s="471"/>
      <c r="P12" s="459">
        <v>23621</v>
      </c>
      <c r="Q12" s="460">
        <v>0</v>
      </c>
      <c r="R12" s="459"/>
      <c r="S12" s="460"/>
    </row>
    <row r="13" spans="1:26">
      <c r="A13" s="454"/>
      <c r="B13" s="454"/>
      <c r="C13" s="451">
        <v>1.0163</v>
      </c>
      <c r="D13" s="449"/>
      <c r="E13" s="449"/>
      <c r="F13" s="464">
        <v>1802</v>
      </c>
      <c r="G13" s="464"/>
      <c r="H13" s="464">
        <v>2100</v>
      </c>
      <c r="I13" s="464"/>
      <c r="J13" s="449"/>
      <c r="K13" s="449"/>
      <c r="L13" s="449"/>
      <c r="M13" s="469"/>
      <c r="N13" s="471"/>
      <c r="O13" s="471">
        <v>15784</v>
      </c>
      <c r="P13" s="459"/>
      <c r="Q13" s="460"/>
      <c r="R13" s="459">
        <v>2496</v>
      </c>
      <c r="S13" s="460">
        <v>0.03</v>
      </c>
    </row>
    <row r="14" spans="1:26">
      <c r="A14" s="454"/>
      <c r="B14" s="454"/>
      <c r="C14" s="451">
        <v>4.1100000000000003</v>
      </c>
      <c r="D14" s="449">
        <v>28490</v>
      </c>
      <c r="E14" s="449">
        <v>1</v>
      </c>
      <c r="F14" s="464">
        <v>266</v>
      </c>
      <c r="G14" s="464"/>
      <c r="H14" s="464">
        <v>1264</v>
      </c>
      <c r="I14" s="464">
        <v>5</v>
      </c>
      <c r="J14" s="449">
        <v>2570</v>
      </c>
      <c r="K14" s="449">
        <v>244</v>
      </c>
      <c r="L14" s="449">
        <v>526</v>
      </c>
      <c r="M14" s="469"/>
      <c r="N14" s="471">
        <v>18</v>
      </c>
      <c r="O14" s="471">
        <v>1422</v>
      </c>
      <c r="P14" s="459"/>
      <c r="Q14" s="460"/>
      <c r="R14" s="459">
        <v>3083</v>
      </c>
      <c r="S14" s="460">
        <v>0.04</v>
      </c>
    </row>
    <row r="15" spans="1:26">
      <c r="A15" s="454"/>
      <c r="B15" s="454"/>
      <c r="C15" s="451">
        <v>1.4</v>
      </c>
      <c r="D15" s="449">
        <v>5498</v>
      </c>
      <c r="E15" s="449">
        <v>1297</v>
      </c>
      <c r="F15" s="464">
        <v>1603</v>
      </c>
      <c r="G15" s="464"/>
      <c r="H15" s="464">
        <v>8860</v>
      </c>
      <c r="I15" s="464"/>
      <c r="J15" s="449">
        <v>3951</v>
      </c>
      <c r="K15" s="449"/>
      <c r="L15" s="449"/>
      <c r="M15" s="469"/>
      <c r="N15" s="471"/>
      <c r="O15" s="471"/>
      <c r="P15" s="459">
        <v>13171</v>
      </c>
      <c r="Q15" s="460">
        <v>0.2</v>
      </c>
      <c r="R15" s="459"/>
      <c r="S15" s="460"/>
    </row>
    <row r="16" spans="1:26">
      <c r="A16" s="454"/>
      <c r="B16" s="454"/>
      <c r="C16" s="451">
        <v>10.611000000000001</v>
      </c>
      <c r="D16" s="449">
        <v>43731</v>
      </c>
      <c r="E16" s="449">
        <v>1808</v>
      </c>
      <c r="F16" s="464">
        <v>33399</v>
      </c>
      <c r="G16" s="464"/>
      <c r="H16" s="464"/>
      <c r="I16" s="464"/>
      <c r="J16" s="449">
        <v>7433</v>
      </c>
      <c r="K16" s="449"/>
      <c r="L16" s="449"/>
      <c r="M16" s="469"/>
      <c r="N16" s="471"/>
      <c r="O16" s="471">
        <v>11176</v>
      </c>
      <c r="P16" s="459"/>
      <c r="Q16" s="460"/>
      <c r="R16" s="459">
        <v>50000.1</v>
      </c>
      <c r="S16" s="460">
        <v>1</v>
      </c>
    </row>
    <row r="17" spans="1:19">
      <c r="A17" s="454"/>
      <c r="B17" s="454"/>
      <c r="C17" s="451">
        <v>5.48</v>
      </c>
      <c r="D17" s="449">
        <v>25375</v>
      </c>
      <c r="E17" s="449">
        <v>230</v>
      </c>
      <c r="F17" s="464">
        <v>3943</v>
      </c>
      <c r="G17" s="464"/>
      <c r="H17" s="464"/>
      <c r="I17" s="464"/>
      <c r="J17" s="449">
        <v>3320</v>
      </c>
      <c r="K17" s="449"/>
      <c r="L17" s="449"/>
      <c r="M17" s="469"/>
      <c r="N17" s="471"/>
      <c r="O17" s="471"/>
      <c r="P17" s="459"/>
      <c r="Q17" s="460"/>
      <c r="R17" s="459">
        <v>51748</v>
      </c>
      <c r="S17" s="460">
        <v>1.04</v>
      </c>
    </row>
    <row r="18" spans="1:19">
      <c r="A18" s="454"/>
      <c r="B18" s="454"/>
      <c r="C18" s="451">
        <v>2.52</v>
      </c>
      <c r="D18" s="449">
        <v>18063</v>
      </c>
      <c r="E18" s="449">
        <v>300</v>
      </c>
      <c r="F18" s="464">
        <v>147</v>
      </c>
      <c r="G18" s="464">
        <v>1927</v>
      </c>
      <c r="H18" s="464">
        <v>2886</v>
      </c>
      <c r="I18" s="464">
        <v>285</v>
      </c>
      <c r="J18" s="449">
        <v>1406</v>
      </c>
      <c r="K18" s="449">
        <v>2</v>
      </c>
      <c r="L18" s="449"/>
      <c r="M18" s="469"/>
      <c r="N18" s="471">
        <v>171</v>
      </c>
      <c r="O18" s="471">
        <v>744</v>
      </c>
      <c r="P18" s="459"/>
      <c r="Q18" s="460"/>
      <c r="R18" s="459">
        <v>12224</v>
      </c>
      <c r="S18" s="460">
        <v>0.23</v>
      </c>
    </row>
    <row r="19" spans="1:19">
      <c r="A19" s="454"/>
      <c r="B19" s="454"/>
      <c r="C19" s="451">
        <v>1.1499999999999999</v>
      </c>
      <c r="D19" s="449">
        <v>19637</v>
      </c>
      <c r="E19" s="449">
        <v>170</v>
      </c>
      <c r="F19" s="464">
        <v>2563</v>
      </c>
      <c r="G19" s="464"/>
      <c r="H19" s="464">
        <v>12</v>
      </c>
      <c r="I19" s="464"/>
      <c r="J19" s="449">
        <v>165</v>
      </c>
      <c r="K19" s="449"/>
      <c r="L19" s="449"/>
      <c r="M19" s="469"/>
      <c r="N19" s="471"/>
      <c r="O19" s="471">
        <v>350</v>
      </c>
      <c r="P19" s="459"/>
      <c r="Q19" s="460"/>
      <c r="R19" s="459">
        <v>10232</v>
      </c>
      <c r="S19" s="460">
        <v>0.15</v>
      </c>
    </row>
    <row r="20" spans="1:19">
      <c r="A20" s="454"/>
      <c r="B20" s="454"/>
      <c r="C20" s="451">
        <v>0.21</v>
      </c>
      <c r="D20" s="449"/>
      <c r="E20" s="449"/>
      <c r="F20" s="464"/>
      <c r="G20" s="464"/>
      <c r="H20" s="464"/>
      <c r="I20" s="464"/>
      <c r="J20" s="449"/>
      <c r="K20" s="449"/>
      <c r="L20" s="449"/>
      <c r="M20" s="469"/>
      <c r="N20" s="471"/>
      <c r="O20" s="471"/>
      <c r="P20" s="459"/>
      <c r="Q20" s="460"/>
      <c r="R20" s="459"/>
      <c r="S20" s="460"/>
    </row>
    <row r="21" spans="1:19">
      <c r="A21" s="454"/>
      <c r="B21" s="454"/>
      <c r="C21" s="451">
        <v>7</v>
      </c>
      <c r="D21" s="449"/>
      <c r="E21" s="449"/>
      <c r="F21" s="464"/>
      <c r="G21" s="464"/>
      <c r="H21" s="464"/>
      <c r="I21" s="464"/>
      <c r="J21" s="449"/>
      <c r="K21" s="449"/>
      <c r="L21" s="449"/>
      <c r="M21" s="469"/>
      <c r="N21" s="471"/>
      <c r="O21" s="471"/>
      <c r="P21" s="459"/>
      <c r="Q21" s="460"/>
      <c r="R21" s="459"/>
      <c r="S21" s="460"/>
    </row>
    <row r="22" spans="1:19">
      <c r="A22" s="454"/>
      <c r="B22" s="454"/>
      <c r="C22" s="451">
        <v>2.6019999999999999</v>
      </c>
      <c r="D22" s="449">
        <v>642</v>
      </c>
      <c r="E22" s="449">
        <v>457</v>
      </c>
      <c r="F22" s="464">
        <v>219</v>
      </c>
      <c r="G22" s="464"/>
      <c r="H22" s="464">
        <v>3980</v>
      </c>
      <c r="I22" s="464">
        <v>2474</v>
      </c>
      <c r="J22" s="449"/>
      <c r="K22" s="449">
        <v>151</v>
      </c>
      <c r="L22" s="449"/>
      <c r="M22" s="469"/>
      <c r="N22" s="471">
        <v>125</v>
      </c>
      <c r="O22" s="471">
        <v>1533</v>
      </c>
      <c r="P22" s="459"/>
      <c r="Q22" s="460"/>
      <c r="R22" s="459">
        <v>22794</v>
      </c>
      <c r="S22" s="460">
        <v>0.442</v>
      </c>
    </row>
    <row r="23" spans="1:19">
      <c r="A23" s="454"/>
      <c r="B23" s="454"/>
      <c r="C23" s="451">
        <v>1.5589343954480801</v>
      </c>
      <c r="D23" s="449">
        <v>14809</v>
      </c>
      <c r="E23" s="449">
        <v>1252</v>
      </c>
      <c r="F23" s="464">
        <v>6902</v>
      </c>
      <c r="G23" s="464"/>
      <c r="H23" s="464">
        <v>13</v>
      </c>
      <c r="I23" s="464"/>
      <c r="J23" s="449">
        <v>1117</v>
      </c>
      <c r="K23" s="449">
        <v>108</v>
      </c>
      <c r="L23" s="449"/>
      <c r="M23" s="469"/>
      <c r="N23" s="471">
        <v>1744</v>
      </c>
      <c r="O23" s="471"/>
      <c r="P23" s="459"/>
      <c r="Q23" s="460"/>
      <c r="R23" s="459"/>
      <c r="S23" s="460"/>
    </row>
    <row r="24" spans="1:19">
      <c r="A24" s="454"/>
      <c r="B24" s="454"/>
      <c r="C24" s="451">
        <v>31.6</v>
      </c>
      <c r="D24" s="449">
        <v>645956</v>
      </c>
      <c r="E24" s="449">
        <v>1930</v>
      </c>
      <c r="F24" s="464">
        <v>6766</v>
      </c>
      <c r="G24" s="464"/>
      <c r="H24" s="464">
        <v>77697</v>
      </c>
      <c r="I24" s="464"/>
      <c r="J24" s="449"/>
      <c r="K24" s="449"/>
      <c r="L24" s="449"/>
      <c r="M24" s="469"/>
      <c r="N24" s="471"/>
      <c r="O24" s="471">
        <v>42489</v>
      </c>
      <c r="P24" s="459"/>
      <c r="Q24" s="460"/>
      <c r="R24" s="459">
        <v>299560</v>
      </c>
      <c r="S24" s="460">
        <v>6.24</v>
      </c>
    </row>
    <row r="25" spans="1:19">
      <c r="A25" s="454"/>
      <c r="B25" s="454"/>
      <c r="C25" s="451">
        <v>5.23</v>
      </c>
      <c r="D25" s="449">
        <v>64346</v>
      </c>
      <c r="E25" s="449">
        <v>452</v>
      </c>
      <c r="F25" s="464">
        <v>3184</v>
      </c>
      <c r="G25" s="464"/>
      <c r="H25" s="464">
        <v>15628</v>
      </c>
      <c r="I25" s="464">
        <v>45800</v>
      </c>
      <c r="J25" s="449"/>
      <c r="K25" s="449"/>
      <c r="L25" s="449"/>
      <c r="M25" s="469"/>
      <c r="N25" s="471"/>
      <c r="O25" s="471">
        <v>1856</v>
      </c>
      <c r="P25" s="459"/>
      <c r="Q25" s="460"/>
      <c r="R25" s="459">
        <v>39073</v>
      </c>
      <c r="S25" s="460">
        <v>0.82</v>
      </c>
    </row>
    <row r="26" spans="1:19">
      <c r="A26" s="454"/>
      <c r="B26" s="454"/>
      <c r="C26" s="451">
        <v>13.06</v>
      </c>
      <c r="D26" s="449">
        <v>83008</v>
      </c>
      <c r="E26" s="449">
        <v>298</v>
      </c>
      <c r="F26" s="464">
        <v>50377</v>
      </c>
      <c r="G26" s="464"/>
      <c r="H26" s="464">
        <v>2894</v>
      </c>
      <c r="I26" s="464"/>
      <c r="J26" s="449">
        <v>1270</v>
      </c>
      <c r="K26" s="449">
        <v>35</v>
      </c>
      <c r="L26" s="449">
        <v>23</v>
      </c>
      <c r="M26" s="469">
        <v>1755</v>
      </c>
      <c r="N26" s="471"/>
      <c r="O26" s="471"/>
      <c r="P26" s="459">
        <v>48778</v>
      </c>
      <c r="Q26" s="460">
        <v>0.97</v>
      </c>
      <c r="R26" s="459">
        <v>5194</v>
      </c>
      <c r="S26" s="460">
        <v>0.12</v>
      </c>
    </row>
    <row r="27" spans="1:19">
      <c r="A27" s="454"/>
      <c r="B27" s="454"/>
      <c r="C27" s="451">
        <v>3.73</v>
      </c>
      <c r="D27" s="449">
        <v>11245</v>
      </c>
      <c r="E27" s="449">
        <v>280</v>
      </c>
      <c r="F27" s="464">
        <v>2173</v>
      </c>
      <c r="G27" s="464"/>
      <c r="H27" s="464"/>
      <c r="I27" s="464"/>
      <c r="J27" s="449">
        <v>42</v>
      </c>
      <c r="K27" s="449"/>
      <c r="L27" s="449"/>
      <c r="M27" s="469"/>
      <c r="N27" s="471"/>
      <c r="O27" s="471"/>
      <c r="P27" s="459"/>
      <c r="Q27" s="460"/>
      <c r="R27" s="459"/>
      <c r="S27" s="460"/>
    </row>
    <row r="28" spans="1:19">
      <c r="A28" s="454"/>
      <c r="B28" s="454"/>
      <c r="C28" s="451">
        <v>1.18</v>
      </c>
      <c r="D28" s="449">
        <v>15270</v>
      </c>
      <c r="E28" s="449">
        <v>90</v>
      </c>
      <c r="F28" s="464">
        <v>575</v>
      </c>
      <c r="G28" s="464"/>
      <c r="H28" s="464">
        <v>100</v>
      </c>
      <c r="I28" s="464"/>
      <c r="J28" s="449">
        <v>732</v>
      </c>
      <c r="K28" s="449"/>
      <c r="L28" s="449"/>
      <c r="M28" s="469"/>
      <c r="N28" s="471"/>
      <c r="O28" s="471">
        <v>737</v>
      </c>
      <c r="P28" s="459">
        <v>4875</v>
      </c>
      <c r="Q28" s="460">
        <v>0.06</v>
      </c>
      <c r="R28" s="459"/>
      <c r="S28" s="460"/>
    </row>
    <row r="29" spans="1:19">
      <c r="A29" s="454"/>
      <c r="B29" s="454"/>
      <c r="C29" s="451">
        <v>0.25</v>
      </c>
      <c r="D29" s="449">
        <v>63</v>
      </c>
      <c r="E29" s="449"/>
      <c r="F29" s="464"/>
      <c r="G29" s="464"/>
      <c r="H29" s="464"/>
      <c r="I29" s="464"/>
      <c r="J29" s="449"/>
      <c r="K29" s="449"/>
      <c r="L29" s="449"/>
      <c r="M29" s="469"/>
      <c r="N29" s="471"/>
      <c r="O29" s="471"/>
      <c r="P29" s="459"/>
      <c r="Q29" s="460"/>
      <c r="R29" s="459">
        <v>3267</v>
      </c>
      <c r="S29" s="460">
        <v>7.0000000000000007E-2</v>
      </c>
    </row>
    <row r="30" spans="1:19">
      <c r="A30" s="454"/>
      <c r="B30" s="454"/>
      <c r="C30" s="451">
        <v>1.76</v>
      </c>
      <c r="D30" s="449">
        <v>8277</v>
      </c>
      <c r="E30" s="449">
        <v>39</v>
      </c>
      <c r="F30" s="464">
        <v>3513</v>
      </c>
      <c r="G30" s="464"/>
      <c r="H30" s="464">
        <v>2672</v>
      </c>
      <c r="I30" s="464"/>
      <c r="J30" s="449">
        <v>224</v>
      </c>
      <c r="K30" s="449"/>
      <c r="L30" s="449">
        <v>26</v>
      </c>
      <c r="M30" s="469"/>
      <c r="N30" s="471">
        <v>36</v>
      </c>
      <c r="O30" s="471">
        <v>721</v>
      </c>
      <c r="P30" s="459">
        <v>4646</v>
      </c>
      <c r="Q30" s="460">
        <v>0.14000000000000001</v>
      </c>
      <c r="R30" s="459"/>
      <c r="S30" s="460"/>
    </row>
    <row r="31" spans="1:19">
      <c r="A31" s="454"/>
      <c r="B31" s="454"/>
      <c r="C31" s="451">
        <v>10.25</v>
      </c>
      <c r="D31" s="449">
        <v>14575</v>
      </c>
      <c r="E31" s="449">
        <v>79</v>
      </c>
      <c r="F31" s="464">
        <v>506</v>
      </c>
      <c r="G31" s="464">
        <v>125</v>
      </c>
      <c r="H31" s="464">
        <v>51098</v>
      </c>
      <c r="I31" s="464">
        <v>2361</v>
      </c>
      <c r="J31" s="449">
        <v>3936</v>
      </c>
      <c r="K31" s="449"/>
      <c r="L31" s="449"/>
      <c r="M31" s="469"/>
      <c r="N31" s="471"/>
      <c r="O31" s="471"/>
      <c r="P31" s="459"/>
      <c r="Q31" s="460"/>
      <c r="R31" s="459"/>
      <c r="S31" s="460"/>
    </row>
    <row r="32" spans="1:19">
      <c r="A32" s="454"/>
      <c r="B32" s="454"/>
      <c r="C32" s="451">
        <v>14.54</v>
      </c>
      <c r="D32" s="449">
        <v>37716</v>
      </c>
      <c r="E32" s="449">
        <v>5743</v>
      </c>
      <c r="F32" s="464">
        <v>76</v>
      </c>
      <c r="G32" s="464"/>
      <c r="H32" s="464">
        <v>21707</v>
      </c>
      <c r="I32" s="464">
        <v>6121</v>
      </c>
      <c r="J32" s="449">
        <v>7665</v>
      </c>
      <c r="K32" s="449">
        <v>1834</v>
      </c>
      <c r="L32" s="449">
        <v>236</v>
      </c>
      <c r="M32" s="469"/>
      <c r="N32" s="471"/>
      <c r="O32" s="471"/>
      <c r="P32" s="459"/>
      <c r="Q32" s="460"/>
      <c r="R32" s="459">
        <v>67339</v>
      </c>
      <c r="S32" s="460">
        <v>0.77</v>
      </c>
    </row>
    <row r="33" spans="1:19">
      <c r="A33" s="454"/>
      <c r="B33" s="454"/>
      <c r="C33" s="451">
        <v>1.17</v>
      </c>
      <c r="D33" s="449">
        <v>16268</v>
      </c>
      <c r="E33" s="449">
        <v>44</v>
      </c>
      <c r="F33" s="464">
        <v>443</v>
      </c>
      <c r="G33" s="464"/>
      <c r="H33" s="464">
        <v>5609</v>
      </c>
      <c r="I33" s="464"/>
      <c r="J33" s="449">
        <v>324</v>
      </c>
      <c r="K33" s="449">
        <v>180</v>
      </c>
      <c r="L33" s="449"/>
      <c r="M33" s="469"/>
      <c r="N33" s="471"/>
      <c r="O33" s="471"/>
      <c r="P33" s="459"/>
      <c r="Q33" s="460"/>
      <c r="R33" s="459">
        <v>12924</v>
      </c>
      <c r="S33" s="460">
        <v>0.19</v>
      </c>
    </row>
    <row r="34" spans="1:19">
      <c r="A34" s="454"/>
      <c r="B34" s="454"/>
      <c r="C34" s="451">
        <v>2.1</v>
      </c>
      <c r="D34" s="449"/>
      <c r="E34" s="449"/>
      <c r="F34" s="464">
        <v>687</v>
      </c>
      <c r="G34" s="464"/>
      <c r="H34" s="464"/>
      <c r="I34" s="464"/>
      <c r="J34" s="449">
        <v>15</v>
      </c>
      <c r="K34" s="449"/>
      <c r="L34" s="449"/>
      <c r="M34" s="469"/>
      <c r="N34" s="471"/>
      <c r="O34" s="471"/>
      <c r="P34" s="459"/>
      <c r="Q34" s="460"/>
      <c r="R34" s="459">
        <v>1568</v>
      </c>
      <c r="S34" s="460">
        <v>0.1</v>
      </c>
    </row>
    <row r="35" spans="1:19">
      <c r="A35" s="454"/>
      <c r="B35" s="454"/>
      <c r="C35" s="451">
        <v>1.65</v>
      </c>
      <c r="D35" s="449">
        <v>5297</v>
      </c>
      <c r="E35" s="449">
        <v>287</v>
      </c>
      <c r="F35" s="464">
        <v>2336</v>
      </c>
      <c r="G35" s="464"/>
      <c r="H35" s="464"/>
      <c r="I35" s="464"/>
      <c r="J35" s="449">
        <v>1586</v>
      </c>
      <c r="K35" s="449"/>
      <c r="L35" s="449"/>
      <c r="M35" s="469"/>
      <c r="N35" s="471"/>
      <c r="O35" s="471">
        <v>1076</v>
      </c>
      <c r="P35" s="459"/>
      <c r="Q35" s="460"/>
      <c r="R35" s="459">
        <v>3000</v>
      </c>
      <c r="S35" s="460">
        <v>0.03</v>
      </c>
    </row>
    <row r="36" spans="1:19">
      <c r="A36" s="454"/>
      <c r="B36" s="454"/>
      <c r="C36" s="451">
        <v>0.57999999999999996</v>
      </c>
      <c r="D36" s="449">
        <v>4020</v>
      </c>
      <c r="E36" s="449">
        <v>19</v>
      </c>
      <c r="F36" s="464">
        <v>278</v>
      </c>
      <c r="G36" s="464"/>
      <c r="H36" s="464">
        <v>919</v>
      </c>
      <c r="I36" s="464">
        <v>96</v>
      </c>
      <c r="J36" s="449">
        <v>932</v>
      </c>
      <c r="K36" s="449"/>
      <c r="L36" s="449"/>
      <c r="M36" s="469"/>
      <c r="N36" s="471">
        <v>67</v>
      </c>
      <c r="O36" s="471"/>
      <c r="P36" s="459"/>
      <c r="Q36" s="460"/>
      <c r="R36" s="459">
        <v>4060</v>
      </c>
      <c r="S36" s="460">
        <v>0.06</v>
      </c>
    </row>
    <row r="37" spans="1:19">
      <c r="A37" s="454"/>
      <c r="B37" s="454"/>
      <c r="C37" s="451">
        <v>2.63</v>
      </c>
      <c r="D37" s="449"/>
      <c r="E37" s="449">
        <v>500</v>
      </c>
      <c r="F37" s="464">
        <v>4269</v>
      </c>
      <c r="G37" s="464"/>
      <c r="H37" s="464"/>
      <c r="I37" s="464"/>
      <c r="J37" s="449">
        <v>125</v>
      </c>
      <c r="K37" s="449"/>
      <c r="L37" s="449"/>
      <c r="M37" s="469"/>
      <c r="N37" s="471"/>
      <c r="O37" s="471"/>
      <c r="P37" s="459"/>
      <c r="Q37" s="460"/>
      <c r="R37" s="459">
        <v>3248</v>
      </c>
      <c r="S37" s="460">
        <v>0.05</v>
      </c>
    </row>
    <row r="38" spans="1:19">
      <c r="A38" s="454"/>
      <c r="B38" s="454"/>
      <c r="C38" s="451">
        <v>19.5</v>
      </c>
      <c r="D38" s="449">
        <v>221032</v>
      </c>
      <c r="E38" s="449">
        <v>1612</v>
      </c>
      <c r="F38" s="464">
        <v>9875</v>
      </c>
      <c r="G38" s="464">
        <v>2468</v>
      </c>
      <c r="H38" s="464">
        <v>19092</v>
      </c>
      <c r="I38" s="464"/>
      <c r="J38" s="449">
        <v>3140</v>
      </c>
      <c r="K38" s="449"/>
      <c r="L38" s="449"/>
      <c r="M38" s="469"/>
      <c r="N38" s="471"/>
      <c r="O38" s="471"/>
      <c r="P38" s="459">
        <v>73011</v>
      </c>
      <c r="Q38" s="460">
        <v>2</v>
      </c>
      <c r="R38" s="459"/>
      <c r="S38" s="460"/>
    </row>
    <row r="39" spans="1:19">
      <c r="A39" s="454"/>
      <c r="B39" s="454"/>
      <c r="C39" s="451">
        <v>16.59</v>
      </c>
      <c r="D39" s="449">
        <v>199065</v>
      </c>
      <c r="E39" s="449">
        <v>2877</v>
      </c>
      <c r="F39" s="464">
        <v>18521</v>
      </c>
      <c r="G39" s="464"/>
      <c r="H39" s="464">
        <v>4437</v>
      </c>
      <c r="I39" s="464"/>
      <c r="J39" s="449">
        <v>13351</v>
      </c>
      <c r="K39" s="449">
        <v>290</v>
      </c>
      <c r="L39" s="449"/>
      <c r="M39" s="469"/>
      <c r="N39" s="471">
        <v>28055</v>
      </c>
      <c r="O39" s="471"/>
      <c r="P39" s="459"/>
      <c r="Q39" s="460"/>
      <c r="R39" s="459">
        <v>200953</v>
      </c>
      <c r="S39" s="460">
        <v>4.4000000000000004</v>
      </c>
    </row>
    <row r="40" spans="1:19">
      <c r="A40" s="454"/>
      <c r="B40" s="454"/>
      <c r="C40" s="451">
        <v>34.39</v>
      </c>
      <c r="D40" s="449">
        <v>280748</v>
      </c>
      <c r="E40" s="449">
        <v>3339</v>
      </c>
      <c r="F40" s="464">
        <v>29344</v>
      </c>
      <c r="G40" s="464"/>
      <c r="H40" s="464">
        <v>134653</v>
      </c>
      <c r="I40" s="464"/>
      <c r="J40" s="449">
        <v>26772</v>
      </c>
      <c r="K40" s="449">
        <v>1785</v>
      </c>
      <c r="L40" s="449"/>
      <c r="M40" s="469">
        <v>70</v>
      </c>
      <c r="N40" s="471"/>
      <c r="O40" s="471"/>
      <c r="P40" s="459"/>
      <c r="Q40" s="460"/>
      <c r="R40" s="459">
        <v>195080</v>
      </c>
      <c r="S40" s="460">
        <v>3.12</v>
      </c>
    </row>
    <row r="41" spans="1:19">
      <c r="A41" s="454"/>
      <c r="B41" s="454"/>
      <c r="C41" s="451">
        <v>29.05</v>
      </c>
      <c r="D41" s="449">
        <v>267037</v>
      </c>
      <c r="E41" s="449">
        <v>3029</v>
      </c>
      <c r="F41" s="464">
        <v>27795</v>
      </c>
      <c r="G41" s="464"/>
      <c r="H41" s="464">
        <v>144631</v>
      </c>
      <c r="I41" s="464"/>
      <c r="J41" s="449">
        <v>25171</v>
      </c>
      <c r="K41" s="449">
        <v>1599</v>
      </c>
      <c r="L41" s="449"/>
      <c r="M41" s="469"/>
      <c r="N41" s="471"/>
      <c r="O41" s="471"/>
      <c r="P41" s="459"/>
      <c r="Q41" s="460"/>
      <c r="R41" s="459">
        <v>245813</v>
      </c>
      <c r="S41" s="460">
        <v>4.38</v>
      </c>
    </row>
    <row r="42" spans="1:19">
      <c r="A42" s="454"/>
      <c r="B42" s="454"/>
      <c r="C42" s="451">
        <v>8.7100000000000009</v>
      </c>
      <c r="D42" s="449">
        <v>3009</v>
      </c>
      <c r="E42" s="449">
        <v>1670</v>
      </c>
      <c r="F42" s="464">
        <v>30838</v>
      </c>
      <c r="G42" s="464"/>
      <c r="H42" s="464">
        <v>8356</v>
      </c>
      <c r="I42" s="464"/>
      <c r="J42" s="449">
        <v>539</v>
      </c>
      <c r="K42" s="449">
        <v>38</v>
      </c>
      <c r="L42" s="449"/>
      <c r="M42" s="469"/>
      <c r="N42" s="471"/>
      <c r="O42" s="471"/>
      <c r="P42" s="459"/>
      <c r="Q42" s="460"/>
      <c r="R42" s="459">
        <v>86869</v>
      </c>
      <c r="S42" s="460">
        <v>1.22</v>
      </c>
    </row>
    <row r="43" spans="1:19">
      <c r="A43" s="454"/>
      <c r="B43" s="454"/>
      <c r="C43" s="451">
        <v>3.11</v>
      </c>
      <c r="D43" s="449">
        <v>2075</v>
      </c>
      <c r="E43" s="449">
        <v>1778</v>
      </c>
      <c r="F43" s="464">
        <v>12438</v>
      </c>
      <c r="G43" s="464"/>
      <c r="H43" s="464"/>
      <c r="I43" s="464"/>
      <c r="J43" s="449">
        <v>306</v>
      </c>
      <c r="K43" s="449"/>
      <c r="L43" s="449"/>
      <c r="M43" s="469"/>
      <c r="N43" s="471"/>
      <c r="O43" s="471"/>
      <c r="P43" s="459"/>
      <c r="Q43" s="460"/>
      <c r="R43" s="459">
        <v>22027</v>
      </c>
      <c r="S43" s="460">
        <v>0.22</v>
      </c>
    </row>
    <row r="44" spans="1:19">
      <c r="A44" s="454"/>
      <c r="B44" s="454"/>
      <c r="C44" s="451">
        <v>0.15</v>
      </c>
      <c r="D44" s="449">
        <v>383</v>
      </c>
      <c r="E44" s="449"/>
      <c r="F44" s="464">
        <v>93</v>
      </c>
      <c r="G44" s="464"/>
      <c r="H44" s="464"/>
      <c r="I44" s="464"/>
      <c r="J44" s="449">
        <v>180</v>
      </c>
      <c r="K44" s="449"/>
      <c r="L44" s="449"/>
      <c r="M44" s="469"/>
      <c r="N44" s="471"/>
      <c r="O44" s="471">
        <v>48</v>
      </c>
      <c r="P44" s="459"/>
      <c r="Q44" s="460"/>
      <c r="R44" s="459"/>
      <c r="S44" s="460"/>
    </row>
    <row r="45" spans="1:19">
      <c r="A45" s="454"/>
      <c r="B45" s="454"/>
      <c r="C45" s="451">
        <v>8.91</v>
      </c>
      <c r="D45" s="449">
        <v>41199</v>
      </c>
      <c r="E45" s="449">
        <v>39</v>
      </c>
      <c r="F45" s="464">
        <v>12685</v>
      </c>
      <c r="G45" s="464"/>
      <c r="H45" s="464">
        <v>12314</v>
      </c>
      <c r="I45" s="464">
        <v>7508</v>
      </c>
      <c r="J45" s="449">
        <v>7177</v>
      </c>
      <c r="K45" s="449">
        <v>117</v>
      </c>
      <c r="L45" s="449">
        <v>10910</v>
      </c>
      <c r="M45" s="469"/>
      <c r="N45" s="471"/>
      <c r="O45" s="471">
        <v>3093</v>
      </c>
      <c r="P45" s="459"/>
      <c r="Q45" s="460"/>
      <c r="R45" s="459">
        <v>18494</v>
      </c>
      <c r="S45" s="460">
        <v>0.35</v>
      </c>
    </row>
    <row r="46" spans="1:19">
      <c r="A46" s="454"/>
      <c r="B46" s="454"/>
      <c r="C46" s="451">
        <v>2</v>
      </c>
      <c r="D46" s="449">
        <v>4965.34</v>
      </c>
      <c r="E46" s="449">
        <v>93.59</v>
      </c>
      <c r="F46" s="464">
        <v>7006.6</v>
      </c>
      <c r="G46" s="464"/>
      <c r="H46" s="464">
        <v>14.99</v>
      </c>
      <c r="I46" s="464"/>
      <c r="J46" s="449">
        <v>181.5</v>
      </c>
      <c r="K46" s="449"/>
      <c r="L46" s="449"/>
      <c r="M46" s="469"/>
      <c r="N46" s="471">
        <v>1702</v>
      </c>
      <c r="O46" s="471"/>
      <c r="P46" s="459"/>
      <c r="Q46" s="460"/>
      <c r="R46" s="459">
        <v>12388.41</v>
      </c>
      <c r="S46" s="460">
        <v>0.17</v>
      </c>
    </row>
    <row r="47" spans="1:19">
      <c r="A47" s="454"/>
      <c r="B47" s="454"/>
      <c r="C47" s="451">
        <v>1.45</v>
      </c>
      <c r="D47" s="449">
        <v>9915</v>
      </c>
      <c r="E47" s="449">
        <v>1891</v>
      </c>
      <c r="F47" s="464"/>
      <c r="G47" s="464"/>
      <c r="H47" s="464">
        <v>2174</v>
      </c>
      <c r="I47" s="464">
        <v>3570</v>
      </c>
      <c r="J47" s="449">
        <v>59</v>
      </c>
      <c r="K47" s="449"/>
      <c r="L47" s="449"/>
      <c r="M47" s="469"/>
      <c r="N47" s="471"/>
      <c r="O47" s="471"/>
      <c r="P47" s="459"/>
      <c r="Q47" s="460"/>
      <c r="R47" s="459">
        <v>4164</v>
      </c>
      <c r="S47" s="460">
        <v>0.06</v>
      </c>
    </row>
    <row r="48" spans="1:19">
      <c r="A48" s="454"/>
      <c r="B48" s="454"/>
      <c r="C48" s="451">
        <v>3.1855691665280901</v>
      </c>
      <c r="D48" s="449">
        <v>8998.1216999999997</v>
      </c>
      <c r="E48" s="449">
        <v>68.599400000000003</v>
      </c>
      <c r="F48" s="464">
        <v>121.4854</v>
      </c>
      <c r="G48" s="464"/>
      <c r="H48" s="464">
        <v>1122.827</v>
      </c>
      <c r="I48" s="464"/>
      <c r="J48" s="449">
        <v>879.91340000000002</v>
      </c>
      <c r="K48" s="449"/>
      <c r="L48" s="449"/>
      <c r="M48" s="469"/>
      <c r="N48" s="471">
        <v>425.3929</v>
      </c>
      <c r="O48" s="471"/>
      <c r="P48" s="459"/>
      <c r="Q48" s="460"/>
      <c r="R48" s="459">
        <v>4964</v>
      </c>
      <c r="S48" s="460">
        <v>0.1</v>
      </c>
    </row>
    <row r="49" spans="1:19">
      <c r="A49" s="454"/>
      <c r="B49" s="454"/>
      <c r="C49" s="451">
        <v>2.62</v>
      </c>
      <c r="D49" s="449">
        <v>38353</v>
      </c>
      <c r="E49" s="449">
        <v>1050</v>
      </c>
      <c r="F49" s="464">
        <v>2450</v>
      </c>
      <c r="G49" s="464"/>
      <c r="H49" s="464"/>
      <c r="I49" s="464"/>
      <c r="J49" s="449"/>
      <c r="K49" s="449"/>
      <c r="L49" s="449"/>
      <c r="M49" s="469"/>
      <c r="N49" s="471">
        <v>14785</v>
      </c>
      <c r="O49" s="471"/>
      <c r="P49" s="459"/>
      <c r="Q49" s="460"/>
      <c r="R49" s="459">
        <v>4340</v>
      </c>
      <c r="S49" s="460">
        <v>0.06</v>
      </c>
    </row>
    <row r="50" spans="1:19">
      <c r="A50" s="454"/>
      <c r="B50" s="454"/>
      <c r="C50" s="451">
        <v>62.17</v>
      </c>
      <c r="D50" s="449">
        <v>394105</v>
      </c>
      <c r="E50" s="449">
        <v>3330</v>
      </c>
      <c r="F50" s="464">
        <v>57029</v>
      </c>
      <c r="G50" s="464"/>
      <c r="H50" s="464">
        <v>72975</v>
      </c>
      <c r="I50" s="464">
        <v>36523</v>
      </c>
      <c r="J50" s="449">
        <v>8069</v>
      </c>
      <c r="K50" s="449">
        <v>201</v>
      </c>
      <c r="L50" s="449"/>
      <c r="M50" s="469"/>
      <c r="N50" s="471">
        <v>57010</v>
      </c>
      <c r="O50" s="471"/>
      <c r="P50" s="459"/>
      <c r="Q50" s="460"/>
      <c r="R50" s="459">
        <v>595563</v>
      </c>
      <c r="S50" s="460">
        <v>9.93</v>
      </c>
    </row>
    <row r="51" spans="1:19">
      <c r="A51" s="454"/>
      <c r="B51" s="454"/>
      <c r="C51" s="451">
        <v>4.9400000000000004</v>
      </c>
      <c r="D51" s="449">
        <v>58575</v>
      </c>
      <c r="E51" s="449">
        <v>8918</v>
      </c>
      <c r="F51" s="464">
        <v>1073</v>
      </c>
      <c r="G51" s="464">
        <v>12782</v>
      </c>
      <c r="H51" s="464">
        <v>7331</v>
      </c>
      <c r="I51" s="464">
        <v>11853</v>
      </c>
      <c r="J51" s="449">
        <v>21398</v>
      </c>
      <c r="K51" s="449"/>
      <c r="L51" s="449">
        <v>35</v>
      </c>
      <c r="M51" s="469"/>
      <c r="N51" s="471"/>
      <c r="O51" s="471"/>
      <c r="P51" s="459">
        <v>11274</v>
      </c>
      <c r="Q51" s="460">
        <v>0.12</v>
      </c>
      <c r="R51" s="459">
        <v>13755</v>
      </c>
      <c r="S51" s="460">
        <v>0.17</v>
      </c>
    </row>
    <row r="52" spans="1:19">
      <c r="A52" s="454"/>
      <c r="B52" s="454"/>
      <c r="C52" s="451">
        <v>0.38463600165327</v>
      </c>
      <c r="D52" s="449">
        <v>5446.0646999999999</v>
      </c>
      <c r="E52" s="449">
        <v>114.069</v>
      </c>
      <c r="F52" s="464">
        <v>11.8873</v>
      </c>
      <c r="G52" s="464"/>
      <c r="H52" s="464">
        <v>909.10749999999996</v>
      </c>
      <c r="I52" s="464"/>
      <c r="J52" s="449">
        <v>206.93180000000001</v>
      </c>
      <c r="K52" s="449">
        <v>7.5705999999999998</v>
      </c>
      <c r="L52" s="449"/>
      <c r="M52" s="469"/>
      <c r="N52" s="471">
        <v>133.70480000000001</v>
      </c>
      <c r="O52" s="471">
        <v>18.241</v>
      </c>
      <c r="P52" s="459"/>
      <c r="Q52" s="460"/>
      <c r="R52" s="459">
        <v>2861.1107999999999</v>
      </c>
      <c r="S52" s="460">
        <v>5.67657735282329E-2</v>
      </c>
    </row>
    <row r="53" spans="1:19">
      <c r="A53" s="454"/>
      <c r="B53" s="454"/>
      <c r="C53" s="451">
        <v>3.5</v>
      </c>
      <c r="D53" s="449">
        <v>44803</v>
      </c>
      <c r="E53" s="449">
        <v>994</v>
      </c>
      <c r="F53" s="464"/>
      <c r="G53" s="464"/>
      <c r="H53" s="464">
        <v>1480</v>
      </c>
      <c r="I53" s="464">
        <v>511</v>
      </c>
      <c r="J53" s="449"/>
      <c r="K53" s="449"/>
      <c r="L53" s="449"/>
      <c r="M53" s="469"/>
      <c r="N53" s="471">
        <v>8940</v>
      </c>
      <c r="O53" s="471"/>
      <c r="P53" s="459"/>
      <c r="Q53" s="460"/>
      <c r="R53" s="459">
        <v>82001</v>
      </c>
      <c r="S53" s="460">
        <v>1</v>
      </c>
    </row>
    <row r="54" spans="1:19">
      <c r="A54" s="454"/>
      <c r="B54" s="454"/>
      <c r="C54" s="451">
        <v>7.3617999999999997</v>
      </c>
      <c r="D54" s="449">
        <v>27180</v>
      </c>
      <c r="E54" s="449">
        <v>915</v>
      </c>
      <c r="F54" s="464">
        <v>1470</v>
      </c>
      <c r="G54" s="464">
        <v>958</v>
      </c>
      <c r="H54" s="464">
        <v>25368</v>
      </c>
      <c r="I54" s="464"/>
      <c r="J54" s="449">
        <v>648</v>
      </c>
      <c r="K54" s="449"/>
      <c r="L54" s="449"/>
      <c r="M54" s="469"/>
      <c r="N54" s="471">
        <v>1029</v>
      </c>
      <c r="O54" s="471"/>
      <c r="P54" s="459"/>
      <c r="Q54" s="460"/>
      <c r="R54" s="459">
        <v>42839</v>
      </c>
      <c r="S54" s="460">
        <v>0.76129999999999998</v>
      </c>
    </row>
    <row r="55" spans="1:19">
      <c r="A55" s="454"/>
      <c r="B55" s="454"/>
      <c r="C55" s="451">
        <v>3.8069999999999999</v>
      </c>
      <c r="D55" s="449">
        <v>52309</v>
      </c>
      <c r="E55" s="449">
        <v>73</v>
      </c>
      <c r="F55" s="464">
        <v>397</v>
      </c>
      <c r="G55" s="464">
        <v>176</v>
      </c>
      <c r="H55" s="464">
        <v>3891</v>
      </c>
      <c r="I55" s="464"/>
      <c r="J55" s="449">
        <v>3811</v>
      </c>
      <c r="K55" s="449"/>
      <c r="L55" s="449"/>
      <c r="M55" s="469"/>
      <c r="N55" s="471"/>
      <c r="O55" s="471"/>
      <c r="P55" s="459"/>
      <c r="Q55" s="460"/>
      <c r="R55" s="459">
        <v>3406.01</v>
      </c>
      <c r="S55" s="460">
        <v>2.69E-2</v>
      </c>
    </row>
    <row r="56" spans="1:19">
      <c r="A56" s="454"/>
      <c r="B56" s="454"/>
      <c r="C56" s="451">
        <v>1.5</v>
      </c>
      <c r="D56" s="449">
        <v>2486</v>
      </c>
      <c r="E56" s="449">
        <v>21</v>
      </c>
      <c r="F56" s="464">
        <v>3703</v>
      </c>
      <c r="G56" s="464"/>
      <c r="H56" s="464"/>
      <c r="I56" s="464">
        <v>91</v>
      </c>
      <c r="J56" s="449">
        <v>61</v>
      </c>
      <c r="K56" s="449"/>
      <c r="L56" s="449">
        <v>79</v>
      </c>
      <c r="M56" s="469"/>
      <c r="N56" s="471"/>
      <c r="O56" s="471"/>
      <c r="P56" s="459"/>
      <c r="Q56" s="460"/>
      <c r="R56" s="459">
        <v>37188</v>
      </c>
      <c r="S56" s="460">
        <v>1</v>
      </c>
    </row>
    <row r="57" spans="1:19">
      <c r="A57" s="454"/>
      <c r="B57" s="454"/>
      <c r="C57" s="451">
        <v>2.65</v>
      </c>
      <c r="D57" s="449"/>
      <c r="E57" s="449"/>
      <c r="F57" s="464"/>
      <c r="G57" s="464"/>
      <c r="H57" s="464"/>
      <c r="I57" s="464"/>
      <c r="J57" s="449"/>
      <c r="K57" s="449"/>
      <c r="L57" s="449"/>
      <c r="M57" s="469"/>
      <c r="N57" s="471"/>
      <c r="O57" s="471"/>
      <c r="P57" s="459"/>
      <c r="Q57" s="460"/>
      <c r="R57" s="459"/>
      <c r="S57" s="460"/>
    </row>
    <row r="58" spans="1:19">
      <c r="A58" s="454"/>
      <c r="B58" s="454"/>
      <c r="C58" s="451">
        <v>27.83</v>
      </c>
      <c r="D58" s="449">
        <v>86695</v>
      </c>
      <c r="E58" s="449">
        <v>9274</v>
      </c>
      <c r="F58" s="464">
        <v>49345</v>
      </c>
      <c r="G58" s="464">
        <v>22047</v>
      </c>
      <c r="H58" s="464"/>
      <c r="I58" s="464"/>
      <c r="J58" s="449">
        <v>338</v>
      </c>
      <c r="K58" s="449"/>
      <c r="L58" s="449">
        <v>1280</v>
      </c>
      <c r="M58" s="469"/>
      <c r="N58" s="471"/>
      <c r="O58" s="471"/>
      <c r="P58" s="459">
        <v>117641</v>
      </c>
      <c r="Q58" s="460">
        <v>2.35</v>
      </c>
      <c r="R58" s="459"/>
      <c r="S58" s="460"/>
    </row>
    <row r="59" spans="1:19">
      <c r="A59" s="454"/>
      <c r="B59" s="454"/>
      <c r="C59" s="451">
        <v>6.8680000000000003</v>
      </c>
      <c r="D59" s="449">
        <v>110140</v>
      </c>
      <c r="E59" s="449">
        <v>87</v>
      </c>
      <c r="F59" s="464">
        <v>9819</v>
      </c>
      <c r="G59" s="464"/>
      <c r="H59" s="464">
        <v>6610</v>
      </c>
      <c r="I59" s="464">
        <v>4137</v>
      </c>
      <c r="J59" s="449">
        <v>6050</v>
      </c>
      <c r="K59" s="449"/>
      <c r="L59" s="449"/>
      <c r="M59" s="469"/>
      <c r="N59" s="471"/>
      <c r="O59" s="471">
        <v>3430</v>
      </c>
      <c r="P59" s="459"/>
      <c r="Q59" s="460"/>
      <c r="R59" s="459">
        <v>37871</v>
      </c>
      <c r="S59" s="460">
        <v>0.61099999999999999</v>
      </c>
    </row>
    <row r="60" spans="1:19">
      <c r="A60" s="454"/>
      <c r="B60" s="454"/>
      <c r="C60" s="451">
        <v>16.32</v>
      </c>
      <c r="D60" s="449">
        <v>195073</v>
      </c>
      <c r="E60" s="449">
        <v>4369</v>
      </c>
      <c r="F60" s="464">
        <v>18893</v>
      </c>
      <c r="G60" s="464"/>
      <c r="H60" s="464">
        <v>16099</v>
      </c>
      <c r="I60" s="464">
        <v>5117</v>
      </c>
      <c r="J60" s="449">
        <v>16937</v>
      </c>
      <c r="K60" s="449">
        <v>3931</v>
      </c>
      <c r="L60" s="449">
        <v>318</v>
      </c>
      <c r="M60" s="469"/>
      <c r="N60" s="471"/>
      <c r="O60" s="471"/>
      <c r="P60" s="459"/>
      <c r="Q60" s="460"/>
      <c r="R60" s="459">
        <v>297460</v>
      </c>
      <c r="S60" s="460">
        <v>6.54</v>
      </c>
    </row>
    <row r="61" spans="1:19">
      <c r="A61" s="454"/>
      <c r="B61" s="454"/>
      <c r="C61" s="451">
        <v>4.5060000000000002</v>
      </c>
      <c r="D61" s="449">
        <v>26722</v>
      </c>
      <c r="E61" s="449">
        <v>930</v>
      </c>
      <c r="F61" s="464">
        <v>899</v>
      </c>
      <c r="G61" s="464">
        <v>1885</v>
      </c>
      <c r="H61" s="464"/>
      <c r="I61" s="464"/>
      <c r="J61" s="449">
        <v>5056</v>
      </c>
      <c r="K61" s="449"/>
      <c r="L61" s="449"/>
      <c r="M61" s="469"/>
      <c r="N61" s="471"/>
      <c r="O61" s="471">
        <v>1054</v>
      </c>
      <c r="P61" s="459"/>
      <c r="Q61" s="460"/>
      <c r="R61" s="459">
        <v>65517</v>
      </c>
      <c r="S61" s="460">
        <v>1.5609999999999999</v>
      </c>
    </row>
    <row r="62" spans="1:19">
      <c r="A62" s="454"/>
      <c r="B62" s="454"/>
      <c r="C62" s="451">
        <v>7.0000000000000007E-2</v>
      </c>
      <c r="D62" s="449">
        <v>523</v>
      </c>
      <c r="E62" s="449">
        <v>6</v>
      </c>
      <c r="F62" s="464">
        <v>1</v>
      </c>
      <c r="G62" s="464"/>
      <c r="H62" s="464">
        <v>22</v>
      </c>
      <c r="I62" s="464"/>
      <c r="J62" s="449"/>
      <c r="K62" s="449">
        <v>1</v>
      </c>
      <c r="L62" s="449"/>
      <c r="M62" s="469"/>
      <c r="N62" s="471"/>
      <c r="O62" s="471"/>
      <c r="P62" s="459"/>
      <c r="Q62" s="460"/>
      <c r="R62" s="459">
        <v>274</v>
      </c>
      <c r="S62" s="460">
        <v>0.01</v>
      </c>
    </row>
    <row r="63" spans="1:19">
      <c r="A63" s="454"/>
      <c r="B63" s="454"/>
      <c r="C63" s="451">
        <v>5.0999999999999996</v>
      </c>
      <c r="D63" s="449">
        <v>14406</v>
      </c>
      <c r="E63" s="449">
        <v>928</v>
      </c>
      <c r="F63" s="464">
        <v>19534</v>
      </c>
      <c r="G63" s="464"/>
      <c r="H63" s="464"/>
      <c r="I63" s="464"/>
      <c r="J63" s="449">
        <v>303</v>
      </c>
      <c r="K63" s="449"/>
      <c r="L63" s="449"/>
      <c r="M63" s="469"/>
      <c r="N63" s="471"/>
      <c r="O63" s="471"/>
      <c r="P63" s="459">
        <v>20603</v>
      </c>
      <c r="Q63" s="460">
        <v>0.2</v>
      </c>
      <c r="R63" s="459"/>
      <c r="S63" s="460"/>
    </row>
    <row r="64" spans="1:19">
      <c r="A64" s="454"/>
      <c r="B64" s="454"/>
      <c r="C64" s="451">
        <v>0.93</v>
      </c>
      <c r="D64" s="449">
        <v>12952</v>
      </c>
      <c r="E64" s="449">
        <v>772</v>
      </c>
      <c r="F64" s="464">
        <v>1481</v>
      </c>
      <c r="G64" s="464"/>
      <c r="H64" s="464"/>
      <c r="I64" s="464"/>
      <c r="J64" s="449">
        <v>23711</v>
      </c>
      <c r="K64" s="449"/>
      <c r="L64" s="449"/>
      <c r="M64" s="469"/>
      <c r="N64" s="471">
        <v>73</v>
      </c>
      <c r="O64" s="471">
        <v>3847</v>
      </c>
      <c r="P64" s="459"/>
      <c r="Q64" s="460"/>
      <c r="R64" s="459">
        <v>1752</v>
      </c>
      <c r="S64" s="460">
        <v>0.03</v>
      </c>
    </row>
    <row r="65" spans="1:19">
      <c r="A65" s="454"/>
      <c r="B65" s="454"/>
      <c r="C65" s="451">
        <v>12.2</v>
      </c>
      <c r="D65" s="449">
        <v>24275</v>
      </c>
      <c r="E65" s="449">
        <v>575</v>
      </c>
      <c r="F65" s="464">
        <v>9747</v>
      </c>
      <c r="G65" s="464"/>
      <c r="H65" s="464">
        <v>44546</v>
      </c>
      <c r="I65" s="464"/>
      <c r="J65" s="449">
        <v>14491</v>
      </c>
      <c r="K65" s="449"/>
      <c r="L65" s="449"/>
      <c r="M65" s="469"/>
      <c r="N65" s="471"/>
      <c r="O65" s="471">
        <v>6242</v>
      </c>
      <c r="P65" s="459"/>
      <c r="Q65" s="460"/>
      <c r="R65" s="459">
        <v>49587</v>
      </c>
      <c r="S65" s="460">
        <v>0.6</v>
      </c>
    </row>
    <row r="66" spans="1:19">
      <c r="A66" s="454"/>
      <c r="B66" s="454"/>
      <c r="C66" s="451">
        <v>10.63</v>
      </c>
      <c r="D66" s="449">
        <v>85300</v>
      </c>
      <c r="E66" s="449"/>
      <c r="F66" s="464">
        <v>1414</v>
      </c>
      <c r="G66" s="464"/>
      <c r="H66" s="464">
        <v>15838</v>
      </c>
      <c r="I66" s="464">
        <v>6180</v>
      </c>
      <c r="J66" s="449"/>
      <c r="K66" s="449"/>
      <c r="L66" s="449"/>
      <c r="M66" s="469">
        <v>5226</v>
      </c>
      <c r="N66" s="471"/>
      <c r="O66" s="471">
        <v>5765</v>
      </c>
      <c r="P66" s="459"/>
      <c r="Q66" s="460"/>
      <c r="R66" s="459">
        <v>53657</v>
      </c>
      <c r="S66" s="460">
        <v>1.06</v>
      </c>
    </row>
    <row r="67" spans="1:19">
      <c r="A67" s="454"/>
      <c r="B67" s="454"/>
      <c r="C67" s="451">
        <v>0.27500000000000002</v>
      </c>
      <c r="D67" s="449">
        <v>1698</v>
      </c>
      <c r="E67" s="449">
        <v>642</v>
      </c>
      <c r="F67" s="464"/>
      <c r="G67" s="464"/>
      <c r="H67" s="464">
        <v>1988</v>
      </c>
      <c r="I67" s="464">
        <v>1000</v>
      </c>
      <c r="J67" s="449">
        <v>2317</v>
      </c>
      <c r="K67" s="449"/>
      <c r="L67" s="449"/>
      <c r="M67" s="469"/>
      <c r="N67" s="471"/>
      <c r="O67" s="471"/>
      <c r="P67" s="459"/>
      <c r="Q67" s="460"/>
      <c r="R67" s="459"/>
      <c r="S67" s="460"/>
    </row>
    <row r="68" spans="1:19">
      <c r="A68" s="454"/>
      <c r="B68" s="454"/>
      <c r="C68" s="451">
        <v>21.45</v>
      </c>
      <c r="D68" s="449">
        <v>108291</v>
      </c>
      <c r="E68" s="449">
        <v>2640</v>
      </c>
      <c r="F68" s="464">
        <v>24341</v>
      </c>
      <c r="G68" s="464"/>
      <c r="H68" s="464">
        <v>2734</v>
      </c>
      <c r="I68" s="464"/>
      <c r="J68" s="449">
        <v>47385</v>
      </c>
      <c r="K68" s="449"/>
      <c r="L68" s="449"/>
      <c r="M68" s="469"/>
      <c r="N68" s="471"/>
      <c r="O68" s="471"/>
      <c r="P68" s="459"/>
      <c r="Q68" s="460"/>
      <c r="R68" s="459">
        <v>85405</v>
      </c>
      <c r="S68" s="460">
        <v>1.1000000000000001</v>
      </c>
    </row>
    <row r="69" spans="1:19">
      <c r="A69" s="454"/>
      <c r="B69" s="454"/>
      <c r="C69" s="451">
        <v>0</v>
      </c>
      <c r="D69" s="449">
        <v>75615.45</v>
      </c>
      <c r="E69" s="449">
        <v>437.04</v>
      </c>
      <c r="F69" s="464">
        <v>20921.32</v>
      </c>
      <c r="G69" s="464"/>
      <c r="H69" s="464">
        <v>4083.05</v>
      </c>
      <c r="I69" s="464">
        <v>3400</v>
      </c>
      <c r="J69" s="449">
        <v>3336.09</v>
      </c>
      <c r="K69" s="449"/>
      <c r="L69" s="449"/>
      <c r="M69" s="469"/>
      <c r="N69" s="471"/>
      <c r="O69" s="471">
        <v>1111</v>
      </c>
      <c r="P69" s="459"/>
      <c r="Q69" s="460"/>
      <c r="R69" s="459"/>
      <c r="S69" s="460"/>
    </row>
    <row r="70" spans="1:19">
      <c r="A70" s="454"/>
      <c r="B70" s="454"/>
      <c r="C70" s="451">
        <v>0.75</v>
      </c>
      <c r="D70" s="449">
        <v>1000</v>
      </c>
      <c r="E70" s="449"/>
      <c r="F70" s="464"/>
      <c r="G70" s="464"/>
      <c r="H70" s="464"/>
      <c r="I70" s="464"/>
      <c r="J70" s="449"/>
      <c r="K70" s="449"/>
      <c r="L70" s="449"/>
      <c r="M70" s="469"/>
      <c r="N70" s="471"/>
      <c r="O70" s="471"/>
      <c r="P70" s="459"/>
      <c r="Q70" s="460"/>
      <c r="R70" s="459"/>
      <c r="S70" s="460"/>
    </row>
    <row r="71" spans="1:19">
      <c r="A71" s="454"/>
      <c r="B71" s="454"/>
      <c r="C71" s="451">
        <v>10.69</v>
      </c>
      <c r="D71" s="449"/>
      <c r="E71" s="449"/>
      <c r="F71" s="464"/>
      <c r="G71" s="464"/>
      <c r="H71" s="464">
        <v>19142</v>
      </c>
      <c r="I71" s="464"/>
      <c r="J71" s="449"/>
      <c r="K71" s="449"/>
      <c r="L71" s="449"/>
      <c r="M71" s="469"/>
      <c r="N71" s="471"/>
      <c r="O71" s="471"/>
      <c r="P71" s="459"/>
      <c r="Q71" s="460"/>
      <c r="R71" s="459">
        <v>20725</v>
      </c>
      <c r="S71" s="460">
        <v>0.4</v>
      </c>
    </row>
    <row r="72" spans="1:19">
      <c r="A72" s="454"/>
      <c r="B72" s="454"/>
      <c r="C72" s="451">
        <v>4.0599999999999996</v>
      </c>
      <c r="D72" s="449">
        <v>14981</v>
      </c>
      <c r="E72" s="449"/>
      <c r="F72" s="464">
        <v>7111</v>
      </c>
      <c r="G72" s="464">
        <v>8337</v>
      </c>
      <c r="H72" s="464"/>
      <c r="I72" s="464">
        <v>3566</v>
      </c>
      <c r="J72" s="449">
        <v>2329</v>
      </c>
      <c r="K72" s="449"/>
      <c r="L72" s="449"/>
      <c r="M72" s="469"/>
      <c r="N72" s="471"/>
      <c r="O72" s="471"/>
      <c r="P72" s="459">
        <v>15000</v>
      </c>
      <c r="Q72" s="460">
        <v>0.25</v>
      </c>
      <c r="R72" s="459">
        <v>12250</v>
      </c>
      <c r="S72" s="460">
        <v>0.25</v>
      </c>
    </row>
    <row r="73" spans="1:19">
      <c r="A73" s="454"/>
      <c r="B73" s="454"/>
      <c r="C73" s="451">
        <v>0.69799999999999995</v>
      </c>
      <c r="D73" s="449">
        <v>1520</v>
      </c>
      <c r="E73" s="449">
        <v>207</v>
      </c>
      <c r="F73" s="464">
        <v>1383</v>
      </c>
      <c r="G73" s="464"/>
      <c r="H73" s="464"/>
      <c r="I73" s="464"/>
      <c r="J73" s="449">
        <v>13</v>
      </c>
      <c r="K73" s="449"/>
      <c r="L73" s="449"/>
      <c r="M73" s="469"/>
      <c r="N73" s="471">
        <v>191</v>
      </c>
      <c r="O73" s="471">
        <v>518</v>
      </c>
      <c r="P73" s="459">
        <v>434</v>
      </c>
      <c r="Q73" s="460">
        <v>6.0000000000000001E-3</v>
      </c>
      <c r="R73" s="459">
        <v>1989</v>
      </c>
      <c r="S73" s="460">
        <v>1.7999999999999999E-2</v>
      </c>
    </row>
    <row r="74" spans="1:19">
      <c r="A74" s="454"/>
      <c r="B74" s="454"/>
      <c r="C74" s="451">
        <v>0.05</v>
      </c>
      <c r="D74" s="449">
        <v>400</v>
      </c>
      <c r="E74" s="449">
        <v>3</v>
      </c>
      <c r="F74" s="464">
        <v>8</v>
      </c>
      <c r="G74" s="464"/>
      <c r="H74" s="464"/>
      <c r="I74" s="464"/>
      <c r="J74" s="449">
        <v>27</v>
      </c>
      <c r="K74" s="449"/>
      <c r="L74" s="449"/>
      <c r="M74" s="469"/>
      <c r="N74" s="471"/>
      <c r="O74" s="471">
        <v>50</v>
      </c>
      <c r="P74" s="459"/>
      <c r="Q74" s="460"/>
      <c r="R74" s="459">
        <v>1610</v>
      </c>
      <c r="S74" s="460">
        <v>0.05</v>
      </c>
    </row>
    <row r="75" spans="1:19">
      <c r="A75" s="454"/>
      <c r="B75" s="454"/>
      <c r="C75" s="451">
        <v>1.74</v>
      </c>
      <c r="D75" s="449">
        <v>12888.02</v>
      </c>
      <c r="E75" s="449">
        <v>4089.2</v>
      </c>
      <c r="F75" s="464">
        <v>5797.08</v>
      </c>
      <c r="G75" s="464"/>
      <c r="H75" s="464"/>
      <c r="I75" s="464"/>
      <c r="J75" s="449">
        <v>457.47</v>
      </c>
      <c r="K75" s="449"/>
      <c r="L75" s="449"/>
      <c r="M75" s="469"/>
      <c r="N75" s="471"/>
      <c r="O75" s="471">
        <v>2571.5100000000002</v>
      </c>
      <c r="P75" s="459">
        <v>36898.300000000003</v>
      </c>
      <c r="Q75" s="460">
        <v>0.63</v>
      </c>
      <c r="R75" s="459"/>
      <c r="S75" s="460"/>
    </row>
    <row r="76" spans="1:19">
      <c r="A76" s="454"/>
      <c r="B76" s="454"/>
      <c r="C76" s="451">
        <v>2.77</v>
      </c>
      <c r="D76" s="449">
        <v>29978</v>
      </c>
      <c r="E76" s="449">
        <v>5817</v>
      </c>
      <c r="F76" s="464">
        <v>5625</v>
      </c>
      <c r="G76" s="464"/>
      <c r="H76" s="464">
        <v>143</v>
      </c>
      <c r="I76" s="464">
        <v>21</v>
      </c>
      <c r="J76" s="449">
        <v>970</v>
      </c>
      <c r="K76" s="449"/>
      <c r="L76" s="449">
        <v>1444</v>
      </c>
      <c r="M76" s="469">
        <v>188</v>
      </c>
      <c r="N76" s="471"/>
      <c r="O76" s="471">
        <v>2335</v>
      </c>
      <c r="P76" s="459"/>
      <c r="Q76" s="460"/>
      <c r="R76" s="459">
        <v>10014</v>
      </c>
      <c r="S76" s="460">
        <v>0.21</v>
      </c>
    </row>
    <row r="77" spans="1:19">
      <c r="A77" s="454"/>
      <c r="B77" s="454"/>
      <c r="C77" s="451">
        <v>3.59</v>
      </c>
      <c r="D77" s="449">
        <v>1713</v>
      </c>
      <c r="E77" s="449">
        <v>2299</v>
      </c>
      <c r="F77" s="464">
        <v>8997</v>
      </c>
      <c r="G77" s="464"/>
      <c r="H77" s="464">
        <v>199</v>
      </c>
      <c r="I77" s="464">
        <v>29</v>
      </c>
      <c r="J77" s="449">
        <v>3312</v>
      </c>
      <c r="K77" s="449"/>
      <c r="L77" s="449">
        <v>3844</v>
      </c>
      <c r="M77" s="469">
        <v>500</v>
      </c>
      <c r="N77" s="471"/>
      <c r="O77" s="471">
        <v>2465</v>
      </c>
      <c r="P77" s="459"/>
      <c r="Q77" s="460"/>
      <c r="R77" s="459">
        <v>44188</v>
      </c>
      <c r="S77" s="460">
        <v>0.75</v>
      </c>
    </row>
    <row r="78" spans="1:19">
      <c r="A78" s="454"/>
      <c r="B78" s="454"/>
      <c r="C78" s="451">
        <v>5.47</v>
      </c>
      <c r="D78" s="449">
        <v>25955</v>
      </c>
      <c r="E78" s="449">
        <v>521</v>
      </c>
      <c r="F78" s="464">
        <v>15258</v>
      </c>
      <c r="G78" s="464"/>
      <c r="H78" s="464">
        <v>10082</v>
      </c>
      <c r="I78" s="464"/>
      <c r="J78" s="449">
        <v>10564</v>
      </c>
      <c r="K78" s="449"/>
      <c r="L78" s="449">
        <v>673</v>
      </c>
      <c r="M78" s="469"/>
      <c r="N78" s="471">
        <v>1900</v>
      </c>
      <c r="O78" s="471"/>
      <c r="P78" s="459">
        <v>19822</v>
      </c>
      <c r="Q78" s="460">
        <v>0.34</v>
      </c>
      <c r="R78" s="459"/>
      <c r="S78" s="460"/>
    </row>
    <row r="79" spans="1:19">
      <c r="A79" s="454"/>
      <c r="B79" s="454"/>
      <c r="C79" s="451">
        <v>39.979999999999997</v>
      </c>
      <c r="D79" s="449">
        <v>265585</v>
      </c>
      <c r="E79" s="449">
        <v>8954</v>
      </c>
      <c r="F79" s="464">
        <v>9400</v>
      </c>
      <c r="G79" s="464"/>
      <c r="H79" s="464">
        <v>34628</v>
      </c>
      <c r="I79" s="464"/>
      <c r="J79" s="449">
        <v>27261</v>
      </c>
      <c r="K79" s="449"/>
      <c r="L79" s="449"/>
      <c r="M79" s="469"/>
      <c r="N79" s="471">
        <v>5105</v>
      </c>
      <c r="O79" s="471"/>
      <c r="P79" s="459"/>
      <c r="Q79" s="460"/>
      <c r="R79" s="459">
        <v>173180</v>
      </c>
      <c r="S79" s="460">
        <v>3.25</v>
      </c>
    </row>
    <row r="80" spans="1:19">
      <c r="A80" s="454"/>
      <c r="B80" s="454"/>
      <c r="C80" s="451">
        <v>2.44</v>
      </c>
      <c r="D80" s="449">
        <v>18887</v>
      </c>
      <c r="E80" s="449">
        <v>248</v>
      </c>
      <c r="F80" s="464">
        <v>962</v>
      </c>
      <c r="G80" s="464"/>
      <c r="H80" s="464">
        <v>2105</v>
      </c>
      <c r="I80" s="464">
        <v>241</v>
      </c>
      <c r="J80" s="449">
        <v>2426</v>
      </c>
      <c r="K80" s="449"/>
      <c r="L80" s="449"/>
      <c r="M80" s="449"/>
      <c r="N80" s="471"/>
      <c r="O80" s="471"/>
      <c r="P80" s="459"/>
      <c r="Q80" s="460"/>
      <c r="R80" s="459">
        <v>19667</v>
      </c>
      <c r="S80" s="460">
        <v>0.37</v>
      </c>
    </row>
    <row r="81" spans="1:19">
      <c r="A81" s="454"/>
      <c r="B81" s="454"/>
      <c r="C81" s="451">
        <v>23.56</v>
      </c>
      <c r="D81" s="449">
        <v>86644</v>
      </c>
      <c r="E81" s="449">
        <v>1279</v>
      </c>
      <c r="F81" s="464">
        <v>27147</v>
      </c>
      <c r="G81" s="464"/>
      <c r="H81" s="464">
        <v>1810</v>
      </c>
      <c r="I81" s="464">
        <v>7297</v>
      </c>
      <c r="J81" s="449">
        <v>1558</v>
      </c>
      <c r="K81" s="449"/>
      <c r="L81" s="449">
        <v>128</v>
      </c>
      <c r="M81" s="449"/>
      <c r="N81" s="471"/>
      <c r="O81" s="471"/>
      <c r="P81" s="459"/>
      <c r="Q81" s="460"/>
      <c r="R81" s="459">
        <v>102207</v>
      </c>
      <c r="S81" s="460">
        <v>1.6</v>
      </c>
    </row>
    <row r="82" spans="1:19">
      <c r="A82" s="454"/>
      <c r="B82" s="454"/>
      <c r="C82" s="451">
        <v>0.26</v>
      </c>
      <c r="D82" s="449">
        <v>4185</v>
      </c>
      <c r="E82" s="449">
        <v>245</v>
      </c>
      <c r="F82" s="464">
        <v>31</v>
      </c>
      <c r="G82" s="464">
        <v>78</v>
      </c>
      <c r="H82" s="464">
        <v>523</v>
      </c>
      <c r="I82" s="464"/>
      <c r="J82" s="449">
        <v>469</v>
      </c>
      <c r="K82" s="449"/>
      <c r="L82" s="449"/>
      <c r="M82" s="449">
        <v>1</v>
      </c>
      <c r="N82" s="471"/>
      <c r="O82" s="471">
        <v>176</v>
      </c>
      <c r="P82" s="459"/>
      <c r="Q82" s="460"/>
      <c r="R82" s="459">
        <v>1238</v>
      </c>
      <c r="S82" s="460">
        <v>0.02</v>
      </c>
    </row>
    <row r="83" spans="1:19">
      <c r="A83" s="454"/>
      <c r="B83" s="454"/>
      <c r="C83" s="451">
        <v>1.02</v>
      </c>
      <c r="D83" s="449">
        <v>6037</v>
      </c>
      <c r="E83" s="449">
        <v>242</v>
      </c>
      <c r="F83" s="464">
        <v>190</v>
      </c>
      <c r="G83" s="464"/>
      <c r="H83" s="464">
        <v>280</v>
      </c>
      <c r="I83" s="464"/>
      <c r="J83" s="449">
        <v>407</v>
      </c>
      <c r="K83" s="449"/>
      <c r="L83" s="449">
        <v>53</v>
      </c>
      <c r="M83" s="449"/>
      <c r="N83" s="471"/>
      <c r="O83" s="471">
        <v>1010</v>
      </c>
      <c r="P83" s="459"/>
      <c r="Q83" s="460"/>
      <c r="R83" s="459">
        <v>2058</v>
      </c>
      <c r="S83" s="460">
        <v>0.03</v>
      </c>
    </row>
    <row r="84" spans="1:19">
      <c r="A84" s="454"/>
      <c r="B84" s="454"/>
      <c r="C84" s="451">
        <v>5.78</v>
      </c>
      <c r="D84" s="449">
        <v>8071</v>
      </c>
      <c r="E84" s="449">
        <v>489</v>
      </c>
      <c r="F84" s="464">
        <v>8032</v>
      </c>
      <c r="G84" s="464"/>
      <c r="H84" s="464">
        <v>716</v>
      </c>
      <c r="I84" s="464"/>
      <c r="J84" s="449"/>
      <c r="K84" s="449">
        <v>550</v>
      </c>
      <c r="L84" s="449"/>
      <c r="M84" s="449"/>
      <c r="N84" s="471"/>
      <c r="O84" s="471">
        <v>19152</v>
      </c>
      <c r="P84" s="459"/>
      <c r="Q84" s="460"/>
      <c r="R84" s="459">
        <v>8556</v>
      </c>
      <c r="S84" s="460">
        <v>0.08</v>
      </c>
    </row>
    <row r="85" spans="1:19">
      <c r="A85" s="454"/>
      <c r="B85" s="454"/>
      <c r="C85" s="451">
        <v>4.05</v>
      </c>
      <c r="D85" s="449">
        <v>1439</v>
      </c>
      <c r="E85" s="449">
        <v>245</v>
      </c>
      <c r="F85" s="464">
        <v>7141</v>
      </c>
      <c r="G85" s="464"/>
      <c r="H85" s="464">
        <v>378</v>
      </c>
      <c r="I85" s="464"/>
      <c r="J85" s="449"/>
      <c r="K85" s="449">
        <v>266</v>
      </c>
      <c r="L85" s="449"/>
      <c r="M85" s="449"/>
      <c r="N85" s="471"/>
      <c r="O85" s="471">
        <v>9503</v>
      </c>
      <c r="P85" s="459"/>
      <c r="Q85" s="460"/>
      <c r="R85" s="459">
        <v>6616</v>
      </c>
      <c r="S85" s="460">
        <v>0.06</v>
      </c>
    </row>
    <row r="86" spans="1:19">
      <c r="A86" s="454"/>
      <c r="B86" s="454"/>
      <c r="C86" s="451">
        <v>2.66</v>
      </c>
      <c r="D86" s="449">
        <v>2600</v>
      </c>
      <c r="E86" s="449">
        <v>167</v>
      </c>
      <c r="F86" s="464">
        <v>3265</v>
      </c>
      <c r="G86" s="464"/>
      <c r="H86" s="464">
        <v>293</v>
      </c>
      <c r="I86" s="464"/>
      <c r="J86" s="449"/>
      <c r="K86" s="449">
        <v>438</v>
      </c>
      <c r="L86" s="449"/>
      <c r="M86" s="449"/>
      <c r="N86" s="471"/>
      <c r="O86" s="471">
        <v>6617</v>
      </c>
      <c r="P86" s="459"/>
      <c r="Q86" s="460"/>
      <c r="R86" s="459">
        <v>4185</v>
      </c>
      <c r="S86" s="460">
        <v>0.05</v>
      </c>
    </row>
    <row r="87" spans="1:19">
      <c r="A87" s="454"/>
      <c r="B87" s="454"/>
      <c r="C87" s="451">
        <v>5.35</v>
      </c>
      <c r="D87" s="449">
        <v>7339</v>
      </c>
      <c r="E87" s="449">
        <v>403</v>
      </c>
      <c r="F87" s="464">
        <v>15007</v>
      </c>
      <c r="G87" s="464"/>
      <c r="H87" s="464">
        <v>569</v>
      </c>
      <c r="I87" s="464"/>
      <c r="J87" s="449"/>
      <c r="K87" s="449">
        <v>228</v>
      </c>
      <c r="L87" s="449"/>
      <c r="M87" s="449"/>
      <c r="N87" s="471"/>
      <c r="O87" s="471">
        <v>13698</v>
      </c>
      <c r="P87" s="459"/>
      <c r="Q87" s="460"/>
      <c r="R87" s="459">
        <v>6179</v>
      </c>
      <c r="S87" s="460">
        <v>0.06</v>
      </c>
    </row>
    <row r="88" spans="1:19">
      <c r="A88" s="454"/>
      <c r="B88" s="454"/>
      <c r="C88" s="451">
        <v>3.66</v>
      </c>
      <c r="D88" s="449">
        <v>6979</v>
      </c>
      <c r="E88" s="449">
        <v>517</v>
      </c>
      <c r="F88" s="464">
        <v>4484</v>
      </c>
      <c r="G88" s="464"/>
      <c r="H88" s="464">
        <v>931</v>
      </c>
      <c r="I88" s="464"/>
      <c r="J88" s="449"/>
      <c r="K88" s="449">
        <v>400</v>
      </c>
      <c r="L88" s="449"/>
      <c r="M88" s="449"/>
      <c r="N88" s="471"/>
      <c r="O88" s="471">
        <v>12337</v>
      </c>
      <c r="P88" s="459"/>
      <c r="Q88" s="460"/>
      <c r="R88" s="459">
        <v>4922</v>
      </c>
      <c r="S88" s="460">
        <v>0.05</v>
      </c>
    </row>
    <row r="89" spans="1:19">
      <c r="A89" s="454"/>
      <c r="B89" s="454"/>
      <c r="C89" s="451">
        <v>10.14</v>
      </c>
      <c r="D89" s="449">
        <v>2670</v>
      </c>
      <c r="E89" s="449">
        <v>775</v>
      </c>
      <c r="F89" s="464">
        <v>18459</v>
      </c>
      <c r="G89" s="464"/>
      <c r="H89" s="464">
        <v>1953</v>
      </c>
      <c r="I89" s="464"/>
      <c r="J89" s="449"/>
      <c r="K89" s="449">
        <v>933</v>
      </c>
      <c r="L89" s="449"/>
      <c r="M89" s="449"/>
      <c r="N89" s="471"/>
      <c r="O89" s="471">
        <v>28544</v>
      </c>
      <c r="P89" s="459"/>
      <c r="Q89" s="460"/>
      <c r="R89" s="459">
        <v>17569</v>
      </c>
      <c r="S89" s="460">
        <v>0.16</v>
      </c>
    </row>
    <row r="90" spans="1:19">
      <c r="A90" s="454"/>
      <c r="B90" s="454"/>
      <c r="C90" s="451">
        <v>1.59</v>
      </c>
      <c r="D90" s="449">
        <v>2102</v>
      </c>
      <c r="E90" s="449">
        <v>145</v>
      </c>
      <c r="F90" s="464">
        <v>3859</v>
      </c>
      <c r="G90" s="464"/>
      <c r="H90" s="464">
        <v>171</v>
      </c>
      <c r="I90" s="464"/>
      <c r="J90" s="449"/>
      <c r="K90" s="449">
        <v>397</v>
      </c>
      <c r="L90" s="449"/>
      <c r="M90" s="449"/>
      <c r="N90" s="471"/>
      <c r="O90" s="471">
        <v>4233</v>
      </c>
      <c r="P90" s="459"/>
      <c r="Q90" s="460"/>
      <c r="R90" s="459">
        <v>2453</v>
      </c>
      <c r="S90" s="460">
        <v>0.02</v>
      </c>
    </row>
    <row r="91" spans="1:19">
      <c r="A91" s="454"/>
      <c r="B91" s="454"/>
      <c r="C91" s="451">
        <v>4.71</v>
      </c>
      <c r="D91" s="449">
        <v>5952</v>
      </c>
      <c r="E91" s="449">
        <v>1189</v>
      </c>
      <c r="F91" s="464">
        <v>7555</v>
      </c>
      <c r="G91" s="464"/>
      <c r="H91" s="464">
        <v>694</v>
      </c>
      <c r="I91" s="464"/>
      <c r="J91" s="449"/>
      <c r="K91" s="449">
        <v>606</v>
      </c>
      <c r="L91" s="449"/>
      <c r="M91" s="449"/>
      <c r="N91" s="471"/>
      <c r="O91" s="471">
        <v>13797</v>
      </c>
      <c r="P91" s="459"/>
      <c r="Q91" s="460"/>
      <c r="R91" s="459">
        <v>6257</v>
      </c>
      <c r="S91" s="460">
        <v>0.06</v>
      </c>
    </row>
    <row r="92" spans="1:19">
      <c r="A92" s="454"/>
      <c r="B92" s="454"/>
      <c r="C92" s="451">
        <v>4.7</v>
      </c>
      <c r="D92" s="449">
        <v>6553</v>
      </c>
      <c r="E92" s="449">
        <v>868</v>
      </c>
      <c r="F92" s="464">
        <v>3413</v>
      </c>
      <c r="G92" s="464"/>
      <c r="H92" s="464">
        <v>975</v>
      </c>
      <c r="I92" s="464"/>
      <c r="J92" s="449"/>
      <c r="K92" s="449">
        <v>583</v>
      </c>
      <c r="L92" s="449"/>
      <c r="M92" s="449"/>
      <c r="N92" s="471"/>
      <c r="O92" s="471">
        <v>11722</v>
      </c>
      <c r="P92" s="459"/>
      <c r="Q92" s="460"/>
      <c r="R92" s="459">
        <v>7438</v>
      </c>
      <c r="S92" s="460">
        <v>0.08</v>
      </c>
    </row>
    <row r="93" spans="1:19">
      <c r="A93" s="454"/>
      <c r="B93" s="454"/>
      <c r="C93" s="451">
        <v>8.85</v>
      </c>
      <c r="D93" s="449">
        <v>29140</v>
      </c>
      <c r="E93" s="449">
        <v>20</v>
      </c>
      <c r="F93" s="464">
        <v>18501</v>
      </c>
      <c r="G93" s="464"/>
      <c r="H93" s="464">
        <v>144</v>
      </c>
      <c r="I93" s="464"/>
      <c r="J93" s="449">
        <v>136</v>
      </c>
      <c r="K93" s="449"/>
      <c r="L93" s="449"/>
      <c r="M93" s="449"/>
      <c r="N93" s="471"/>
      <c r="O93" s="471"/>
      <c r="P93" s="459"/>
      <c r="Q93" s="460"/>
      <c r="R93" s="459">
        <v>6497</v>
      </c>
      <c r="S93" s="460">
        <v>0.1</v>
      </c>
    </row>
    <row r="94" spans="1:19">
      <c r="A94" s="454"/>
      <c r="B94" s="454"/>
      <c r="C94" s="451">
        <v>3.26</v>
      </c>
      <c r="D94" s="449">
        <v>21543</v>
      </c>
      <c r="E94" s="449">
        <v>696</v>
      </c>
      <c r="F94" s="464">
        <v>20037</v>
      </c>
      <c r="G94" s="464"/>
      <c r="H94" s="464"/>
      <c r="I94" s="464"/>
      <c r="J94" s="449">
        <v>739</v>
      </c>
      <c r="K94" s="449"/>
      <c r="L94" s="449"/>
      <c r="M94" s="449"/>
      <c r="N94" s="471"/>
      <c r="O94" s="471">
        <v>5966</v>
      </c>
      <c r="P94" s="459"/>
      <c r="Q94" s="460"/>
      <c r="R94" s="459">
        <v>76292.565700000006</v>
      </c>
      <c r="S94" s="460">
        <v>1.63</v>
      </c>
    </row>
    <row r="95" spans="1:19">
      <c r="A95" s="454"/>
      <c r="B95" s="454"/>
      <c r="C95" s="451">
        <v>1.81</v>
      </c>
      <c r="D95" s="449">
        <v>5313</v>
      </c>
      <c r="E95" s="449">
        <v>545</v>
      </c>
      <c r="F95" s="464">
        <v>759</v>
      </c>
      <c r="G95" s="464"/>
      <c r="H95" s="464">
        <v>809</v>
      </c>
      <c r="I95" s="464">
        <v>206</v>
      </c>
      <c r="J95" s="449">
        <v>392</v>
      </c>
      <c r="K95" s="449"/>
      <c r="L95" s="449"/>
      <c r="M95" s="449"/>
      <c r="N95" s="471"/>
      <c r="O95" s="471">
        <v>1179</v>
      </c>
      <c r="P95" s="459"/>
      <c r="Q95" s="460"/>
      <c r="R95" s="459">
        <v>7337.6808000000001</v>
      </c>
      <c r="S95" s="460">
        <v>0.17</v>
      </c>
    </row>
    <row r="96" spans="1:19">
      <c r="A96" s="454"/>
      <c r="B96" s="454"/>
      <c r="C96" s="451">
        <v>0.53</v>
      </c>
      <c r="D96" s="449">
        <v>7034</v>
      </c>
      <c r="E96" s="449">
        <v>156</v>
      </c>
      <c r="F96" s="464">
        <v>897</v>
      </c>
      <c r="G96" s="464"/>
      <c r="H96" s="464">
        <v>3454</v>
      </c>
      <c r="I96" s="464">
        <v>866</v>
      </c>
      <c r="J96" s="449">
        <v>256</v>
      </c>
      <c r="K96" s="449"/>
      <c r="L96" s="449"/>
      <c r="M96" s="449"/>
      <c r="N96" s="471"/>
      <c r="O96" s="471">
        <v>675</v>
      </c>
      <c r="P96" s="459"/>
      <c r="Q96" s="460"/>
      <c r="R96" s="459">
        <v>6465.3858</v>
      </c>
      <c r="S96" s="460">
        <v>0.1</v>
      </c>
    </row>
    <row r="97" spans="1:19" s="474" customFormat="1">
      <c r="A97" s="476"/>
      <c r="B97" s="476"/>
      <c r="C97" s="477">
        <v>8.5500000000000007</v>
      </c>
      <c r="D97" s="478">
        <v>77359</v>
      </c>
      <c r="E97" s="478">
        <v>120</v>
      </c>
      <c r="F97" s="478">
        <v>9925</v>
      </c>
      <c r="G97" s="478"/>
      <c r="H97" s="478">
        <v>-5233</v>
      </c>
      <c r="I97" s="478"/>
      <c r="J97" s="478">
        <v>6004</v>
      </c>
      <c r="K97" s="478">
        <v>564</v>
      </c>
      <c r="L97" s="478">
        <v>585</v>
      </c>
      <c r="M97" s="478"/>
      <c r="N97" s="478">
        <v>7</v>
      </c>
      <c r="O97" s="478">
        <v>13952</v>
      </c>
      <c r="P97" s="478">
        <v>96995</v>
      </c>
      <c r="Q97" s="477">
        <v>1.4</v>
      </c>
      <c r="R97" s="478">
        <v>4982</v>
      </c>
      <c r="S97" s="477">
        <v>0.05</v>
      </c>
    </row>
    <row r="98" spans="1:19" s="474" customFormat="1">
      <c r="A98" s="476"/>
      <c r="B98" s="476"/>
      <c r="C98" s="477">
        <v>7.8</v>
      </c>
      <c r="D98" s="478">
        <v>51693.73</v>
      </c>
      <c r="E98" s="478">
        <v>288.33999999999997</v>
      </c>
      <c r="F98" s="478">
        <v>5531.48</v>
      </c>
      <c r="G98" s="478"/>
      <c r="H98" s="478">
        <v>29575.05</v>
      </c>
      <c r="I98" s="478"/>
      <c r="J98" s="478">
        <v>14606.14</v>
      </c>
      <c r="K98" s="478"/>
      <c r="L98" s="478"/>
      <c r="M98" s="478"/>
      <c r="N98" s="478"/>
      <c r="O98" s="478">
        <v>6014.08</v>
      </c>
      <c r="P98" s="478"/>
      <c r="Q98" s="477"/>
      <c r="R98" s="478">
        <v>33622.019999999997</v>
      </c>
      <c r="S98" s="477">
        <v>0.53800000000000003</v>
      </c>
    </row>
    <row r="99" spans="1:19" s="475" customFormat="1">
      <c r="A99" s="479"/>
      <c r="B99" s="479"/>
      <c r="C99" s="480">
        <v>2.6</v>
      </c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0"/>
      <c r="R99" s="481">
        <v>20000</v>
      </c>
      <c r="S99" s="480">
        <v>0.6</v>
      </c>
    </row>
    <row r="100" spans="1:19" s="475" customFormat="1">
      <c r="A100" s="479"/>
      <c r="B100" s="479"/>
      <c r="C100" s="480">
        <v>0.67</v>
      </c>
      <c r="D100" s="481"/>
      <c r="E100" s="481">
        <v>34</v>
      </c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0"/>
      <c r="R100" s="481"/>
      <c r="S100" s="480"/>
    </row>
    <row r="101" spans="1:19" s="475" customFormat="1">
      <c r="A101" s="479"/>
      <c r="B101" s="479"/>
      <c r="C101" s="480">
        <v>2.39</v>
      </c>
      <c r="D101" s="481">
        <v>8252</v>
      </c>
      <c r="E101" s="481">
        <v>270</v>
      </c>
      <c r="F101" s="481"/>
      <c r="G101" s="481"/>
      <c r="H101" s="481"/>
      <c r="I101" s="481"/>
      <c r="J101" s="481">
        <v>1124</v>
      </c>
      <c r="K101" s="481"/>
      <c r="L101" s="481"/>
      <c r="M101" s="481"/>
      <c r="N101" s="481"/>
      <c r="O101" s="481"/>
      <c r="P101" s="481"/>
      <c r="Q101" s="480"/>
      <c r="R101" s="481">
        <v>31257</v>
      </c>
      <c r="S101" s="480">
        <v>0.5</v>
      </c>
    </row>
    <row r="102" spans="1:19" s="475" customFormat="1">
      <c r="A102" s="479"/>
      <c r="B102" s="479"/>
      <c r="C102" s="480">
        <v>36.22</v>
      </c>
      <c r="D102" s="481">
        <v>155637</v>
      </c>
      <c r="E102" s="481">
        <v>181</v>
      </c>
      <c r="F102" s="481">
        <v>39620</v>
      </c>
      <c r="G102" s="481">
        <v>14584</v>
      </c>
      <c r="H102" s="481">
        <v>18717</v>
      </c>
      <c r="I102" s="481">
        <v>9138</v>
      </c>
      <c r="J102" s="481">
        <v>2118575</v>
      </c>
      <c r="K102" s="481">
        <v>96</v>
      </c>
      <c r="L102" s="481"/>
      <c r="M102" s="481"/>
      <c r="N102" s="481"/>
      <c r="O102" s="481">
        <v>25245</v>
      </c>
      <c r="P102" s="481"/>
      <c r="Q102" s="480"/>
      <c r="R102" s="481">
        <v>185857</v>
      </c>
      <c r="S102" s="480">
        <v>2.73</v>
      </c>
    </row>
    <row r="103" spans="1:19" s="475" customFormat="1">
      <c r="A103" s="479"/>
      <c r="B103" s="479"/>
      <c r="C103" s="480">
        <v>14.44</v>
      </c>
      <c r="D103" s="481">
        <v>31950</v>
      </c>
      <c r="E103" s="481">
        <v>2122</v>
      </c>
      <c r="F103" s="481">
        <v>23264</v>
      </c>
      <c r="G103" s="481"/>
      <c r="H103" s="481">
        <v>6854</v>
      </c>
      <c r="I103" s="481"/>
      <c r="J103" s="481">
        <v>1667</v>
      </c>
      <c r="K103" s="481">
        <v>9</v>
      </c>
      <c r="L103" s="481">
        <v>629</v>
      </c>
      <c r="M103" s="481"/>
      <c r="N103" s="481"/>
      <c r="O103" s="481">
        <v>16948</v>
      </c>
      <c r="P103" s="481"/>
      <c r="Q103" s="480"/>
      <c r="R103" s="481">
        <v>150481</v>
      </c>
      <c r="S103" s="480">
        <v>2.2999999999999998</v>
      </c>
    </row>
    <row r="104" spans="1:19" s="475" customFormat="1">
      <c r="A104" s="479"/>
      <c r="B104" s="479"/>
      <c r="C104" s="480">
        <v>0</v>
      </c>
      <c r="D104" s="481"/>
      <c r="E104" s="481">
        <v>1054</v>
      </c>
      <c r="F104" s="481">
        <v>1923</v>
      </c>
      <c r="G104" s="481"/>
      <c r="H104" s="481"/>
      <c r="I104" s="481"/>
      <c r="J104" s="481">
        <v>7794</v>
      </c>
      <c r="K104" s="481"/>
      <c r="L104" s="481"/>
      <c r="M104" s="481"/>
      <c r="N104" s="481"/>
      <c r="O104" s="481"/>
      <c r="P104" s="481">
        <v>15031</v>
      </c>
      <c r="Q104" s="480">
        <v>0</v>
      </c>
      <c r="R104" s="481"/>
      <c r="S104" s="480"/>
    </row>
    <row r="105" spans="1:19" s="475" customFormat="1">
      <c r="A105" s="479"/>
      <c r="B105" s="479"/>
      <c r="C105" s="480">
        <v>9.18</v>
      </c>
      <c r="D105" s="481">
        <v>84806</v>
      </c>
      <c r="E105" s="481">
        <v>3</v>
      </c>
      <c r="F105" s="481">
        <v>655</v>
      </c>
      <c r="G105" s="481"/>
      <c r="H105" s="481">
        <v>3267</v>
      </c>
      <c r="I105" s="481">
        <v>22</v>
      </c>
      <c r="J105" s="481">
        <v>5752</v>
      </c>
      <c r="K105" s="481">
        <v>377</v>
      </c>
      <c r="L105" s="481">
        <v>1168</v>
      </c>
      <c r="M105" s="481"/>
      <c r="N105" s="481">
        <v>77</v>
      </c>
      <c r="O105" s="481">
        <v>2882</v>
      </c>
      <c r="P105" s="481"/>
      <c r="Q105" s="480"/>
      <c r="R105" s="481">
        <v>8233</v>
      </c>
      <c r="S105" s="480">
        <v>0.11</v>
      </c>
    </row>
    <row r="106" spans="1:19" s="475" customFormat="1">
      <c r="A106" s="479"/>
      <c r="B106" s="479"/>
      <c r="C106" s="480">
        <v>3.85</v>
      </c>
      <c r="D106" s="481">
        <v>13120</v>
      </c>
      <c r="E106" s="481">
        <v>1315</v>
      </c>
      <c r="F106" s="481">
        <v>650</v>
      </c>
      <c r="G106" s="481"/>
      <c r="H106" s="481">
        <v>35941</v>
      </c>
      <c r="I106" s="481"/>
      <c r="J106" s="481">
        <v>3950</v>
      </c>
      <c r="K106" s="481"/>
      <c r="L106" s="481"/>
      <c r="M106" s="481"/>
      <c r="N106" s="481"/>
      <c r="O106" s="481"/>
      <c r="P106" s="481">
        <v>29250</v>
      </c>
      <c r="Q106" s="480">
        <v>0.6</v>
      </c>
      <c r="R106" s="481"/>
      <c r="S106" s="480"/>
    </row>
    <row r="107" spans="1:19" s="475" customFormat="1">
      <c r="A107" s="479"/>
      <c r="B107" s="479"/>
      <c r="C107" s="480">
        <v>6.99</v>
      </c>
      <c r="D107" s="481">
        <v>40225</v>
      </c>
      <c r="E107" s="481">
        <v>1186</v>
      </c>
      <c r="F107" s="481">
        <v>3944</v>
      </c>
      <c r="G107" s="481"/>
      <c r="H107" s="481">
        <v>24275</v>
      </c>
      <c r="I107" s="481">
        <v>1993</v>
      </c>
      <c r="J107" s="481">
        <v>2836</v>
      </c>
      <c r="K107" s="481"/>
      <c r="L107" s="481"/>
      <c r="M107" s="481"/>
      <c r="N107" s="481"/>
      <c r="O107" s="481"/>
      <c r="P107" s="481"/>
      <c r="Q107" s="480"/>
      <c r="R107" s="481">
        <v>49241</v>
      </c>
      <c r="S107" s="480">
        <v>0.99</v>
      </c>
    </row>
    <row r="108" spans="1:19" s="475" customFormat="1">
      <c r="A108" s="479"/>
      <c r="B108" s="479"/>
      <c r="C108" s="480">
        <v>0.81</v>
      </c>
      <c r="D108" s="481">
        <v>8487</v>
      </c>
      <c r="E108" s="481">
        <v>139</v>
      </c>
      <c r="F108" s="481">
        <v>136</v>
      </c>
      <c r="G108" s="481">
        <v>2326</v>
      </c>
      <c r="H108" s="481">
        <v>2126</v>
      </c>
      <c r="I108" s="481">
        <v>268</v>
      </c>
      <c r="J108" s="481">
        <v>831</v>
      </c>
      <c r="K108" s="481">
        <v>2</v>
      </c>
      <c r="L108" s="481"/>
      <c r="M108" s="481"/>
      <c r="N108" s="481">
        <v>46</v>
      </c>
      <c r="O108" s="481">
        <v>533</v>
      </c>
      <c r="P108" s="481"/>
      <c r="Q108" s="480"/>
      <c r="R108" s="481">
        <v>4707</v>
      </c>
      <c r="S108" s="480">
        <v>0.08</v>
      </c>
    </row>
    <row r="109" spans="1:19" s="475" customFormat="1">
      <c r="A109" s="479"/>
      <c r="B109" s="479"/>
      <c r="C109" s="480">
        <v>7.67</v>
      </c>
      <c r="D109" s="481">
        <v>22429</v>
      </c>
      <c r="E109" s="481">
        <v>799</v>
      </c>
      <c r="F109" s="481">
        <v>4900</v>
      </c>
      <c r="G109" s="481"/>
      <c r="H109" s="481">
        <v>1652</v>
      </c>
      <c r="I109" s="481">
        <v>745</v>
      </c>
      <c r="J109" s="481">
        <v>1308</v>
      </c>
      <c r="K109" s="481"/>
      <c r="L109" s="481"/>
      <c r="M109" s="481"/>
      <c r="N109" s="481"/>
      <c r="O109" s="481">
        <v>2568</v>
      </c>
      <c r="P109" s="481"/>
      <c r="Q109" s="480"/>
      <c r="R109" s="481">
        <v>17430</v>
      </c>
      <c r="S109" s="480">
        <v>0.26</v>
      </c>
    </row>
    <row r="110" spans="1:19" s="475" customFormat="1">
      <c r="A110" s="479"/>
      <c r="B110" s="479"/>
      <c r="C110" s="480">
        <v>3.52</v>
      </c>
      <c r="D110" s="481">
        <v>13728</v>
      </c>
      <c r="E110" s="481">
        <v>105</v>
      </c>
      <c r="F110" s="481">
        <v>355</v>
      </c>
      <c r="G110" s="481"/>
      <c r="H110" s="481">
        <v>3936</v>
      </c>
      <c r="I110" s="481">
        <v>1460</v>
      </c>
      <c r="J110" s="481">
        <v>7647</v>
      </c>
      <c r="K110" s="481">
        <v>6</v>
      </c>
      <c r="L110" s="481"/>
      <c r="M110" s="481"/>
      <c r="N110" s="481"/>
      <c r="O110" s="481"/>
      <c r="P110" s="481"/>
      <c r="Q110" s="480"/>
      <c r="R110" s="481">
        <v>18634</v>
      </c>
      <c r="S110" s="480">
        <v>0.32</v>
      </c>
    </row>
    <row r="111" spans="1:19" s="475" customFormat="1">
      <c r="A111" s="479"/>
      <c r="B111" s="479"/>
      <c r="C111" s="480">
        <v>14.45</v>
      </c>
      <c r="D111" s="481">
        <v>144104</v>
      </c>
      <c r="E111" s="481">
        <v>1008</v>
      </c>
      <c r="F111" s="481">
        <v>3464</v>
      </c>
      <c r="G111" s="481"/>
      <c r="H111" s="481">
        <v>37838</v>
      </c>
      <c r="I111" s="481">
        <v>14082</v>
      </c>
      <c r="J111" s="481">
        <v>111152</v>
      </c>
      <c r="K111" s="481">
        <v>58</v>
      </c>
      <c r="L111" s="481"/>
      <c r="M111" s="481"/>
      <c r="N111" s="481"/>
      <c r="O111" s="481"/>
      <c r="P111" s="481"/>
      <c r="Q111" s="480"/>
      <c r="R111" s="481"/>
      <c r="S111" s="480"/>
    </row>
    <row r="112" spans="1:19" s="475" customFormat="1">
      <c r="A112" s="479"/>
      <c r="B112" s="479"/>
      <c r="C112" s="480">
        <v>0.55500000000000005</v>
      </c>
      <c r="D112" s="481">
        <v>134</v>
      </c>
      <c r="E112" s="481">
        <v>95</v>
      </c>
      <c r="F112" s="481">
        <v>34</v>
      </c>
      <c r="G112" s="481"/>
      <c r="H112" s="481">
        <v>624</v>
      </c>
      <c r="I112" s="481">
        <v>388</v>
      </c>
      <c r="J112" s="481"/>
      <c r="K112" s="481">
        <v>32</v>
      </c>
      <c r="L112" s="481"/>
      <c r="M112" s="481"/>
      <c r="N112" s="481"/>
      <c r="O112" s="481">
        <v>330</v>
      </c>
      <c r="P112" s="481"/>
      <c r="Q112" s="480"/>
      <c r="R112" s="481">
        <v>4378</v>
      </c>
      <c r="S112" s="480">
        <v>8.2000000000000003E-2</v>
      </c>
    </row>
    <row r="113" spans="1:19" s="475" customFormat="1">
      <c r="A113" s="479"/>
      <c r="B113" s="479"/>
      <c r="C113" s="480">
        <v>2.0720082820166601</v>
      </c>
      <c r="D113" s="481">
        <v>39237</v>
      </c>
      <c r="E113" s="481">
        <v>423</v>
      </c>
      <c r="F113" s="481">
        <v>489</v>
      </c>
      <c r="G113" s="481"/>
      <c r="H113" s="481">
        <v>2362</v>
      </c>
      <c r="I113" s="481">
        <v>484</v>
      </c>
      <c r="J113" s="481">
        <v>5658</v>
      </c>
      <c r="K113" s="481">
        <v>123</v>
      </c>
      <c r="L113" s="481"/>
      <c r="M113" s="481"/>
      <c r="N113" s="481">
        <v>393</v>
      </c>
      <c r="O113" s="481"/>
      <c r="P113" s="481"/>
      <c r="Q113" s="480"/>
      <c r="R113" s="481">
        <v>7881</v>
      </c>
      <c r="S113" s="480">
        <v>0.10216809365429599</v>
      </c>
    </row>
    <row r="114" spans="1:19" s="475" customFormat="1">
      <c r="A114" s="479"/>
      <c r="B114" s="479"/>
      <c r="C114" s="480">
        <v>1.5</v>
      </c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0"/>
      <c r="R114" s="481"/>
      <c r="S114" s="480"/>
    </row>
    <row r="115" spans="1:19" s="475" customFormat="1">
      <c r="A115" s="479"/>
      <c r="B115" s="479"/>
      <c r="C115" s="480">
        <v>2.9</v>
      </c>
      <c r="D115" s="481">
        <v>34636</v>
      </c>
      <c r="E115" s="481">
        <v>243</v>
      </c>
      <c r="F115" s="481">
        <v>1714</v>
      </c>
      <c r="G115" s="481"/>
      <c r="H115" s="481">
        <v>8412</v>
      </c>
      <c r="I115" s="481">
        <v>24653</v>
      </c>
      <c r="J115" s="481"/>
      <c r="K115" s="481"/>
      <c r="L115" s="481"/>
      <c r="M115" s="481"/>
      <c r="N115" s="481"/>
      <c r="O115" s="481">
        <v>999</v>
      </c>
      <c r="P115" s="481"/>
      <c r="Q115" s="480"/>
      <c r="R115" s="481">
        <v>21593</v>
      </c>
      <c r="S115" s="480">
        <v>0.46</v>
      </c>
    </row>
    <row r="116" spans="1:19" s="475" customFormat="1">
      <c r="A116" s="479"/>
      <c r="B116" s="479"/>
      <c r="C116" s="480">
        <v>3.2360000000000002</v>
      </c>
      <c r="D116" s="481">
        <v>24836</v>
      </c>
      <c r="E116" s="481">
        <v>148</v>
      </c>
      <c r="F116" s="481">
        <v>198</v>
      </c>
      <c r="G116" s="481"/>
      <c r="H116" s="481">
        <v>1422</v>
      </c>
      <c r="I116" s="481"/>
      <c r="J116" s="481">
        <v>19</v>
      </c>
      <c r="K116" s="481"/>
      <c r="L116" s="481"/>
      <c r="M116" s="481"/>
      <c r="N116" s="481"/>
      <c r="O116" s="481"/>
      <c r="P116" s="481"/>
      <c r="Q116" s="480"/>
      <c r="R116" s="481"/>
      <c r="S116" s="480"/>
    </row>
    <row r="117" spans="1:19" s="475" customFormat="1">
      <c r="A117" s="479"/>
      <c r="B117" s="479"/>
      <c r="C117" s="480">
        <v>2.39</v>
      </c>
      <c r="D117" s="481">
        <v>604</v>
      </c>
      <c r="E117" s="481"/>
      <c r="F117" s="481"/>
      <c r="G117" s="481"/>
      <c r="H117" s="481"/>
      <c r="I117" s="481"/>
      <c r="J117" s="481"/>
      <c r="K117" s="481"/>
      <c r="L117" s="481"/>
      <c r="M117" s="481"/>
      <c r="N117" s="481"/>
      <c r="O117" s="481"/>
      <c r="P117" s="481"/>
      <c r="Q117" s="480"/>
      <c r="R117" s="481">
        <v>31646</v>
      </c>
      <c r="S117" s="480">
        <v>0.66</v>
      </c>
    </row>
    <row r="118" spans="1:19" s="475" customFormat="1">
      <c r="A118" s="479"/>
      <c r="B118" s="479"/>
      <c r="C118" s="480">
        <v>10.25</v>
      </c>
      <c r="D118" s="481">
        <v>14575</v>
      </c>
      <c r="E118" s="481">
        <v>79</v>
      </c>
      <c r="F118" s="481">
        <v>506</v>
      </c>
      <c r="G118" s="481">
        <v>125</v>
      </c>
      <c r="H118" s="481">
        <v>51098</v>
      </c>
      <c r="I118" s="481">
        <v>2361</v>
      </c>
      <c r="J118" s="481">
        <v>3936</v>
      </c>
      <c r="K118" s="481"/>
      <c r="L118" s="481"/>
      <c r="M118" s="481"/>
      <c r="N118" s="481"/>
      <c r="O118" s="481"/>
      <c r="P118" s="481"/>
      <c r="Q118" s="480"/>
      <c r="R118" s="481"/>
      <c r="S118" s="480"/>
    </row>
    <row r="119" spans="1:19" s="475" customFormat="1">
      <c r="A119" s="479"/>
      <c r="B119" s="479"/>
      <c r="C119" s="480">
        <v>14.54</v>
      </c>
      <c r="D119" s="481">
        <v>37716</v>
      </c>
      <c r="E119" s="481">
        <v>5743</v>
      </c>
      <c r="F119" s="481">
        <v>76</v>
      </c>
      <c r="G119" s="481"/>
      <c r="H119" s="481">
        <v>21707</v>
      </c>
      <c r="I119" s="481">
        <v>6121</v>
      </c>
      <c r="J119" s="481">
        <v>7665</v>
      </c>
      <c r="K119" s="481">
        <v>1834</v>
      </c>
      <c r="L119" s="481">
        <v>236</v>
      </c>
      <c r="M119" s="481"/>
      <c r="N119" s="481"/>
      <c r="O119" s="481"/>
      <c r="P119" s="481"/>
      <c r="Q119" s="480"/>
      <c r="R119" s="481">
        <v>67339</v>
      </c>
      <c r="S119" s="480">
        <v>0.77</v>
      </c>
    </row>
    <row r="120" spans="1:19" s="475" customFormat="1">
      <c r="A120" s="479"/>
      <c r="B120" s="479"/>
      <c r="C120" s="480">
        <v>3.7999999999999999E-2</v>
      </c>
      <c r="D120" s="481"/>
      <c r="E120" s="481"/>
      <c r="F120" s="481"/>
      <c r="G120" s="481"/>
      <c r="H120" s="481"/>
      <c r="I120" s="481"/>
      <c r="J120" s="481"/>
      <c r="K120" s="481"/>
      <c r="L120" s="481"/>
      <c r="M120" s="481"/>
      <c r="N120" s="481"/>
      <c r="O120" s="481"/>
      <c r="P120" s="481"/>
      <c r="Q120" s="480"/>
      <c r="R120" s="481">
        <v>87</v>
      </c>
      <c r="S120" s="480">
        <v>1E-3</v>
      </c>
    </row>
    <row r="121" spans="1:19" s="475" customFormat="1">
      <c r="A121" s="479"/>
      <c r="B121" s="479"/>
      <c r="C121" s="480">
        <v>17.32</v>
      </c>
      <c r="D121" s="481">
        <v>47937</v>
      </c>
      <c r="E121" s="481">
        <v>2595</v>
      </c>
      <c r="F121" s="481"/>
      <c r="G121" s="481"/>
      <c r="H121" s="481"/>
      <c r="I121" s="481"/>
      <c r="J121" s="481">
        <v>14354</v>
      </c>
      <c r="K121" s="481"/>
      <c r="L121" s="481"/>
      <c r="M121" s="481"/>
      <c r="N121" s="481"/>
      <c r="O121" s="481">
        <v>9736</v>
      </c>
      <c r="P121" s="481"/>
      <c r="Q121" s="480"/>
      <c r="R121" s="481">
        <v>95332</v>
      </c>
      <c r="S121" s="480">
        <v>1.58</v>
      </c>
    </row>
    <row r="122" spans="1:19" s="475" customFormat="1">
      <c r="A122" s="479"/>
      <c r="B122" s="479"/>
      <c r="C122" s="480">
        <v>0.12</v>
      </c>
      <c r="D122" s="481">
        <v>805</v>
      </c>
      <c r="E122" s="481">
        <v>4</v>
      </c>
      <c r="F122" s="481">
        <v>56</v>
      </c>
      <c r="G122" s="481"/>
      <c r="H122" s="481">
        <v>184</v>
      </c>
      <c r="I122" s="481">
        <v>19</v>
      </c>
      <c r="J122" s="481">
        <v>187</v>
      </c>
      <c r="K122" s="481"/>
      <c r="L122" s="481"/>
      <c r="M122" s="481"/>
      <c r="N122" s="481">
        <v>13</v>
      </c>
      <c r="O122" s="481"/>
      <c r="P122" s="481"/>
      <c r="Q122" s="480"/>
      <c r="R122" s="481">
        <v>814</v>
      </c>
      <c r="S122" s="480">
        <v>0.02</v>
      </c>
    </row>
    <row r="123" spans="1:19" s="475" customFormat="1">
      <c r="A123" s="479"/>
      <c r="B123" s="479"/>
      <c r="C123" s="480">
        <v>5.13</v>
      </c>
      <c r="D123" s="481"/>
      <c r="E123" s="481"/>
      <c r="F123" s="481">
        <v>217</v>
      </c>
      <c r="G123" s="481"/>
      <c r="H123" s="481"/>
      <c r="I123" s="481"/>
      <c r="J123" s="481"/>
      <c r="K123" s="481"/>
      <c r="L123" s="481"/>
      <c r="M123" s="481"/>
      <c r="N123" s="481">
        <v>713</v>
      </c>
      <c r="O123" s="481">
        <v>18452</v>
      </c>
      <c r="P123" s="481"/>
      <c r="Q123" s="480"/>
      <c r="R123" s="481">
        <v>16238</v>
      </c>
      <c r="S123" s="480">
        <v>0.25</v>
      </c>
    </row>
    <row r="124" spans="1:19" s="475" customFormat="1">
      <c r="A124" s="479"/>
      <c r="B124" s="479"/>
      <c r="C124" s="480">
        <v>4.5</v>
      </c>
      <c r="D124" s="481">
        <v>594</v>
      </c>
      <c r="E124" s="481">
        <v>1556</v>
      </c>
      <c r="F124" s="481">
        <v>1475</v>
      </c>
      <c r="G124" s="481"/>
      <c r="H124" s="481">
        <v>25</v>
      </c>
      <c r="I124" s="481"/>
      <c r="J124" s="481">
        <v>1540</v>
      </c>
      <c r="K124" s="481"/>
      <c r="L124" s="481"/>
      <c r="M124" s="481"/>
      <c r="N124" s="481"/>
      <c r="O124" s="481">
        <v>5345</v>
      </c>
      <c r="P124" s="481"/>
      <c r="Q124" s="480"/>
      <c r="R124" s="481">
        <v>149372</v>
      </c>
      <c r="S124" s="480">
        <v>4.5</v>
      </c>
    </row>
    <row r="125" spans="1:19" s="475" customFormat="1">
      <c r="A125" s="479"/>
      <c r="B125" s="479"/>
      <c r="C125" s="480">
        <v>19.5</v>
      </c>
      <c r="D125" s="481">
        <v>221032</v>
      </c>
      <c r="E125" s="481">
        <v>1612</v>
      </c>
      <c r="F125" s="481">
        <v>9875</v>
      </c>
      <c r="G125" s="481">
        <v>2468</v>
      </c>
      <c r="H125" s="481">
        <v>19092</v>
      </c>
      <c r="I125" s="481"/>
      <c r="J125" s="481">
        <v>3140</v>
      </c>
      <c r="K125" s="481"/>
      <c r="L125" s="481"/>
      <c r="M125" s="481"/>
      <c r="N125" s="481"/>
      <c r="O125" s="481"/>
      <c r="P125" s="481">
        <v>73011</v>
      </c>
      <c r="Q125" s="480">
        <v>2</v>
      </c>
      <c r="R125" s="481"/>
      <c r="S125" s="480"/>
    </row>
    <row r="126" spans="1:19" s="475" customFormat="1">
      <c r="A126" s="479"/>
      <c r="B126" s="479"/>
      <c r="C126" s="480">
        <v>16.59</v>
      </c>
      <c r="D126" s="481">
        <v>199065</v>
      </c>
      <c r="E126" s="481">
        <v>2877</v>
      </c>
      <c r="F126" s="481">
        <v>18521</v>
      </c>
      <c r="G126" s="481"/>
      <c r="H126" s="481">
        <v>4437</v>
      </c>
      <c r="I126" s="481"/>
      <c r="J126" s="481">
        <v>13351</v>
      </c>
      <c r="K126" s="481">
        <v>290</v>
      </c>
      <c r="L126" s="481"/>
      <c r="M126" s="481"/>
      <c r="N126" s="481">
        <v>28055</v>
      </c>
      <c r="O126" s="481"/>
      <c r="P126" s="481"/>
      <c r="Q126" s="480"/>
      <c r="R126" s="481">
        <v>200953</v>
      </c>
      <c r="S126" s="480">
        <v>4.4000000000000004</v>
      </c>
    </row>
    <row r="127" spans="1:19" s="475" customFormat="1">
      <c r="A127" s="479"/>
      <c r="B127" s="479"/>
      <c r="C127" s="480">
        <v>34.39</v>
      </c>
      <c r="D127" s="481">
        <v>280748</v>
      </c>
      <c r="E127" s="481">
        <v>3339</v>
      </c>
      <c r="F127" s="481">
        <v>29344</v>
      </c>
      <c r="G127" s="481"/>
      <c r="H127" s="481">
        <v>134653</v>
      </c>
      <c r="I127" s="481"/>
      <c r="J127" s="481">
        <v>26772</v>
      </c>
      <c r="K127" s="481">
        <v>1785</v>
      </c>
      <c r="L127" s="481"/>
      <c r="M127" s="481">
        <v>70</v>
      </c>
      <c r="N127" s="481"/>
      <c r="O127" s="481"/>
      <c r="P127" s="481"/>
      <c r="Q127" s="480"/>
      <c r="R127" s="481">
        <v>195080</v>
      </c>
      <c r="S127" s="480">
        <v>3.12</v>
      </c>
    </row>
    <row r="128" spans="1:19" s="475" customFormat="1">
      <c r="A128" s="479"/>
      <c r="B128" s="479"/>
      <c r="C128" s="480">
        <v>29.05</v>
      </c>
      <c r="D128" s="481">
        <v>267037</v>
      </c>
      <c r="E128" s="481">
        <v>3029</v>
      </c>
      <c r="F128" s="481">
        <v>27795</v>
      </c>
      <c r="G128" s="481"/>
      <c r="H128" s="481">
        <v>144631</v>
      </c>
      <c r="I128" s="481"/>
      <c r="J128" s="481">
        <v>25171</v>
      </c>
      <c r="K128" s="481">
        <v>1599</v>
      </c>
      <c r="L128" s="481"/>
      <c r="M128" s="481"/>
      <c r="N128" s="481"/>
      <c r="O128" s="481"/>
      <c r="P128" s="481"/>
      <c r="Q128" s="480"/>
      <c r="R128" s="481">
        <v>245813</v>
      </c>
      <c r="S128" s="480">
        <v>4.38</v>
      </c>
    </row>
    <row r="129" spans="1:19" s="475" customFormat="1">
      <c r="A129" s="479"/>
      <c r="B129" s="479"/>
      <c r="C129" s="480">
        <v>8.91</v>
      </c>
      <c r="D129" s="481">
        <v>41199</v>
      </c>
      <c r="E129" s="481">
        <v>39</v>
      </c>
      <c r="F129" s="481">
        <v>12685</v>
      </c>
      <c r="G129" s="481"/>
      <c r="H129" s="481">
        <v>12314</v>
      </c>
      <c r="I129" s="481">
        <v>7508</v>
      </c>
      <c r="J129" s="481">
        <v>7177</v>
      </c>
      <c r="K129" s="481">
        <v>117</v>
      </c>
      <c r="L129" s="481">
        <v>10910</v>
      </c>
      <c r="M129" s="481"/>
      <c r="N129" s="481"/>
      <c r="O129" s="481">
        <v>3093</v>
      </c>
      <c r="P129" s="481"/>
      <c r="Q129" s="480"/>
      <c r="R129" s="481">
        <v>18494</v>
      </c>
      <c r="S129" s="480">
        <v>0.35</v>
      </c>
    </row>
    <row r="130" spans="1:19" s="475" customFormat="1">
      <c r="A130" s="479"/>
      <c r="B130" s="479"/>
      <c r="C130" s="480">
        <v>12.98</v>
      </c>
      <c r="D130" s="481">
        <v>66239</v>
      </c>
      <c r="E130" s="481">
        <v>7167</v>
      </c>
      <c r="F130" s="481">
        <v>11742</v>
      </c>
      <c r="G130" s="481">
        <v>2708</v>
      </c>
      <c r="H130" s="481"/>
      <c r="I130" s="481"/>
      <c r="J130" s="481">
        <v>5029</v>
      </c>
      <c r="K130" s="481"/>
      <c r="L130" s="481"/>
      <c r="M130" s="481"/>
      <c r="N130" s="481">
        <v>24471</v>
      </c>
      <c r="O130" s="481"/>
      <c r="P130" s="481"/>
      <c r="Q130" s="480"/>
      <c r="R130" s="481">
        <v>44619</v>
      </c>
      <c r="S130" s="480">
        <v>0.64</v>
      </c>
    </row>
    <row r="131" spans="1:19" s="475" customFormat="1">
      <c r="A131" s="479"/>
      <c r="B131" s="479"/>
      <c r="C131" s="480">
        <v>7.3617999999999997</v>
      </c>
      <c r="D131" s="481">
        <v>27180</v>
      </c>
      <c r="E131" s="481">
        <v>915</v>
      </c>
      <c r="F131" s="481">
        <v>1470</v>
      </c>
      <c r="G131" s="481">
        <v>958</v>
      </c>
      <c r="H131" s="481">
        <v>25368</v>
      </c>
      <c r="I131" s="481"/>
      <c r="J131" s="481">
        <v>648</v>
      </c>
      <c r="K131" s="481"/>
      <c r="L131" s="481"/>
      <c r="M131" s="481"/>
      <c r="N131" s="481">
        <v>1029</v>
      </c>
      <c r="O131" s="481"/>
      <c r="P131" s="481"/>
      <c r="Q131" s="480"/>
      <c r="R131" s="481">
        <v>42839</v>
      </c>
      <c r="S131" s="480">
        <v>0.76129999999999998</v>
      </c>
    </row>
    <row r="132" spans="1:19" s="475" customFormat="1">
      <c r="A132" s="479"/>
      <c r="B132" s="479"/>
      <c r="C132" s="480">
        <v>4.4866999999999999</v>
      </c>
      <c r="D132" s="481">
        <v>61649</v>
      </c>
      <c r="E132" s="481">
        <v>86</v>
      </c>
      <c r="F132" s="481">
        <v>468</v>
      </c>
      <c r="G132" s="481">
        <v>207</v>
      </c>
      <c r="H132" s="481">
        <v>4586</v>
      </c>
      <c r="I132" s="481"/>
      <c r="J132" s="481">
        <v>4491</v>
      </c>
      <c r="K132" s="481"/>
      <c r="L132" s="481"/>
      <c r="M132" s="481"/>
      <c r="N132" s="481"/>
      <c r="O132" s="481"/>
      <c r="P132" s="481"/>
      <c r="Q132" s="480"/>
      <c r="R132" s="481">
        <v>4014.23</v>
      </c>
      <c r="S132" s="480">
        <v>3.1699999999999999E-2</v>
      </c>
    </row>
    <row r="133" spans="1:19" s="475" customFormat="1">
      <c r="A133" s="479"/>
      <c r="B133" s="479"/>
      <c r="C133" s="480">
        <v>6.8680000000000003</v>
      </c>
      <c r="D133" s="481">
        <v>110140</v>
      </c>
      <c r="E133" s="481">
        <v>87</v>
      </c>
      <c r="F133" s="481">
        <v>9819</v>
      </c>
      <c r="G133" s="481"/>
      <c r="H133" s="481">
        <v>6610</v>
      </c>
      <c r="I133" s="481">
        <v>4137</v>
      </c>
      <c r="J133" s="481">
        <v>6050</v>
      </c>
      <c r="K133" s="481"/>
      <c r="L133" s="481"/>
      <c r="M133" s="481"/>
      <c r="N133" s="481"/>
      <c r="O133" s="481">
        <v>3430</v>
      </c>
      <c r="P133" s="481"/>
      <c r="Q133" s="480"/>
      <c r="R133" s="481">
        <v>37871</v>
      </c>
      <c r="S133" s="480">
        <v>0.61099999999999999</v>
      </c>
    </row>
    <row r="134" spans="1:19" s="475" customFormat="1">
      <c r="A134" s="479"/>
      <c r="B134" s="479"/>
      <c r="C134" s="480">
        <v>16.32</v>
      </c>
      <c r="D134" s="481">
        <v>195073</v>
      </c>
      <c r="E134" s="481">
        <v>4369</v>
      </c>
      <c r="F134" s="481">
        <v>18893</v>
      </c>
      <c r="G134" s="481"/>
      <c r="H134" s="481">
        <v>16099</v>
      </c>
      <c r="I134" s="481">
        <v>5117</v>
      </c>
      <c r="J134" s="481">
        <v>16937</v>
      </c>
      <c r="K134" s="481">
        <v>3931</v>
      </c>
      <c r="L134" s="481">
        <v>318</v>
      </c>
      <c r="M134" s="481"/>
      <c r="N134" s="481"/>
      <c r="O134" s="481"/>
      <c r="P134" s="481"/>
      <c r="Q134" s="480"/>
      <c r="R134" s="481">
        <v>297460</v>
      </c>
      <c r="S134" s="480">
        <v>6.54</v>
      </c>
    </row>
    <row r="135" spans="1:19" s="475" customFormat="1">
      <c r="A135" s="479"/>
      <c r="B135" s="479"/>
      <c r="C135" s="480">
        <v>14.12</v>
      </c>
      <c r="D135" s="481">
        <v>80164</v>
      </c>
      <c r="E135" s="481">
        <v>2788</v>
      </c>
      <c r="F135" s="481">
        <v>2698</v>
      </c>
      <c r="G135" s="481">
        <v>5650</v>
      </c>
      <c r="H135" s="481"/>
      <c r="I135" s="481"/>
      <c r="J135" s="481">
        <v>15116</v>
      </c>
      <c r="K135" s="481"/>
      <c r="L135" s="481"/>
      <c r="M135" s="481"/>
      <c r="N135" s="481"/>
      <c r="O135" s="481">
        <v>3163</v>
      </c>
      <c r="P135" s="481"/>
      <c r="Q135" s="480"/>
      <c r="R135" s="481">
        <v>196551</v>
      </c>
      <c r="S135" s="480">
        <v>4.5199999999999996</v>
      </c>
    </row>
    <row r="136" spans="1:19" s="475" customFormat="1">
      <c r="A136" s="479"/>
      <c r="B136" s="479"/>
      <c r="C136" s="480">
        <v>4.5842999999999998</v>
      </c>
      <c r="D136" s="481">
        <v>46684</v>
      </c>
      <c r="E136" s="481">
        <v>521</v>
      </c>
      <c r="F136" s="481">
        <v>93</v>
      </c>
      <c r="G136" s="481"/>
      <c r="H136" s="481">
        <v>1985</v>
      </c>
      <c r="I136" s="481"/>
      <c r="J136" s="481">
        <v>360</v>
      </c>
      <c r="K136" s="481">
        <v>30</v>
      </c>
      <c r="L136" s="481"/>
      <c r="M136" s="481"/>
      <c r="N136" s="481"/>
      <c r="O136" s="481"/>
      <c r="P136" s="481"/>
      <c r="Q136" s="480"/>
      <c r="R136" s="481">
        <v>16176</v>
      </c>
      <c r="S136" s="480">
        <v>0.3422</v>
      </c>
    </row>
    <row r="137" spans="1:19" s="475" customFormat="1">
      <c r="A137" s="479"/>
      <c r="B137" s="479"/>
      <c r="C137" s="480">
        <v>5.0999999999999996</v>
      </c>
      <c r="D137" s="481">
        <v>14406</v>
      </c>
      <c r="E137" s="481">
        <v>928</v>
      </c>
      <c r="F137" s="481">
        <v>19534</v>
      </c>
      <c r="G137" s="481"/>
      <c r="H137" s="481"/>
      <c r="I137" s="481"/>
      <c r="J137" s="481">
        <v>303</v>
      </c>
      <c r="K137" s="481"/>
      <c r="L137" s="481"/>
      <c r="M137" s="481"/>
      <c r="N137" s="481"/>
      <c r="O137" s="481"/>
      <c r="P137" s="481">
        <v>20603</v>
      </c>
      <c r="Q137" s="480">
        <v>0.2</v>
      </c>
      <c r="R137" s="481"/>
      <c r="S137" s="480"/>
    </row>
    <row r="138" spans="1:19" s="475" customFormat="1">
      <c r="A138" s="479"/>
      <c r="B138" s="479"/>
      <c r="C138" s="480">
        <v>0.93</v>
      </c>
      <c r="D138" s="481">
        <v>12952</v>
      </c>
      <c r="E138" s="481">
        <v>772</v>
      </c>
      <c r="F138" s="481">
        <v>1481</v>
      </c>
      <c r="G138" s="481"/>
      <c r="H138" s="481"/>
      <c r="I138" s="481"/>
      <c r="J138" s="481">
        <v>23711</v>
      </c>
      <c r="K138" s="481"/>
      <c r="L138" s="481"/>
      <c r="M138" s="481"/>
      <c r="N138" s="481">
        <v>73</v>
      </c>
      <c r="O138" s="481">
        <v>3847</v>
      </c>
      <c r="P138" s="481"/>
      <c r="Q138" s="480"/>
      <c r="R138" s="481">
        <v>1752</v>
      </c>
      <c r="S138" s="480">
        <v>0.03</v>
      </c>
    </row>
    <row r="139" spans="1:19" s="475" customFormat="1">
      <c r="A139" s="479"/>
      <c r="B139" s="479"/>
      <c r="C139" s="480">
        <v>9.39</v>
      </c>
      <c r="D139" s="481">
        <v>31410</v>
      </c>
      <c r="E139" s="481">
        <v>667</v>
      </c>
      <c r="F139" s="481">
        <v>11875</v>
      </c>
      <c r="G139" s="481"/>
      <c r="H139" s="481">
        <v>173629</v>
      </c>
      <c r="I139" s="481">
        <v>5100</v>
      </c>
      <c r="J139" s="481">
        <v>3636</v>
      </c>
      <c r="K139" s="481"/>
      <c r="L139" s="481"/>
      <c r="M139" s="481"/>
      <c r="N139" s="481"/>
      <c r="O139" s="481">
        <v>5125</v>
      </c>
      <c r="P139" s="481"/>
      <c r="Q139" s="480"/>
      <c r="R139" s="481">
        <v>19584</v>
      </c>
      <c r="S139" s="480">
        <v>0.24</v>
      </c>
    </row>
    <row r="140" spans="1:19" s="475" customFormat="1">
      <c r="A140" s="479"/>
      <c r="B140" s="479"/>
      <c r="C140" s="480">
        <v>10.63</v>
      </c>
      <c r="D140" s="481">
        <v>85300</v>
      </c>
      <c r="E140" s="481"/>
      <c r="F140" s="481">
        <v>1414</v>
      </c>
      <c r="G140" s="481"/>
      <c r="H140" s="481">
        <v>15838</v>
      </c>
      <c r="I140" s="481">
        <v>6180</v>
      </c>
      <c r="J140" s="481"/>
      <c r="K140" s="481"/>
      <c r="L140" s="481"/>
      <c r="M140" s="481">
        <v>5226</v>
      </c>
      <c r="N140" s="481"/>
      <c r="O140" s="481">
        <v>5765</v>
      </c>
      <c r="P140" s="481"/>
      <c r="Q140" s="480"/>
      <c r="R140" s="481">
        <v>53657</v>
      </c>
      <c r="S140" s="480">
        <v>1.06</v>
      </c>
    </row>
    <row r="141" spans="1:19" s="475" customFormat="1">
      <c r="A141" s="479"/>
      <c r="B141" s="479"/>
      <c r="C141" s="480">
        <v>3.83</v>
      </c>
      <c r="D141" s="481">
        <v>49565</v>
      </c>
      <c r="E141" s="481"/>
      <c r="F141" s="481"/>
      <c r="G141" s="481"/>
      <c r="H141" s="481">
        <v>11109</v>
      </c>
      <c r="I141" s="481">
        <v>5486</v>
      </c>
      <c r="J141" s="481">
        <v>738</v>
      </c>
      <c r="K141" s="481">
        <v>19</v>
      </c>
      <c r="L141" s="481"/>
      <c r="M141" s="481">
        <v>723</v>
      </c>
      <c r="N141" s="481">
        <v>359</v>
      </c>
      <c r="O141" s="481">
        <v>2110</v>
      </c>
      <c r="P141" s="481"/>
      <c r="Q141" s="480"/>
      <c r="R141" s="481">
        <v>19080</v>
      </c>
      <c r="S141" s="480">
        <v>0.24</v>
      </c>
    </row>
    <row r="142" spans="1:19" s="475" customFormat="1">
      <c r="A142" s="479"/>
      <c r="B142" s="479"/>
      <c r="C142" s="480">
        <v>21.45</v>
      </c>
      <c r="D142" s="481">
        <v>108291</v>
      </c>
      <c r="E142" s="481">
        <v>2640</v>
      </c>
      <c r="F142" s="481">
        <v>24341</v>
      </c>
      <c r="G142" s="481"/>
      <c r="H142" s="481">
        <v>2734</v>
      </c>
      <c r="I142" s="481"/>
      <c r="J142" s="481">
        <v>47385</v>
      </c>
      <c r="K142" s="481"/>
      <c r="L142" s="481"/>
      <c r="M142" s="481"/>
      <c r="N142" s="481"/>
      <c r="O142" s="481"/>
      <c r="P142" s="481"/>
      <c r="Q142" s="480"/>
      <c r="R142" s="481">
        <v>85405</v>
      </c>
      <c r="S142" s="480">
        <v>1.1000000000000001</v>
      </c>
    </row>
    <row r="143" spans="1:19" s="475" customFormat="1">
      <c r="A143" s="479"/>
      <c r="B143" s="479"/>
      <c r="C143" s="480">
        <v>26.25</v>
      </c>
      <c r="D143" s="481">
        <v>113570</v>
      </c>
      <c r="E143" s="481">
        <v>1444</v>
      </c>
      <c r="F143" s="481">
        <v>42763</v>
      </c>
      <c r="G143" s="481"/>
      <c r="H143" s="481">
        <v>18616</v>
      </c>
      <c r="I143" s="481">
        <v>4571</v>
      </c>
      <c r="J143" s="481">
        <v>118959</v>
      </c>
      <c r="K143" s="481"/>
      <c r="L143" s="481"/>
      <c r="M143" s="481"/>
      <c r="N143" s="481"/>
      <c r="O143" s="481">
        <v>23074</v>
      </c>
      <c r="P143" s="481"/>
      <c r="Q143" s="480"/>
      <c r="R143" s="481">
        <v>298905</v>
      </c>
      <c r="S143" s="480">
        <v>6.19</v>
      </c>
    </row>
    <row r="144" spans="1:19" s="475" customFormat="1">
      <c r="A144" s="479"/>
      <c r="B144" s="479"/>
      <c r="C144" s="480">
        <v>1.74</v>
      </c>
      <c r="D144" s="481">
        <v>14672</v>
      </c>
      <c r="E144" s="481">
        <v>389</v>
      </c>
      <c r="F144" s="481">
        <v>26</v>
      </c>
      <c r="G144" s="481"/>
      <c r="H144" s="481">
        <v>594</v>
      </c>
      <c r="I144" s="481"/>
      <c r="J144" s="481">
        <v>1746</v>
      </c>
      <c r="K144" s="481"/>
      <c r="L144" s="481"/>
      <c r="M144" s="481"/>
      <c r="N144" s="481"/>
      <c r="O144" s="481"/>
      <c r="P144" s="481"/>
      <c r="Q144" s="480"/>
      <c r="R144" s="481">
        <v>17016</v>
      </c>
      <c r="S144" s="480">
        <v>0.26</v>
      </c>
    </row>
    <row r="145" spans="1:19" s="475" customFormat="1">
      <c r="A145" s="479"/>
      <c r="B145" s="479"/>
      <c r="C145" s="480">
        <v>3.5</v>
      </c>
      <c r="D145" s="481">
        <v>4000</v>
      </c>
      <c r="E145" s="481"/>
      <c r="F145" s="481">
        <v>6000</v>
      </c>
      <c r="G145" s="481"/>
      <c r="H145" s="481"/>
      <c r="I145" s="481"/>
      <c r="J145" s="481"/>
      <c r="K145" s="481"/>
      <c r="L145" s="481"/>
      <c r="M145" s="481"/>
      <c r="N145" s="481"/>
      <c r="O145" s="481"/>
      <c r="P145" s="481">
        <v>45750</v>
      </c>
      <c r="Q145" s="480">
        <v>1</v>
      </c>
      <c r="R145" s="481"/>
      <c r="S145" s="480"/>
    </row>
    <row r="146" spans="1:19" s="475" customFormat="1">
      <c r="A146" s="479"/>
      <c r="B146" s="479"/>
      <c r="C146" s="480">
        <v>10.69</v>
      </c>
      <c r="D146" s="481"/>
      <c r="E146" s="481"/>
      <c r="F146" s="481"/>
      <c r="G146" s="481"/>
      <c r="H146" s="481">
        <v>19142</v>
      </c>
      <c r="I146" s="481"/>
      <c r="J146" s="481"/>
      <c r="K146" s="481"/>
      <c r="L146" s="481"/>
      <c r="M146" s="481"/>
      <c r="N146" s="481"/>
      <c r="O146" s="481"/>
      <c r="P146" s="481"/>
      <c r="Q146" s="480"/>
      <c r="R146" s="481">
        <v>20725</v>
      </c>
      <c r="S146" s="480">
        <v>0.4</v>
      </c>
    </row>
    <row r="147" spans="1:19" s="475" customFormat="1">
      <c r="A147" s="479"/>
      <c r="B147" s="479"/>
      <c r="C147" s="480">
        <v>0.9</v>
      </c>
      <c r="D147" s="481">
        <v>1468</v>
      </c>
      <c r="E147" s="481"/>
      <c r="F147" s="481">
        <v>2450</v>
      </c>
      <c r="G147" s="481">
        <v>4169</v>
      </c>
      <c r="H147" s="481"/>
      <c r="I147" s="481"/>
      <c r="J147" s="481">
        <v>1913</v>
      </c>
      <c r="K147" s="481"/>
      <c r="L147" s="481"/>
      <c r="M147" s="481"/>
      <c r="N147" s="481"/>
      <c r="O147" s="481"/>
      <c r="P147" s="481">
        <v>4000</v>
      </c>
      <c r="Q147" s="480">
        <v>0.15</v>
      </c>
      <c r="R147" s="481"/>
      <c r="S147" s="480"/>
    </row>
    <row r="148" spans="1:19" s="475" customFormat="1">
      <c r="A148" s="479"/>
      <c r="B148" s="479"/>
      <c r="C148" s="480">
        <v>6.0279999999999996</v>
      </c>
      <c r="D148" s="481">
        <v>44835</v>
      </c>
      <c r="E148" s="481">
        <v>1588</v>
      </c>
      <c r="F148" s="481">
        <v>150</v>
      </c>
      <c r="G148" s="481"/>
      <c r="H148" s="481">
        <v>12227</v>
      </c>
      <c r="I148" s="481">
        <v>3450</v>
      </c>
      <c r="J148" s="481"/>
      <c r="K148" s="481"/>
      <c r="L148" s="481"/>
      <c r="M148" s="481"/>
      <c r="N148" s="481">
        <v>2704</v>
      </c>
      <c r="O148" s="481">
        <v>4824</v>
      </c>
      <c r="P148" s="481">
        <v>1813</v>
      </c>
      <c r="Q148" s="480">
        <v>2.5000000000000001E-2</v>
      </c>
      <c r="R148" s="481">
        <v>15479.83</v>
      </c>
      <c r="S148" s="480">
        <v>0.14299999999999999</v>
      </c>
    </row>
    <row r="149" spans="1:19" s="475" customFormat="1">
      <c r="A149" s="479"/>
      <c r="B149" s="479"/>
      <c r="C149" s="480">
        <v>0.16</v>
      </c>
      <c r="D149" s="481">
        <v>3758</v>
      </c>
      <c r="E149" s="481">
        <v>17</v>
      </c>
      <c r="F149" s="481">
        <v>44</v>
      </c>
      <c r="G149" s="481"/>
      <c r="H149" s="481">
        <v>9389</v>
      </c>
      <c r="I149" s="481"/>
      <c r="J149" s="481">
        <v>143</v>
      </c>
      <c r="K149" s="481"/>
      <c r="L149" s="481"/>
      <c r="M149" s="481"/>
      <c r="N149" s="481"/>
      <c r="O149" s="481">
        <v>260</v>
      </c>
      <c r="P149" s="481"/>
      <c r="Q149" s="480"/>
      <c r="R149" s="481">
        <v>8437</v>
      </c>
      <c r="S149" s="480">
        <v>0.16</v>
      </c>
    </row>
    <row r="150" spans="1:19" s="475" customFormat="1">
      <c r="A150" s="479"/>
      <c r="B150" s="479"/>
      <c r="C150" s="480">
        <v>0.98</v>
      </c>
      <c r="D150" s="481">
        <v>6803</v>
      </c>
      <c r="E150" s="481">
        <v>15</v>
      </c>
      <c r="F150" s="481">
        <v>406</v>
      </c>
      <c r="G150" s="481"/>
      <c r="H150" s="481">
        <v>411</v>
      </c>
      <c r="I150" s="481"/>
      <c r="J150" s="481">
        <v>9732</v>
      </c>
      <c r="K150" s="481"/>
      <c r="L150" s="481">
        <v>1</v>
      </c>
      <c r="M150" s="481"/>
      <c r="N150" s="481">
        <v>209</v>
      </c>
      <c r="O150" s="481"/>
      <c r="P150" s="481">
        <v>2214</v>
      </c>
      <c r="Q150" s="480">
        <v>0.04</v>
      </c>
      <c r="R150" s="481"/>
      <c r="S150" s="480"/>
    </row>
    <row r="151" spans="1:19" s="475" customFormat="1">
      <c r="A151" s="479"/>
      <c r="B151" s="479"/>
      <c r="C151" s="480">
        <v>17.25</v>
      </c>
      <c r="D151" s="481">
        <v>272222</v>
      </c>
      <c r="E151" s="481">
        <v>1455</v>
      </c>
      <c r="F151" s="481">
        <v>6680</v>
      </c>
      <c r="G151" s="481">
        <v>39428</v>
      </c>
      <c r="H151" s="481">
        <v>225</v>
      </c>
      <c r="I151" s="481"/>
      <c r="J151" s="481">
        <v>6373</v>
      </c>
      <c r="K151" s="481">
        <v>139</v>
      </c>
      <c r="L151" s="481">
        <v>6377</v>
      </c>
      <c r="M151" s="481"/>
      <c r="N151" s="481"/>
      <c r="O151" s="481"/>
      <c r="P151" s="481">
        <v>69225</v>
      </c>
      <c r="Q151" s="480">
        <v>0.75</v>
      </c>
      <c r="R151" s="481">
        <v>75001</v>
      </c>
      <c r="S151" s="480">
        <v>1</v>
      </c>
    </row>
    <row r="152" spans="1:19" s="475" customFormat="1">
      <c r="A152" s="479"/>
      <c r="B152" s="479"/>
      <c r="C152" s="480">
        <v>39.979999999999997</v>
      </c>
      <c r="D152" s="481">
        <v>265585</v>
      </c>
      <c r="E152" s="481">
        <v>8954</v>
      </c>
      <c r="F152" s="481">
        <v>9400</v>
      </c>
      <c r="G152" s="481"/>
      <c r="H152" s="481">
        <v>34628</v>
      </c>
      <c r="I152" s="481"/>
      <c r="J152" s="481">
        <v>27261</v>
      </c>
      <c r="K152" s="481"/>
      <c r="L152" s="481"/>
      <c r="M152" s="481"/>
      <c r="N152" s="481">
        <v>5105</v>
      </c>
      <c r="O152" s="481"/>
      <c r="P152" s="481"/>
      <c r="Q152" s="480"/>
      <c r="R152" s="481">
        <v>173180</v>
      </c>
      <c r="S152" s="480">
        <v>3.25</v>
      </c>
    </row>
    <row r="153" spans="1:19" s="475" customFormat="1">
      <c r="A153" s="479"/>
      <c r="B153" s="479"/>
      <c r="C153" s="480">
        <v>2.44</v>
      </c>
      <c r="D153" s="481">
        <v>18887</v>
      </c>
      <c r="E153" s="481">
        <v>248</v>
      </c>
      <c r="F153" s="481">
        <v>962</v>
      </c>
      <c r="G153" s="481"/>
      <c r="H153" s="481">
        <v>2105</v>
      </c>
      <c r="I153" s="481">
        <v>241</v>
      </c>
      <c r="J153" s="481">
        <v>2426</v>
      </c>
      <c r="K153" s="481"/>
      <c r="L153" s="481"/>
      <c r="M153" s="481"/>
      <c r="N153" s="481"/>
      <c r="O153" s="481"/>
      <c r="P153" s="481"/>
      <c r="Q153" s="480"/>
      <c r="R153" s="481">
        <v>19667</v>
      </c>
      <c r="S153" s="480">
        <v>0.37</v>
      </c>
    </row>
    <row r="154" spans="1:19" s="475" customFormat="1">
      <c r="A154" s="479"/>
      <c r="B154" s="479"/>
      <c r="C154" s="480">
        <v>21.57</v>
      </c>
      <c r="D154" s="481">
        <v>3458</v>
      </c>
      <c r="E154" s="481">
        <v>205</v>
      </c>
      <c r="F154" s="481">
        <v>24242</v>
      </c>
      <c r="G154" s="481"/>
      <c r="H154" s="481">
        <v>4353</v>
      </c>
      <c r="I154" s="481"/>
      <c r="J154" s="481">
        <v>1380</v>
      </c>
      <c r="K154" s="481"/>
      <c r="L154" s="481">
        <v>145</v>
      </c>
      <c r="M154" s="481"/>
      <c r="N154" s="481"/>
      <c r="O154" s="481"/>
      <c r="P154" s="481"/>
      <c r="Q154" s="480"/>
      <c r="R154" s="481">
        <v>71109</v>
      </c>
      <c r="S154" s="480">
        <v>0.94</v>
      </c>
    </row>
    <row r="155" spans="1:19" s="475" customFormat="1">
      <c r="A155" s="479"/>
      <c r="B155" s="479"/>
      <c r="C155" s="480">
        <v>38.200000000000003</v>
      </c>
      <c r="D155" s="481">
        <v>173323</v>
      </c>
      <c r="E155" s="481">
        <v>10025</v>
      </c>
      <c r="F155" s="481">
        <v>6111</v>
      </c>
      <c r="G155" s="481"/>
      <c r="H155" s="481">
        <v>130</v>
      </c>
      <c r="I155" s="481"/>
      <c r="J155" s="481">
        <v>33912</v>
      </c>
      <c r="K155" s="481"/>
      <c r="L155" s="481"/>
      <c r="M155" s="481">
        <v>3140</v>
      </c>
      <c r="N155" s="481"/>
      <c r="O155" s="481">
        <v>20620</v>
      </c>
      <c r="P155" s="481"/>
      <c r="Q155" s="480"/>
      <c r="R155" s="481">
        <v>192144</v>
      </c>
      <c r="S155" s="480">
        <v>8.4</v>
      </c>
    </row>
    <row r="156" spans="1:19" s="475" customFormat="1">
      <c r="A156" s="479"/>
      <c r="B156" s="479"/>
      <c r="C156" s="480">
        <v>6.48</v>
      </c>
      <c r="D156" s="481">
        <v>103790</v>
      </c>
      <c r="E156" s="481">
        <v>6077</v>
      </c>
      <c r="F156" s="481">
        <v>776</v>
      </c>
      <c r="G156" s="481">
        <v>1932</v>
      </c>
      <c r="H156" s="481">
        <v>12966</v>
      </c>
      <c r="I156" s="481"/>
      <c r="J156" s="481">
        <v>11643</v>
      </c>
      <c r="K156" s="481"/>
      <c r="L156" s="481"/>
      <c r="M156" s="481">
        <v>15</v>
      </c>
      <c r="N156" s="481"/>
      <c r="O156" s="481">
        <v>4370</v>
      </c>
      <c r="P156" s="481"/>
      <c r="Q156" s="480"/>
      <c r="R156" s="481">
        <v>30721</v>
      </c>
      <c r="S156" s="480">
        <v>0.55000000000000004</v>
      </c>
    </row>
    <row r="157" spans="1:19" s="475" customFormat="1">
      <c r="A157" s="479"/>
      <c r="B157" s="479"/>
      <c r="C157" s="480">
        <v>5.39</v>
      </c>
      <c r="D157" s="481">
        <v>52881</v>
      </c>
      <c r="E157" s="481"/>
      <c r="F157" s="481">
        <v>3094</v>
      </c>
      <c r="G157" s="481"/>
      <c r="H157" s="481"/>
      <c r="I157" s="481"/>
      <c r="J157" s="481">
        <v>5285</v>
      </c>
      <c r="K157" s="481"/>
      <c r="L157" s="481"/>
      <c r="M157" s="481"/>
      <c r="N157" s="481"/>
      <c r="O157" s="481">
        <v>8628</v>
      </c>
      <c r="P157" s="481">
        <v>26834.5</v>
      </c>
      <c r="Q157" s="480">
        <v>0.55000000000000004</v>
      </c>
      <c r="R157" s="481"/>
      <c r="S157" s="480"/>
    </row>
    <row r="158" spans="1:19" s="475" customFormat="1">
      <c r="A158" s="479"/>
      <c r="B158" s="479"/>
      <c r="C158" s="480">
        <v>1.87205</v>
      </c>
      <c r="D158" s="481">
        <v>12643</v>
      </c>
      <c r="E158" s="481"/>
      <c r="F158" s="481">
        <v>4</v>
      </c>
      <c r="G158" s="481"/>
      <c r="H158" s="481">
        <v>932</v>
      </c>
      <c r="I158" s="481"/>
      <c r="J158" s="481">
        <v>40</v>
      </c>
      <c r="K158" s="481"/>
      <c r="L158" s="481"/>
      <c r="M158" s="481"/>
      <c r="N158" s="481"/>
      <c r="O158" s="481">
        <v>395</v>
      </c>
      <c r="P158" s="481"/>
      <c r="Q158" s="480"/>
      <c r="R158" s="481">
        <v>38248</v>
      </c>
      <c r="S158" s="480">
        <v>0.60624999999999996</v>
      </c>
    </row>
    <row r="159" spans="1:19" s="475" customFormat="1">
      <c r="A159" s="479"/>
      <c r="B159" s="479"/>
      <c r="C159" s="480">
        <v>1.57</v>
      </c>
      <c r="D159" s="481">
        <v>9446</v>
      </c>
      <c r="E159" s="481">
        <v>380</v>
      </c>
      <c r="F159" s="481">
        <v>297</v>
      </c>
      <c r="G159" s="481"/>
      <c r="H159" s="481">
        <v>1041</v>
      </c>
      <c r="I159" s="481"/>
      <c r="J159" s="481">
        <v>638</v>
      </c>
      <c r="K159" s="481"/>
      <c r="L159" s="481">
        <v>84</v>
      </c>
      <c r="M159" s="481"/>
      <c r="N159" s="481"/>
      <c r="O159" s="481">
        <v>1581</v>
      </c>
      <c r="P159" s="481"/>
      <c r="Q159" s="480"/>
      <c r="R159" s="481">
        <v>3378</v>
      </c>
      <c r="S159" s="480">
        <v>0.05</v>
      </c>
    </row>
    <row r="160" spans="1:19" s="475" customFormat="1">
      <c r="A160" s="479"/>
      <c r="B160" s="479"/>
      <c r="C160" s="480">
        <v>5.35</v>
      </c>
      <c r="D160" s="481">
        <v>7339</v>
      </c>
      <c r="E160" s="481">
        <v>403</v>
      </c>
      <c r="F160" s="481">
        <v>15007</v>
      </c>
      <c r="G160" s="481"/>
      <c r="H160" s="481">
        <v>569</v>
      </c>
      <c r="I160" s="481"/>
      <c r="J160" s="481"/>
      <c r="K160" s="481">
        <v>228</v>
      </c>
      <c r="L160" s="481"/>
      <c r="M160" s="481"/>
      <c r="N160" s="481"/>
      <c r="O160" s="481">
        <v>13698</v>
      </c>
      <c r="P160" s="481"/>
      <c r="Q160" s="480"/>
      <c r="R160" s="481">
        <v>6179</v>
      </c>
      <c r="S160" s="480">
        <v>0.06</v>
      </c>
    </row>
    <row r="161" spans="1:19" s="475" customFormat="1">
      <c r="A161" s="479"/>
      <c r="B161" s="479"/>
      <c r="C161" s="480">
        <v>8.85</v>
      </c>
      <c r="D161" s="481">
        <v>29140</v>
      </c>
      <c r="E161" s="481">
        <v>20</v>
      </c>
      <c r="F161" s="481">
        <v>18501</v>
      </c>
      <c r="G161" s="481"/>
      <c r="H161" s="481">
        <v>144</v>
      </c>
      <c r="I161" s="481"/>
      <c r="J161" s="481">
        <v>136</v>
      </c>
      <c r="K161" s="481"/>
      <c r="L161" s="481"/>
      <c r="M161" s="481"/>
      <c r="N161" s="481"/>
      <c r="O161" s="481"/>
      <c r="P161" s="481"/>
      <c r="Q161" s="480"/>
      <c r="R161" s="481">
        <v>6497</v>
      </c>
      <c r="S161" s="480">
        <v>0.1</v>
      </c>
    </row>
    <row r="162" spans="1:19" s="475" customFormat="1">
      <c r="A162" s="479"/>
      <c r="B162" s="479"/>
      <c r="C162" s="480">
        <v>9.1300000000000008</v>
      </c>
      <c r="D162" s="481">
        <v>27290</v>
      </c>
      <c r="E162" s="481">
        <v>2799</v>
      </c>
      <c r="F162" s="481">
        <v>3896</v>
      </c>
      <c r="G162" s="481"/>
      <c r="H162" s="481">
        <v>4153</v>
      </c>
      <c r="I162" s="481">
        <v>1059</v>
      </c>
      <c r="J162" s="481">
        <v>2014</v>
      </c>
      <c r="K162" s="481"/>
      <c r="L162" s="481"/>
      <c r="M162" s="481"/>
      <c r="N162" s="481"/>
      <c r="O162" s="481">
        <v>6053</v>
      </c>
      <c r="P162" s="481"/>
      <c r="Q162" s="480"/>
      <c r="R162" s="481">
        <v>37683.9951</v>
      </c>
      <c r="S162" s="480">
        <v>0.88</v>
      </c>
    </row>
    <row r="163" spans="1:19" s="475" customFormat="1" ht="15" thickBot="1">
      <c r="A163" s="520"/>
      <c r="B163" s="520"/>
      <c r="C163" s="521">
        <v>0.06</v>
      </c>
      <c r="D163" s="522">
        <v>795</v>
      </c>
      <c r="E163" s="522">
        <v>18</v>
      </c>
      <c r="F163" s="522">
        <v>101</v>
      </c>
      <c r="G163" s="522"/>
      <c r="H163" s="522">
        <v>390</v>
      </c>
      <c r="I163" s="522">
        <v>98</v>
      </c>
      <c r="J163" s="522">
        <v>29</v>
      </c>
      <c r="K163" s="522"/>
      <c r="L163" s="522"/>
      <c r="M163" s="522"/>
      <c r="N163" s="522"/>
      <c r="O163" s="522">
        <v>76</v>
      </c>
      <c r="P163" s="522"/>
      <c r="Q163" s="521"/>
      <c r="R163" s="481">
        <v>730.76570000000004</v>
      </c>
      <c r="S163" s="480">
        <v>0.01</v>
      </c>
    </row>
    <row r="164" spans="1:19" s="511" customFormat="1" ht="15" thickBot="1">
      <c r="A164" s="523"/>
      <c r="B164" s="524"/>
      <c r="C164" s="525">
        <f>SUM(C97:C163)</f>
        <v>618.57185828201682</v>
      </c>
      <c r="D164" s="524">
        <f t="shared" ref="D164:O164" si="0">SUM(D97:D163)</f>
        <v>3916903.73</v>
      </c>
      <c r="E164" s="524">
        <f t="shared" si="0"/>
        <v>85383.34</v>
      </c>
      <c r="F164" s="524">
        <f t="shared" si="0"/>
        <v>442090.48</v>
      </c>
      <c r="G164" s="524">
        <f t="shared" si="0"/>
        <v>74555</v>
      </c>
      <c r="H164" s="524">
        <f t="shared" si="0"/>
        <v>939882.05</v>
      </c>
      <c r="I164" s="524">
        <f t="shared" si="0"/>
        <v>104681</v>
      </c>
      <c r="J164" s="524">
        <f t="shared" si="0"/>
        <v>2740250.14</v>
      </c>
      <c r="K164" s="524">
        <f t="shared" si="0"/>
        <v>11239</v>
      </c>
      <c r="L164" s="524">
        <f t="shared" si="0"/>
        <v>20453</v>
      </c>
      <c r="M164" s="524">
        <f t="shared" si="0"/>
        <v>9174</v>
      </c>
      <c r="N164" s="524">
        <f t="shared" si="0"/>
        <v>63254</v>
      </c>
      <c r="O164" s="524">
        <f t="shared" si="0"/>
        <v>213116.08000000002</v>
      </c>
      <c r="P164" s="526">
        <f>SUM(P2:P163)</f>
        <v>871495.8</v>
      </c>
      <c r="Q164" s="527">
        <f t="shared" ref="Q164:S164" si="1">SUM(Q2:Q163)</f>
        <v>15.381</v>
      </c>
      <c r="R164" s="506">
        <f t="shared" si="1"/>
        <v>6931755.1239000009</v>
      </c>
      <c r="S164" s="506">
        <f t="shared" si="1"/>
        <v>131.6535838671825</v>
      </c>
    </row>
    <row r="165" spans="1:19" s="511" customFormat="1">
      <c r="A165" s="528" t="s">
        <v>337</v>
      </c>
      <c r="B165" s="516" t="s">
        <v>298</v>
      </c>
      <c r="C165" s="515"/>
      <c r="D165" s="515">
        <f>D164/$C$164</f>
        <v>6332.1725318681101</v>
      </c>
      <c r="E165" s="515">
        <f t="shared" ref="E165:O165" si="2">E164/$C$164</f>
        <v>138.03301727488605</v>
      </c>
      <c r="F165" s="515">
        <f t="shared" si="2"/>
        <v>714.69542961077263</v>
      </c>
      <c r="G165" s="515">
        <f t="shared" si="2"/>
        <v>120.52762989746162</v>
      </c>
      <c r="H165" s="515">
        <f t="shared" si="2"/>
        <v>1519.4387481680305</v>
      </c>
      <c r="I165" s="515">
        <f t="shared" si="2"/>
        <v>169.23013648039944</v>
      </c>
      <c r="J165" s="515">
        <f t="shared" si="2"/>
        <v>4429.9625068793157</v>
      </c>
      <c r="K165" s="515">
        <f t="shared" si="2"/>
        <v>18.169271442794866</v>
      </c>
      <c r="L165" s="515">
        <f t="shared" si="2"/>
        <v>33.06487310432275</v>
      </c>
      <c r="M165" s="515">
        <f t="shared" si="2"/>
        <v>14.830936579428782</v>
      </c>
      <c r="N165" s="515">
        <f t="shared" si="2"/>
        <v>102.25812757741315</v>
      </c>
      <c r="O165" s="515">
        <f t="shared" si="2"/>
        <v>344.5292202459637</v>
      </c>
      <c r="P165" s="529"/>
      <c r="Q165" s="530"/>
      <c r="R165" s="517">
        <f>(R164+P164)/(Q164+S164)</f>
        <v>53070.853935620609</v>
      </c>
      <c r="S165" s="517"/>
    </row>
    <row r="166" spans="1:19" s="511" customFormat="1" ht="15" thickBot="1">
      <c r="A166" s="531"/>
      <c r="B166" s="518" t="s">
        <v>329</v>
      </c>
      <c r="C166" s="532"/>
      <c r="D166" s="532"/>
      <c r="E166" s="532">
        <f>E164/$D$184</f>
        <v>5.0473974525177177E-2</v>
      </c>
      <c r="F166" s="532">
        <f t="shared" ref="F166:O166" si="3">F164/$D$184</f>
        <v>0.26133978391268542</v>
      </c>
      <c r="G166" s="532">
        <f t="shared" si="3"/>
        <v>4.4072850402954306E-2</v>
      </c>
      <c r="H166" s="532">
        <f t="shared" si="3"/>
        <v>0.55560701476858732</v>
      </c>
      <c r="I166" s="532">
        <f t="shared" si="3"/>
        <v>6.1881698786555694E-2</v>
      </c>
      <c r="J166" s="532">
        <f t="shared" si="3"/>
        <v>1.6198864527784134</v>
      </c>
      <c r="K166" s="532">
        <f t="shared" si="3"/>
        <v>6.6438839203112263E-3</v>
      </c>
      <c r="L166" s="532">
        <f t="shared" si="3"/>
        <v>1.2090698266938831E-2</v>
      </c>
      <c r="M166" s="532">
        <f t="shared" si="3"/>
        <v>5.4231685278881741E-3</v>
      </c>
      <c r="N166" s="532">
        <f t="shared" si="3"/>
        <v>3.7392315463596969E-2</v>
      </c>
      <c r="O166" s="532">
        <f t="shared" si="3"/>
        <v>0.12598260495344435</v>
      </c>
      <c r="P166" s="532"/>
      <c r="Q166" s="533"/>
      <c r="R166" s="515"/>
      <c r="S166" s="515"/>
    </row>
    <row r="167" spans="1:19" s="475" customFormat="1" ht="15" thickBot="1">
      <c r="A167" s="433"/>
      <c r="B167" s="433"/>
      <c r="C167" s="490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0"/>
      <c r="R167" s="491"/>
      <c r="S167" s="490"/>
    </row>
    <row r="168" spans="1:19" ht="15" thickBot="1">
      <c r="A168" s="492" t="s">
        <v>335</v>
      </c>
      <c r="B168" s="493"/>
      <c r="C168" s="494">
        <v>637.20423956362936</v>
      </c>
      <c r="D168" s="495">
        <v>4241624.7264</v>
      </c>
      <c r="E168" s="495">
        <v>101791.83839999998</v>
      </c>
      <c r="F168" s="495">
        <v>715984.85269999993</v>
      </c>
      <c r="G168" s="495">
        <v>100713</v>
      </c>
      <c r="H168" s="495">
        <v>842922.02450000017</v>
      </c>
      <c r="I168" s="495">
        <v>153848</v>
      </c>
      <c r="J168" s="495">
        <v>364114.04519999999</v>
      </c>
      <c r="K168" s="495">
        <f>SUM(K2:K96)</f>
        <v>15736.570599999999</v>
      </c>
      <c r="L168" s="495">
        <f>SUM(L2:L96)</f>
        <v>20160</v>
      </c>
      <c r="M168" s="495">
        <f>SUM(M2:M96)</f>
        <v>7740</v>
      </c>
      <c r="N168" s="495">
        <f>SUM(N2:N96)</f>
        <v>123208.09770000001</v>
      </c>
      <c r="O168" s="495">
        <f>SUM(O2:O96)</f>
        <v>265731.83100000001</v>
      </c>
      <c r="P168" s="496">
        <v>486769.3</v>
      </c>
      <c r="Q168" s="497">
        <v>8.6660000000000004</v>
      </c>
      <c r="R168" s="496">
        <v>3518181.2831000001</v>
      </c>
      <c r="S168" s="498">
        <v>63.014965773528239</v>
      </c>
    </row>
    <row r="169" spans="1:19">
      <c r="A169" s="499" t="s">
        <v>336</v>
      </c>
      <c r="B169" s="500" t="s">
        <v>298</v>
      </c>
      <c r="C169" s="500"/>
      <c r="D169" s="501">
        <f>D168/C168</f>
        <v>6656.61723987391</v>
      </c>
      <c r="E169" s="501">
        <f>E168/$C$168</f>
        <v>159.74758496539371</v>
      </c>
      <c r="F169" s="501">
        <f t="shared" ref="F169:J169" si="4">F168/$C$168</f>
        <v>1123.6347912410645</v>
      </c>
      <c r="G169" s="501">
        <f t="shared" si="4"/>
        <v>158.05450395146514</v>
      </c>
      <c r="H169" s="501">
        <f t="shared" si="4"/>
        <v>1322.8443443459362</v>
      </c>
      <c r="I169" s="501">
        <f t="shared" si="4"/>
        <v>241.44221027995403</v>
      </c>
      <c r="J169" s="501">
        <f t="shared" si="4"/>
        <v>571.42439204320556</v>
      </c>
      <c r="K169" s="501">
        <f>K168/C168</f>
        <v>24.696274165998531</v>
      </c>
      <c r="L169" s="501">
        <f>L168/C168</f>
        <v>31.638207576594258</v>
      </c>
      <c r="M169" s="501">
        <f>M168/C168</f>
        <v>12.146811837442439</v>
      </c>
      <c r="N169" s="501">
        <f>N168/C168</f>
        <v>193.35731002727707</v>
      </c>
      <c r="O169" s="501">
        <f>O168/C168</f>
        <v>417.02771968682862</v>
      </c>
      <c r="P169" s="606">
        <v>55871.883698573532</v>
      </c>
      <c r="Q169" s="606"/>
      <c r="R169" s="606"/>
      <c r="S169" s="607"/>
    </row>
    <row r="170" spans="1:19" s="453" customFormat="1" ht="15" thickBot="1">
      <c r="A170" s="502"/>
      <c r="B170" s="503" t="s">
        <v>329</v>
      </c>
      <c r="C170" s="504"/>
      <c r="D170" s="504"/>
      <c r="E170" s="504">
        <f>E168/$D$178</f>
        <v>5.9801849893546512E-2</v>
      </c>
      <c r="F170" s="504">
        <f t="shared" ref="F170:J170" si="5">F168/$D$178</f>
        <v>0.42063508587952186</v>
      </c>
      <c r="G170" s="504">
        <f t="shared" si="5"/>
        <v>5.9168041397008021E-2</v>
      </c>
      <c r="H170" s="504">
        <f t="shared" si="5"/>
        <v>0.49520960789635721</v>
      </c>
      <c r="I170" s="504">
        <f t="shared" si="5"/>
        <v>9.0384407502972705E-2</v>
      </c>
      <c r="J170" s="504">
        <f t="shared" si="5"/>
        <v>0.21391394258562102</v>
      </c>
      <c r="K170" s="504">
        <f>K168/D178</f>
        <v>9.2451030225267766E-3</v>
      </c>
      <c r="L170" s="504">
        <f>L168/D178</f>
        <v>1.1843830633221945E-2</v>
      </c>
      <c r="M170" s="504">
        <f>M168/D178</f>
        <v>4.5471849752548536E-3</v>
      </c>
      <c r="N170" s="504">
        <f>N168/D178</f>
        <v>7.2383722311520959E-2</v>
      </c>
      <c r="O170" s="504">
        <f>O168/D178</f>
        <v>0.15611521826487881</v>
      </c>
      <c r="P170" s="504"/>
      <c r="Q170" s="504"/>
      <c r="R170" s="504"/>
      <c r="S170" s="505"/>
    </row>
    <row r="171" spans="1:19" s="519" customFormat="1">
      <c r="B171" s="456"/>
    </row>
    <row r="172" spans="1:19" s="519" customFormat="1" ht="15" thickBot="1">
      <c r="A172" s="519" t="s">
        <v>338</v>
      </c>
      <c r="B172" s="500" t="s">
        <v>298</v>
      </c>
      <c r="C172" s="535">
        <f>C164+C168</f>
        <v>1255.7760978456463</v>
      </c>
      <c r="E172" s="534">
        <f>(E164+E168)/$C$172</f>
        <v>149.05139436967258</v>
      </c>
      <c r="F172" s="534">
        <f t="shared" ref="F172:J172" si="6">(F164+F168)/$C$172</f>
        <v>922.19889730879777</v>
      </c>
      <c r="G172" s="534">
        <f t="shared" si="6"/>
        <v>139.56946648425782</v>
      </c>
      <c r="H172" s="534">
        <f t="shared" si="6"/>
        <v>1419.683076910366</v>
      </c>
      <c r="I172" s="534">
        <f t="shared" si="6"/>
        <v>205.87189105089743</v>
      </c>
      <c r="J172" s="534">
        <f t="shared" si="6"/>
        <v>2472.0682218157435</v>
      </c>
      <c r="N172" s="534">
        <f>(N164+N168)/$C$172</f>
        <v>148.48355373213911</v>
      </c>
      <c r="O172" s="534">
        <f>(O164+O168)/$C$172</f>
        <v>381.31631253492577</v>
      </c>
      <c r="P172" s="545">
        <f>P164+P168</f>
        <v>1358265.1</v>
      </c>
      <c r="Q172" s="546">
        <f t="shared" ref="Q172:S172" si="7">Q164+Q168</f>
        <v>24.047000000000001</v>
      </c>
      <c r="R172" s="545">
        <f t="shared" si="7"/>
        <v>10449936.407000002</v>
      </c>
      <c r="S172" s="546">
        <f t="shared" si="7"/>
        <v>194.66854964071075</v>
      </c>
    </row>
    <row r="173" spans="1:19" s="519" customFormat="1" ht="15" thickBot="1">
      <c r="B173" s="503" t="s">
        <v>329</v>
      </c>
      <c r="E173" s="534">
        <f>(E164+E168)/($D$178+$D$184)</f>
        <v>5.5152370790943317E-2</v>
      </c>
      <c r="F173" s="534">
        <f t="shared" ref="F173:J173" si="8">(F164+F168)/($D$178+$D$184)</f>
        <v>0.3412343490140648</v>
      </c>
      <c r="G173" s="534">
        <f t="shared" si="8"/>
        <v>5.1643844052492456E-2</v>
      </c>
      <c r="H173" s="534">
        <f t="shared" si="8"/>
        <v>0.52531469292526956</v>
      </c>
      <c r="I173" s="534">
        <f t="shared" si="8"/>
        <v>7.6177233488411017E-2</v>
      </c>
      <c r="J173" s="534">
        <f t="shared" si="8"/>
        <v>0.9147208838042975</v>
      </c>
      <c r="N173" s="534">
        <f>(N164+N168)/($D$178+$D$184)</f>
        <v>5.4942256974002172E-2</v>
      </c>
      <c r="O173" s="534">
        <f>(O164+O168)/($D$178+$D$184)</f>
        <v>0.14109561837041437</v>
      </c>
      <c r="P173" s="534"/>
      <c r="Q173" s="534"/>
      <c r="R173" s="534">
        <f>(P172+R172)/(Q172+S172)</f>
        <v>53988.852307929708</v>
      </c>
      <c r="S173" s="534"/>
    </row>
    <row r="174" spans="1:19" s="519" customFormat="1">
      <c r="B174" s="456"/>
    </row>
    <row r="175" spans="1:19" s="275" customFormat="1" ht="28.8">
      <c r="B175" s="275" t="s">
        <v>118</v>
      </c>
      <c r="C175" s="275" t="s">
        <v>318</v>
      </c>
      <c r="D175" s="275" t="s">
        <v>319</v>
      </c>
    </row>
    <row r="176" spans="1:19">
      <c r="A176" s="609" t="s">
        <v>320</v>
      </c>
      <c r="B176" s="447" t="s">
        <v>323</v>
      </c>
      <c r="C176" s="447">
        <v>128006</v>
      </c>
      <c r="D176" s="447">
        <v>1536072</v>
      </c>
      <c r="E176" s="448">
        <f>D176*Models!N27</f>
        <v>0</v>
      </c>
    </row>
    <row r="177" spans="1:19" ht="15" thickBot="1">
      <c r="A177" s="609"/>
      <c r="B177" s="455" t="s">
        <v>324</v>
      </c>
      <c r="C177" s="455">
        <v>13840</v>
      </c>
      <c r="D177" s="455">
        <v>166080</v>
      </c>
      <c r="E177" s="448">
        <f>D177*Models!W25</f>
        <v>0</v>
      </c>
    </row>
    <row r="178" spans="1:19" ht="15" thickTop="1">
      <c r="B178" s="489" t="s">
        <v>322</v>
      </c>
      <c r="C178" s="489">
        <v>141846</v>
      </c>
      <c r="D178" s="489">
        <v>1702152</v>
      </c>
      <c r="E178" s="448"/>
    </row>
    <row r="179" spans="1:19">
      <c r="B179" s="489"/>
      <c r="C179" s="489"/>
      <c r="D179" s="489"/>
      <c r="E179" s="448"/>
    </row>
    <row r="180" spans="1:19">
      <c r="A180" s="608" t="s">
        <v>321</v>
      </c>
      <c r="B180" s="507" t="s">
        <v>325</v>
      </c>
      <c r="C180" s="508">
        <v>429259</v>
      </c>
      <c r="D180" s="508">
        <v>5151108</v>
      </c>
      <c r="E180" s="448">
        <f>D180*Models!N52</f>
        <v>0</v>
      </c>
      <c r="P180" s="512"/>
      <c r="Q180" s="513"/>
      <c r="R180" s="512"/>
      <c r="S180" s="434"/>
    </row>
    <row r="181" spans="1:19">
      <c r="A181" s="608"/>
      <c r="B181" s="507" t="s">
        <v>326</v>
      </c>
      <c r="C181" s="508">
        <v>17734</v>
      </c>
      <c r="D181" s="508">
        <v>212808</v>
      </c>
      <c r="E181" s="448">
        <f>D181*Models!N78</f>
        <v>0</v>
      </c>
      <c r="P181" s="514"/>
      <c r="Q181" s="514"/>
      <c r="R181" s="514"/>
      <c r="S181" s="514"/>
    </row>
    <row r="182" spans="1:19">
      <c r="A182" s="608"/>
      <c r="B182" s="507" t="s">
        <v>327</v>
      </c>
      <c r="C182" s="508">
        <v>21531</v>
      </c>
      <c r="D182" s="508">
        <v>258372</v>
      </c>
      <c r="E182" s="448">
        <v>2131073.9575979928</v>
      </c>
      <c r="P182" s="37"/>
      <c r="Q182" s="37"/>
      <c r="R182" s="37"/>
      <c r="S182" s="37"/>
    </row>
    <row r="183" spans="1:19" ht="15" thickBot="1">
      <c r="A183" s="608"/>
      <c r="B183" s="507" t="s">
        <v>328</v>
      </c>
      <c r="C183" s="508">
        <v>95353</v>
      </c>
      <c r="D183" s="508">
        <v>1144236</v>
      </c>
      <c r="E183" s="448">
        <v>6010100.8129973253</v>
      </c>
      <c r="P183" s="37"/>
      <c r="Q183" s="37"/>
      <c r="R183" s="37"/>
      <c r="S183" s="37"/>
    </row>
    <row r="184" spans="1:19">
      <c r="A184" s="608"/>
      <c r="B184" s="509" t="s">
        <v>322</v>
      </c>
      <c r="C184" s="510">
        <v>563877</v>
      </c>
      <c r="D184" s="510">
        <f>6766524/4</f>
        <v>1691631</v>
      </c>
      <c r="E184" s="448"/>
    </row>
  </sheetData>
  <mergeCells count="3">
    <mergeCell ref="P169:S169"/>
    <mergeCell ref="A180:A184"/>
    <mergeCell ref="A176:A1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CAF Fall 2018</vt:lpstr>
      <vt:lpstr>Models</vt:lpstr>
      <vt:lpstr> Add on Rates </vt:lpstr>
      <vt:lpstr> Travel</vt:lpstr>
      <vt:lpstr> Rates Chart</vt:lpstr>
      <vt:lpstr>Fall 2020 CAF</vt:lpstr>
      <vt:lpstr>Chart</vt:lpstr>
      <vt:lpstr>CAF Spring 2018</vt:lpstr>
      <vt:lpstr>3168 &amp; 3181 FY19 UFR</vt:lpstr>
      <vt:lpstr>3168 FY19 UFR</vt:lpstr>
      <vt:lpstr>' Add on Rates '!Print_Area</vt:lpstr>
      <vt:lpstr>' Rates Chart'!Print_Area</vt:lpstr>
      <vt:lpstr>' Travel'!Print_Area</vt:lpstr>
      <vt:lpstr>'CAF Spring 2018'!Print_Area</vt:lpstr>
      <vt:lpstr>Chart!Print_Area</vt:lpstr>
      <vt:lpstr>Models!Print_Area</vt:lpstr>
      <vt:lpstr>'CAF Fall 2018'!Print_Titles</vt:lpstr>
      <vt:lpstr>'CAF Spring 2018'!Print_Titles</vt:lpstr>
      <vt:lpstr>'Fall 2020 CAF'!Print_Titles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Hogan, Shannon (EHS)</dc:creator>
  <cp:lastModifiedBy>kara</cp:lastModifiedBy>
  <cp:lastPrinted>2019-01-18T18:54:08Z</cp:lastPrinted>
  <dcterms:created xsi:type="dcterms:W3CDTF">2018-09-11T18:49:47Z</dcterms:created>
  <dcterms:modified xsi:type="dcterms:W3CDTF">2021-03-31T15:58:16Z</dcterms:modified>
</cp:coreProperties>
</file>