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Kara/"/>
    </mc:Choice>
  </mc:AlternateContent>
  <xr:revisionPtr revIDLastSave="0" documentId="8_{35732EB7-E465-4CE8-AB20-19510911FC1A}" xr6:coauthVersionLast="47" xr6:coauthVersionMax="47" xr10:uidLastSave="{00000000-0000-0000-0000-000000000000}"/>
  <bookViews>
    <workbookView xWindow="1875" yWindow="4605" windowWidth="16785" windowHeight="10995" xr2:uid="{C235DE43-965E-40DA-AD12-48824FBFB8A9}"/>
  </bookViews>
  <sheets>
    <sheet name="SE Models " sheetId="2" r:id="rId1"/>
    <sheet name=" Travel Model" sheetId="3" r:id="rId2"/>
    <sheet name="DC . DSW -Add on Rates" sheetId="5" r:id="rId3"/>
    <sheet name="M2021 BLS SALARY CHART (53rd)" sheetId="7" r:id="rId4"/>
    <sheet name="FALL CAF 2022" sheetId="8" r:id="rId5"/>
    <sheet name="Master Lookup" sheetId="1" r:id="rId6"/>
    <sheet name="Training calc" sheetId="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alldata" localSheetId="4">#REF!</definedName>
    <definedName name="alldata" localSheetId="3">#REF!</definedName>
    <definedName name="alldata">#REF!</definedName>
    <definedName name="alled" localSheetId="4">#REF!</definedName>
    <definedName name="alled" localSheetId="3">#REF!</definedName>
    <definedName name="alled">#REF!</definedName>
    <definedName name="allstem" localSheetId="4">#REF!</definedName>
    <definedName name="allstem" localSheetId="3">#REF!</definedName>
    <definedName name="allstem">#REF!</definedName>
    <definedName name="asdfasdf" localSheetId="1">#REF!</definedName>
    <definedName name="asdfasdf" localSheetId="4">#REF!</definedName>
    <definedName name="asdfasdf" localSheetId="3">#REF!</definedName>
    <definedName name="asdfasdf">#REF!</definedName>
    <definedName name="Average" localSheetId="1">#REF!</definedName>
    <definedName name="Average" localSheetId="4">#REF!</definedName>
    <definedName name="Average" localSheetId="3">#REF!</definedName>
    <definedName name="Average">#REF!</definedName>
    <definedName name="Break">'[1]Tech Stuff'!$E$4</definedName>
    <definedName name="CAF_NEW" localSheetId="1">[2]RawDataCalcs!$L$70:$DB$70</definedName>
    <definedName name="CAF_NEW" localSheetId="4">[3]RawDataCalcs!$L$70:$DB$70</definedName>
    <definedName name="CAF_NEW">[4]RawDataCalcs!$L$70:$DB$70</definedName>
    <definedName name="Cap" localSheetId="1">[5]RawDataCalcs!$L$13:$DB$13</definedName>
    <definedName name="Cap" localSheetId="4">[6]RawDataCalcs!$L$70:$DB$70</definedName>
    <definedName name="Cap" localSheetId="3">[7]RawDataCalcs!$L$35:$DB$35</definedName>
    <definedName name="Cap">[8]RawDataCalcs!$L$13:$DB$13</definedName>
    <definedName name="Data" localSheetId="1">#REF!</definedName>
    <definedName name="Data" localSheetId="4">#REF!</definedName>
    <definedName name="Data" localSheetId="3">#REF!</definedName>
    <definedName name="Data">#REF!</definedName>
    <definedName name="Floor" localSheetId="1">[5]RawDataCalcs!$L$12:$DB$12</definedName>
    <definedName name="Floor" localSheetId="4">[6]RawDataCalcs!$L$69:$DB$69</definedName>
    <definedName name="Floor" localSheetId="3">[7]RawDataCalcs!$L$34:$DB$34</definedName>
    <definedName name="Floor">[8]RawDataCalcs!$L$12:$DB$12</definedName>
    <definedName name="Funds" localSheetId="1">'[9]RawDataCalcs3386&amp;3401'!$L$68:$DB$68</definedName>
    <definedName name="Funds" localSheetId="4">'[10]RawDataCalcs3386&amp;3401'!$L$68:$DB$68</definedName>
    <definedName name="Funds">'[11]RawDataCalcs3386&amp;3401'!$L$68:$DB$68</definedName>
    <definedName name="gk" localSheetId="1">#REF!</definedName>
    <definedName name="gk" localSheetId="4">#REF!</definedName>
    <definedName name="gk" localSheetId="3">#REF!</definedName>
    <definedName name="gk">#REF!</definedName>
    <definedName name="hhh" localSheetId="1">#REF!</definedName>
    <definedName name="hhh" localSheetId="4">#REF!</definedName>
    <definedName name="hhh" localSheetId="3">#REF!</definedName>
    <definedName name="hhh">#REF!</definedName>
    <definedName name="JailDAverage" localSheetId="1">#REF!</definedName>
    <definedName name="JailDAverage" localSheetId="4">#REF!</definedName>
    <definedName name="JailDAverage" localSheetId="3">#REF!</definedName>
    <definedName name="JailDAverage">#REF!</definedName>
    <definedName name="JailDCap" localSheetId="1">[12]ALLRawDataCalcs!$L$80:$DB$80</definedName>
    <definedName name="JailDCap" localSheetId="4">[13]ALLRawDataCalcs!$L$80:$DB$80</definedName>
    <definedName name="JailDCap">[14]ALLRawDataCalcs!$L$80:$DB$80</definedName>
    <definedName name="JailDFloor" localSheetId="1">[12]ALLRawDataCalcs!$L$79:$DB$79</definedName>
    <definedName name="JailDFloor" localSheetId="4">[13]ALLRawDataCalcs!$L$79:$DB$79</definedName>
    <definedName name="JailDFloor">[14]ALLRawDataCalcs!$L$79:$DB$79</definedName>
    <definedName name="JailDgk" localSheetId="1">#REF!</definedName>
    <definedName name="JailDgk" localSheetId="4">#REF!</definedName>
    <definedName name="JailDgk" localSheetId="3">#REF!</definedName>
    <definedName name="JailDgk">#REF!</definedName>
    <definedName name="JailDMax" localSheetId="1">#REF!</definedName>
    <definedName name="JailDMax" localSheetId="4">#REF!</definedName>
    <definedName name="JailDMax" localSheetId="3">#REF!</definedName>
    <definedName name="JailDMax">#REF!</definedName>
    <definedName name="JailDMedian" localSheetId="1">#REF!</definedName>
    <definedName name="JailDMedian" localSheetId="4">#REF!</definedName>
    <definedName name="JailDMedian" localSheetId="3">#REF!</definedName>
    <definedName name="JailDMedian">#REF!</definedName>
    <definedName name="kls" localSheetId="1">#REF!</definedName>
    <definedName name="kls" localSheetId="4">#REF!</definedName>
    <definedName name="kls" localSheetId="3">#REF!</definedName>
    <definedName name="kls">#REF!</definedName>
    <definedName name="ListProviders">'[15]List of Programs'!$A$24:$A$29</definedName>
    <definedName name="Max" localSheetId="1">#REF!</definedName>
    <definedName name="Max" localSheetId="4">#REF!</definedName>
    <definedName name="Max" localSheetId="3">#REF!</definedName>
    <definedName name="Max">#REF!</definedName>
    <definedName name="Median" localSheetId="1">#REF!</definedName>
    <definedName name="Median" localSheetId="4">#REF!</definedName>
    <definedName name="Median" localSheetId="3">#REF!</definedName>
    <definedName name="Median">#REF!</definedName>
    <definedName name="Min" localSheetId="1">#REF!</definedName>
    <definedName name="Min" localSheetId="4">#REF!</definedName>
    <definedName name="Min" localSheetId="3">#REF!</definedName>
    <definedName name="Min">#REF!</definedName>
    <definedName name="MT" localSheetId="1">#REF!</definedName>
    <definedName name="MT" localSheetId="4">#REF!</definedName>
    <definedName name="MT" localSheetId="3">#REF!</definedName>
    <definedName name="MT">#REF!</definedName>
    <definedName name="new" localSheetId="1">#REF!</definedName>
    <definedName name="new" localSheetId="4">#REF!</definedName>
    <definedName name="new" localSheetId="3">#REF!</definedName>
    <definedName name="new">#REF!</definedName>
    <definedName name="ok" localSheetId="1">#REF!</definedName>
    <definedName name="ok" localSheetId="4">#REF!</definedName>
    <definedName name="ok" localSheetId="3">#REF!</definedName>
    <definedName name="ok">#REF!</definedName>
    <definedName name="_xlnm.Print_Area" localSheetId="1">' Travel Model'!$A$2:$I$19</definedName>
    <definedName name="_xlnm.Print_Area" localSheetId="3">'M2021 BLS SALARY CHART (53rd)'!$B$1:$E$46</definedName>
    <definedName name="_xlnm.Print_Titles" localSheetId="4">'FALL CAF 2022'!$A:$A</definedName>
    <definedName name="Program_File" localSheetId="1">#REF!</definedName>
    <definedName name="Program_File" localSheetId="4">#REF!</definedName>
    <definedName name="Program_File" localSheetId="3">#REF!</definedName>
    <definedName name="Program_File">#REF!</definedName>
    <definedName name="Programs">'[15]List of Programs'!$B$3:$B$19</definedName>
    <definedName name="ProvFTE" localSheetId="1">'[16]FTE Data'!$A$3:$AW$56</definedName>
    <definedName name="ProvFTE">'[17]FTE Data'!$A$3:$AW$56</definedName>
    <definedName name="PurchasedBy" localSheetId="1">'[16]FTE Data'!$C$263:$AZ$657</definedName>
    <definedName name="PurchasedBy">'[17]FTE Data'!$C$263:$AZ$657</definedName>
    <definedName name="resmay2007" localSheetId="1">#REF!</definedName>
    <definedName name="resmay2007" localSheetId="4">#REF!</definedName>
    <definedName name="resmay2007" localSheetId="3">#REF!</definedName>
    <definedName name="resmay2007">#REF!</definedName>
    <definedName name="sheet1" localSheetId="4">#REF!</definedName>
    <definedName name="sheet1" localSheetId="3">#REF!</definedName>
    <definedName name="sheet1">#REF!</definedName>
    <definedName name="Site_list" localSheetId="1">[16]Lists!$A$2:$A$53</definedName>
    <definedName name="Site_list">[17]Lists!$A$2:$A$53</definedName>
    <definedName name="Source" localSheetId="1">#REF!</definedName>
    <definedName name="Source" localSheetId="4">#REF!</definedName>
    <definedName name="Source" localSheetId="3">#REF!</definedName>
    <definedName name="Source">#REF!</definedName>
    <definedName name="Source_2" localSheetId="1">#REF!</definedName>
    <definedName name="Source_2" localSheetId="4">#REF!</definedName>
    <definedName name="Source_2" localSheetId="3">#REF!</definedName>
    <definedName name="Source_2">#REF!</definedName>
    <definedName name="SourcePathAndFileName" localSheetId="1">#REF!</definedName>
    <definedName name="SourcePathAndFileName" localSheetId="4">#REF!</definedName>
    <definedName name="SourcePathAndFileName" localSheetId="3">#REF!</definedName>
    <definedName name="SourcePathAndFileName">#REF!</definedName>
    <definedName name="Total_UFR" localSheetId="1">#REF!</definedName>
    <definedName name="Total_UFR" localSheetId="4">#REF!</definedName>
    <definedName name="Total_UFR" localSheetId="3">#REF!</definedName>
    <definedName name="Total_UFR">#REF!</definedName>
    <definedName name="Total_UFRs" localSheetId="1">#REF!</definedName>
    <definedName name="Total_UFRs" localSheetId="4">#REF!</definedName>
    <definedName name="Total_UFRs" localSheetId="3">#REF!</definedName>
    <definedName name="Total_UFRs">#REF!</definedName>
    <definedName name="Total_UFRs_" localSheetId="1">#REF!</definedName>
    <definedName name="Total_UFRs_" localSheetId="4">#REF!</definedName>
    <definedName name="Total_UFRs_" localSheetId="3">#REF!</definedName>
    <definedName name="Total_UFRs_">#REF!</definedName>
    <definedName name="UFR" localSheetId="1">'[18]Complete UFR List'!#REF!</definedName>
    <definedName name="UFR" localSheetId="4">'[18]Complete UFR List'!#REF!</definedName>
    <definedName name="UFR" localSheetId="3">'[18]Complete UFR List'!#REF!</definedName>
    <definedName name="UFR">'[18]Complete UFR List'!#REF!</definedName>
    <definedName name="UFRS" localSheetId="1">'[18]Complete UFR List'!#REF!</definedName>
    <definedName name="UFRS" localSheetId="4">'[18]Complete UFR List'!#REF!</definedName>
    <definedName name="UFRS" localSheetId="3">'[18]Complete UFR List'!#REF!</definedName>
    <definedName name="UFRS">'[18]Complete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2" l="1"/>
  <c r="E54" i="2"/>
  <c r="J52" i="2"/>
  <c r="E51" i="2"/>
  <c r="I52" i="2"/>
  <c r="D51" i="2"/>
  <c r="E17" i="1"/>
  <c r="I21" i="2"/>
  <c r="J21" i="2" s="1"/>
  <c r="D21" i="2"/>
  <c r="E21" i="2" s="1"/>
  <c r="J33" i="2"/>
  <c r="I45" i="2"/>
  <c r="J45" i="2" s="1"/>
  <c r="G41" i="2"/>
  <c r="C57" i="2"/>
  <c r="H57" i="2" s="1"/>
  <c r="I9" i="2"/>
  <c r="D18" i="2"/>
  <c r="E18" i="2" s="1"/>
  <c r="C25" i="2"/>
  <c r="H25" i="2" s="1"/>
  <c r="CG22" i="8"/>
  <c r="CF22" i="8"/>
  <c r="CE22" i="8"/>
  <c r="CD22" i="8"/>
  <c r="CC22" i="8"/>
  <c r="CB22" i="8"/>
  <c r="CA22" i="8"/>
  <c r="BZ22" i="8"/>
  <c r="CG21" i="8"/>
  <c r="CF21" i="8"/>
  <c r="CE21" i="8"/>
  <c r="CD21" i="8"/>
  <c r="CC21" i="8"/>
  <c r="CB21" i="8"/>
  <c r="CA21" i="8"/>
  <c r="BZ21" i="8"/>
  <c r="BZ18" i="8"/>
  <c r="CI18" i="8" s="1"/>
  <c r="BZ17" i="8"/>
  <c r="CI22" i="8" l="1"/>
  <c r="CI24" i="8" s="1"/>
  <c r="C40" i="7" s="1"/>
  <c r="C8" i="5" l="1"/>
  <c r="D8" i="5" s="1"/>
  <c r="C26" i="2"/>
  <c r="H26" i="2" s="1"/>
  <c r="C41" i="2"/>
  <c r="H41" i="2" s="1"/>
  <c r="C58" i="2"/>
  <c r="H58" i="2" s="1"/>
  <c r="C11" i="2"/>
  <c r="H11" i="2" s="1"/>
  <c r="C46" i="7"/>
  <c r="C38" i="7"/>
  <c r="C33" i="7"/>
  <c r="C34" i="7" s="1"/>
  <c r="C31" i="7"/>
  <c r="C32" i="7" s="1"/>
  <c r="C29" i="7"/>
  <c r="C30" i="7" s="1"/>
  <c r="C27" i="7"/>
  <c r="C28" i="7" s="1"/>
  <c r="C25" i="7"/>
  <c r="C26" i="7" s="1"/>
  <c r="C23" i="7"/>
  <c r="C24" i="7" s="1"/>
  <c r="C21" i="7"/>
  <c r="C22" i="7" s="1"/>
  <c r="C19" i="7"/>
  <c r="C20" i="7" s="1"/>
  <c r="C17" i="7"/>
  <c r="C18" i="7" s="1"/>
  <c r="C15" i="7"/>
  <c r="C16" i="7" s="1"/>
  <c r="C13" i="7"/>
  <c r="C14" i="7" s="1"/>
  <c r="C11" i="7"/>
  <c r="C12" i="7" s="1"/>
  <c r="C9" i="7"/>
  <c r="C10" i="7" s="1"/>
  <c r="C7" i="7"/>
  <c r="C8" i="7" s="1"/>
  <c r="D4" i="5" s="1"/>
  <c r="C5" i="7"/>
  <c r="C6" i="7" s="1"/>
  <c r="E28" i="5"/>
  <c r="E27" i="5"/>
  <c r="E29" i="5" s="1"/>
  <c r="E30" i="5" s="1"/>
  <c r="D17" i="5"/>
  <c r="C17" i="5"/>
  <c r="K5" i="4"/>
  <c r="K4" i="4"/>
  <c r="K7" i="4" s="1"/>
  <c r="K9" i="4" s="1"/>
  <c r="C14" i="3"/>
  <c r="C15" i="3" s="1"/>
  <c r="C16" i="3" s="1"/>
  <c r="C17" i="3" s="1"/>
  <c r="H7" i="3"/>
  <c r="H8" i="3" s="1"/>
  <c r="D5" i="3"/>
  <c r="D6" i="3" s="1"/>
  <c r="D7" i="3" s="1"/>
  <c r="D8" i="3" s="1"/>
  <c r="D9" i="3" s="1"/>
  <c r="D10" i="3" s="1"/>
  <c r="G5" i="3" s="1"/>
  <c r="J9" i="2"/>
  <c r="E9" i="2"/>
  <c r="I27" i="1"/>
  <c r="C27" i="1"/>
  <c r="I26" i="1"/>
  <c r="D50" i="2" s="1"/>
  <c r="C26" i="1"/>
  <c r="I25" i="1"/>
  <c r="D49" i="2" s="1"/>
  <c r="C25" i="1"/>
  <c r="I24" i="1"/>
  <c r="I22" i="1"/>
  <c r="C46" i="2" s="1"/>
  <c r="C22" i="1"/>
  <c r="I21" i="1"/>
  <c r="C45" i="2" s="1"/>
  <c r="H46" i="2" s="1"/>
  <c r="C21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L9" i="1"/>
  <c r="I39" i="2" s="1"/>
  <c r="K9" i="1"/>
  <c r="D39" i="2" s="1"/>
  <c r="I20" i="2" l="1"/>
  <c r="J20" i="2" s="1"/>
  <c r="D20" i="2"/>
  <c r="E20" i="2" s="1"/>
  <c r="C5" i="5"/>
  <c r="D5" i="5" s="1"/>
  <c r="C40" i="2"/>
  <c r="H40" i="2" s="1"/>
  <c r="C10" i="2"/>
  <c r="H10" i="2" s="1"/>
  <c r="J10" i="2" s="1"/>
  <c r="E50" i="2"/>
  <c r="I51" i="2"/>
  <c r="J51" i="2" s="1"/>
  <c r="C36" i="7"/>
  <c r="C4" i="5"/>
  <c r="E45" i="2"/>
  <c r="C15" i="2"/>
  <c r="E15" i="2" s="1"/>
  <c r="H15" i="2"/>
  <c r="J15" i="2" s="1"/>
  <c r="H16" i="2"/>
  <c r="J16" i="2" s="1"/>
  <c r="C16" i="2"/>
  <c r="E16" i="2" s="1"/>
  <c r="H47" i="2"/>
  <c r="J47" i="2" s="1"/>
  <c r="E46" i="2"/>
  <c r="D48" i="2"/>
  <c r="I18" i="2"/>
  <c r="J18" i="2" s="1"/>
  <c r="E49" i="2"/>
  <c r="I50" i="2"/>
  <c r="J50" i="2" s="1"/>
  <c r="J46" i="2"/>
  <c r="I19" i="2"/>
  <c r="J19" i="2" s="1"/>
  <c r="D19" i="2"/>
  <c r="E19" i="2" s="1"/>
  <c r="E39" i="2"/>
  <c r="J39" i="2"/>
  <c r="I23" i="1"/>
  <c r="C47" i="2" s="1"/>
  <c r="H48" i="2" s="1"/>
  <c r="J48" i="2" s="1"/>
  <c r="C23" i="1"/>
  <c r="D11" i="5"/>
  <c r="C11" i="5"/>
  <c r="C6" i="5"/>
  <c r="C7" i="5" s="1"/>
  <c r="D6" i="5"/>
  <c r="D7" i="5" s="1"/>
  <c r="J40" i="2" l="1"/>
  <c r="C17" i="2"/>
  <c r="H17" i="2"/>
  <c r="J17" i="2" s="1"/>
  <c r="J22" i="2" s="1"/>
  <c r="J25" i="2" s="1"/>
  <c r="E40" i="2"/>
  <c r="E41" i="2" s="1"/>
  <c r="E42" i="2" s="1"/>
  <c r="E48" i="2"/>
  <c r="I49" i="2"/>
  <c r="J49" i="2" s="1"/>
  <c r="J58" i="2" s="1"/>
  <c r="E10" i="2"/>
  <c r="E47" i="2"/>
  <c r="J11" i="2"/>
  <c r="J12" i="2" s="1"/>
  <c r="C9" i="5"/>
  <c r="C10" i="5" s="1"/>
  <c r="C12" i="5" s="1"/>
  <c r="D9" i="5"/>
  <c r="D10" i="5" s="1"/>
  <c r="D12" i="5" s="1"/>
  <c r="J41" i="2"/>
  <c r="J42" i="2" s="1"/>
  <c r="E11" i="2" l="1"/>
  <c r="E12" i="2" s="1"/>
  <c r="E23" i="2" s="1"/>
  <c r="J26" i="2"/>
  <c r="E17" i="2"/>
  <c r="E22" i="2" s="1"/>
  <c r="E25" i="2" s="1"/>
  <c r="J23" i="2"/>
  <c r="J27" i="2" s="1"/>
  <c r="J28" i="2" s="1"/>
  <c r="J29" i="2" s="1"/>
  <c r="E58" i="2"/>
  <c r="E55" i="2"/>
  <c r="E57" i="2" s="1"/>
  <c r="E59" i="2" s="1"/>
  <c r="E60" i="2" s="1"/>
  <c r="E61" i="2" s="1"/>
  <c r="J55" i="2"/>
  <c r="J57" i="2" s="1"/>
  <c r="J59" i="2" s="1"/>
  <c r="J60" i="2" s="1"/>
  <c r="J61" i="2" s="1"/>
  <c r="C22" i="5"/>
  <c r="C18" i="5"/>
  <c r="D22" i="5"/>
  <c r="D18" i="5"/>
  <c r="C13" i="5"/>
  <c r="E26" i="2" l="1"/>
  <c r="E27" i="2" s="1"/>
  <c r="E28" i="2" s="1"/>
  <c r="E29" i="2" s="1"/>
  <c r="C18" i="3"/>
  <c r="G6" i="3" s="1"/>
  <c r="G7" i="3" s="1"/>
  <c r="C16" i="5"/>
  <c r="C15" i="5"/>
  <c r="C14" i="5"/>
  <c r="G8" i="3" l="1"/>
</calcChain>
</file>

<file path=xl/sharedStrings.xml><?xml version="1.0" encoding="utf-8"?>
<sst xmlns="http://schemas.openxmlformats.org/spreadsheetml/2006/main" count="499" uniqueCount="343">
  <si>
    <t>Individual Supported Employment - 3168</t>
  </si>
  <si>
    <t>Group Supported Employment - 3181</t>
  </si>
  <si>
    <t>TITLE</t>
  </si>
  <si>
    <t>LEVEL and FTE - 3168</t>
  </si>
  <si>
    <t>LEVEL and FTE - 3181</t>
  </si>
  <si>
    <t>Functional Title</t>
  </si>
  <si>
    <t>Benchmark Title</t>
  </si>
  <si>
    <t>Salary</t>
  </si>
  <si>
    <t>Ind. SE - 3168</t>
  </si>
  <si>
    <t>Ongoing SE - 3168</t>
  </si>
  <si>
    <t>Group SE - 3181</t>
  </si>
  <si>
    <t>Group SE High - 3181</t>
  </si>
  <si>
    <t>Management</t>
  </si>
  <si>
    <t>Program Management</t>
  </si>
  <si>
    <t>Direct Care</t>
  </si>
  <si>
    <t>Employment Specialist (Caseworker)</t>
  </si>
  <si>
    <t>Case Worker</t>
  </si>
  <si>
    <t>Support</t>
  </si>
  <si>
    <t>Clinical (MA Level)</t>
  </si>
  <si>
    <t>Case Manager</t>
  </si>
  <si>
    <t>Direct Care III</t>
  </si>
  <si>
    <t>**This column shows on model**</t>
  </si>
  <si>
    <t>Non-Salary expenses</t>
  </si>
  <si>
    <t>Amount / Percentage</t>
  </si>
  <si>
    <t>Source</t>
  </si>
  <si>
    <t>Tax &amp; Fringe</t>
  </si>
  <si>
    <t>FY23 Commonwealth (office of the Comptroller)</t>
  </si>
  <si>
    <t>OCCUPANCY</t>
  </si>
  <si>
    <t>OCCUPANCY (ISE 3168)</t>
  </si>
  <si>
    <t>Wtg Average from  FY19 UFR data for 3168 factor 40%</t>
  </si>
  <si>
    <t>OCCUPANCY (GSE 3181)</t>
  </si>
  <si>
    <t>Wtg Average from  FY19 UFR data for 3181</t>
  </si>
  <si>
    <t>STAFF TRAINING</t>
  </si>
  <si>
    <t>Wtg Average from  FY19 UFR data for 3181&amp;3168 per FTE</t>
  </si>
  <si>
    <t>OTHER EXP</t>
  </si>
  <si>
    <t>STAFF MILEAGE</t>
  </si>
  <si>
    <t>New Staff Trainings</t>
  </si>
  <si>
    <t>New - Department Reccomendation</t>
  </si>
  <si>
    <t>SUP &amp; MAT</t>
  </si>
  <si>
    <t>Admin. Allocation</t>
  </si>
  <si>
    <t>C. 257 Benchmark (updated 12.2.2022)</t>
  </si>
  <si>
    <t>CAF</t>
  </si>
  <si>
    <t>updated 12.2.2022</t>
  </si>
  <si>
    <t>Technology</t>
  </si>
  <si>
    <t>Purchaser Reccomendation + CAF</t>
  </si>
  <si>
    <t>Admin Allocation</t>
  </si>
  <si>
    <t>Days</t>
  </si>
  <si>
    <t>Initial Individual Supported Employment - 3168</t>
  </si>
  <si>
    <t xml:space="preserve">Ongoing Individual Supported Employment  - 3168 </t>
  </si>
  <si>
    <t>Service Unit: Per Person Per Hour</t>
  </si>
  <si>
    <t>Total Hours per DC Staff</t>
  </si>
  <si>
    <t>STAFF COSTS</t>
  </si>
  <si>
    <t>Total</t>
  </si>
  <si>
    <t>Direct Service &amp; Support Staff</t>
  </si>
  <si>
    <t>Total Staffing</t>
  </si>
  <si>
    <t xml:space="preserve">CAF </t>
  </si>
  <si>
    <t>Total Compensation</t>
  </si>
  <si>
    <t>PROGRAM COSTS</t>
  </si>
  <si>
    <t>Per FTE</t>
  </si>
  <si>
    <t>Per Unit (hour)</t>
  </si>
  <si>
    <t>TRAINING ADD-ON</t>
  </si>
  <si>
    <t>Total Program Expenses</t>
  </si>
  <si>
    <t>Total Compensation and Program Expenses</t>
  </si>
  <si>
    <t>OTHER EXPENSES</t>
  </si>
  <si>
    <t>TOTAL</t>
  </si>
  <si>
    <t>HOURLY RATE:</t>
  </si>
  <si>
    <t>Rate for 15 Minutes</t>
  </si>
  <si>
    <t>Group Supported Employment- HI INTENSITY - 3181</t>
  </si>
  <si>
    <t>Consultant</t>
  </si>
  <si>
    <t>TRAVEL ADD-ON</t>
  </si>
  <si>
    <t>Mileage Add-on Calculation</t>
  </si>
  <si>
    <t>Rate per Mile</t>
  </si>
  <si>
    <t>Mileage Estimate</t>
  </si>
  <si>
    <t>Add-on</t>
  </si>
  <si>
    <t>Proposed FY22 Rate</t>
  </si>
  <si>
    <t>FY20 Rate</t>
  </si>
  <si>
    <t>Mileage</t>
  </si>
  <si>
    <t>FY16 CAF</t>
  </si>
  <si>
    <t>Wage</t>
  </si>
  <si>
    <t>FY18 CAF</t>
  </si>
  <si>
    <t>15 Minutes</t>
  </si>
  <si>
    <t>FY20 CAF</t>
  </si>
  <si>
    <t>Hourly</t>
  </si>
  <si>
    <t>FY22 CAF</t>
  </si>
  <si>
    <t>FY24 CAF</t>
  </si>
  <si>
    <t>Option 2 Driver Wage Component</t>
  </si>
  <si>
    <t>15 minutes</t>
  </si>
  <si>
    <t>Current</t>
  </si>
  <si>
    <t>One-time costs per FTE</t>
  </si>
  <si>
    <t>SE</t>
  </si>
  <si>
    <t>Nationally Accredited Professional Certification for an Employment Support Professional (CESP)</t>
  </si>
  <si>
    <t>CESP</t>
  </si>
  <si>
    <t>Recertification every 3 years (CESP)</t>
  </si>
  <si>
    <t>CESP - recert (every 3 years)</t>
  </si>
  <si>
    <t>The Association of Community Rehabilitation Educators provides two certificate trainings, Employment Services or Customized Employment</t>
  </si>
  <si>
    <t>$300 - $800</t>
  </si>
  <si>
    <t>**only 1 person needed</t>
  </si>
  <si>
    <t>EE services / Customized Employment</t>
  </si>
  <si>
    <t>LifeCourse Ambassador - only for 1 employee</t>
  </si>
  <si>
    <t>Turnover</t>
  </si>
  <si>
    <t>Cost per FTE</t>
  </si>
  <si>
    <t>Average number of FTEs from all models</t>
  </si>
  <si>
    <t>Total Tax &amp; Fringe</t>
  </si>
  <si>
    <t>TOTAL COMPENSATION</t>
  </si>
  <si>
    <t>CAF %</t>
  </si>
  <si>
    <t>Total CAF</t>
  </si>
  <si>
    <t>Total w/CAF</t>
  </si>
  <si>
    <t>Billable Hours</t>
  </si>
  <si>
    <t xml:space="preserve"> Rates (per hour)</t>
  </si>
  <si>
    <t>Monthly Rate (1.0 FTE Add-on)</t>
  </si>
  <si>
    <t>Monthly Rate (0.75 FTE Add-on)</t>
  </si>
  <si>
    <t>Monthly Rate (0.50 FTE Add-on)</t>
  </si>
  <si>
    <t>Monthly Rate (0.25 FTE Add-on)</t>
  </si>
  <si>
    <t xml:space="preserve"> Rates (per 1/4 hour)</t>
  </si>
  <si>
    <t>Direct Care Productivity Chart</t>
  </si>
  <si>
    <t>Hours</t>
  </si>
  <si>
    <t>Paid Time Off (PTO)</t>
  </si>
  <si>
    <t>Training (not OJT)</t>
  </si>
  <si>
    <t>Total Hours per FTE:</t>
  </si>
  <si>
    <t>Position</t>
  </si>
  <si>
    <t>Source:</t>
  </si>
  <si>
    <t>BLS / OES</t>
  </si>
  <si>
    <t>53 Percentile</t>
  </si>
  <si>
    <t>Common model titles (not all inclusive)</t>
  </si>
  <si>
    <t>Minimum Education and/or certification/Training/Experience</t>
  </si>
  <si>
    <t>BLS Occupational Code(s)</t>
  </si>
  <si>
    <t>Direct Care (hourly)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</si>
  <si>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</si>
  <si>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</si>
  <si>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</si>
  <si>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</si>
  <si>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</si>
  <si>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</si>
  <si>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</si>
  <si>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</si>
  <si>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</si>
  <si>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</si>
  <si>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</si>
  <si>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</si>
  <si>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</si>
  <si>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</si>
  <si>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</si>
  <si>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</si>
  <si>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</si>
  <si>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</si>
  <si>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</si>
  <si>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</si>
  <si>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</si>
  <si>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</si>
  <si>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</si>
  <si>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</si>
  <si>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</si>
  <si>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</si>
  <si>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</si>
  <si>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</si>
  <si>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Assistant Manager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</si>
  <si>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</si>
  <si>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</si>
  <si>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</si>
  <si>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</si>
  <si>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</si>
  <si>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</si>
  <si>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</si>
  <si>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</si>
  <si>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</si>
  <si>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</si>
  <si>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</si>
  <si>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</si>
  <si>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</si>
  <si>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</si>
  <si>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</si>
  <si>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</si>
  <si>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</si>
  <si>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</si>
  <si>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</si>
  <si>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</si>
  <si>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</si>
  <si>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</si>
  <si>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</si>
  <si>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</si>
  <si>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</si>
  <si>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</si>
  <si>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</si>
  <si>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</si>
  <si>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</si>
  <si>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</si>
  <si>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</si>
  <si>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</si>
  <si>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</si>
  <si>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</si>
  <si>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</si>
  <si>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</si>
  <si>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</si>
  <si>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</si>
  <si>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</si>
  <si>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</si>
  <si>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=  </t>
  </si>
  <si>
    <t xml:space="preserve">Benchmarked to FY23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</si>
  <si>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</si>
  <si>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>C.257 Benchmark</t>
  </si>
  <si>
    <t>Misc. BLS benchmarks</t>
  </si>
  <si>
    <t>Psychiatrist</t>
  </si>
  <si>
    <t>M2021 BLS Occ Code 29-1223 NAICS 622200 (Nat'l)</t>
  </si>
  <si>
    <t>Medical Director</t>
  </si>
  <si>
    <t>M2021 BLS Occ Code 29-1229 NAICS 622200 (Nat'l)</t>
  </si>
  <si>
    <t>Physician Assistants</t>
  </si>
  <si>
    <t>M2021 BLS  Occ Code 29-1071</t>
  </si>
  <si>
    <t>Massachusetts Economic Indicators</t>
  </si>
  <si>
    <t>IHS Markit, Fall 2022 Forecast</t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</si>
  <si>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</si>
  <si>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</si>
  <si>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</si>
  <si>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</si>
  <si>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</si>
  <si>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</si>
  <si>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</si>
  <si>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</si>
  <si>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</si>
  <si>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</si>
  <si>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</si>
  <si>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</si>
  <si>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</si>
  <si>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</si>
  <si>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</si>
  <si>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</si>
  <si>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</si>
  <si>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</si>
  <si>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</si>
  <si>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</si>
  <si>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</si>
  <si>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</si>
  <si>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</si>
  <si>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</si>
  <si>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</si>
  <si>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</si>
  <si>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</si>
  <si>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</si>
  <si>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</si>
  <si>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</si>
  <si>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</si>
  <si>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</si>
  <si>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</si>
  <si>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</si>
  <si>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</si>
  <si>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</si>
  <si>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</si>
  <si>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</si>
  <si>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</si>
  <si>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</si>
  <si>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</si>
  <si>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</si>
  <si>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</si>
  <si>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</si>
  <si>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</si>
  <si>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</si>
  <si>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</si>
  <si>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</si>
  <si>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</si>
  <si>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</si>
  <si>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</si>
  <si>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</si>
  <si>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</si>
  <si>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</si>
  <si>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</si>
  <si>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</si>
  <si>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</si>
  <si>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</si>
  <si>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</si>
  <si>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</si>
  <si>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</si>
  <si>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</si>
  <si>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</si>
  <si>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</si>
  <si>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</si>
  <si>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</si>
  <si>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</si>
  <si>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</si>
  <si>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</si>
  <si>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</si>
  <si>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</si>
  <si>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</si>
  <si>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</si>
  <si>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</si>
  <si>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</si>
  <si>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</si>
  <si>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</si>
  <si>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</si>
  <si>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</si>
  <si>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</si>
  <si>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</si>
  <si>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</si>
  <si>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</si>
  <si>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</si>
  <si>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</si>
  <si>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</si>
  <si>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</si>
  <si>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</si>
  <si>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</si>
  <si>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</si>
  <si>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</si>
  <si>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</si>
  <si>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</si>
  <si>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</si>
  <si>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</si>
  <si>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</si>
  <si>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</si>
  <si>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</si>
  <si>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</si>
  <si>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</si>
  <si>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</si>
  <si>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</si>
  <si>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</si>
  <si>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</si>
  <si>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</si>
  <si>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</si>
  <si>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</si>
  <si>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</si>
  <si>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</si>
  <si>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</si>
  <si>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2023</t>
  </si>
  <si>
    <t xml:space="preserve">Base period: </t>
  </si>
  <si>
    <t>FY23Q4</t>
  </si>
  <si>
    <t>Average</t>
  </si>
  <si>
    <t xml:space="preserve">Prospective rate period: </t>
  </si>
  <si>
    <t>July 1, 2023 - June 30, 2024</t>
  </si>
  <si>
    <t>CAF:</t>
  </si>
  <si>
    <t xml:space="preserve"> </t>
  </si>
  <si>
    <t>Prospective period FY24 &amp; FY25</t>
  </si>
  <si>
    <t>CAF on Compensation</t>
  </si>
  <si>
    <t>CAF on Prgm Expense</t>
  </si>
  <si>
    <t>CAF on Prgm Expenses</t>
  </si>
  <si>
    <t>OCCUPANCY per FTE</t>
  </si>
  <si>
    <t>STAFF TRAINING per FTE</t>
  </si>
  <si>
    <t>TRAINING ADD-ON Per FTE</t>
  </si>
  <si>
    <t>Total Slots</t>
  </si>
  <si>
    <t xml:space="preserve">Hours per slot </t>
  </si>
  <si>
    <t>Commonwealth FY23 Rate</t>
  </si>
  <si>
    <t xml:space="preserve">BLS /OES Massachusetts M2021 53rd Percentile </t>
  </si>
  <si>
    <t>DSW</t>
  </si>
  <si>
    <t>DSW III</t>
  </si>
  <si>
    <t>Direct Servie Worker, Direct Care, Direct Care Blend, Non Specialized DC, Peer mentor, Family Specialist/ Partner</t>
  </si>
  <si>
    <t>Developmental Specialist, Direct Service Worker III</t>
  </si>
  <si>
    <t>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</si>
</sst>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0.0000"/>
    <numFmt numFmtId="170" formatCode="_(&quot;$&quot;* #,##0.000_);_(&quot;$&quot;* \(#,##0.000\);_(&quot;$&quot;* &quot;-&quot;??_);_(@_)"/>
    <numFmt numFmtId="171" formatCode="0.000"/>
    <numFmt numFmtId="172" formatCode="[$-409]mmmm\ d\,\ yy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Calibri"/>
      <family val="2"/>
    </font>
    <font>
      <b/>
      <sz val="12"/>
      <name val="Arial"/>
      <family val="2"/>
    </font>
    <font>
      <sz val="9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39" fillId="0" borderId="0">
      <alignment horizontal="left" vertical="center" wrapText="1"/>
    </xf>
    <xf numFmtId="9" fontId="5" fillId="0" borderId="0" applyFont="0" applyFill="0" applyBorder="0" applyAlignment="0" applyProtection="0"/>
  </cellStyleXfs>
  <cellXfs count="34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0" fillId="0" borderId="6" xfId="0" applyBorder="1"/>
    <xf numFmtId="164" fontId="6" fillId="0" borderId="6" xfId="3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6" fillId="0" borderId="9" xfId="3" applyNumberFormat="1" applyFont="1" applyBorder="1"/>
    <xf numFmtId="0" fontId="0" fillId="0" borderId="13" xfId="0" applyBorder="1"/>
    <xf numFmtId="44" fontId="0" fillId="0" borderId="12" xfId="1" applyFont="1" applyBorder="1"/>
    <xf numFmtId="44" fontId="0" fillId="0" borderId="13" xfId="1" applyFont="1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2" fontId="0" fillId="0" borderId="14" xfId="0" applyNumberFormat="1" applyBorder="1" applyAlignment="1">
      <alignment horizontal="center"/>
    </xf>
    <xf numFmtId="0" fontId="0" fillId="0" borderId="10" xfId="0" applyBorder="1"/>
    <xf numFmtId="44" fontId="0" fillId="0" borderId="9" xfId="1" applyFont="1" applyBorder="1"/>
    <xf numFmtId="44" fontId="0" fillId="0" borderId="10" xfId="1" applyFont="1" applyBorder="1"/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6" xfId="1" applyFont="1" applyBorder="1"/>
    <xf numFmtId="2" fontId="0" fillId="0" borderId="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6" xfId="0" applyBorder="1"/>
    <xf numFmtId="2" fontId="0" fillId="0" borderId="16" xfId="0" applyNumberFormat="1" applyBorder="1" applyAlignment="1">
      <alignment horizontal="center"/>
    </xf>
    <xf numFmtId="0" fontId="0" fillId="0" borderId="17" xfId="0" applyBorder="1"/>
    <xf numFmtId="0" fontId="2" fillId="0" borderId="16" xfId="0" applyFont="1" applyBorder="1"/>
    <xf numFmtId="0" fontId="0" fillId="0" borderId="19" xfId="0" applyBorder="1"/>
    <xf numFmtId="0" fontId="2" fillId="0" borderId="18" xfId="0" applyFont="1" applyBorder="1"/>
    <xf numFmtId="0" fontId="2" fillId="0" borderId="19" xfId="0" applyFont="1" applyBorder="1"/>
    <xf numFmtId="0" fontId="2" fillId="0" borderId="5" xfId="0" applyFont="1" applyBorder="1" applyAlignment="1">
      <alignment horizontal="center" vertical="center" wrapText="1"/>
    </xf>
    <xf numFmtId="10" fontId="0" fillId="0" borderId="6" xfId="2" applyNumberFormat="1" applyFont="1" applyBorder="1"/>
    <xf numFmtId="10" fontId="0" fillId="0" borderId="9" xfId="2" applyNumberFormat="1" applyFont="1" applyBorder="1"/>
    <xf numFmtId="0" fontId="6" fillId="0" borderId="12" xfId="0" applyFont="1" applyBorder="1"/>
    <xf numFmtId="0" fontId="6" fillId="0" borderId="9" xfId="0" applyFont="1" applyBorder="1"/>
    <xf numFmtId="165" fontId="1" fillId="0" borderId="9" xfId="1" applyNumberFormat="1" applyBorder="1" applyAlignment="1">
      <alignment horizontal="right"/>
    </xf>
    <xf numFmtId="44" fontId="1" fillId="0" borderId="9" xfId="1" applyBorder="1"/>
    <xf numFmtId="166" fontId="1" fillId="0" borderId="9" xfId="1" applyNumberFormat="1" applyBorder="1" applyAlignment="1">
      <alignment horizontal="right"/>
    </xf>
    <xf numFmtId="0" fontId="9" fillId="0" borderId="9" xfId="0" applyFont="1" applyBorder="1" applyAlignment="1">
      <alignment horizontal="left"/>
    </xf>
    <xf numFmtId="166" fontId="1" fillId="0" borderId="6" xfId="1" applyNumberFormat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0" fontId="6" fillId="0" borderId="6" xfId="0" applyFont="1" applyBorder="1"/>
    <xf numFmtId="0" fontId="10" fillId="0" borderId="21" xfId="4" applyFont="1" applyBorder="1"/>
    <xf numFmtId="0" fontId="10" fillId="0" borderId="0" xfId="4" applyFont="1"/>
    <xf numFmtId="0" fontId="10" fillId="0" borderId="0" xfId="4" applyFont="1" applyAlignment="1">
      <alignment horizontal="right"/>
    </xf>
    <xf numFmtId="3" fontId="10" fillId="0" borderId="22" xfId="4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167" fontId="1" fillId="0" borderId="0" xfId="1" applyNumberFormat="1"/>
    <xf numFmtId="167" fontId="0" fillId="0" borderId="22" xfId="0" applyNumberFormat="1" applyBorder="1"/>
    <xf numFmtId="0" fontId="2" fillId="0" borderId="2" xfId="0" applyFont="1" applyBorder="1"/>
    <xf numFmtId="0" fontId="2" fillId="0" borderId="4" xfId="0" applyFont="1" applyBorder="1"/>
    <xf numFmtId="2" fontId="2" fillId="0" borderId="4" xfId="0" applyNumberFormat="1" applyFont="1" applyBorder="1"/>
    <xf numFmtId="167" fontId="2" fillId="0" borderId="3" xfId="0" applyNumberFormat="1" applyFont="1" applyBorder="1"/>
    <xf numFmtId="0" fontId="0" fillId="0" borderId="23" xfId="0" applyBorder="1"/>
    <xf numFmtId="10" fontId="1" fillId="0" borderId="16" xfId="2" applyNumberFormat="1" applyBorder="1"/>
    <xf numFmtId="167" fontId="0" fillId="0" borderId="24" xfId="0" applyNumberFormat="1" applyBorder="1"/>
    <xf numFmtId="10" fontId="1" fillId="0" borderId="0" xfId="2" applyNumberFormat="1"/>
    <xf numFmtId="0" fontId="7" fillId="0" borderId="2" xfId="0" applyFont="1" applyBorder="1"/>
    <xf numFmtId="0" fontId="7" fillId="0" borderId="4" xfId="0" applyFont="1" applyBorder="1"/>
    <xf numFmtId="167" fontId="7" fillId="0" borderId="3" xfId="0" applyNumberFormat="1" applyFont="1" applyBorder="1"/>
    <xf numFmtId="0" fontId="2" fillId="0" borderId="21" xfId="0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44" fontId="1" fillId="0" borderId="0" xfId="1"/>
    <xf numFmtId="167" fontId="1" fillId="0" borderId="22" xfId="1" applyNumberFormat="1" applyBorder="1"/>
    <xf numFmtId="166" fontId="0" fillId="0" borderId="0" xfId="0" applyNumberFormat="1"/>
    <xf numFmtId="0" fontId="7" fillId="0" borderId="25" xfId="0" applyFont="1" applyBorder="1"/>
    <xf numFmtId="0" fontId="0" fillId="0" borderId="20" xfId="0" applyBorder="1"/>
    <xf numFmtId="167" fontId="7" fillId="0" borderId="26" xfId="0" applyNumberFormat="1" applyFont="1" applyBorder="1"/>
    <xf numFmtId="0" fontId="2" fillId="0" borderId="27" xfId="0" applyFont="1" applyBorder="1"/>
    <xf numFmtId="0" fontId="2" fillId="0" borderId="28" xfId="0" applyFont="1" applyBorder="1"/>
    <xf numFmtId="167" fontId="2" fillId="0" borderId="29" xfId="0" applyNumberFormat="1" applyFont="1" applyBorder="1"/>
    <xf numFmtId="167" fontId="0" fillId="0" borderId="0" xfId="0" applyNumberFormat="1"/>
    <xf numFmtId="44" fontId="1" fillId="0" borderId="22" xfId="1" applyBorder="1"/>
    <xf numFmtId="0" fontId="8" fillId="0" borderId="30" xfId="4" applyFont="1" applyBorder="1" applyAlignment="1">
      <alignment horizontal="center"/>
    </xf>
    <xf numFmtId="0" fontId="2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2" fillId="0" borderId="17" xfId="0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17" xfId="0" applyBorder="1" applyAlignment="1">
      <alignment horizontal="center"/>
    </xf>
    <xf numFmtId="166" fontId="14" fillId="0" borderId="17" xfId="0" applyNumberFormat="1" applyFont="1" applyBorder="1" applyAlignment="1">
      <alignment horizontal="center"/>
    </xf>
    <xf numFmtId="0" fontId="2" fillId="0" borderId="0" xfId="0" applyFont="1"/>
    <xf numFmtId="166" fontId="2" fillId="0" borderId="0" xfId="0" applyNumberFormat="1" applyFont="1"/>
    <xf numFmtId="44" fontId="0" fillId="4" borderId="22" xfId="1" applyFont="1" applyFill="1" applyBorder="1"/>
    <xf numFmtId="166" fontId="13" fillId="0" borderId="17" xfId="0" applyNumberFormat="1" applyFont="1" applyBorder="1" applyAlignment="1">
      <alignment horizontal="center"/>
    </xf>
    <xf numFmtId="166" fontId="2" fillId="0" borderId="16" xfId="0" applyNumberFormat="1" applyFont="1" applyBorder="1"/>
    <xf numFmtId="166" fontId="2" fillId="5" borderId="0" xfId="0" applyNumberFormat="1" applyFont="1" applyFill="1"/>
    <xf numFmtId="44" fontId="0" fillId="0" borderId="0" xfId="1" applyFont="1"/>
    <xf numFmtId="0" fontId="2" fillId="0" borderId="35" xfId="0" applyFont="1" applyBorder="1"/>
    <xf numFmtId="166" fontId="2" fillId="5" borderId="35" xfId="0" applyNumberFormat="1" applyFont="1" applyFill="1" applyBorder="1"/>
    <xf numFmtId="166" fontId="2" fillId="6" borderId="36" xfId="0" applyNumberFormat="1" applyFont="1" applyFill="1" applyBorder="1"/>
    <xf numFmtId="169" fontId="0" fillId="0" borderId="0" xfId="0" applyNumberFormat="1"/>
    <xf numFmtId="0" fontId="0" fillId="3" borderId="34" xfId="0" applyFill="1" applyBorder="1" applyAlignment="1">
      <alignment horizontal="center"/>
    </xf>
    <xf numFmtId="0" fontId="0" fillId="3" borderId="17" xfId="0" applyFill="1" applyBorder="1"/>
    <xf numFmtId="166" fontId="14" fillId="3" borderId="17" xfId="0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2" fillId="0" borderId="21" xfId="0" applyFont="1" applyBorder="1"/>
    <xf numFmtId="8" fontId="0" fillId="0" borderId="0" xfId="0" applyNumberFormat="1"/>
    <xf numFmtId="8" fontId="0" fillId="0" borderId="17" xfId="0" applyNumberFormat="1" applyBorder="1" applyAlignment="1">
      <alignment horizontal="center"/>
    </xf>
    <xf numFmtId="0" fontId="0" fillId="3" borderId="37" xfId="0" applyFill="1" applyBorder="1"/>
    <xf numFmtId="166" fontId="14" fillId="3" borderId="3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9" xfId="0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166" fontId="13" fillId="0" borderId="0" xfId="0" applyNumberFormat="1" applyFont="1"/>
    <xf numFmtId="0" fontId="18" fillId="0" borderId="0" xfId="0" applyFont="1"/>
    <xf numFmtId="0" fontId="0" fillId="0" borderId="0" xfId="0" applyAlignment="1">
      <alignment wrapText="1"/>
    </xf>
    <xf numFmtId="0" fontId="19" fillId="0" borderId="0" xfId="0" applyFont="1"/>
    <xf numFmtId="167" fontId="14" fillId="0" borderId="0" xfId="5" applyNumberFormat="1" applyFont="1"/>
    <xf numFmtId="167" fontId="20" fillId="0" borderId="0" xfId="5" applyNumberFormat="1" applyFont="1" applyAlignment="1">
      <alignment horizontal="center" wrapText="1"/>
    </xf>
    <xf numFmtId="44" fontId="0" fillId="0" borderId="0" xfId="0" applyNumberFormat="1"/>
    <xf numFmtId="167" fontId="21" fillId="0" borderId="0" xfId="5" applyNumberFormat="1" applyFont="1" applyAlignment="1">
      <alignment horizontal="center" wrapText="1"/>
    </xf>
    <xf numFmtId="0" fontId="22" fillId="0" borderId="0" xfId="0" applyFont="1"/>
    <xf numFmtId="165" fontId="13" fillId="0" borderId="0" xfId="0" applyNumberFormat="1" applyFont="1"/>
    <xf numFmtId="8" fontId="13" fillId="0" borderId="0" xfId="0" applyNumberFormat="1" applyFont="1"/>
    <xf numFmtId="167" fontId="23" fillId="0" borderId="0" xfId="5" applyNumberFormat="1" applyFont="1"/>
    <xf numFmtId="167" fontId="5" fillId="0" borderId="0" xfId="5" applyNumberFormat="1"/>
    <xf numFmtId="0" fontId="12" fillId="0" borderId="0" xfId="0" applyFont="1"/>
    <xf numFmtId="6" fontId="0" fillId="0" borderId="0" xfId="0" applyNumberFormat="1"/>
    <xf numFmtId="167" fontId="24" fillId="0" borderId="0" xfId="5" applyNumberFormat="1" applyFont="1"/>
    <xf numFmtId="44" fontId="14" fillId="0" borderId="0" xfId="5" applyFont="1"/>
    <xf numFmtId="0" fontId="2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44" fontId="0" fillId="0" borderId="17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4" fontId="7" fillId="0" borderId="17" xfId="0" applyNumberFormat="1" applyFon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0" xfId="0" applyFont="1"/>
    <xf numFmtId="0" fontId="8" fillId="7" borderId="2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6" fillId="0" borderId="31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8" fillId="0" borderId="40" xfId="0" applyFont="1" applyBorder="1" applyAlignment="1">
      <alignment horizontal="right"/>
    </xf>
    <xf numFmtId="0" fontId="27" fillId="0" borderId="0" xfId="0" applyFont="1" applyAlignment="1">
      <alignment horizontal="right"/>
    </xf>
    <xf numFmtId="5" fontId="28" fillId="0" borderId="0" xfId="6" applyNumberFormat="1" applyFont="1" applyAlignment="1">
      <alignment horizontal="center"/>
    </xf>
    <xf numFmtId="170" fontId="1" fillId="0" borderId="0" xfId="7" applyNumberFormat="1" applyFont="1"/>
    <xf numFmtId="171" fontId="0" fillId="0" borderId="0" xfId="0" applyNumberFormat="1"/>
    <xf numFmtId="0" fontId="8" fillId="0" borderId="2" xfId="0" applyFont="1" applyBorder="1" applyAlignment="1">
      <alignment horizontal="right"/>
    </xf>
    <xf numFmtId="166" fontId="2" fillId="5" borderId="4" xfId="7" applyNumberFormat="1" applyFont="1" applyFill="1" applyBorder="1" applyAlignment="1">
      <alignment horizontal="center"/>
    </xf>
    <xf numFmtId="166" fontId="2" fillId="5" borderId="4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8" fillId="0" borderId="0" xfId="0" applyFont="1" applyAlignment="1">
      <alignment horizontal="right"/>
    </xf>
    <xf numFmtId="166" fontId="2" fillId="0" borderId="0" xfId="7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0" fontId="6" fillId="8" borderId="0" xfId="0" applyFont="1" applyFill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center" wrapText="1"/>
    </xf>
    <xf numFmtId="0" fontId="29" fillId="9" borderId="31" xfId="8" applyFont="1" applyFill="1" applyBorder="1"/>
    <xf numFmtId="0" fontId="29" fillId="9" borderId="32" xfId="8" applyFont="1" applyFill="1" applyBorder="1"/>
    <xf numFmtId="0" fontId="29" fillId="9" borderId="32" xfId="8" applyFont="1" applyFill="1" applyBorder="1" applyAlignment="1">
      <alignment horizontal="center"/>
    </xf>
    <xf numFmtId="164" fontId="29" fillId="9" borderId="33" xfId="8" applyNumberFormat="1" applyFont="1" applyFill="1" applyBorder="1" applyAlignment="1">
      <alignment horizontal="center"/>
    </xf>
    <xf numFmtId="0" fontId="30" fillId="9" borderId="21" xfId="8" applyFont="1" applyFill="1" applyBorder="1"/>
    <xf numFmtId="0" fontId="30" fillId="9" borderId="0" xfId="8" applyFont="1" applyFill="1" applyAlignment="1">
      <alignment horizontal="right"/>
    </xf>
    <xf numFmtId="0" fontId="31" fillId="9" borderId="0" xfId="8" applyFont="1" applyFill="1" applyAlignment="1">
      <alignment horizontal="center"/>
    </xf>
    <xf numFmtId="0" fontId="30" fillId="9" borderId="22" xfId="8" applyFont="1" applyFill="1" applyBorder="1" applyAlignment="1">
      <alignment horizontal="center"/>
    </xf>
    <xf numFmtId="0" fontId="30" fillId="9" borderId="23" xfId="8" applyFont="1" applyFill="1" applyBorder="1"/>
    <xf numFmtId="0" fontId="30" fillId="9" borderId="16" xfId="8" applyFont="1" applyFill="1" applyBorder="1" applyAlignment="1">
      <alignment horizontal="right"/>
    </xf>
    <xf numFmtId="1" fontId="31" fillId="9" borderId="16" xfId="8" applyNumberFormat="1" applyFont="1" applyFill="1" applyBorder="1" applyAlignment="1">
      <alignment horizontal="center"/>
    </xf>
    <xf numFmtId="1" fontId="30" fillId="9" borderId="24" xfId="8" applyNumberFormat="1" applyFont="1" applyFill="1" applyBorder="1" applyAlignment="1">
      <alignment horizontal="center"/>
    </xf>
    <xf numFmtId="0" fontId="30" fillId="9" borderId="0" xfId="8" applyFont="1" applyFill="1"/>
    <xf numFmtId="1" fontId="30" fillId="9" borderId="22" xfId="8" applyNumberFormat="1" applyFont="1" applyFill="1" applyBorder="1" applyAlignment="1">
      <alignment horizontal="center"/>
    </xf>
    <xf numFmtId="0" fontId="30" fillId="9" borderId="40" xfId="8" applyFont="1" applyFill="1" applyBorder="1"/>
    <xf numFmtId="0" fontId="30" fillId="9" borderId="1" xfId="8" applyFont="1" applyFill="1" applyBorder="1"/>
    <xf numFmtId="0" fontId="30" fillId="9" borderId="1" xfId="8" applyFont="1" applyFill="1" applyBorder="1" applyAlignment="1">
      <alignment horizontal="right"/>
    </xf>
    <xf numFmtId="1" fontId="30" fillId="9" borderId="39" xfId="8" applyNumberFormat="1" applyFont="1" applyFill="1" applyBorder="1" applyAlignment="1">
      <alignment horizontal="center"/>
    </xf>
    <xf numFmtId="0" fontId="32" fillId="0" borderId="0" xfId="9" applyFont="1"/>
    <xf numFmtId="0" fontId="33" fillId="0" borderId="0" xfId="9" applyFont="1" applyAlignment="1">
      <alignment horizontal="center"/>
    </xf>
    <xf numFmtId="0" fontId="32" fillId="0" borderId="0" xfId="9" applyFont="1" applyAlignment="1">
      <alignment wrapText="1"/>
    </xf>
    <xf numFmtId="17" fontId="34" fillId="0" borderId="0" xfId="9" applyNumberFormat="1" applyFont="1" applyAlignment="1">
      <alignment horizontal="center"/>
    </xf>
    <xf numFmtId="172" fontId="3" fillId="0" borderId="0" xfId="9" applyNumberFormat="1" applyFont="1" applyAlignment="1">
      <alignment horizontal="left" vertical="top"/>
    </xf>
    <xf numFmtId="0" fontId="3" fillId="0" borderId="0" xfId="9" applyFont="1" applyAlignment="1">
      <alignment horizontal="center"/>
    </xf>
    <xf numFmtId="0" fontId="3" fillId="0" borderId="0" xfId="9" applyFont="1"/>
    <xf numFmtId="9" fontId="34" fillId="0" borderId="0" xfId="9" applyNumberFormat="1" applyFont="1" applyAlignment="1">
      <alignment horizontal="center" wrapText="1"/>
    </xf>
    <xf numFmtId="0" fontId="3" fillId="0" borderId="0" xfId="9" applyFont="1" applyAlignment="1">
      <alignment horizontal="left" wrapText="1"/>
    </xf>
    <xf numFmtId="0" fontId="32" fillId="0" borderId="31" xfId="9" applyFont="1" applyBorder="1"/>
    <xf numFmtId="166" fontId="32" fillId="0" borderId="30" xfId="9" applyNumberFormat="1" applyFont="1" applyBorder="1" applyAlignment="1">
      <alignment horizontal="center"/>
    </xf>
    <xf numFmtId="0" fontId="32" fillId="0" borderId="40" xfId="9" applyFont="1" applyBorder="1"/>
    <xf numFmtId="165" fontId="32" fillId="0" borderId="1" xfId="9" applyNumberFormat="1" applyFont="1" applyBorder="1" applyAlignment="1">
      <alignment horizontal="center"/>
    </xf>
    <xf numFmtId="0" fontId="32" fillId="0" borderId="32" xfId="9" applyFont="1" applyBorder="1"/>
    <xf numFmtId="0" fontId="32" fillId="0" borderId="21" xfId="9" applyFont="1" applyBorder="1"/>
    <xf numFmtId="165" fontId="32" fillId="0" borderId="0" xfId="9" applyNumberFormat="1" applyFont="1" applyAlignment="1">
      <alignment horizontal="center"/>
    </xf>
    <xf numFmtId="0" fontId="32" fillId="0" borderId="1" xfId="9" applyFont="1" applyBorder="1"/>
    <xf numFmtId="0" fontId="32" fillId="0" borderId="31" xfId="9" applyFont="1" applyBorder="1" applyAlignment="1">
      <alignment wrapText="1"/>
    </xf>
    <xf numFmtId="0" fontId="32" fillId="0" borderId="40" xfId="9" applyFont="1" applyBorder="1" applyAlignment="1">
      <alignment wrapText="1"/>
    </xf>
    <xf numFmtId="166" fontId="32" fillId="0" borderId="32" xfId="9" applyNumberFormat="1" applyFont="1" applyBorder="1" applyAlignment="1">
      <alignment horizontal="center"/>
    </xf>
    <xf numFmtId="166" fontId="32" fillId="0" borderId="0" xfId="9" applyNumberFormat="1" applyFont="1" applyAlignment="1">
      <alignment horizontal="center"/>
    </xf>
    <xf numFmtId="0" fontId="32" fillId="0" borderId="0" xfId="9" applyFont="1" applyAlignment="1">
      <alignment horizontal="right" wrapText="1"/>
    </xf>
    <xf numFmtId="0" fontId="32" fillId="0" borderId="0" xfId="9" applyFont="1" applyAlignment="1">
      <alignment horizontal="center"/>
    </xf>
    <xf numFmtId="0" fontId="32" fillId="0" borderId="0" xfId="9" applyFont="1" applyAlignment="1">
      <alignment horizontal="right"/>
    </xf>
    <xf numFmtId="10" fontId="32" fillId="0" borderId="0" xfId="2" applyNumberFormat="1" applyFont="1" applyAlignment="1">
      <alignment horizontal="center"/>
    </xf>
    <xf numFmtId="9" fontId="32" fillId="0" borderId="0" xfId="2" applyFont="1" applyAlignment="1">
      <alignment horizontal="center"/>
    </xf>
    <xf numFmtId="9" fontId="32" fillId="0" borderId="0" xfId="2" applyFont="1"/>
    <xf numFmtId="0" fontId="5" fillId="0" borderId="0" xfId="10"/>
    <xf numFmtId="0" fontId="23" fillId="10" borderId="0" xfId="10" applyFont="1" applyFill="1"/>
    <xf numFmtId="0" fontId="36" fillId="10" borderId="22" xfId="10" applyFont="1" applyFill="1" applyBorder="1"/>
    <xf numFmtId="0" fontId="37" fillId="10" borderId="1" xfId="10" applyFont="1" applyFill="1" applyBorder="1"/>
    <xf numFmtId="0" fontId="36" fillId="10" borderId="39" xfId="10" applyFont="1" applyFill="1" applyBorder="1"/>
    <xf numFmtId="0" fontId="36" fillId="0" borderId="0" xfId="10" applyFont="1"/>
    <xf numFmtId="0" fontId="38" fillId="11" borderId="0" xfId="11" applyFont="1" applyFill="1"/>
    <xf numFmtId="0" fontId="38" fillId="12" borderId="0" xfId="11" applyFont="1" applyFill="1"/>
    <xf numFmtId="0" fontId="38" fillId="13" borderId="0" xfId="11" applyFont="1" applyFill="1"/>
    <xf numFmtId="0" fontId="38" fillId="14" borderId="0" xfId="10" applyFont="1" applyFill="1" applyAlignment="1">
      <alignment horizontal="center"/>
    </xf>
    <xf numFmtId="0" fontId="38" fillId="15" borderId="0" xfId="10" applyFont="1" applyFill="1" applyAlignment="1">
      <alignment horizontal="center"/>
    </xf>
    <xf numFmtId="14" fontId="36" fillId="0" borderId="0" xfId="10" applyNumberFormat="1" applyFont="1"/>
    <xf numFmtId="171" fontId="5" fillId="0" borderId="0" xfId="10" applyNumberFormat="1"/>
    <xf numFmtId="2" fontId="5" fillId="0" borderId="0" xfId="10" applyNumberFormat="1"/>
    <xf numFmtId="0" fontId="36" fillId="0" borderId="0" xfId="12" applyFont="1" applyAlignment="1"/>
    <xf numFmtId="0" fontId="39" fillId="0" borderId="0" xfId="12" applyAlignment="1"/>
    <xf numFmtId="0" fontId="40" fillId="0" borderId="0" xfId="12" applyFont="1" applyAlignment="1"/>
    <xf numFmtId="0" fontId="41" fillId="0" borderId="0" xfId="12" applyFont="1" applyAlignment="1"/>
    <xf numFmtId="0" fontId="39" fillId="0" borderId="13" xfId="12" applyBorder="1" applyAlignment="1"/>
    <xf numFmtId="0" fontId="39" fillId="0" borderId="15" xfId="12" applyBorder="1" applyAlignment="1"/>
    <xf numFmtId="0" fontId="39" fillId="0" borderId="14" xfId="12" applyBorder="1" applyAlignment="1"/>
    <xf numFmtId="0" fontId="39" fillId="0" borderId="10" xfId="12" applyBorder="1" applyAlignment="1"/>
    <xf numFmtId="0" fontId="39" fillId="0" borderId="0" xfId="12" applyAlignment="1">
      <alignment horizontal="right"/>
    </xf>
    <xf numFmtId="0" fontId="36" fillId="0" borderId="0" xfId="12" applyFont="1" applyAlignment="1">
      <alignment horizontal="center"/>
    </xf>
    <xf numFmtId="0" fontId="39" fillId="0" borderId="11" xfId="12" applyBorder="1" applyAlignment="1"/>
    <xf numFmtId="168" fontId="5" fillId="0" borderId="0" xfId="10" applyNumberFormat="1"/>
    <xf numFmtId="14" fontId="36" fillId="0" borderId="0" xfId="10" applyNumberFormat="1" applyFont="1" applyAlignment="1">
      <alignment horizontal="center"/>
    </xf>
    <xf numFmtId="0" fontId="42" fillId="0" borderId="11" xfId="12" applyFont="1" applyBorder="1" applyAlignment="1">
      <alignment horizontal="center"/>
    </xf>
    <xf numFmtId="171" fontId="5" fillId="0" borderId="17" xfId="10" applyNumberFormat="1" applyBorder="1"/>
    <xf numFmtId="171" fontId="39" fillId="0" borderId="11" xfId="12" applyNumberFormat="1" applyBorder="1" applyAlignment="1">
      <alignment horizontal="center"/>
    </xf>
    <xf numFmtId="0" fontId="39" fillId="0" borderId="11" xfId="12" applyBorder="1" applyAlignment="1">
      <alignment horizontal="center"/>
    </xf>
    <xf numFmtId="0" fontId="39" fillId="0" borderId="10" xfId="12" applyBorder="1" applyAlignment="1">
      <alignment horizontal="right"/>
    </xf>
    <xf numFmtId="0" fontId="36" fillId="5" borderId="0" xfId="12" applyFont="1" applyFill="1" applyAlignment="1">
      <alignment horizontal="right"/>
    </xf>
    <xf numFmtId="10" fontId="36" fillId="5" borderId="11" xfId="13" applyNumberFormat="1" applyFont="1" applyFill="1" applyBorder="1" applyAlignment="1">
      <alignment horizontal="center"/>
    </xf>
    <xf numFmtId="0" fontId="39" fillId="0" borderId="7" xfId="12" applyBorder="1" applyAlignment="1"/>
    <xf numFmtId="0" fontId="39" fillId="0" borderId="16" xfId="12" applyBorder="1" applyAlignment="1"/>
    <xf numFmtId="0" fontId="39" fillId="0" borderId="8" xfId="12" applyBorder="1" applyAlignment="1"/>
    <xf numFmtId="10" fontId="32" fillId="0" borderId="0" xfId="9" applyNumberFormat="1" applyFont="1" applyAlignment="1">
      <alignment horizontal="center"/>
    </xf>
    <xf numFmtId="44" fontId="0" fillId="0" borderId="24" xfId="0" applyNumberFormat="1" applyBorder="1"/>
    <xf numFmtId="44" fontId="0" fillId="0" borderId="22" xfId="0" applyNumberFormat="1" applyBorder="1"/>
    <xf numFmtId="44" fontId="7" fillId="0" borderId="3" xfId="0" applyNumberFormat="1" applyFont="1" applyBorder="1"/>
    <xf numFmtId="164" fontId="6" fillId="0" borderId="10" xfId="3" applyNumberFormat="1" applyFont="1" applyBorder="1"/>
    <xf numFmtId="44" fontId="0" fillId="0" borderId="10" xfId="1" applyFont="1" applyFill="1" applyBorder="1"/>
    <xf numFmtId="164" fontId="6" fillId="0" borderId="7" xfId="3" applyNumberFormat="1" applyFont="1" applyBorder="1"/>
    <xf numFmtId="44" fontId="0" fillId="0" borderId="6" xfId="1" applyFont="1" applyFill="1" applyBorder="1"/>
    <xf numFmtId="2" fontId="0" fillId="0" borderId="7" xfId="0" applyNumberFormat="1" applyBorder="1" applyAlignment="1">
      <alignment horizontal="center"/>
    </xf>
    <xf numFmtId="164" fontId="6" fillId="0" borderId="13" xfId="3" applyNumberFormat="1" applyFont="1" applyBorder="1"/>
    <xf numFmtId="0" fontId="0" fillId="0" borderId="14" xfId="0" applyBorder="1"/>
    <xf numFmtId="0" fontId="0" fillId="0" borderId="11" xfId="0" applyBorder="1"/>
    <xf numFmtId="44" fontId="0" fillId="0" borderId="7" xfId="1" applyFont="1" applyFill="1" applyBorder="1"/>
    <xf numFmtId="0" fontId="7" fillId="0" borderId="18" xfId="0" applyFont="1" applyBorder="1"/>
    <xf numFmtId="0" fontId="7" fillId="0" borderId="17" xfId="0" applyFont="1" applyBorder="1"/>
    <xf numFmtId="0" fontId="6" fillId="0" borderId="13" xfId="3" applyFont="1" applyBorder="1"/>
    <xf numFmtId="44" fontId="0" fillId="0" borderId="13" xfId="1" applyFont="1" applyFill="1" applyBorder="1"/>
    <xf numFmtId="2" fontId="0" fillId="0" borderId="13" xfId="0" applyNumberFormat="1" applyBorder="1" applyAlignment="1">
      <alignment horizontal="center"/>
    </xf>
    <xf numFmtId="167" fontId="0" fillId="0" borderId="9" xfId="1" applyNumberFormat="1" applyFont="1" applyBorder="1"/>
    <xf numFmtId="16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8" fontId="1" fillId="0" borderId="0" xfId="1" applyNumberFormat="1" applyAlignment="1">
      <alignment horizontal="right"/>
    </xf>
    <xf numFmtId="0" fontId="7" fillId="0" borderId="27" xfId="0" applyFont="1" applyBorder="1"/>
    <xf numFmtId="0" fontId="7" fillId="0" borderId="28" xfId="0" applyFont="1" applyBorder="1"/>
    <xf numFmtId="44" fontId="7" fillId="5" borderId="29" xfId="0" applyNumberFormat="1" applyFont="1" applyFill="1" applyBorder="1"/>
    <xf numFmtId="165" fontId="6" fillId="0" borderId="32" xfId="0" applyNumberFormat="1" applyFont="1" applyBorder="1"/>
    <xf numFmtId="10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0" fillId="0" borderId="1" xfId="0" applyNumberFormat="1" applyBorder="1"/>
    <xf numFmtId="0" fontId="0" fillId="0" borderId="0" xfId="0" applyAlignment="1">
      <alignment horizontal="center"/>
    </xf>
    <xf numFmtId="10" fontId="0" fillId="0" borderId="0" xfId="2" applyNumberFormat="1" applyFont="1" applyBorder="1"/>
    <xf numFmtId="0" fontId="26" fillId="0" borderId="0" xfId="0" applyFont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44" fontId="28" fillId="0" borderId="17" xfId="0" applyNumberFormat="1" applyFont="1" applyBorder="1" applyAlignment="1">
      <alignment horizontal="center" vertical="center"/>
    </xf>
    <xf numFmtId="2" fontId="0" fillId="0" borderId="18" xfId="0" applyNumberFormat="1" applyBorder="1"/>
    <xf numFmtId="2" fontId="0" fillId="0" borderId="19" xfId="0" applyNumberFormat="1" applyBorder="1"/>
    <xf numFmtId="0" fontId="10" fillId="2" borderId="2" xfId="4" applyFont="1" applyFill="1" applyBorder="1" applyAlignment="1">
      <alignment horizontal="center"/>
    </xf>
    <xf numFmtId="0" fontId="10" fillId="2" borderId="4" xfId="4" applyFont="1" applyFill="1" applyBorder="1" applyAlignment="1">
      <alignment horizontal="center"/>
    </xf>
    <xf numFmtId="0" fontId="10" fillId="2" borderId="3" xfId="4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/>
    </xf>
    <xf numFmtId="0" fontId="6" fillId="7" borderId="3" xfId="0" applyFont="1" applyFill="1" applyBorder="1"/>
    <xf numFmtId="0" fontId="43" fillId="0" borderId="32" xfId="0" applyFont="1" applyBorder="1"/>
    <xf numFmtId="0" fontId="43" fillId="0" borderId="33" xfId="0" applyFont="1" applyBorder="1"/>
    <xf numFmtId="0" fontId="43" fillId="0" borderId="0" xfId="0" applyFont="1"/>
    <xf numFmtId="0" fontId="43" fillId="0" borderId="22" xfId="0" applyFont="1" applyBorder="1"/>
    <xf numFmtId="0" fontId="32" fillId="0" borderId="33" xfId="9" applyFont="1" applyBorder="1" applyAlignment="1">
      <alignment horizontal="left" vertical="center" wrapText="1"/>
    </xf>
    <xf numFmtId="0" fontId="32" fillId="0" borderId="39" xfId="9" applyFont="1" applyBorder="1" applyAlignment="1">
      <alignment horizontal="left" vertical="center" wrapText="1"/>
    </xf>
    <xf numFmtId="0" fontId="32" fillId="0" borderId="32" xfId="9" applyFont="1" applyBorder="1" applyAlignment="1">
      <alignment horizontal="left" vertical="top" wrapText="1"/>
    </xf>
    <xf numFmtId="0" fontId="32" fillId="0" borderId="1" xfId="9" applyFont="1" applyBorder="1" applyAlignment="1">
      <alignment horizontal="left" vertical="top" wrapText="1"/>
    </xf>
    <xf numFmtId="0" fontId="32" fillId="0" borderId="22" xfId="9" applyFont="1" applyBorder="1" applyAlignment="1">
      <alignment horizontal="left" vertical="center" wrapText="1"/>
    </xf>
    <xf numFmtId="49" fontId="32" fillId="0" borderId="33" xfId="9" applyNumberFormat="1" applyFont="1" applyBorder="1" applyAlignment="1">
      <alignment horizontal="left" vertical="center" wrapText="1"/>
    </xf>
    <xf numFmtId="49" fontId="32" fillId="0" borderId="39" xfId="9" applyNumberFormat="1" applyFont="1" applyBorder="1" applyAlignment="1">
      <alignment horizontal="left" vertical="center" wrapText="1"/>
    </xf>
    <xf numFmtId="0" fontId="32" fillId="0" borderId="32" xfId="9" applyFont="1" applyBorder="1" applyAlignment="1">
      <alignment vertical="top" wrapText="1"/>
    </xf>
    <xf numFmtId="0" fontId="32" fillId="0" borderId="1" xfId="9" applyFont="1" applyBorder="1" applyAlignment="1">
      <alignment vertical="top" wrapText="1"/>
    </xf>
    <xf numFmtId="0" fontId="32" fillId="0" borderId="0" xfId="9" applyFont="1" applyAlignment="1">
      <alignment horizontal="left" vertical="top" wrapText="1"/>
    </xf>
    <xf numFmtId="0" fontId="32" fillId="0" borderId="0" xfId="9" applyFont="1" applyAlignment="1">
      <alignment horizontal="center"/>
    </xf>
    <xf numFmtId="0" fontId="35" fillId="10" borderId="32" xfId="10" applyFont="1" applyFill="1" applyBorder="1" applyAlignment="1">
      <alignment horizontal="left"/>
    </xf>
    <xf numFmtId="0" fontId="35" fillId="10" borderId="33" xfId="10" applyFont="1" applyFill="1" applyBorder="1" applyAlignment="1">
      <alignment horizontal="left"/>
    </xf>
    <xf numFmtId="0" fontId="39" fillId="0" borderId="10" xfId="12" applyBorder="1" applyAlignment="1">
      <alignment horizontal="right"/>
    </xf>
    <xf numFmtId="0" fontId="39" fillId="0" borderId="0" xfId="12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9" xfId="3" applyFont="1" applyBorder="1" applyAlignment="1">
      <alignment horizontal="center" vertical="center" wrapText="1"/>
    </xf>
    <xf numFmtId="164" fontId="6" fillId="0" borderId="15" xfId="3" applyNumberFormat="1" applyFont="1" applyBorder="1" applyAlignment="1">
      <alignment horizontal="center" vertical="center" wrapText="1"/>
    </xf>
    <xf numFmtId="164" fontId="6" fillId="0" borderId="14" xfId="3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14">
    <cellStyle name="Currency" xfId="1" builtinId="4"/>
    <cellStyle name="Currency 2" xfId="5" xr:uid="{F78DB143-2AC9-4D2C-B7C8-FC9D0B104E2F}"/>
    <cellStyle name="Currency 2 2 2" xfId="6" xr:uid="{03E16583-E763-48B4-AC2F-9531925CE1CB}"/>
    <cellStyle name="Currency 2 4 2" xfId="7" xr:uid="{D8531DE5-21B3-4276-8847-8F3DBE7F9C4A}"/>
    <cellStyle name="Normal" xfId="0" builtinId="0"/>
    <cellStyle name="Normal 10" xfId="10" xr:uid="{3288DA96-245F-4188-A7C1-2F416227C094}"/>
    <cellStyle name="Normal 2 2 2" xfId="3" xr:uid="{7984F99C-F17A-4115-8BF9-47396F6F1563}"/>
    <cellStyle name="Normal 3" xfId="4" xr:uid="{84A56E6B-E46E-422C-A62A-9E5B601429E7}"/>
    <cellStyle name="Normal 4 5" xfId="12" xr:uid="{0C6019BE-830B-47F5-A6D3-48A144F23E52}"/>
    <cellStyle name="Normal 5" xfId="9" xr:uid="{41F6AA55-830E-4148-819C-26A58699FE13}"/>
    <cellStyle name="Normal 6 2" xfId="11" xr:uid="{611849E7-3A36-4D0B-91CC-168F26B22401}"/>
    <cellStyle name="Normal 8 2 2" xfId="8" xr:uid="{A01AD66B-F142-4E9F-9803-7330855DC8E8}"/>
    <cellStyle name="Percent" xfId="2" builtinId="5"/>
    <cellStyle name="Percent 2 2" xfId="13" xr:uid="{5EE1A5B9-BA3B-460D-92AD-F31E34DD2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40</xdr:row>
      <xdr:rowOff>76199</xdr:rowOff>
    </xdr:from>
    <xdr:to>
      <xdr:col>71</xdr:col>
      <xdr:colOff>482600</xdr:colOff>
      <xdr:row>53</xdr:row>
      <xdr:rowOff>50799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C9329DB-7567-471E-9DEF-AB00AA5B7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794499"/>
          <a:ext cx="8912225" cy="207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DDS\Boston_500_Harrison_ave\group\OMF\CONTRACT\Reports\Attendance%20Summaries\Monthly%20Attendance%20Summary%20(Bob%20report)%20FY22%202022_09_1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W_Pricing\SubAbuse\2013\Resi%20Rehab\Data\Resi%20Rehab%20_All%20Codes%20Analysi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E\X\Data%20&amp;%20Reporting%20Tools\STARR%20Utilization\STARR%20Utilization%20Tool%20FY10%20Jun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Common\Administrative%20Services-POS%20Policy%20Office\Rate%20Setting\Rate%20Projects\Supported%20Employment-CMR%20419\2018%20Rate%20Review\5.%20Final\SE%20Updated%20Models%208-18-17%20FINAL%20Post%20P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Users\Villacorta\Downloads\FINAL%20ANALYSIS%20Counseling%20Rate%20Options%20071913.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olimini\Desktop\C.257%20%20BLS%20Benchmarks%20M2021%2053rd%20wi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Documents%20and%20Settings\ADeeker\Local%20Settings\Temporary%20Internet%20Files\Content.Outlook\76FJ858H\YITS_DPH_Yr%203%20review_FY2010-2011_General%20Analysi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eeker\Local%20Settings\Temporary%20Internet%20Files\Content.Outlook\76FJ858H\YITS_DPH_Yr%203%20review_FY2010-2011_General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.govt.state.ma.us\DFS\Users\HNaciri\Downloads\Resi%20Rehab%203386&amp;3401%20122613%20330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Util by Contract &amp; Month"/>
      <sheetName val="Util by Claimability, Contr, Mo"/>
      <sheetName val="Util by Month &amp; Attend Code"/>
      <sheetName val="Tech Stuff"/>
    </sheetNames>
    <sheetDataSet>
      <sheetData sheetId="0"/>
      <sheetData sheetId="1"/>
      <sheetData sheetId="2"/>
      <sheetData sheetId="3"/>
      <sheetData sheetId="4">
        <row r="4">
          <cell r="E4" t="str">
            <v xml:space="preserve">
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8">
          <cell r="L68">
            <v>72.246451723559602</v>
          </cell>
        </row>
      </sheetData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3168 ISE"/>
      <sheetName val="2. 3181 GSE"/>
      <sheetName val="3. 3181 HI Intnsty"/>
      <sheetName val="4. DC Add-On"/>
      <sheetName val="5. Travel"/>
      <sheetName val="6. 3169 CBWS"/>
      <sheetName val="7. 3169 HI"/>
      <sheetName val="Consultant"/>
      <sheetName val="Mgmt"/>
      <sheetName val="nonspDC"/>
      <sheetName val="SDC"/>
      <sheetName val="8. Rates Chart"/>
      <sheetName val="FY18 CAF"/>
      <sheetName val="PPH Fiscal Impact"/>
      <sheetName val="Spring CAF"/>
      <sheetName val="Rates Summary Post PH"/>
      <sheetName val="T&amp;F"/>
      <sheetName val="Admin"/>
      <sheetName val="CAF"/>
      <sheetName val="Original CAF"/>
      <sheetName val="3168 FY11 ContractData"/>
      <sheetName val="3168 hrspFTE"/>
      <sheetName val="3168 LTD"/>
      <sheetName val="3169 HRS"/>
      <sheetName val="3169 cltsprFTE"/>
      <sheetName val="3169 Per Unit"/>
      <sheetName val="Otlrs Rmvd 3169 &amp; 3181"/>
      <sheetName val="3181 cltsperFTE"/>
      <sheetName val="new EIM 3181"/>
      <sheetName val="Otlrs Rmvd  3181"/>
      <sheetName val="3181 nonspDC"/>
    </sheetNames>
    <sheetDataSet>
      <sheetData sheetId="0">
        <row r="27">
          <cell r="E27">
            <v>12.750177584564776</v>
          </cell>
        </row>
        <row r="54">
          <cell r="C54">
            <v>3.1819062378922902E-2</v>
          </cell>
        </row>
      </sheetData>
      <sheetData sheetId="1">
        <row r="26">
          <cell r="F26">
            <v>3.6611344327404627</v>
          </cell>
        </row>
      </sheetData>
      <sheetData sheetId="2">
        <row r="28">
          <cell r="F28">
            <v>5.4489483449760163</v>
          </cell>
        </row>
      </sheetData>
      <sheetData sheetId="3">
        <row r="8">
          <cell r="I8">
            <v>4.429601238292463</v>
          </cell>
        </row>
      </sheetData>
      <sheetData sheetId="4">
        <row r="6">
          <cell r="G6">
            <v>7.2713951059296216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7">
          <cell r="BK27">
            <v>2.7235921972764018E-2</v>
          </cell>
        </row>
      </sheetData>
      <sheetData sheetId="15" refreshError="1"/>
      <sheetData sheetId="16">
        <row r="287">
          <cell r="G287">
            <v>0.2299997757370244</v>
          </cell>
        </row>
      </sheetData>
      <sheetData sheetId="17" refreshError="1"/>
      <sheetData sheetId="18" refreshError="1"/>
      <sheetData sheetId="19" refreshError="1"/>
      <sheetData sheetId="20">
        <row r="132">
          <cell r="DV132">
            <v>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54">
          <cell r="DE154">
            <v>3250.7357258064508</v>
          </cell>
        </row>
      </sheetData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021 BLS SALARY CHART (53_PCT)"/>
      <sheetName val="M2021 BLS  SALARY CHART Median"/>
      <sheetName val="Sheet1"/>
      <sheetName val="M2021 all details"/>
      <sheetName val="DC  CNA  DC III"/>
      <sheetName val="Case Social Worker.Manager"/>
      <sheetName val="Clinical"/>
      <sheetName val="Nursing"/>
      <sheetName val="Management"/>
      <sheetName val="02021 53_PCT"/>
      <sheetName val="Therap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J6">
            <v>19.000800000000002</v>
          </cell>
        </row>
        <row r="10">
          <cell r="J10">
            <v>18.008399999999998</v>
          </cell>
        </row>
        <row r="19">
          <cell r="J19">
            <v>24.241120000000002</v>
          </cell>
        </row>
      </sheetData>
      <sheetData sheetId="5" refreshError="1">
        <row r="4">
          <cell r="J4">
            <v>24.3888</v>
          </cell>
        </row>
        <row r="11">
          <cell r="J11">
            <v>30.569499999999998</v>
          </cell>
        </row>
      </sheetData>
      <sheetData sheetId="6" refreshError="1">
        <row r="6">
          <cell r="J6">
            <v>35.178200000000004</v>
          </cell>
        </row>
        <row r="12">
          <cell r="J12">
            <v>43.1312</v>
          </cell>
        </row>
      </sheetData>
      <sheetData sheetId="7" refreshError="1">
        <row r="2">
          <cell r="J2">
            <v>29.084</v>
          </cell>
        </row>
        <row r="6">
          <cell r="J6">
            <v>47.109200000000001</v>
          </cell>
        </row>
        <row r="11">
          <cell r="J11">
            <v>62.008800000000001</v>
          </cell>
        </row>
      </sheetData>
      <sheetData sheetId="8" refreshError="1">
        <row r="2">
          <cell r="J2">
            <v>35.084000000000003</v>
          </cell>
        </row>
      </sheetData>
      <sheetData sheetId="9" refreshError="1">
        <row r="34">
          <cell r="N34">
            <v>133902.08000000002</v>
          </cell>
        </row>
      </sheetData>
      <sheetData sheetId="10" refreshError="1">
        <row r="2">
          <cell r="M2">
            <v>30.937200000000001</v>
          </cell>
        </row>
        <row r="8">
          <cell r="M8">
            <v>38.650100000000002</v>
          </cell>
        </row>
        <row r="14">
          <cell r="M14">
            <v>40.563600000000001</v>
          </cell>
        </row>
        <row r="18">
          <cell r="M18">
            <v>43.066240000000008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F1E9-8DE6-40C9-9C3D-09CE439A190F}">
  <dimension ref="B2:K61"/>
  <sheetViews>
    <sheetView tabSelected="1" topLeftCell="A29" workbookViewId="0">
      <selection activeCell="M50" sqref="M50"/>
    </sheetView>
  </sheetViews>
  <sheetFormatPr defaultRowHeight="15" x14ac:dyDescent="0.25"/>
  <cols>
    <col min="2" max="2" width="27.140625" customWidth="1"/>
    <col min="3" max="3" width="23.140625" customWidth="1"/>
    <col min="4" max="4" width="14.85546875" customWidth="1"/>
    <col min="5" max="5" width="17.7109375" customWidth="1"/>
    <col min="7" max="7" width="40" bestFit="1" customWidth="1"/>
    <col min="8" max="8" width="10.5703125" bestFit="1" customWidth="1"/>
    <col min="9" max="9" width="19.85546875" bestFit="1" customWidth="1"/>
    <col min="10" max="10" width="10" bestFit="1" customWidth="1"/>
  </cols>
  <sheetData>
    <row r="2" spans="2:10" ht="15.75" thickBot="1" x14ac:dyDescent="0.3"/>
    <row r="3" spans="2:10" ht="15.75" thickBot="1" x14ac:dyDescent="0.3">
      <c r="B3" s="289" t="s">
        <v>47</v>
      </c>
      <c r="C3" s="290"/>
      <c r="D3" s="290"/>
      <c r="E3" s="291"/>
      <c r="G3" s="289" t="s">
        <v>48</v>
      </c>
      <c r="H3" s="290"/>
      <c r="I3" s="290"/>
      <c r="J3" s="291"/>
    </row>
    <row r="4" spans="2:10" ht="15.75" thickBot="1" x14ac:dyDescent="0.3">
      <c r="B4" s="48" t="s">
        <v>49</v>
      </c>
      <c r="C4" s="49"/>
      <c r="D4" s="50" t="s">
        <v>50</v>
      </c>
      <c r="E4" s="51">
        <v>1500</v>
      </c>
      <c r="G4" s="48" t="s">
        <v>49</v>
      </c>
      <c r="H4" s="49"/>
      <c r="I4" s="50" t="s">
        <v>50</v>
      </c>
      <c r="J4" s="51">
        <v>1808</v>
      </c>
    </row>
    <row r="5" spans="2:10" ht="15.75" thickBot="1" x14ac:dyDescent="0.3">
      <c r="B5" s="292" t="s">
        <v>51</v>
      </c>
      <c r="C5" s="293"/>
      <c r="D5" s="293"/>
      <c r="E5" s="294"/>
      <c r="G5" s="292" t="s">
        <v>51</v>
      </c>
      <c r="H5" s="293"/>
      <c r="I5" s="293"/>
      <c r="J5" s="294"/>
    </row>
    <row r="6" spans="2:10" x14ac:dyDescent="0.25">
      <c r="B6" s="52"/>
      <c r="E6" s="53" t="s">
        <v>52</v>
      </c>
      <c r="G6" s="52"/>
      <c r="J6" s="53" t="s">
        <v>52</v>
      </c>
    </row>
    <row r="7" spans="2:10" x14ac:dyDescent="0.25">
      <c r="B7" s="52" t="s">
        <v>12</v>
      </c>
      <c r="C7" s="54"/>
      <c r="D7" s="22"/>
      <c r="E7" s="55">
        <v>7297.47</v>
      </c>
      <c r="G7" s="52" t="s">
        <v>12</v>
      </c>
      <c r="H7" s="54"/>
      <c r="I7" s="22"/>
      <c r="J7" s="55">
        <v>3648.74</v>
      </c>
    </row>
    <row r="8" spans="2:10" ht="15.75" thickBot="1" x14ac:dyDescent="0.3">
      <c r="B8" s="52" t="s">
        <v>53</v>
      </c>
      <c r="C8" s="54"/>
      <c r="D8" s="22"/>
      <c r="E8" s="55">
        <v>52154.98</v>
      </c>
      <c r="G8" s="52" t="s">
        <v>53</v>
      </c>
      <c r="H8" s="54"/>
      <c r="I8" s="22"/>
      <c r="J8" s="55">
        <v>51519.14</v>
      </c>
    </row>
    <row r="9" spans="2:10" ht="15.75" thickBot="1" x14ac:dyDescent="0.3">
      <c r="B9" s="56" t="s">
        <v>54</v>
      </c>
      <c r="C9" s="57"/>
      <c r="D9" s="58">
        <v>1.1299999999999999</v>
      </c>
      <c r="E9" s="59">
        <f>SUM(E7:E8)</f>
        <v>59452.450000000004</v>
      </c>
      <c r="G9" s="56" t="s">
        <v>54</v>
      </c>
      <c r="H9" s="57"/>
      <c r="I9" s="58">
        <f>SUM('Master Lookup'!F5:F90)</f>
        <v>1.07</v>
      </c>
      <c r="J9" s="59">
        <f>SUM(J7:J8)</f>
        <v>55167.88</v>
      </c>
    </row>
    <row r="10" spans="2:10" x14ac:dyDescent="0.25">
      <c r="B10" s="60" t="s">
        <v>25</v>
      </c>
      <c r="C10" s="61">
        <f>'M2021 BLS SALARY CHART (53rd)'!C38</f>
        <v>0.25390000000000001</v>
      </c>
      <c r="D10" s="29"/>
      <c r="E10" s="62">
        <f>E9*C10</f>
        <v>15094.977055000001</v>
      </c>
      <c r="G10" s="60" t="s">
        <v>25</v>
      </c>
      <c r="H10" s="61">
        <f>C10</f>
        <v>0.25390000000000001</v>
      </c>
      <c r="I10" s="29"/>
      <c r="J10" s="62">
        <f>J9*H10</f>
        <v>14007.124732</v>
      </c>
    </row>
    <row r="11" spans="2:10" ht="15.75" thickBot="1" x14ac:dyDescent="0.3">
      <c r="B11" s="52" t="s">
        <v>328</v>
      </c>
      <c r="C11" s="63">
        <f>'M2021 BLS SALARY CHART (53rd)'!C40</f>
        <v>2.7811565914169036E-2</v>
      </c>
      <c r="E11" s="55">
        <f>(E9+E10)*C11</f>
        <v>2073.2806812718409</v>
      </c>
      <c r="G11" s="52" t="s">
        <v>55</v>
      </c>
      <c r="H11" s="63">
        <f>C11</f>
        <v>2.7811565914169036E-2</v>
      </c>
      <c r="J11" s="55">
        <f>(J9+J10)*H11</f>
        <v>1923.8652037169729</v>
      </c>
    </row>
    <row r="12" spans="2:10" ht="15.75" thickBot="1" x14ac:dyDescent="0.3">
      <c r="B12" s="64" t="s">
        <v>56</v>
      </c>
      <c r="C12" s="65"/>
      <c r="D12" s="65"/>
      <c r="E12" s="66">
        <f>SUM(E9:E11)+1</f>
        <v>76621.707736271841</v>
      </c>
      <c r="G12" s="64" t="s">
        <v>56</v>
      </c>
      <c r="H12" s="65"/>
      <c r="I12" s="65"/>
      <c r="J12" s="66">
        <f>SUM(J9:J11)+1</f>
        <v>71099.869935716968</v>
      </c>
    </row>
    <row r="13" spans="2:10" ht="15.75" thickBot="1" x14ac:dyDescent="0.3">
      <c r="B13" s="292" t="s">
        <v>57</v>
      </c>
      <c r="C13" s="293"/>
      <c r="D13" s="293"/>
      <c r="E13" s="294"/>
      <c r="G13" s="292" t="s">
        <v>57</v>
      </c>
      <c r="H13" s="293"/>
      <c r="I13" s="293"/>
      <c r="J13" s="294"/>
    </row>
    <row r="14" spans="2:10" x14ac:dyDescent="0.25">
      <c r="B14" s="67"/>
      <c r="C14" s="68" t="s">
        <v>58</v>
      </c>
      <c r="D14" s="68" t="s">
        <v>59</v>
      </c>
      <c r="E14" s="69"/>
      <c r="G14" s="67"/>
      <c r="H14" s="68" t="s">
        <v>58</v>
      </c>
      <c r="I14" s="68" t="s">
        <v>59</v>
      </c>
      <c r="J14" s="69"/>
    </row>
    <row r="15" spans="2:10" x14ac:dyDescent="0.25">
      <c r="B15" s="70" t="s">
        <v>27</v>
      </c>
      <c r="C15" s="71">
        <f>'Master Lookup'!C21</f>
        <v>2682.350482979587</v>
      </c>
      <c r="E15" s="72">
        <f>D9*C15</f>
        <v>3031.056045766933</v>
      </c>
      <c r="G15" s="70" t="s">
        <v>27</v>
      </c>
      <c r="H15" s="71">
        <f>'Master Lookup'!C21</f>
        <v>2682.350482979587</v>
      </c>
      <c r="J15" s="72">
        <f>H15*I9</f>
        <v>2870.1150167881583</v>
      </c>
    </row>
    <row r="16" spans="2:10" x14ac:dyDescent="0.25">
      <c r="B16" s="70" t="s">
        <v>32</v>
      </c>
      <c r="C16" s="71">
        <f>'Master Lookup'!C22</f>
        <v>150.1543746880086</v>
      </c>
      <c r="E16" s="72">
        <f>C16*D9</f>
        <v>169.67444339744969</v>
      </c>
      <c r="G16" s="70" t="s">
        <v>32</v>
      </c>
      <c r="H16" s="71">
        <f>'Master Lookup'!C22</f>
        <v>150.1543746880086</v>
      </c>
      <c r="J16" s="72">
        <f>H16*I9</f>
        <v>160.66518091616922</v>
      </c>
    </row>
    <row r="17" spans="2:11" x14ac:dyDescent="0.25">
      <c r="B17" s="70" t="s">
        <v>60</v>
      </c>
      <c r="C17" s="71">
        <f>'Master Lookup'!C23</f>
        <v>187</v>
      </c>
      <c r="E17" s="72">
        <f>C17*'Master Lookup'!E17</f>
        <v>192.61</v>
      </c>
      <c r="G17" s="70" t="s">
        <v>60</v>
      </c>
      <c r="H17" s="71">
        <f>'Master Lookup'!C23</f>
        <v>187</v>
      </c>
      <c r="J17" s="72">
        <f>SUM('Master Lookup'!F6:F9)*'SE Models '!H17</f>
        <v>190.74</v>
      </c>
    </row>
    <row r="18" spans="2:11" x14ac:dyDescent="0.25">
      <c r="B18" s="70" t="s">
        <v>35</v>
      </c>
      <c r="C18" s="71"/>
      <c r="D18" s="73">
        <f>'Master Lookup'!C24</f>
        <v>4.0069100000000004</v>
      </c>
      <c r="E18" s="72">
        <f>D18*E4</f>
        <v>6010.3650000000007</v>
      </c>
      <c r="G18" s="70" t="s">
        <v>35</v>
      </c>
      <c r="H18" s="71"/>
      <c r="I18" s="73">
        <f>'Master Lookup'!I24</f>
        <v>1.0017284583643919</v>
      </c>
      <c r="J18" s="72">
        <f>I18*J4</f>
        <v>1811.1250527228206</v>
      </c>
    </row>
    <row r="19" spans="2:11" x14ac:dyDescent="0.25">
      <c r="B19" s="70" t="s">
        <v>38</v>
      </c>
      <c r="C19" s="71"/>
      <c r="D19" s="73">
        <f>'Master Lookup'!C25</f>
        <v>0.92148981834444976</v>
      </c>
      <c r="E19" s="72">
        <f>(D19*E4)/4</f>
        <v>345.55868187916866</v>
      </c>
      <c r="G19" s="70" t="s">
        <v>38</v>
      </c>
      <c r="H19" s="71"/>
      <c r="I19" s="73">
        <f>'Master Lookup'!C25</f>
        <v>0.92148981834444976</v>
      </c>
      <c r="J19" s="72">
        <f>I19*J4/4</f>
        <v>416.51339789169128</v>
      </c>
    </row>
    <row r="20" spans="2:11" x14ac:dyDescent="0.25">
      <c r="B20" s="70" t="s">
        <v>34</v>
      </c>
      <c r="C20" s="71"/>
      <c r="D20" s="73">
        <f>'Master Lookup'!C26</f>
        <v>0.19748855562196568</v>
      </c>
      <c r="E20" s="72">
        <f>D20*E4/4</f>
        <v>74.058208358237138</v>
      </c>
      <c r="G20" s="70" t="s">
        <v>34</v>
      </c>
      <c r="H20" s="71"/>
      <c r="I20" s="73">
        <f>'Master Lookup'!C26</f>
        <v>0.19748855562196568</v>
      </c>
      <c r="J20" s="72">
        <f>(I20*J4)/4</f>
        <v>89.264827141128492</v>
      </c>
    </row>
    <row r="21" spans="2:11" x14ac:dyDescent="0.25">
      <c r="B21" s="70" t="s">
        <v>342</v>
      </c>
      <c r="C21" s="71"/>
      <c r="D21" s="73">
        <f>'Master Lookup'!C27</f>
        <v>0.80592000000000008</v>
      </c>
      <c r="E21" s="72">
        <f>D21*E4</f>
        <v>1208.8800000000001</v>
      </c>
      <c r="G21" s="70" t="s">
        <v>342</v>
      </c>
      <c r="H21" s="71"/>
      <c r="I21" s="73">
        <f>'Master Lookup'!C27</f>
        <v>0.80592000000000008</v>
      </c>
      <c r="J21" s="72">
        <f>I21*J4</f>
        <v>1457.1033600000001</v>
      </c>
    </row>
    <row r="22" spans="2:11" x14ac:dyDescent="0.25">
      <c r="B22" s="74" t="s">
        <v>61</v>
      </c>
      <c r="C22" s="75"/>
      <c r="D22" s="75"/>
      <c r="E22" s="76">
        <f>SUM(E15:E21)</f>
        <v>11032.202379401791</v>
      </c>
      <c r="G22" s="74" t="s">
        <v>61</v>
      </c>
      <c r="H22" s="75"/>
      <c r="I22" s="75"/>
      <c r="J22" s="76">
        <f>SUM(J15:J21)</f>
        <v>6995.5268354599666</v>
      </c>
    </row>
    <row r="23" spans="2:11" ht="15.75" thickBot="1" x14ac:dyDescent="0.3">
      <c r="B23" s="77" t="s">
        <v>62</v>
      </c>
      <c r="C23" s="78"/>
      <c r="D23" s="78"/>
      <c r="E23" s="79">
        <f>SUM(E12,E22)</f>
        <v>87653.910115673629</v>
      </c>
      <c r="F23" s="80"/>
      <c r="G23" s="77" t="s">
        <v>62</v>
      </c>
      <c r="H23" s="78"/>
      <c r="I23" s="78"/>
      <c r="J23" s="79">
        <f>SUM(J12,J22)</f>
        <v>78095.396771176936</v>
      </c>
    </row>
    <row r="24" spans="2:11" ht="15.75" thickBot="1" x14ac:dyDescent="0.3">
      <c r="B24" s="292" t="s">
        <v>63</v>
      </c>
      <c r="C24" s="293"/>
      <c r="D24" s="293"/>
      <c r="E24" s="294"/>
      <c r="G24" s="292" t="s">
        <v>63</v>
      </c>
      <c r="H24" s="293"/>
      <c r="I24" s="293"/>
      <c r="J24" s="294"/>
    </row>
    <row r="25" spans="2:11" x14ac:dyDescent="0.25">
      <c r="B25" s="52" t="s">
        <v>45</v>
      </c>
      <c r="C25" s="63">
        <f>'M2021 BLS SALARY CHART (53rd)'!C41</f>
        <v>0.12</v>
      </c>
      <c r="E25" s="55">
        <f>C25*(E9+E10+E22)</f>
        <v>10269.555532128215</v>
      </c>
      <c r="G25" s="52" t="s">
        <v>45</v>
      </c>
      <c r="H25" s="63">
        <f>C25</f>
        <v>0.12</v>
      </c>
      <c r="J25" s="55">
        <f>H25*(J9+J10+J22)</f>
        <v>9140.4637880951959</v>
      </c>
    </row>
    <row r="26" spans="2:11" x14ac:dyDescent="0.25">
      <c r="B26" s="60" t="s">
        <v>329</v>
      </c>
      <c r="C26" s="63">
        <f>'M2021 BLS SALARY CHART (53rd)'!C40</f>
        <v>2.7811565914169036E-2</v>
      </c>
      <c r="D26" s="29"/>
      <c r="E26" s="62">
        <f>C26*E22</f>
        <v>306.82282365318537</v>
      </c>
      <c r="G26" s="60" t="s">
        <v>41</v>
      </c>
      <c r="H26" s="63">
        <f>C26</f>
        <v>2.7811565914169036E-2</v>
      </c>
      <c r="I26" s="29"/>
      <c r="J26" s="62">
        <f>H26*J22</f>
        <v>194.5565556887332</v>
      </c>
    </row>
    <row r="27" spans="2:11" ht="15.75" thickBot="1" x14ac:dyDescent="0.3">
      <c r="B27" s="77" t="s">
        <v>64</v>
      </c>
      <c r="C27" s="78"/>
      <c r="D27" s="78"/>
      <c r="E27" s="79">
        <f>SUM(E23,E25:E26)</f>
        <v>98230.288471455031</v>
      </c>
      <c r="G27" s="77" t="s">
        <v>64</v>
      </c>
      <c r="H27" s="78"/>
      <c r="I27" s="78"/>
      <c r="J27" s="79">
        <f>SUM(J23,J25:J26)</f>
        <v>87430.417114960859</v>
      </c>
    </row>
    <row r="28" spans="2:11" x14ac:dyDescent="0.25">
      <c r="B28" s="52" t="s">
        <v>65</v>
      </c>
      <c r="E28" s="81">
        <f>E27/E4-0.01</f>
        <v>65.476858980970022</v>
      </c>
      <c r="G28" s="52" t="s">
        <v>65</v>
      </c>
      <c r="J28" s="81">
        <f>J27/J4</f>
        <v>48.35753159013322</v>
      </c>
    </row>
    <row r="29" spans="2:11" ht="15.75" thickBot="1" x14ac:dyDescent="0.3">
      <c r="B29" s="274" t="s">
        <v>66</v>
      </c>
      <c r="C29" s="275"/>
      <c r="D29" s="275"/>
      <c r="E29" s="276">
        <f>E28/4</f>
        <v>16.369214745242505</v>
      </c>
      <c r="G29" s="274" t="s">
        <v>66</v>
      </c>
      <c r="H29" s="275"/>
      <c r="I29" s="275"/>
      <c r="J29" s="276">
        <f>J28/4</f>
        <v>12.089382897533305</v>
      </c>
    </row>
    <row r="31" spans="2:11" ht="15.75" thickBot="1" x14ac:dyDescent="0.3"/>
    <row r="32" spans="2:11" ht="15.75" thickBot="1" x14ac:dyDescent="0.3">
      <c r="B32" s="289" t="s">
        <v>1</v>
      </c>
      <c r="C32" s="290"/>
      <c r="D32" s="290"/>
      <c r="E32" s="291"/>
      <c r="F32" s="49"/>
      <c r="G32" s="289" t="s">
        <v>67</v>
      </c>
      <c r="H32" s="290"/>
      <c r="I32" s="290"/>
      <c r="J32" s="291"/>
      <c r="K32" s="49"/>
    </row>
    <row r="33" spans="2:10" x14ac:dyDescent="0.25">
      <c r="B33" s="48" t="s">
        <v>49</v>
      </c>
      <c r="C33" s="49"/>
      <c r="D33" s="50" t="s">
        <v>50</v>
      </c>
      <c r="E33" s="51">
        <v>10314</v>
      </c>
      <c r="G33" s="48" t="s">
        <v>49</v>
      </c>
      <c r="H33" s="49"/>
      <c r="I33" s="50" t="s">
        <v>50</v>
      </c>
      <c r="J33" s="51">
        <f>H34*J34*250</f>
        <v>10000</v>
      </c>
    </row>
    <row r="34" spans="2:10" ht="15.75" thickBot="1" x14ac:dyDescent="0.3">
      <c r="B34" s="48"/>
      <c r="C34" s="49"/>
      <c r="D34" s="50"/>
      <c r="E34" s="51"/>
      <c r="G34" s="48" t="s">
        <v>334</v>
      </c>
      <c r="H34" s="49">
        <v>10</v>
      </c>
      <c r="I34" s="50" t="s">
        <v>335</v>
      </c>
      <c r="J34" s="51">
        <v>4</v>
      </c>
    </row>
    <row r="35" spans="2:10" ht="15.75" thickBot="1" x14ac:dyDescent="0.3">
      <c r="B35" s="292" t="s">
        <v>51</v>
      </c>
      <c r="C35" s="293"/>
      <c r="D35" s="293"/>
      <c r="E35" s="294"/>
      <c r="G35" s="292" t="s">
        <v>51</v>
      </c>
      <c r="H35" s="293"/>
      <c r="I35" s="293"/>
      <c r="J35" s="294"/>
    </row>
    <row r="36" spans="2:10" x14ac:dyDescent="0.25">
      <c r="B36" s="52"/>
      <c r="E36" s="53" t="s">
        <v>52</v>
      </c>
      <c r="G36" s="52"/>
      <c r="J36" s="53" t="s">
        <v>52</v>
      </c>
    </row>
    <row r="37" spans="2:10" x14ac:dyDescent="0.25">
      <c r="B37" s="52" t="s">
        <v>12</v>
      </c>
      <c r="C37" s="54"/>
      <c r="D37" s="22"/>
      <c r="E37" s="55">
        <v>9486.7099999999991</v>
      </c>
      <c r="G37" s="52" t="s">
        <v>12</v>
      </c>
      <c r="H37" s="54"/>
      <c r="I37" s="22"/>
      <c r="J37" s="55">
        <v>9486.7099999999991</v>
      </c>
    </row>
    <row r="38" spans="2:10" ht="15.75" thickBot="1" x14ac:dyDescent="0.3">
      <c r="B38" s="52" t="s">
        <v>53</v>
      </c>
      <c r="C38" s="54"/>
      <c r="D38" s="22"/>
      <c r="E38" s="55">
        <v>125567.58</v>
      </c>
      <c r="G38" s="52" t="s">
        <v>53</v>
      </c>
      <c r="H38" s="54"/>
      <c r="I38" s="22"/>
      <c r="J38" s="55">
        <v>158385.65</v>
      </c>
    </row>
    <row r="39" spans="2:10" ht="15.75" thickBot="1" x14ac:dyDescent="0.3">
      <c r="B39" s="56" t="s">
        <v>54</v>
      </c>
      <c r="C39" s="57"/>
      <c r="D39" s="58">
        <f>SUM('Master Lookup'!K5:K9)</f>
        <v>3.07</v>
      </c>
      <c r="E39" s="59">
        <f>SUM(E37:E38)</f>
        <v>135054.29</v>
      </c>
      <c r="G39" s="56" t="s">
        <v>54</v>
      </c>
      <c r="H39" s="57"/>
      <c r="I39" s="58">
        <f>SUM('Master Lookup'!L5:L9)</f>
        <v>3.74</v>
      </c>
      <c r="J39" s="59">
        <f>SUM(J37:J38)</f>
        <v>167872.36</v>
      </c>
    </row>
    <row r="40" spans="2:10" x14ac:dyDescent="0.25">
      <c r="B40" s="60" t="s">
        <v>25</v>
      </c>
      <c r="C40" s="61">
        <f>'M2021 BLS SALARY CHART (53rd)'!C38</f>
        <v>0.25390000000000001</v>
      </c>
      <c r="D40" s="29"/>
      <c r="E40" s="253">
        <f>E39*C40</f>
        <v>34290.284231000005</v>
      </c>
      <c r="G40" s="60" t="s">
        <v>25</v>
      </c>
      <c r="H40" s="61">
        <f>C40</f>
        <v>0.25390000000000001</v>
      </c>
      <c r="I40" s="29"/>
      <c r="J40" s="62">
        <f>J39*H40</f>
        <v>42622.792203999998</v>
      </c>
    </row>
    <row r="41" spans="2:10" ht="15.75" thickBot="1" x14ac:dyDescent="0.3">
      <c r="B41" s="52" t="s">
        <v>328</v>
      </c>
      <c r="C41" s="63">
        <f>'M2021 BLS SALARY CHART (53rd)'!C40</f>
        <v>2.7811565914169036E-2</v>
      </c>
      <c r="E41" s="254">
        <f>(E39+E40)*C41</f>
        <v>4709.7377884323478</v>
      </c>
      <c r="G41" s="52" t="str">
        <f>B41</f>
        <v>CAF on Compensation</v>
      </c>
      <c r="H41" s="63">
        <f>C41</f>
        <v>2.7811565914169036E-2</v>
      </c>
      <c r="J41" s="55">
        <f>(J39+J40)*H41</f>
        <v>5854.1998001345892</v>
      </c>
    </row>
    <row r="42" spans="2:10" ht="15.75" thickBot="1" x14ac:dyDescent="0.3">
      <c r="B42" s="64" t="s">
        <v>56</v>
      </c>
      <c r="C42" s="65"/>
      <c r="D42" s="65"/>
      <c r="E42" s="255">
        <f>SUM(E39:E41)</f>
        <v>174054.31201943234</v>
      </c>
      <c r="G42" s="64" t="s">
        <v>56</v>
      </c>
      <c r="H42" s="65"/>
      <c r="I42" s="65"/>
      <c r="J42" s="66">
        <f>SUM(J39:J41)</f>
        <v>216349.35200413456</v>
      </c>
    </row>
    <row r="43" spans="2:10" ht="15.75" thickBot="1" x14ac:dyDescent="0.3">
      <c r="B43" s="292" t="s">
        <v>57</v>
      </c>
      <c r="C43" s="293"/>
      <c r="D43" s="293"/>
      <c r="E43" s="294"/>
      <c r="G43" s="292" t="s">
        <v>57</v>
      </c>
      <c r="H43" s="293"/>
      <c r="I43" s="293"/>
      <c r="J43" s="294"/>
    </row>
    <row r="44" spans="2:10" x14ac:dyDescent="0.25">
      <c r="B44" s="67"/>
      <c r="C44" s="68" t="s">
        <v>58</v>
      </c>
      <c r="D44" s="68" t="s">
        <v>59</v>
      </c>
      <c r="E44" s="69"/>
      <c r="G44" s="67"/>
      <c r="H44" s="82"/>
      <c r="I44" s="82" t="s">
        <v>59</v>
      </c>
      <c r="J44" s="69"/>
    </row>
    <row r="45" spans="2:10" x14ac:dyDescent="0.25">
      <c r="B45" s="70" t="s">
        <v>27</v>
      </c>
      <c r="C45" s="54">
        <f>'Master Lookup'!I21</f>
        <v>6379.0306086039345</v>
      </c>
      <c r="E45" s="72">
        <f>D39*C45</f>
        <v>19583.623968414078</v>
      </c>
      <c r="G45" s="70" t="s">
        <v>68</v>
      </c>
      <c r="H45" s="273">
        <v>0.3</v>
      </c>
      <c r="I45" s="271">
        <f>82.07*(10%+1)</f>
        <v>90.277000000000001</v>
      </c>
      <c r="J45" s="72">
        <f>H45*10*I45*50</f>
        <v>13541.550000000001</v>
      </c>
    </row>
    <row r="46" spans="2:10" x14ac:dyDescent="0.25">
      <c r="B46" s="70" t="s">
        <v>32</v>
      </c>
      <c r="C46" s="54">
        <f>'Master Lookup'!I22</f>
        <v>150.1543746880086</v>
      </c>
      <c r="E46" s="72">
        <f>C46*D39</f>
        <v>460.97393029218637</v>
      </c>
      <c r="G46" s="70" t="s">
        <v>331</v>
      </c>
      <c r="H46" s="54">
        <f>C45</f>
        <v>6379.0306086039345</v>
      </c>
      <c r="I46" s="272"/>
      <c r="J46" s="72">
        <f>H46*I39</f>
        <v>23857.574476178717</v>
      </c>
    </row>
    <row r="47" spans="2:10" x14ac:dyDescent="0.25">
      <c r="B47" s="70" t="s">
        <v>60</v>
      </c>
      <c r="C47" s="54">
        <f>'Master Lookup'!I23</f>
        <v>187</v>
      </c>
      <c r="E47" s="72">
        <f>(D39-'Master Lookup'!K5)*'SE Models '!C47</f>
        <v>549.78</v>
      </c>
      <c r="G47" s="70" t="s">
        <v>332</v>
      </c>
      <c r="H47" s="54">
        <f>C46</f>
        <v>150.1543746880086</v>
      </c>
      <c r="I47" s="272"/>
      <c r="J47" s="72">
        <f>H47*I39</f>
        <v>561.57736133315223</v>
      </c>
    </row>
    <row r="48" spans="2:10" x14ac:dyDescent="0.25">
      <c r="B48" s="70" t="s">
        <v>35</v>
      </c>
      <c r="C48" s="71"/>
      <c r="D48" s="73">
        <f>'Master Lookup'!I24</f>
        <v>1.0017284583643919</v>
      </c>
      <c r="E48" s="72">
        <f>D48*E33</f>
        <v>10331.827319570339</v>
      </c>
      <c r="G48" s="70" t="s">
        <v>333</v>
      </c>
      <c r="H48" s="54">
        <f>C47</f>
        <v>187</v>
      </c>
      <c r="I48" s="272"/>
      <c r="J48" s="72">
        <f>(I39-'Master Lookup'!L5)*'SE Models '!H48</f>
        <v>675.07</v>
      </c>
    </row>
    <row r="49" spans="2:10" x14ac:dyDescent="0.25">
      <c r="B49" s="70" t="s">
        <v>38</v>
      </c>
      <c r="C49" s="71"/>
      <c r="D49" s="73">
        <f>'Master Lookup'!I25</f>
        <v>0.92148981834444976</v>
      </c>
      <c r="E49" s="72">
        <f>(D49*E33)/4</f>
        <v>2376.0614966011635</v>
      </c>
      <c r="G49" s="70" t="s">
        <v>35</v>
      </c>
      <c r="H49" s="71"/>
      <c r="I49" s="271">
        <f>D48</f>
        <v>1.0017284583643919</v>
      </c>
      <c r="J49" s="72">
        <f>I49*J33</f>
        <v>10017.284583643919</v>
      </c>
    </row>
    <row r="50" spans="2:10" x14ac:dyDescent="0.25">
      <c r="B50" s="70" t="s">
        <v>34</v>
      </c>
      <c r="C50" s="71"/>
      <c r="D50" s="73">
        <f>'Master Lookup'!I26</f>
        <v>0.19748855562196568</v>
      </c>
      <c r="E50" s="72">
        <f>(D50*E33)/4</f>
        <v>509.22424067123853</v>
      </c>
      <c r="G50" s="70" t="s">
        <v>38</v>
      </c>
      <c r="H50" s="71"/>
      <c r="I50" s="271">
        <f>D49</f>
        <v>0.92148981834444976</v>
      </c>
      <c r="J50" s="72">
        <f>(I50*J33)/4</f>
        <v>2303.7245458611246</v>
      </c>
    </row>
    <row r="51" spans="2:10" x14ac:dyDescent="0.25">
      <c r="B51" s="70" t="s">
        <v>342</v>
      </c>
      <c r="C51" s="71"/>
      <c r="D51" s="73">
        <f>'Master Lookup'!I27</f>
        <v>0.80592000000000008</v>
      </c>
      <c r="E51" s="72">
        <f>D51*E33</f>
        <v>8312.2588800000012</v>
      </c>
      <c r="G51" s="70" t="s">
        <v>34</v>
      </c>
      <c r="H51" s="71"/>
      <c r="I51" s="271">
        <f>D50</f>
        <v>0.19748855562196568</v>
      </c>
      <c r="J51" s="72">
        <f>(I51*J33)/4</f>
        <v>493.7213890549142</v>
      </c>
    </row>
    <row r="52" spans="2:10" x14ac:dyDescent="0.25">
      <c r="B52" s="70"/>
      <c r="C52" s="71"/>
      <c r="D52" s="73"/>
      <c r="E52" s="72"/>
      <c r="G52" s="70" t="s">
        <v>342</v>
      </c>
      <c r="H52" s="71"/>
      <c r="I52" s="271">
        <f>'Master Lookup'!I27</f>
        <v>0.80592000000000008</v>
      </c>
      <c r="J52" s="72">
        <f>I52*J33</f>
        <v>8059.2000000000007</v>
      </c>
    </row>
    <row r="53" spans="2:10" x14ac:dyDescent="0.25">
      <c r="B53" s="70"/>
      <c r="C53" s="71"/>
      <c r="D53" s="73"/>
      <c r="E53" s="72"/>
      <c r="G53" s="70"/>
      <c r="H53" s="71"/>
      <c r="I53" s="271"/>
      <c r="J53" s="72"/>
    </row>
    <row r="54" spans="2:10" x14ac:dyDescent="0.25">
      <c r="B54" s="74" t="s">
        <v>61</v>
      </c>
      <c r="C54" s="75"/>
      <c r="D54" s="75"/>
      <c r="E54" s="76">
        <f>SUM(E45:E53)</f>
        <v>42123.74983554901</v>
      </c>
      <c r="G54" s="74" t="s">
        <v>61</v>
      </c>
      <c r="H54" s="75"/>
      <c r="I54" s="75"/>
      <c r="J54" s="76">
        <f>SUM(J45:J53)</f>
        <v>59509.702356071837</v>
      </c>
    </row>
    <row r="55" spans="2:10" ht="15.75" thickBot="1" x14ac:dyDescent="0.3">
      <c r="B55" s="77" t="s">
        <v>62</v>
      </c>
      <c r="C55" s="78"/>
      <c r="D55" s="78"/>
      <c r="E55" s="79">
        <f>SUM(E42,E54)</f>
        <v>216178.06185498135</v>
      </c>
      <c r="G55" s="77" t="s">
        <v>62</v>
      </c>
      <c r="H55" s="78"/>
      <c r="I55" s="78"/>
      <c r="J55" s="79">
        <f>SUM(J42,J54)</f>
        <v>275859.05436020641</v>
      </c>
    </row>
    <row r="56" spans="2:10" ht="15.75" thickBot="1" x14ac:dyDescent="0.3">
      <c r="B56" s="292" t="s">
        <v>63</v>
      </c>
      <c r="C56" s="293"/>
      <c r="D56" s="293"/>
      <c r="E56" s="294"/>
      <c r="G56" s="292" t="s">
        <v>63</v>
      </c>
      <c r="H56" s="293"/>
      <c r="I56" s="293"/>
      <c r="J56" s="294"/>
    </row>
    <row r="57" spans="2:10" x14ac:dyDescent="0.25">
      <c r="B57" s="52" t="s">
        <v>45</v>
      </c>
      <c r="C57" s="63">
        <f>'M2021 BLS SALARY CHART (53rd)'!C41</f>
        <v>0.12</v>
      </c>
      <c r="E57" s="55">
        <f>C57*(E55-E41)</f>
        <v>25376.19888798588</v>
      </c>
      <c r="G57" s="52" t="s">
        <v>45</v>
      </c>
      <c r="H57" s="63">
        <f>C57</f>
        <v>0.12</v>
      </c>
      <c r="J57" s="55">
        <f>H57*(J55-J41)</f>
        <v>32400.582547208618</v>
      </c>
    </row>
    <row r="58" spans="2:10" x14ac:dyDescent="0.25">
      <c r="B58" s="60" t="s">
        <v>330</v>
      </c>
      <c r="C58" s="63">
        <f>'M2021 BLS SALARY CHART (53rd)'!C40</f>
        <v>2.7811565914169036E-2</v>
      </c>
      <c r="D58" s="29"/>
      <c r="E58" s="62">
        <f>C58*E54</f>
        <v>1171.5274451033383</v>
      </c>
      <c r="G58" s="60" t="s">
        <v>41</v>
      </c>
      <c r="H58" s="63">
        <f>C58</f>
        <v>2.7811565914169036E-2</v>
      </c>
      <c r="I58" s="29"/>
      <c r="J58" s="62">
        <f>H58*J54</f>
        <v>1655.0580096084723</v>
      </c>
    </row>
    <row r="59" spans="2:10" ht="15.75" thickBot="1" x14ac:dyDescent="0.3">
      <c r="B59" s="77" t="s">
        <v>64</v>
      </c>
      <c r="C59" s="78"/>
      <c r="D59" s="78"/>
      <c r="E59" s="79">
        <f>SUM(E55,E57:E58)</f>
        <v>242725.78818807055</v>
      </c>
      <c r="G59" s="77" t="s">
        <v>64</v>
      </c>
      <c r="H59" s="78"/>
      <c r="I59" s="78"/>
      <c r="J59" s="79">
        <f>SUM(J55,J57:J58)</f>
        <v>309914.69491702353</v>
      </c>
    </row>
    <row r="60" spans="2:10" x14ac:dyDescent="0.25">
      <c r="B60" s="52" t="s">
        <v>65</v>
      </c>
      <c r="E60" s="81">
        <f>E59/E33</f>
        <v>23.533623054883709</v>
      </c>
      <c r="G60" s="52" t="s">
        <v>65</v>
      </c>
      <c r="J60" s="81">
        <f>J59/J33</f>
        <v>30.991469491702354</v>
      </c>
    </row>
    <row r="61" spans="2:10" ht="15.75" thickBot="1" x14ac:dyDescent="0.3">
      <c r="B61" s="274" t="s">
        <v>66</v>
      </c>
      <c r="C61" s="275"/>
      <c r="D61" s="275"/>
      <c r="E61" s="276">
        <f>E60/4</f>
        <v>5.8834057637209272</v>
      </c>
      <c r="G61" s="274" t="s">
        <v>66</v>
      </c>
      <c r="H61" s="275"/>
      <c r="I61" s="275"/>
      <c r="J61" s="276">
        <f>J60/4-0.01</f>
        <v>7.7378673729255887</v>
      </c>
    </row>
  </sheetData>
  <mergeCells count="16">
    <mergeCell ref="B43:E43"/>
    <mergeCell ref="G43:J43"/>
    <mergeCell ref="B56:E56"/>
    <mergeCell ref="G56:J56"/>
    <mergeCell ref="B24:E24"/>
    <mergeCell ref="G24:J24"/>
    <mergeCell ref="B32:E32"/>
    <mergeCell ref="G32:J32"/>
    <mergeCell ref="B35:E35"/>
    <mergeCell ref="G35:J35"/>
    <mergeCell ref="B3:E3"/>
    <mergeCell ref="G3:J3"/>
    <mergeCell ref="B5:E5"/>
    <mergeCell ref="G5:J5"/>
    <mergeCell ref="B13:E13"/>
    <mergeCell ref="G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E4F6-0A2B-4D76-8427-E1A7F12E63C7}">
  <sheetPr>
    <pageSetUpPr fitToPage="1"/>
  </sheetPr>
  <dimension ref="A1:Q77"/>
  <sheetViews>
    <sheetView workbookViewId="0">
      <selection activeCell="L29" sqref="L29"/>
    </sheetView>
  </sheetViews>
  <sheetFormatPr defaultRowHeight="15" x14ac:dyDescent="0.25"/>
  <cols>
    <col min="1" max="1" width="7.85546875" customWidth="1"/>
    <col min="2" max="3" width="12.5703125" customWidth="1"/>
    <col min="4" max="4" width="12" customWidth="1"/>
    <col min="5" max="5" width="15" customWidth="1"/>
    <col min="6" max="6" width="11.42578125" customWidth="1"/>
    <col min="7" max="7" width="11.140625" customWidth="1"/>
    <col min="8" max="8" width="23.42578125" customWidth="1"/>
    <col min="9" max="9" width="10.5703125" customWidth="1"/>
    <col min="10" max="10" width="10.85546875" customWidth="1"/>
    <col min="16" max="16" width="11.5703125" customWidth="1"/>
    <col min="17" max="17" width="15.42578125" customWidth="1"/>
    <col min="18" max="18" width="10.140625" customWidth="1"/>
    <col min="19" max="19" width="7.5703125" customWidth="1"/>
  </cols>
  <sheetData>
    <row r="1" spans="2:16" ht="15.75" thickBot="1" x14ac:dyDescent="0.3"/>
    <row r="2" spans="2:16" ht="16.5" customHeight="1" thickBot="1" x14ac:dyDescent="0.35">
      <c r="B2" s="295" t="s">
        <v>69</v>
      </c>
      <c r="C2" s="296"/>
      <c r="D2" s="296"/>
      <c r="E2" s="296"/>
      <c r="F2" s="296"/>
      <c r="G2" s="296"/>
      <c r="H2" s="297"/>
    </row>
    <row r="3" spans="2:16" ht="15.75" thickBot="1" x14ac:dyDescent="0.3">
      <c r="B3" s="83" t="s">
        <v>70</v>
      </c>
      <c r="C3" s="84" t="s">
        <v>338</v>
      </c>
      <c r="D3" s="84" t="s">
        <v>339</v>
      </c>
      <c r="E3" s="84"/>
      <c r="F3" s="84"/>
      <c r="G3" s="84"/>
      <c r="H3" s="85"/>
    </row>
    <row r="4" spans="2:16" ht="27" thickBot="1" x14ac:dyDescent="0.3">
      <c r="B4" s="86" t="s">
        <v>71</v>
      </c>
      <c r="C4" s="87" t="s">
        <v>72</v>
      </c>
      <c r="D4" s="88" t="s">
        <v>73</v>
      </c>
      <c r="F4" s="298" t="s">
        <v>74</v>
      </c>
      <c r="G4" s="299"/>
      <c r="H4" s="89" t="s">
        <v>75</v>
      </c>
    </row>
    <row r="5" spans="2:16" x14ac:dyDescent="0.25">
      <c r="B5" s="90">
        <v>0.45</v>
      </c>
      <c r="C5" s="91">
        <v>5</v>
      </c>
      <c r="D5" s="92">
        <f>B5*C5</f>
        <v>2.25</v>
      </c>
      <c r="F5" s="93" t="s">
        <v>76</v>
      </c>
      <c r="G5" s="94">
        <f>D10</f>
        <v>2.5058050584158194</v>
      </c>
      <c r="H5" s="95">
        <v>2.4201190026416106</v>
      </c>
    </row>
    <row r="6" spans="2:16" x14ac:dyDescent="0.25">
      <c r="B6" s="90" t="s">
        <v>77</v>
      </c>
      <c r="C6" s="31"/>
      <c r="D6" s="96">
        <f>D5*(1+'[19]1. 3168 ISE'!C54)</f>
        <v>2.3215928903525764</v>
      </c>
      <c r="F6" s="32" t="s">
        <v>78</v>
      </c>
      <c r="G6" s="97">
        <f>C18</f>
        <v>6.5233671126196491</v>
      </c>
      <c r="H6" s="95">
        <v>4.9387447508557694</v>
      </c>
    </row>
    <row r="7" spans="2:16" x14ac:dyDescent="0.25">
      <c r="B7" s="90" t="s">
        <v>79</v>
      </c>
      <c r="C7" s="31"/>
      <c r="D7" s="96">
        <f>D6*(1+'[19]Spring CAF'!BK27)</f>
        <v>2.3848236131667431</v>
      </c>
      <c r="F7" s="93" t="s">
        <v>80</v>
      </c>
      <c r="G7" s="98">
        <f>SUM(G5:G6)</f>
        <v>9.0291721710354693</v>
      </c>
      <c r="H7" s="95">
        <f>SUM(H5:H6)</f>
        <v>7.3588637534973795</v>
      </c>
      <c r="P7" s="99"/>
    </row>
    <row r="8" spans="2:16" ht="15.75" thickBot="1" x14ac:dyDescent="0.3">
      <c r="B8" s="90" t="s">
        <v>81</v>
      </c>
      <c r="C8" s="31"/>
      <c r="D8" s="92">
        <f>D7*(1.48%+1)</f>
        <v>2.4201190026416106</v>
      </c>
      <c r="F8" s="100" t="s">
        <v>82</v>
      </c>
      <c r="G8" s="101">
        <f>G7*4</f>
        <v>36.116688684141877</v>
      </c>
      <c r="H8" s="102">
        <f>H7*4+0.02</f>
        <v>29.455455013989518</v>
      </c>
      <c r="I8" s="103"/>
      <c r="J8" s="99"/>
      <c r="P8" s="99"/>
    </row>
    <row r="9" spans="2:16" ht="15.75" thickTop="1" x14ac:dyDescent="0.25">
      <c r="B9" s="90" t="s">
        <v>83</v>
      </c>
      <c r="C9" s="31"/>
      <c r="D9" s="92">
        <f>D8*(0.74%+1)</f>
        <v>2.4380278832611588</v>
      </c>
      <c r="H9" s="53"/>
      <c r="P9" s="99"/>
    </row>
    <row r="10" spans="2:16" x14ac:dyDescent="0.25">
      <c r="B10" s="104" t="s">
        <v>84</v>
      </c>
      <c r="C10" s="105"/>
      <c r="D10" s="106">
        <f>D9*(2.78%+1)</f>
        <v>2.5058050584158194</v>
      </c>
      <c r="H10" s="53"/>
      <c r="I10" s="73"/>
      <c r="P10" s="99"/>
    </row>
    <row r="11" spans="2:16" x14ac:dyDescent="0.25">
      <c r="B11" s="52"/>
      <c r="D11" s="107"/>
      <c r="H11" s="53"/>
      <c r="I11" s="73"/>
      <c r="P11" s="99"/>
    </row>
    <row r="12" spans="2:16" x14ac:dyDescent="0.25">
      <c r="B12" s="108" t="s">
        <v>85</v>
      </c>
      <c r="E12" s="109"/>
      <c r="H12" s="53"/>
    </row>
    <row r="13" spans="2:16" x14ac:dyDescent="0.25">
      <c r="B13" s="86" t="s">
        <v>86</v>
      </c>
      <c r="C13" s="110">
        <v>4.600879410174354</v>
      </c>
      <c r="H13" s="53"/>
    </row>
    <row r="14" spans="2:16" x14ac:dyDescent="0.25">
      <c r="B14" s="86" t="s">
        <v>77</v>
      </c>
      <c r="C14" s="110">
        <f>C13*(1+'[19]1. 3168 ISE'!C54)</f>
        <v>4.7472750791245941</v>
      </c>
      <c r="D14" s="109"/>
      <c r="H14" s="53"/>
    </row>
    <row r="15" spans="2:16" x14ac:dyDescent="0.25">
      <c r="B15" s="86" t="s">
        <v>79</v>
      </c>
      <c r="C15" s="110">
        <f>C14*(1+'[19]Spring CAF'!BK27)</f>
        <v>4.8765714927628787</v>
      </c>
      <c r="H15" s="53"/>
    </row>
    <row r="16" spans="2:16" x14ac:dyDescent="0.25">
      <c r="B16" s="86" t="s">
        <v>81</v>
      </c>
      <c r="C16" s="110">
        <f>C15*(1.48%+1)-0.01</f>
        <v>4.9387447508557694</v>
      </c>
      <c r="H16" s="53"/>
    </row>
    <row r="17" spans="1:8" x14ac:dyDescent="0.25">
      <c r="B17" s="86" t="s">
        <v>83</v>
      </c>
      <c r="C17" s="110">
        <f>C16*(2.5%+1)-0.01</f>
        <v>5.0522133696271636</v>
      </c>
      <c r="H17" s="53"/>
    </row>
    <row r="18" spans="1:8" ht="15.75" thickBot="1" x14ac:dyDescent="0.3">
      <c r="B18" s="111" t="s">
        <v>84</v>
      </c>
      <c r="C18" s="112">
        <f>'DC . DSW -Add on Rates'!C18</f>
        <v>6.5233671126196491</v>
      </c>
      <c r="D18" s="113"/>
      <c r="E18" s="113"/>
      <c r="F18" s="113"/>
      <c r="G18" s="113"/>
      <c r="H18" s="114"/>
    </row>
    <row r="23" spans="1:8" ht="26.25" x14ac:dyDescent="0.4">
      <c r="A23" s="115"/>
      <c r="B23" s="282"/>
      <c r="C23" s="282"/>
      <c r="F23" s="93"/>
      <c r="H23" s="283"/>
    </row>
    <row r="24" spans="1:8" x14ac:dyDescent="0.25">
      <c r="F24" s="93"/>
      <c r="H24" s="283"/>
    </row>
    <row r="25" spans="1:8" ht="18.75" x14ac:dyDescent="0.3">
      <c r="A25" s="116"/>
    </row>
    <row r="27" spans="1:8" x14ac:dyDescent="0.25">
      <c r="A27" s="117"/>
    </row>
    <row r="28" spans="1:8" x14ac:dyDescent="0.25">
      <c r="B28" s="117"/>
    </row>
    <row r="29" spans="1:8" ht="34.5" customHeight="1" x14ac:dyDescent="0.25">
      <c r="B29" s="118"/>
      <c r="C29" s="119"/>
    </row>
    <row r="30" spans="1:8" x14ac:dyDescent="0.25">
      <c r="C30" s="120"/>
    </row>
    <row r="33" spans="1:17" ht="21" x14ac:dyDescent="0.35">
      <c r="A33" s="121"/>
    </row>
    <row r="34" spans="1:17" ht="26.25" customHeight="1" x14ac:dyDescent="0.25"/>
    <row r="35" spans="1:17" ht="33" customHeight="1" x14ac:dyDescent="0.25"/>
    <row r="36" spans="1:17" x14ac:dyDescent="0.25">
      <c r="C36" s="119"/>
      <c r="D36" s="119"/>
      <c r="E36" s="119"/>
      <c r="G36" s="119"/>
    </row>
    <row r="37" spans="1:17" x14ac:dyDescent="0.25">
      <c r="B37" s="122"/>
      <c r="C37" s="122"/>
      <c r="D37" s="118"/>
      <c r="E37" s="118"/>
      <c r="F37" s="118"/>
      <c r="G37" s="118"/>
      <c r="H37" s="123"/>
      <c r="I37" s="123"/>
      <c r="O37" s="124"/>
      <c r="P37" s="125"/>
      <c r="Q37" s="125"/>
    </row>
    <row r="38" spans="1:17" x14ac:dyDescent="0.25">
      <c r="B38" s="109"/>
      <c r="C38" s="109"/>
      <c r="D38" s="109"/>
      <c r="E38" s="109"/>
      <c r="F38" s="109"/>
      <c r="G38" s="109"/>
      <c r="O38" s="124"/>
      <c r="P38" s="124"/>
      <c r="Q38" s="124"/>
    </row>
    <row r="39" spans="1:17" x14ac:dyDescent="0.25">
      <c r="B39" s="109"/>
      <c r="C39" s="109"/>
      <c r="D39" s="109"/>
      <c r="E39" s="109"/>
      <c r="F39" s="109"/>
      <c r="G39" s="109"/>
      <c r="O39" s="124"/>
      <c r="P39" s="124"/>
      <c r="Q39" s="124"/>
    </row>
    <row r="40" spans="1:17" x14ac:dyDescent="0.25">
      <c r="B40" s="109"/>
      <c r="C40" s="109"/>
      <c r="D40" s="109"/>
      <c r="E40" s="109"/>
      <c r="F40" s="109"/>
      <c r="G40" s="109"/>
      <c r="O40" s="124"/>
      <c r="P40" s="124"/>
      <c r="Q40" s="124"/>
    </row>
    <row r="41" spans="1:17" x14ac:dyDescent="0.25">
      <c r="B41" s="109"/>
      <c r="C41" s="109"/>
      <c r="D41" s="109"/>
      <c r="E41" s="109"/>
      <c r="F41" s="109"/>
      <c r="G41" s="109"/>
      <c r="O41" s="124"/>
      <c r="P41" s="124"/>
      <c r="Q41" s="124"/>
    </row>
    <row r="42" spans="1:17" x14ac:dyDescent="0.25">
      <c r="C42" s="126"/>
      <c r="D42" s="126"/>
      <c r="O42" s="124"/>
      <c r="P42" s="124"/>
      <c r="Q42" s="124"/>
    </row>
    <row r="43" spans="1:17" x14ac:dyDescent="0.25">
      <c r="C43" s="126"/>
      <c r="D43" s="126"/>
      <c r="O43" s="124"/>
      <c r="P43" s="124"/>
      <c r="Q43" s="124"/>
    </row>
    <row r="44" spans="1:17" ht="18.75" x14ac:dyDescent="0.3">
      <c r="A44" s="116"/>
    </row>
    <row r="45" spans="1:17" ht="12" customHeight="1" x14ac:dyDescent="0.3">
      <c r="A45" s="116"/>
    </row>
    <row r="46" spans="1:17" x14ac:dyDescent="0.25">
      <c r="B46" s="119"/>
      <c r="C46" s="119"/>
      <c r="D46" s="119"/>
    </row>
    <row r="47" spans="1:17" x14ac:dyDescent="0.25">
      <c r="B47" s="122"/>
      <c r="C47" s="122"/>
      <c r="D47" s="122"/>
    </row>
    <row r="48" spans="1:17" x14ac:dyDescent="0.25">
      <c r="A48" s="109"/>
      <c r="B48" s="73"/>
      <c r="C48" s="73"/>
      <c r="D48" s="73"/>
      <c r="F48" s="123"/>
    </row>
    <row r="49" spans="1:11" x14ac:dyDescent="0.25">
      <c r="A49" s="109"/>
      <c r="B49" s="73"/>
      <c r="C49" s="73"/>
      <c r="D49" s="73"/>
    </row>
    <row r="50" spans="1:11" x14ac:dyDescent="0.25">
      <c r="A50" s="109"/>
      <c r="B50" s="73"/>
      <c r="C50" s="73"/>
      <c r="D50" s="73"/>
    </row>
    <row r="51" spans="1:11" x14ac:dyDescent="0.25">
      <c r="A51" s="109"/>
      <c r="B51" s="73"/>
      <c r="C51" s="73"/>
      <c r="D51" s="73"/>
    </row>
    <row r="52" spans="1:11" x14ac:dyDescent="0.25">
      <c r="D52" s="109"/>
    </row>
    <row r="53" spans="1:11" x14ac:dyDescent="0.25">
      <c r="D53" s="109"/>
    </row>
    <row r="54" spans="1:11" x14ac:dyDescent="0.25">
      <c r="D54" s="109"/>
    </row>
    <row r="55" spans="1:11" ht="18.75" x14ac:dyDescent="0.3">
      <c r="A55" s="116"/>
      <c r="H55" s="116"/>
    </row>
    <row r="57" spans="1:11" ht="33" customHeight="1" x14ac:dyDescent="0.25"/>
    <row r="60" spans="1:11" x14ac:dyDescent="0.25">
      <c r="B60" s="127"/>
      <c r="C60" s="127"/>
      <c r="H60" s="128"/>
      <c r="I60" s="129"/>
      <c r="J60" s="119"/>
      <c r="K60" s="130"/>
    </row>
    <row r="61" spans="1:11" ht="15.75" x14ac:dyDescent="0.25">
      <c r="A61" s="131"/>
      <c r="B61" s="132"/>
      <c r="C61" s="132"/>
      <c r="H61" s="133"/>
      <c r="I61" s="134"/>
    </row>
    <row r="62" spans="1:11" ht="15.75" x14ac:dyDescent="0.25">
      <c r="A62" s="131"/>
      <c r="B62" s="132"/>
      <c r="C62" s="132"/>
      <c r="I62" s="134"/>
    </row>
    <row r="63" spans="1:11" ht="15.75" x14ac:dyDescent="0.25">
      <c r="A63" s="131"/>
      <c r="B63" s="132"/>
      <c r="C63" s="132"/>
      <c r="I63" s="134"/>
    </row>
    <row r="64" spans="1:11" ht="15.75" x14ac:dyDescent="0.25">
      <c r="A64" s="131"/>
      <c r="B64" s="132"/>
      <c r="C64" s="132"/>
      <c r="I64" s="134"/>
    </row>
    <row r="65" spans="1:6" x14ac:dyDescent="0.25">
      <c r="A65" s="135"/>
      <c r="B65" s="136"/>
      <c r="C65" s="136"/>
    </row>
    <row r="66" spans="1:6" x14ac:dyDescent="0.25">
      <c r="A66" s="135"/>
      <c r="B66" s="136"/>
      <c r="C66" s="136"/>
    </row>
    <row r="68" spans="1:6" ht="18.75" x14ac:dyDescent="0.3">
      <c r="A68" s="116"/>
    </row>
    <row r="70" spans="1:6" x14ac:dyDescent="0.25">
      <c r="C70" s="119"/>
      <c r="D70" s="119"/>
      <c r="E70" s="119"/>
      <c r="F70" s="119"/>
    </row>
    <row r="71" spans="1:6" x14ac:dyDescent="0.25">
      <c r="A71" s="119"/>
      <c r="C71" s="134"/>
      <c r="D71" s="134"/>
      <c r="E71" s="134"/>
      <c r="F71" s="134"/>
    </row>
    <row r="72" spans="1:6" x14ac:dyDescent="0.25">
      <c r="A72" s="119"/>
      <c r="C72" s="134"/>
      <c r="D72" s="134"/>
      <c r="E72" s="134"/>
      <c r="F72" s="134"/>
    </row>
    <row r="75" spans="1:6" x14ac:dyDescent="0.25">
      <c r="C75" s="119"/>
      <c r="D75" s="119"/>
      <c r="E75" s="119"/>
      <c r="F75" s="119"/>
    </row>
    <row r="76" spans="1:6" x14ac:dyDescent="0.25">
      <c r="A76" s="119"/>
      <c r="B76" s="137"/>
      <c r="C76" s="134"/>
      <c r="D76" s="134"/>
      <c r="E76" s="134"/>
      <c r="F76" s="134"/>
    </row>
    <row r="77" spans="1:6" x14ac:dyDescent="0.25">
      <c r="A77" s="119"/>
      <c r="B77" s="137"/>
      <c r="C77" s="134"/>
      <c r="D77" s="134"/>
      <c r="E77" s="134"/>
      <c r="F77" s="134"/>
    </row>
  </sheetData>
  <mergeCells count="2">
    <mergeCell ref="B2:H2"/>
    <mergeCell ref="F4:G4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7E6C-273B-47A2-8934-C047FC0BDF4F}">
  <dimension ref="B2:F30"/>
  <sheetViews>
    <sheetView workbookViewId="0">
      <selection activeCell="G36" sqref="G36"/>
    </sheetView>
  </sheetViews>
  <sheetFormatPr defaultRowHeight="15" x14ac:dyDescent="0.25"/>
  <cols>
    <col min="2" max="2" width="28.5703125" bestFit="1" customWidth="1"/>
    <col min="3" max="3" width="10.140625" bestFit="1" customWidth="1"/>
    <col min="4" max="4" width="12.28515625" bestFit="1" customWidth="1"/>
    <col min="5" max="5" width="20.5703125" customWidth="1"/>
    <col min="6" max="6" width="12.7109375" customWidth="1"/>
  </cols>
  <sheetData>
    <row r="2" spans="2:6" ht="15.75" thickBot="1" x14ac:dyDescent="0.3"/>
    <row r="3" spans="2:6" ht="15.75" thickBot="1" x14ac:dyDescent="0.3">
      <c r="B3" s="148"/>
      <c r="C3" s="149" t="s">
        <v>338</v>
      </c>
      <c r="D3" s="150" t="s">
        <v>339</v>
      </c>
      <c r="E3" s="300" t="s">
        <v>24</v>
      </c>
      <c r="F3" s="301"/>
    </row>
    <row r="4" spans="2:6" x14ac:dyDescent="0.25">
      <c r="B4" s="151" t="s">
        <v>7</v>
      </c>
      <c r="C4" s="277">
        <f>'M2021 BLS SALARY CHART (53rd)'!C6</f>
        <v>39521.664000000004</v>
      </c>
      <c r="D4" s="277">
        <f>'M2021 BLS SALARY CHART (53rd)'!C8</f>
        <v>50421.529600000002</v>
      </c>
      <c r="E4" s="302" t="s">
        <v>337</v>
      </c>
      <c r="F4" s="303"/>
    </row>
    <row r="5" spans="2:6" x14ac:dyDescent="0.25">
      <c r="B5" s="152" t="s">
        <v>25</v>
      </c>
      <c r="C5" s="278">
        <f>'M2021 BLS SALARY CHART (53rd)'!C38</f>
        <v>0.25390000000000001</v>
      </c>
      <c r="D5" s="278">
        <f>C5</f>
        <v>0.25390000000000001</v>
      </c>
      <c r="E5" s="304" t="s">
        <v>336</v>
      </c>
      <c r="F5" s="305"/>
    </row>
    <row r="6" spans="2:6" x14ac:dyDescent="0.25">
      <c r="B6" s="152" t="s">
        <v>102</v>
      </c>
      <c r="C6" s="279">
        <f t="shared" ref="C6:D6" si="0">C4*C5</f>
        <v>10034.550489600002</v>
      </c>
      <c r="D6" s="279">
        <f t="shared" si="0"/>
        <v>12802.026365440001</v>
      </c>
      <c r="F6" s="53"/>
    </row>
    <row r="7" spans="2:6" x14ac:dyDescent="0.25">
      <c r="B7" s="152" t="s">
        <v>103</v>
      </c>
      <c r="C7" s="279">
        <f>C4+C6</f>
        <v>49556.21448960001</v>
      </c>
      <c r="D7" s="279">
        <f t="shared" ref="D7" si="1">D4+D6</f>
        <v>63223.555965439999</v>
      </c>
      <c r="F7" s="53"/>
    </row>
    <row r="8" spans="2:6" x14ac:dyDescent="0.25">
      <c r="B8" s="152" t="s">
        <v>104</v>
      </c>
      <c r="C8" s="278">
        <f>'M2021 BLS SALARY CHART (53rd)'!C40</f>
        <v>2.7811565914169036E-2</v>
      </c>
      <c r="D8" s="278">
        <f>C8</f>
        <v>2.7811565914169036E-2</v>
      </c>
      <c r="F8" s="53"/>
    </row>
    <row r="9" spans="2:6" x14ac:dyDescent="0.25">
      <c r="B9" s="152" t="s">
        <v>105</v>
      </c>
      <c r="C9" s="279">
        <f>C8*C7</f>
        <v>1378.2359257342093</v>
      </c>
      <c r="D9" s="279">
        <f>D8*D7</f>
        <v>1758.3460940609893</v>
      </c>
      <c r="F9" s="53"/>
    </row>
    <row r="10" spans="2:6" x14ac:dyDescent="0.25">
      <c r="B10" s="152" t="s">
        <v>106</v>
      </c>
      <c r="C10" s="279">
        <f>C7+C9</f>
        <v>50934.45041533422</v>
      </c>
      <c r="D10" s="279">
        <f>D7+D9</f>
        <v>64981.902059500986</v>
      </c>
      <c r="F10" s="53"/>
    </row>
    <row r="11" spans="2:6" x14ac:dyDescent="0.25">
      <c r="B11" s="152" t="s">
        <v>107</v>
      </c>
      <c r="C11" s="280">
        <f>E30</f>
        <v>1952</v>
      </c>
      <c r="D11" s="280">
        <f>E30</f>
        <v>1952</v>
      </c>
      <c r="F11" s="53"/>
    </row>
    <row r="12" spans="2:6" ht="15.75" thickBot="1" x14ac:dyDescent="0.3">
      <c r="B12" s="153" t="s">
        <v>108</v>
      </c>
      <c r="C12" s="281">
        <f>C10/C11</f>
        <v>26.093468450478596</v>
      </c>
      <c r="D12" s="281">
        <f>D10/D11</f>
        <v>33.28990884195747</v>
      </c>
      <c r="E12" s="113"/>
      <c r="F12" s="114"/>
    </row>
    <row r="13" spans="2:6" ht="15.75" hidden="1" thickBot="1" x14ac:dyDescent="0.3">
      <c r="B13" s="154" t="s">
        <v>109</v>
      </c>
      <c r="C13" s="155">
        <f>(C9+C10)/12</f>
        <v>4359.3905284223692</v>
      </c>
    </row>
    <row r="14" spans="2:6" ht="15.75" hidden="1" thickBot="1" x14ac:dyDescent="0.3">
      <c r="B14" s="154" t="s">
        <v>110</v>
      </c>
      <c r="C14" s="155">
        <f>C13*0.75</f>
        <v>3269.5428963167769</v>
      </c>
    </row>
    <row r="15" spans="2:6" ht="15.75" hidden="1" thickBot="1" x14ac:dyDescent="0.3">
      <c r="B15" s="154" t="s">
        <v>111</v>
      </c>
      <c r="C15" s="155">
        <f>C13*0.5</f>
        <v>2179.6952642111846</v>
      </c>
    </row>
    <row r="16" spans="2:6" ht="15.75" hidden="1" thickBot="1" x14ac:dyDescent="0.3">
      <c r="B16" s="154" t="s">
        <v>112</v>
      </c>
      <c r="C16" s="155">
        <f>C13*0.25</f>
        <v>1089.8476321055923</v>
      </c>
    </row>
    <row r="17" spans="2:6" ht="15.75" hidden="1" thickBot="1" x14ac:dyDescent="0.3">
      <c r="C17" s="156">
        <f>20.32*0.25</f>
        <v>5.08</v>
      </c>
      <c r="D17" s="157">
        <f>26.2*0.25</f>
        <v>6.55</v>
      </c>
    </row>
    <row r="18" spans="2:6" ht="15.75" thickBot="1" x14ac:dyDescent="0.3">
      <c r="B18" s="158" t="s">
        <v>113</v>
      </c>
      <c r="C18" s="159">
        <f>C12/4</f>
        <v>6.5233671126196491</v>
      </c>
      <c r="D18" s="160">
        <f>D12/4</f>
        <v>8.3224772104893674</v>
      </c>
      <c r="E18" s="161"/>
      <c r="F18" s="162"/>
    </row>
    <row r="19" spans="2:6" x14ac:dyDescent="0.25">
      <c r="B19" s="163"/>
    </row>
    <row r="20" spans="2:6" x14ac:dyDescent="0.25">
      <c r="B20" s="163" t="s">
        <v>87</v>
      </c>
      <c r="C20" s="164">
        <v>22.04</v>
      </c>
      <c r="D20" s="165">
        <v>28.52</v>
      </c>
    </row>
    <row r="21" spans="2:6" x14ac:dyDescent="0.25">
      <c r="C21" s="164">
        <v>5.51</v>
      </c>
      <c r="D21" s="165">
        <v>7.13</v>
      </c>
    </row>
    <row r="22" spans="2:6" x14ac:dyDescent="0.25">
      <c r="C22" s="166">
        <f>(C12-C20)/C20</f>
        <v>0.18391417651899261</v>
      </c>
      <c r="D22" s="166">
        <f>(D12-D20)/D20</f>
        <v>0.16724785560860694</v>
      </c>
    </row>
    <row r="25" spans="2:6" ht="15.75" thickBot="1" x14ac:dyDescent="0.3">
      <c r="B25" s="167" t="s">
        <v>114</v>
      </c>
      <c r="C25" s="168"/>
      <c r="D25" s="169"/>
      <c r="E25" s="168"/>
    </row>
    <row r="26" spans="2:6" x14ac:dyDescent="0.25">
      <c r="B26" s="170"/>
      <c r="C26" s="171"/>
      <c r="D26" s="172" t="s">
        <v>46</v>
      </c>
      <c r="E26" s="173" t="s">
        <v>115</v>
      </c>
    </row>
    <row r="27" spans="2:6" x14ac:dyDescent="0.25">
      <c r="B27" s="174"/>
      <c r="C27" s="175" t="s">
        <v>116</v>
      </c>
      <c r="D27" s="176">
        <v>15</v>
      </c>
      <c r="E27" s="177">
        <f>D27*8</f>
        <v>120</v>
      </c>
    </row>
    <row r="28" spans="2:6" x14ac:dyDescent="0.25">
      <c r="B28" s="178"/>
      <c r="C28" s="179" t="s">
        <v>117</v>
      </c>
      <c r="D28" s="180">
        <v>1</v>
      </c>
      <c r="E28" s="181">
        <f>D28*8</f>
        <v>8</v>
      </c>
    </row>
    <row r="29" spans="2:6" x14ac:dyDescent="0.25">
      <c r="B29" s="174"/>
      <c r="C29" s="182"/>
      <c r="D29" s="175" t="s">
        <v>118</v>
      </c>
      <c r="E29" s="183">
        <f>SUM(E27:E28)</f>
        <v>128</v>
      </c>
    </row>
    <row r="30" spans="2:6" ht="15.75" thickBot="1" x14ac:dyDescent="0.3">
      <c r="B30" s="184"/>
      <c r="C30" s="185"/>
      <c r="D30" s="186" t="s">
        <v>107</v>
      </c>
      <c r="E30" s="187">
        <f>2080-E29</f>
        <v>1952</v>
      </c>
    </row>
  </sheetData>
  <mergeCells count="3">
    <mergeCell ref="E3:F3"/>
    <mergeCell ref="E4:F4"/>
    <mergeCell ref="E5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D770-791B-48A1-88C4-42A8D355220F}">
  <sheetPr>
    <pageSetUpPr fitToPage="1"/>
  </sheetPr>
  <dimension ref="B1:F52"/>
  <sheetViews>
    <sheetView showGridLines="0" topLeftCell="A28" zoomScale="60" zoomScaleNormal="60" workbookViewId="0">
      <selection activeCell="D54" sqref="D54"/>
    </sheetView>
  </sheetViews>
  <sheetFormatPr defaultRowHeight="26.25" x14ac:dyDescent="0.4"/>
  <cols>
    <col min="1" max="1" width="5.5703125" style="188" customWidth="1"/>
    <col min="2" max="2" width="96.5703125" style="188" customWidth="1"/>
    <col min="3" max="3" width="24.140625" style="188" customWidth="1"/>
    <col min="4" max="4" width="77.85546875" style="188" customWidth="1"/>
    <col min="5" max="5" width="69.140625" style="190" customWidth="1"/>
    <col min="6" max="6" width="44" style="190" customWidth="1"/>
    <col min="7" max="243" width="8.7109375" style="188"/>
    <col min="244" max="244" width="5.5703125" style="188" customWidth="1"/>
    <col min="245" max="245" width="58" style="188" customWidth="1"/>
    <col min="246" max="246" width="24.140625" style="188" customWidth="1"/>
    <col min="247" max="248" width="0" style="188" hidden="1" customWidth="1"/>
    <col min="249" max="249" width="61.42578125" style="188" customWidth="1"/>
    <col min="250" max="250" width="62.140625" style="188" customWidth="1"/>
    <col min="251" max="254" width="0" style="188" hidden="1" customWidth="1"/>
    <col min="255" max="499" width="8.7109375" style="188"/>
    <col min="500" max="500" width="5.5703125" style="188" customWidth="1"/>
    <col min="501" max="501" width="58" style="188" customWidth="1"/>
    <col min="502" max="502" width="24.140625" style="188" customWidth="1"/>
    <col min="503" max="504" width="0" style="188" hidden="1" customWidth="1"/>
    <col min="505" max="505" width="61.42578125" style="188" customWidth="1"/>
    <col min="506" max="506" width="62.140625" style="188" customWidth="1"/>
    <col min="507" max="510" width="0" style="188" hidden="1" customWidth="1"/>
    <col min="511" max="755" width="8.7109375" style="188"/>
    <col min="756" max="756" width="5.5703125" style="188" customWidth="1"/>
    <col min="757" max="757" width="58" style="188" customWidth="1"/>
    <col min="758" max="758" width="24.140625" style="188" customWidth="1"/>
    <col min="759" max="760" width="0" style="188" hidden="1" customWidth="1"/>
    <col min="761" max="761" width="61.42578125" style="188" customWidth="1"/>
    <col min="762" max="762" width="62.140625" style="188" customWidth="1"/>
    <col min="763" max="766" width="0" style="188" hidden="1" customWidth="1"/>
    <col min="767" max="1011" width="8.7109375" style="188"/>
    <col min="1012" max="1012" width="5.5703125" style="188" customWidth="1"/>
    <col min="1013" max="1013" width="58" style="188" customWidth="1"/>
    <col min="1014" max="1014" width="24.140625" style="188" customWidth="1"/>
    <col min="1015" max="1016" width="0" style="188" hidden="1" customWidth="1"/>
    <col min="1017" max="1017" width="61.42578125" style="188" customWidth="1"/>
    <col min="1018" max="1018" width="62.140625" style="188" customWidth="1"/>
    <col min="1019" max="1022" width="0" style="188" hidden="1" customWidth="1"/>
    <col min="1023" max="1267" width="8.7109375" style="188"/>
    <col min="1268" max="1268" width="5.5703125" style="188" customWidth="1"/>
    <col min="1269" max="1269" width="58" style="188" customWidth="1"/>
    <col min="1270" max="1270" width="24.140625" style="188" customWidth="1"/>
    <col min="1271" max="1272" width="0" style="188" hidden="1" customWidth="1"/>
    <col min="1273" max="1273" width="61.42578125" style="188" customWidth="1"/>
    <col min="1274" max="1274" width="62.140625" style="188" customWidth="1"/>
    <col min="1275" max="1278" width="0" style="188" hidden="1" customWidth="1"/>
    <col min="1279" max="1523" width="8.7109375" style="188"/>
    <col min="1524" max="1524" width="5.5703125" style="188" customWidth="1"/>
    <col min="1525" max="1525" width="58" style="188" customWidth="1"/>
    <col min="1526" max="1526" width="24.140625" style="188" customWidth="1"/>
    <col min="1527" max="1528" width="0" style="188" hidden="1" customWidth="1"/>
    <col min="1529" max="1529" width="61.42578125" style="188" customWidth="1"/>
    <col min="1530" max="1530" width="62.140625" style="188" customWidth="1"/>
    <col min="1531" max="1534" width="0" style="188" hidden="1" customWidth="1"/>
    <col min="1535" max="1779" width="8.7109375" style="188"/>
    <col min="1780" max="1780" width="5.5703125" style="188" customWidth="1"/>
    <col min="1781" max="1781" width="58" style="188" customWidth="1"/>
    <col min="1782" max="1782" width="24.140625" style="188" customWidth="1"/>
    <col min="1783" max="1784" width="0" style="188" hidden="1" customWidth="1"/>
    <col min="1785" max="1785" width="61.42578125" style="188" customWidth="1"/>
    <col min="1786" max="1786" width="62.140625" style="188" customWidth="1"/>
    <col min="1787" max="1790" width="0" style="188" hidden="1" customWidth="1"/>
    <col min="1791" max="2035" width="8.7109375" style="188"/>
    <col min="2036" max="2036" width="5.5703125" style="188" customWidth="1"/>
    <col min="2037" max="2037" width="58" style="188" customWidth="1"/>
    <col min="2038" max="2038" width="24.140625" style="188" customWidth="1"/>
    <col min="2039" max="2040" width="0" style="188" hidden="1" customWidth="1"/>
    <col min="2041" max="2041" width="61.42578125" style="188" customWidth="1"/>
    <col min="2042" max="2042" width="62.140625" style="188" customWidth="1"/>
    <col min="2043" max="2046" width="0" style="188" hidden="1" customWidth="1"/>
    <col min="2047" max="2291" width="8.7109375" style="188"/>
    <col min="2292" max="2292" width="5.5703125" style="188" customWidth="1"/>
    <col min="2293" max="2293" width="58" style="188" customWidth="1"/>
    <col min="2294" max="2294" width="24.140625" style="188" customWidth="1"/>
    <col min="2295" max="2296" width="0" style="188" hidden="1" customWidth="1"/>
    <col min="2297" max="2297" width="61.42578125" style="188" customWidth="1"/>
    <col min="2298" max="2298" width="62.140625" style="188" customWidth="1"/>
    <col min="2299" max="2302" width="0" style="188" hidden="1" customWidth="1"/>
    <col min="2303" max="2547" width="8.7109375" style="188"/>
    <col min="2548" max="2548" width="5.5703125" style="188" customWidth="1"/>
    <col min="2549" max="2549" width="58" style="188" customWidth="1"/>
    <col min="2550" max="2550" width="24.140625" style="188" customWidth="1"/>
    <col min="2551" max="2552" width="0" style="188" hidden="1" customWidth="1"/>
    <col min="2553" max="2553" width="61.42578125" style="188" customWidth="1"/>
    <col min="2554" max="2554" width="62.140625" style="188" customWidth="1"/>
    <col min="2555" max="2558" width="0" style="188" hidden="1" customWidth="1"/>
    <col min="2559" max="2803" width="8.7109375" style="188"/>
    <col min="2804" max="2804" width="5.5703125" style="188" customWidth="1"/>
    <col min="2805" max="2805" width="58" style="188" customWidth="1"/>
    <col min="2806" max="2806" width="24.140625" style="188" customWidth="1"/>
    <col min="2807" max="2808" width="0" style="188" hidden="1" customWidth="1"/>
    <col min="2809" max="2809" width="61.42578125" style="188" customWidth="1"/>
    <col min="2810" max="2810" width="62.140625" style="188" customWidth="1"/>
    <col min="2811" max="2814" width="0" style="188" hidden="1" customWidth="1"/>
    <col min="2815" max="3059" width="8.7109375" style="188"/>
    <col min="3060" max="3060" width="5.5703125" style="188" customWidth="1"/>
    <col min="3061" max="3061" width="58" style="188" customWidth="1"/>
    <col min="3062" max="3062" width="24.140625" style="188" customWidth="1"/>
    <col min="3063" max="3064" width="0" style="188" hidden="1" customWidth="1"/>
    <col min="3065" max="3065" width="61.42578125" style="188" customWidth="1"/>
    <col min="3066" max="3066" width="62.140625" style="188" customWidth="1"/>
    <col min="3067" max="3070" width="0" style="188" hidden="1" customWidth="1"/>
    <col min="3071" max="3315" width="8.7109375" style="188"/>
    <col min="3316" max="3316" width="5.5703125" style="188" customWidth="1"/>
    <col min="3317" max="3317" width="58" style="188" customWidth="1"/>
    <col min="3318" max="3318" width="24.140625" style="188" customWidth="1"/>
    <col min="3319" max="3320" width="0" style="188" hidden="1" customWidth="1"/>
    <col min="3321" max="3321" width="61.42578125" style="188" customWidth="1"/>
    <col min="3322" max="3322" width="62.140625" style="188" customWidth="1"/>
    <col min="3323" max="3326" width="0" style="188" hidden="1" customWidth="1"/>
    <col min="3327" max="3571" width="8.7109375" style="188"/>
    <col min="3572" max="3572" width="5.5703125" style="188" customWidth="1"/>
    <col min="3573" max="3573" width="58" style="188" customWidth="1"/>
    <col min="3574" max="3574" width="24.140625" style="188" customWidth="1"/>
    <col min="3575" max="3576" width="0" style="188" hidden="1" customWidth="1"/>
    <col min="3577" max="3577" width="61.42578125" style="188" customWidth="1"/>
    <col min="3578" max="3578" width="62.140625" style="188" customWidth="1"/>
    <col min="3579" max="3582" width="0" style="188" hidden="1" customWidth="1"/>
    <col min="3583" max="3827" width="8.7109375" style="188"/>
    <col min="3828" max="3828" width="5.5703125" style="188" customWidth="1"/>
    <col min="3829" max="3829" width="58" style="188" customWidth="1"/>
    <col min="3830" max="3830" width="24.140625" style="188" customWidth="1"/>
    <col min="3831" max="3832" width="0" style="188" hidden="1" customWidth="1"/>
    <col min="3833" max="3833" width="61.42578125" style="188" customWidth="1"/>
    <col min="3834" max="3834" width="62.140625" style="188" customWidth="1"/>
    <col min="3835" max="3838" width="0" style="188" hidden="1" customWidth="1"/>
    <col min="3839" max="4083" width="8.7109375" style="188"/>
    <col min="4084" max="4084" width="5.5703125" style="188" customWidth="1"/>
    <col min="4085" max="4085" width="58" style="188" customWidth="1"/>
    <col min="4086" max="4086" width="24.140625" style="188" customWidth="1"/>
    <col min="4087" max="4088" width="0" style="188" hidden="1" customWidth="1"/>
    <col min="4089" max="4089" width="61.42578125" style="188" customWidth="1"/>
    <col min="4090" max="4090" width="62.140625" style="188" customWidth="1"/>
    <col min="4091" max="4094" width="0" style="188" hidden="1" customWidth="1"/>
    <col min="4095" max="4339" width="8.7109375" style="188"/>
    <col min="4340" max="4340" width="5.5703125" style="188" customWidth="1"/>
    <col min="4341" max="4341" width="58" style="188" customWidth="1"/>
    <col min="4342" max="4342" width="24.140625" style="188" customWidth="1"/>
    <col min="4343" max="4344" width="0" style="188" hidden="1" customWidth="1"/>
    <col min="4345" max="4345" width="61.42578125" style="188" customWidth="1"/>
    <col min="4346" max="4346" width="62.140625" style="188" customWidth="1"/>
    <col min="4347" max="4350" width="0" style="188" hidden="1" customWidth="1"/>
    <col min="4351" max="4595" width="8.7109375" style="188"/>
    <col min="4596" max="4596" width="5.5703125" style="188" customWidth="1"/>
    <col min="4597" max="4597" width="58" style="188" customWidth="1"/>
    <col min="4598" max="4598" width="24.140625" style="188" customWidth="1"/>
    <col min="4599" max="4600" width="0" style="188" hidden="1" customWidth="1"/>
    <col min="4601" max="4601" width="61.42578125" style="188" customWidth="1"/>
    <col min="4602" max="4602" width="62.140625" style="188" customWidth="1"/>
    <col min="4603" max="4606" width="0" style="188" hidden="1" customWidth="1"/>
    <col min="4607" max="4851" width="8.7109375" style="188"/>
    <col min="4852" max="4852" width="5.5703125" style="188" customWidth="1"/>
    <col min="4853" max="4853" width="58" style="188" customWidth="1"/>
    <col min="4854" max="4854" width="24.140625" style="188" customWidth="1"/>
    <col min="4855" max="4856" width="0" style="188" hidden="1" customWidth="1"/>
    <col min="4857" max="4857" width="61.42578125" style="188" customWidth="1"/>
    <col min="4858" max="4858" width="62.140625" style="188" customWidth="1"/>
    <col min="4859" max="4862" width="0" style="188" hidden="1" customWidth="1"/>
    <col min="4863" max="5107" width="8.7109375" style="188"/>
    <col min="5108" max="5108" width="5.5703125" style="188" customWidth="1"/>
    <col min="5109" max="5109" width="58" style="188" customWidth="1"/>
    <col min="5110" max="5110" width="24.140625" style="188" customWidth="1"/>
    <col min="5111" max="5112" width="0" style="188" hidden="1" customWidth="1"/>
    <col min="5113" max="5113" width="61.42578125" style="188" customWidth="1"/>
    <col min="5114" max="5114" width="62.140625" style="188" customWidth="1"/>
    <col min="5115" max="5118" width="0" style="188" hidden="1" customWidth="1"/>
    <col min="5119" max="5363" width="8.7109375" style="188"/>
    <col min="5364" max="5364" width="5.5703125" style="188" customWidth="1"/>
    <col min="5365" max="5365" width="58" style="188" customWidth="1"/>
    <col min="5366" max="5366" width="24.140625" style="188" customWidth="1"/>
    <col min="5367" max="5368" width="0" style="188" hidden="1" customWidth="1"/>
    <col min="5369" max="5369" width="61.42578125" style="188" customWidth="1"/>
    <col min="5370" max="5370" width="62.140625" style="188" customWidth="1"/>
    <col min="5371" max="5374" width="0" style="188" hidden="1" customWidth="1"/>
    <col min="5375" max="5619" width="8.7109375" style="188"/>
    <col min="5620" max="5620" width="5.5703125" style="188" customWidth="1"/>
    <col min="5621" max="5621" width="58" style="188" customWidth="1"/>
    <col min="5622" max="5622" width="24.140625" style="188" customWidth="1"/>
    <col min="5623" max="5624" width="0" style="188" hidden="1" customWidth="1"/>
    <col min="5625" max="5625" width="61.42578125" style="188" customWidth="1"/>
    <col min="5626" max="5626" width="62.140625" style="188" customWidth="1"/>
    <col min="5627" max="5630" width="0" style="188" hidden="1" customWidth="1"/>
    <col min="5631" max="5875" width="8.7109375" style="188"/>
    <col min="5876" max="5876" width="5.5703125" style="188" customWidth="1"/>
    <col min="5877" max="5877" width="58" style="188" customWidth="1"/>
    <col min="5878" max="5878" width="24.140625" style="188" customWidth="1"/>
    <col min="5879" max="5880" width="0" style="188" hidden="1" customWidth="1"/>
    <col min="5881" max="5881" width="61.42578125" style="188" customWidth="1"/>
    <col min="5882" max="5882" width="62.140625" style="188" customWidth="1"/>
    <col min="5883" max="5886" width="0" style="188" hidden="1" customWidth="1"/>
    <col min="5887" max="6131" width="8.7109375" style="188"/>
    <col min="6132" max="6132" width="5.5703125" style="188" customWidth="1"/>
    <col min="6133" max="6133" width="58" style="188" customWidth="1"/>
    <col min="6134" max="6134" width="24.140625" style="188" customWidth="1"/>
    <col min="6135" max="6136" width="0" style="188" hidden="1" customWidth="1"/>
    <col min="6137" max="6137" width="61.42578125" style="188" customWidth="1"/>
    <col min="6138" max="6138" width="62.140625" style="188" customWidth="1"/>
    <col min="6139" max="6142" width="0" style="188" hidden="1" customWidth="1"/>
    <col min="6143" max="6387" width="8.7109375" style="188"/>
    <col min="6388" max="6388" width="5.5703125" style="188" customWidth="1"/>
    <col min="6389" max="6389" width="58" style="188" customWidth="1"/>
    <col min="6390" max="6390" width="24.140625" style="188" customWidth="1"/>
    <col min="6391" max="6392" width="0" style="188" hidden="1" customWidth="1"/>
    <col min="6393" max="6393" width="61.42578125" style="188" customWidth="1"/>
    <col min="6394" max="6394" width="62.140625" style="188" customWidth="1"/>
    <col min="6395" max="6398" width="0" style="188" hidden="1" customWidth="1"/>
    <col min="6399" max="6643" width="8.7109375" style="188"/>
    <col min="6644" max="6644" width="5.5703125" style="188" customWidth="1"/>
    <col min="6645" max="6645" width="58" style="188" customWidth="1"/>
    <col min="6646" max="6646" width="24.140625" style="188" customWidth="1"/>
    <col min="6647" max="6648" width="0" style="188" hidden="1" customWidth="1"/>
    <col min="6649" max="6649" width="61.42578125" style="188" customWidth="1"/>
    <col min="6650" max="6650" width="62.140625" style="188" customWidth="1"/>
    <col min="6651" max="6654" width="0" style="188" hidden="1" customWidth="1"/>
    <col min="6655" max="6899" width="8.7109375" style="188"/>
    <col min="6900" max="6900" width="5.5703125" style="188" customWidth="1"/>
    <col min="6901" max="6901" width="58" style="188" customWidth="1"/>
    <col min="6902" max="6902" width="24.140625" style="188" customWidth="1"/>
    <col min="6903" max="6904" width="0" style="188" hidden="1" customWidth="1"/>
    <col min="6905" max="6905" width="61.42578125" style="188" customWidth="1"/>
    <col min="6906" max="6906" width="62.140625" style="188" customWidth="1"/>
    <col min="6907" max="6910" width="0" style="188" hidden="1" customWidth="1"/>
    <col min="6911" max="7155" width="8.7109375" style="188"/>
    <col min="7156" max="7156" width="5.5703125" style="188" customWidth="1"/>
    <col min="7157" max="7157" width="58" style="188" customWidth="1"/>
    <col min="7158" max="7158" width="24.140625" style="188" customWidth="1"/>
    <col min="7159" max="7160" width="0" style="188" hidden="1" customWidth="1"/>
    <col min="7161" max="7161" width="61.42578125" style="188" customWidth="1"/>
    <col min="7162" max="7162" width="62.140625" style="188" customWidth="1"/>
    <col min="7163" max="7166" width="0" style="188" hidden="1" customWidth="1"/>
    <col min="7167" max="7411" width="8.7109375" style="188"/>
    <col min="7412" max="7412" width="5.5703125" style="188" customWidth="1"/>
    <col min="7413" max="7413" width="58" style="188" customWidth="1"/>
    <col min="7414" max="7414" width="24.140625" style="188" customWidth="1"/>
    <col min="7415" max="7416" width="0" style="188" hidden="1" customWidth="1"/>
    <col min="7417" max="7417" width="61.42578125" style="188" customWidth="1"/>
    <col min="7418" max="7418" width="62.140625" style="188" customWidth="1"/>
    <col min="7419" max="7422" width="0" style="188" hidden="1" customWidth="1"/>
    <col min="7423" max="7667" width="8.7109375" style="188"/>
    <col min="7668" max="7668" width="5.5703125" style="188" customWidth="1"/>
    <col min="7669" max="7669" width="58" style="188" customWidth="1"/>
    <col min="7670" max="7670" width="24.140625" style="188" customWidth="1"/>
    <col min="7671" max="7672" width="0" style="188" hidden="1" customWidth="1"/>
    <col min="7673" max="7673" width="61.42578125" style="188" customWidth="1"/>
    <col min="7674" max="7674" width="62.140625" style="188" customWidth="1"/>
    <col min="7675" max="7678" width="0" style="188" hidden="1" customWidth="1"/>
    <col min="7679" max="7923" width="8.7109375" style="188"/>
    <col min="7924" max="7924" width="5.5703125" style="188" customWidth="1"/>
    <col min="7925" max="7925" width="58" style="188" customWidth="1"/>
    <col min="7926" max="7926" width="24.140625" style="188" customWidth="1"/>
    <col min="7927" max="7928" width="0" style="188" hidden="1" customWidth="1"/>
    <col min="7929" max="7929" width="61.42578125" style="188" customWidth="1"/>
    <col min="7930" max="7930" width="62.140625" style="188" customWidth="1"/>
    <col min="7931" max="7934" width="0" style="188" hidden="1" customWidth="1"/>
    <col min="7935" max="8179" width="8.7109375" style="188"/>
    <col min="8180" max="8180" width="5.5703125" style="188" customWidth="1"/>
    <col min="8181" max="8181" width="58" style="188" customWidth="1"/>
    <col min="8182" max="8182" width="24.140625" style="188" customWidth="1"/>
    <col min="8183" max="8184" width="0" style="188" hidden="1" customWidth="1"/>
    <col min="8185" max="8185" width="61.42578125" style="188" customWidth="1"/>
    <col min="8186" max="8186" width="62.140625" style="188" customWidth="1"/>
    <col min="8187" max="8190" width="0" style="188" hidden="1" customWidth="1"/>
    <col min="8191" max="8435" width="8.7109375" style="188"/>
    <col min="8436" max="8436" width="5.5703125" style="188" customWidth="1"/>
    <col min="8437" max="8437" width="58" style="188" customWidth="1"/>
    <col min="8438" max="8438" width="24.140625" style="188" customWidth="1"/>
    <col min="8439" max="8440" width="0" style="188" hidden="1" customWidth="1"/>
    <col min="8441" max="8441" width="61.42578125" style="188" customWidth="1"/>
    <col min="8442" max="8442" width="62.140625" style="188" customWidth="1"/>
    <col min="8443" max="8446" width="0" style="188" hidden="1" customWidth="1"/>
    <col min="8447" max="8691" width="8.7109375" style="188"/>
    <col min="8692" max="8692" width="5.5703125" style="188" customWidth="1"/>
    <col min="8693" max="8693" width="58" style="188" customWidth="1"/>
    <col min="8694" max="8694" width="24.140625" style="188" customWidth="1"/>
    <col min="8695" max="8696" width="0" style="188" hidden="1" customWidth="1"/>
    <col min="8697" max="8697" width="61.42578125" style="188" customWidth="1"/>
    <col min="8698" max="8698" width="62.140625" style="188" customWidth="1"/>
    <col min="8699" max="8702" width="0" style="188" hidden="1" customWidth="1"/>
    <col min="8703" max="8947" width="8.7109375" style="188"/>
    <col min="8948" max="8948" width="5.5703125" style="188" customWidth="1"/>
    <col min="8949" max="8949" width="58" style="188" customWidth="1"/>
    <col min="8950" max="8950" width="24.140625" style="188" customWidth="1"/>
    <col min="8951" max="8952" width="0" style="188" hidden="1" customWidth="1"/>
    <col min="8953" max="8953" width="61.42578125" style="188" customWidth="1"/>
    <col min="8954" max="8954" width="62.140625" style="188" customWidth="1"/>
    <col min="8955" max="8958" width="0" style="188" hidden="1" customWidth="1"/>
    <col min="8959" max="9203" width="8.7109375" style="188"/>
    <col min="9204" max="9204" width="5.5703125" style="188" customWidth="1"/>
    <col min="9205" max="9205" width="58" style="188" customWidth="1"/>
    <col min="9206" max="9206" width="24.140625" style="188" customWidth="1"/>
    <col min="9207" max="9208" width="0" style="188" hidden="1" customWidth="1"/>
    <col min="9209" max="9209" width="61.42578125" style="188" customWidth="1"/>
    <col min="9210" max="9210" width="62.140625" style="188" customWidth="1"/>
    <col min="9211" max="9214" width="0" style="188" hidden="1" customWidth="1"/>
    <col min="9215" max="9459" width="8.7109375" style="188"/>
    <col min="9460" max="9460" width="5.5703125" style="188" customWidth="1"/>
    <col min="9461" max="9461" width="58" style="188" customWidth="1"/>
    <col min="9462" max="9462" width="24.140625" style="188" customWidth="1"/>
    <col min="9463" max="9464" width="0" style="188" hidden="1" customWidth="1"/>
    <col min="9465" max="9465" width="61.42578125" style="188" customWidth="1"/>
    <col min="9466" max="9466" width="62.140625" style="188" customWidth="1"/>
    <col min="9467" max="9470" width="0" style="188" hidden="1" customWidth="1"/>
    <col min="9471" max="9715" width="8.7109375" style="188"/>
    <col min="9716" max="9716" width="5.5703125" style="188" customWidth="1"/>
    <col min="9717" max="9717" width="58" style="188" customWidth="1"/>
    <col min="9718" max="9718" width="24.140625" style="188" customWidth="1"/>
    <col min="9719" max="9720" width="0" style="188" hidden="1" customWidth="1"/>
    <col min="9721" max="9721" width="61.42578125" style="188" customWidth="1"/>
    <col min="9722" max="9722" width="62.140625" style="188" customWidth="1"/>
    <col min="9723" max="9726" width="0" style="188" hidden="1" customWidth="1"/>
    <col min="9727" max="9971" width="8.7109375" style="188"/>
    <col min="9972" max="9972" width="5.5703125" style="188" customWidth="1"/>
    <col min="9973" max="9973" width="58" style="188" customWidth="1"/>
    <col min="9974" max="9974" width="24.140625" style="188" customWidth="1"/>
    <col min="9975" max="9976" width="0" style="188" hidden="1" customWidth="1"/>
    <col min="9977" max="9977" width="61.42578125" style="188" customWidth="1"/>
    <col min="9978" max="9978" width="62.140625" style="188" customWidth="1"/>
    <col min="9979" max="9982" width="0" style="188" hidden="1" customWidth="1"/>
    <col min="9983" max="10227" width="8.7109375" style="188"/>
    <col min="10228" max="10228" width="5.5703125" style="188" customWidth="1"/>
    <col min="10229" max="10229" width="58" style="188" customWidth="1"/>
    <col min="10230" max="10230" width="24.140625" style="188" customWidth="1"/>
    <col min="10231" max="10232" width="0" style="188" hidden="1" customWidth="1"/>
    <col min="10233" max="10233" width="61.42578125" style="188" customWidth="1"/>
    <col min="10234" max="10234" width="62.140625" style="188" customWidth="1"/>
    <col min="10235" max="10238" width="0" style="188" hidden="1" customWidth="1"/>
    <col min="10239" max="10483" width="8.7109375" style="188"/>
    <col min="10484" max="10484" width="5.5703125" style="188" customWidth="1"/>
    <col min="10485" max="10485" width="58" style="188" customWidth="1"/>
    <col min="10486" max="10486" width="24.140625" style="188" customWidth="1"/>
    <col min="10487" max="10488" width="0" style="188" hidden="1" customWidth="1"/>
    <col min="10489" max="10489" width="61.42578125" style="188" customWidth="1"/>
    <col min="10490" max="10490" width="62.140625" style="188" customWidth="1"/>
    <col min="10491" max="10494" width="0" style="188" hidden="1" customWidth="1"/>
    <col min="10495" max="10739" width="8.7109375" style="188"/>
    <col min="10740" max="10740" width="5.5703125" style="188" customWidth="1"/>
    <col min="10741" max="10741" width="58" style="188" customWidth="1"/>
    <col min="10742" max="10742" width="24.140625" style="188" customWidth="1"/>
    <col min="10743" max="10744" width="0" style="188" hidden="1" customWidth="1"/>
    <col min="10745" max="10745" width="61.42578125" style="188" customWidth="1"/>
    <col min="10746" max="10746" width="62.140625" style="188" customWidth="1"/>
    <col min="10747" max="10750" width="0" style="188" hidden="1" customWidth="1"/>
    <col min="10751" max="10995" width="8.7109375" style="188"/>
    <col min="10996" max="10996" width="5.5703125" style="188" customWidth="1"/>
    <col min="10997" max="10997" width="58" style="188" customWidth="1"/>
    <col min="10998" max="10998" width="24.140625" style="188" customWidth="1"/>
    <col min="10999" max="11000" width="0" style="188" hidden="1" customWidth="1"/>
    <col min="11001" max="11001" width="61.42578125" style="188" customWidth="1"/>
    <col min="11002" max="11002" width="62.140625" style="188" customWidth="1"/>
    <col min="11003" max="11006" width="0" style="188" hidden="1" customWidth="1"/>
    <col min="11007" max="11251" width="8.7109375" style="188"/>
    <col min="11252" max="11252" width="5.5703125" style="188" customWidth="1"/>
    <col min="11253" max="11253" width="58" style="188" customWidth="1"/>
    <col min="11254" max="11254" width="24.140625" style="188" customWidth="1"/>
    <col min="11255" max="11256" width="0" style="188" hidden="1" customWidth="1"/>
    <col min="11257" max="11257" width="61.42578125" style="188" customWidth="1"/>
    <col min="11258" max="11258" width="62.140625" style="188" customWidth="1"/>
    <col min="11259" max="11262" width="0" style="188" hidden="1" customWidth="1"/>
    <col min="11263" max="11507" width="8.7109375" style="188"/>
    <col min="11508" max="11508" width="5.5703125" style="188" customWidth="1"/>
    <col min="11509" max="11509" width="58" style="188" customWidth="1"/>
    <col min="11510" max="11510" width="24.140625" style="188" customWidth="1"/>
    <col min="11511" max="11512" width="0" style="188" hidden="1" customWidth="1"/>
    <col min="11513" max="11513" width="61.42578125" style="188" customWidth="1"/>
    <col min="11514" max="11514" width="62.140625" style="188" customWidth="1"/>
    <col min="11515" max="11518" width="0" style="188" hidden="1" customWidth="1"/>
    <col min="11519" max="11763" width="8.7109375" style="188"/>
    <col min="11764" max="11764" width="5.5703125" style="188" customWidth="1"/>
    <col min="11765" max="11765" width="58" style="188" customWidth="1"/>
    <col min="11766" max="11766" width="24.140625" style="188" customWidth="1"/>
    <col min="11767" max="11768" width="0" style="188" hidden="1" customWidth="1"/>
    <col min="11769" max="11769" width="61.42578125" style="188" customWidth="1"/>
    <col min="11770" max="11770" width="62.140625" style="188" customWidth="1"/>
    <col min="11771" max="11774" width="0" style="188" hidden="1" customWidth="1"/>
    <col min="11775" max="12019" width="8.7109375" style="188"/>
    <col min="12020" max="12020" width="5.5703125" style="188" customWidth="1"/>
    <col min="12021" max="12021" width="58" style="188" customWidth="1"/>
    <col min="12022" max="12022" width="24.140625" style="188" customWidth="1"/>
    <col min="12023" max="12024" width="0" style="188" hidden="1" customWidth="1"/>
    <col min="12025" max="12025" width="61.42578125" style="188" customWidth="1"/>
    <col min="12026" max="12026" width="62.140625" style="188" customWidth="1"/>
    <col min="12027" max="12030" width="0" style="188" hidden="1" customWidth="1"/>
    <col min="12031" max="12275" width="8.7109375" style="188"/>
    <col min="12276" max="12276" width="5.5703125" style="188" customWidth="1"/>
    <col min="12277" max="12277" width="58" style="188" customWidth="1"/>
    <col min="12278" max="12278" width="24.140625" style="188" customWidth="1"/>
    <col min="12279" max="12280" width="0" style="188" hidden="1" customWidth="1"/>
    <col min="12281" max="12281" width="61.42578125" style="188" customWidth="1"/>
    <col min="12282" max="12282" width="62.140625" style="188" customWidth="1"/>
    <col min="12283" max="12286" width="0" style="188" hidden="1" customWidth="1"/>
    <col min="12287" max="12531" width="8.7109375" style="188"/>
    <col min="12532" max="12532" width="5.5703125" style="188" customWidth="1"/>
    <col min="12533" max="12533" width="58" style="188" customWidth="1"/>
    <col min="12534" max="12534" width="24.140625" style="188" customWidth="1"/>
    <col min="12535" max="12536" width="0" style="188" hidden="1" customWidth="1"/>
    <col min="12537" max="12537" width="61.42578125" style="188" customWidth="1"/>
    <col min="12538" max="12538" width="62.140625" style="188" customWidth="1"/>
    <col min="12539" max="12542" width="0" style="188" hidden="1" customWidth="1"/>
    <col min="12543" max="12787" width="8.7109375" style="188"/>
    <col min="12788" max="12788" width="5.5703125" style="188" customWidth="1"/>
    <col min="12789" max="12789" width="58" style="188" customWidth="1"/>
    <col min="12790" max="12790" width="24.140625" style="188" customWidth="1"/>
    <col min="12791" max="12792" width="0" style="188" hidden="1" customWidth="1"/>
    <col min="12793" max="12793" width="61.42578125" style="188" customWidth="1"/>
    <col min="12794" max="12794" width="62.140625" style="188" customWidth="1"/>
    <col min="12795" max="12798" width="0" style="188" hidden="1" customWidth="1"/>
    <col min="12799" max="13043" width="8.7109375" style="188"/>
    <col min="13044" max="13044" width="5.5703125" style="188" customWidth="1"/>
    <col min="13045" max="13045" width="58" style="188" customWidth="1"/>
    <col min="13046" max="13046" width="24.140625" style="188" customWidth="1"/>
    <col min="13047" max="13048" width="0" style="188" hidden="1" customWidth="1"/>
    <col min="13049" max="13049" width="61.42578125" style="188" customWidth="1"/>
    <col min="13050" max="13050" width="62.140625" style="188" customWidth="1"/>
    <col min="13051" max="13054" width="0" style="188" hidden="1" customWidth="1"/>
    <col min="13055" max="13299" width="8.7109375" style="188"/>
    <col min="13300" max="13300" width="5.5703125" style="188" customWidth="1"/>
    <col min="13301" max="13301" width="58" style="188" customWidth="1"/>
    <col min="13302" max="13302" width="24.140625" style="188" customWidth="1"/>
    <col min="13303" max="13304" width="0" style="188" hidden="1" customWidth="1"/>
    <col min="13305" max="13305" width="61.42578125" style="188" customWidth="1"/>
    <col min="13306" max="13306" width="62.140625" style="188" customWidth="1"/>
    <col min="13307" max="13310" width="0" style="188" hidden="1" customWidth="1"/>
    <col min="13311" max="13555" width="8.7109375" style="188"/>
    <col min="13556" max="13556" width="5.5703125" style="188" customWidth="1"/>
    <col min="13557" max="13557" width="58" style="188" customWidth="1"/>
    <col min="13558" max="13558" width="24.140625" style="188" customWidth="1"/>
    <col min="13559" max="13560" width="0" style="188" hidden="1" customWidth="1"/>
    <col min="13561" max="13561" width="61.42578125" style="188" customWidth="1"/>
    <col min="13562" max="13562" width="62.140625" style="188" customWidth="1"/>
    <col min="13563" max="13566" width="0" style="188" hidden="1" customWidth="1"/>
    <col min="13567" max="13811" width="8.7109375" style="188"/>
    <col min="13812" max="13812" width="5.5703125" style="188" customWidth="1"/>
    <col min="13813" max="13813" width="58" style="188" customWidth="1"/>
    <col min="13814" max="13814" width="24.140625" style="188" customWidth="1"/>
    <col min="13815" max="13816" width="0" style="188" hidden="1" customWidth="1"/>
    <col min="13817" max="13817" width="61.42578125" style="188" customWidth="1"/>
    <col min="13818" max="13818" width="62.140625" style="188" customWidth="1"/>
    <col min="13819" max="13822" width="0" style="188" hidden="1" customWidth="1"/>
    <col min="13823" max="14067" width="8.7109375" style="188"/>
    <col min="14068" max="14068" width="5.5703125" style="188" customWidth="1"/>
    <col min="14069" max="14069" width="58" style="188" customWidth="1"/>
    <col min="14070" max="14070" width="24.140625" style="188" customWidth="1"/>
    <col min="14071" max="14072" width="0" style="188" hidden="1" customWidth="1"/>
    <col min="14073" max="14073" width="61.42578125" style="188" customWidth="1"/>
    <col min="14074" max="14074" width="62.140625" style="188" customWidth="1"/>
    <col min="14075" max="14078" width="0" style="188" hidden="1" customWidth="1"/>
    <col min="14079" max="14323" width="8.7109375" style="188"/>
    <col min="14324" max="14324" width="5.5703125" style="188" customWidth="1"/>
    <col min="14325" max="14325" width="58" style="188" customWidth="1"/>
    <col min="14326" max="14326" width="24.140625" style="188" customWidth="1"/>
    <col min="14327" max="14328" width="0" style="188" hidden="1" customWidth="1"/>
    <col min="14329" max="14329" width="61.42578125" style="188" customWidth="1"/>
    <col min="14330" max="14330" width="62.140625" style="188" customWidth="1"/>
    <col min="14331" max="14334" width="0" style="188" hidden="1" customWidth="1"/>
    <col min="14335" max="14579" width="8.7109375" style="188"/>
    <col min="14580" max="14580" width="5.5703125" style="188" customWidth="1"/>
    <col min="14581" max="14581" width="58" style="188" customWidth="1"/>
    <col min="14582" max="14582" width="24.140625" style="188" customWidth="1"/>
    <col min="14583" max="14584" width="0" style="188" hidden="1" customWidth="1"/>
    <col min="14585" max="14585" width="61.42578125" style="188" customWidth="1"/>
    <col min="14586" max="14586" width="62.140625" style="188" customWidth="1"/>
    <col min="14587" max="14590" width="0" style="188" hidden="1" customWidth="1"/>
    <col min="14591" max="14835" width="8.7109375" style="188"/>
    <col min="14836" max="14836" width="5.5703125" style="188" customWidth="1"/>
    <col min="14837" max="14837" width="58" style="188" customWidth="1"/>
    <col min="14838" max="14838" width="24.140625" style="188" customWidth="1"/>
    <col min="14839" max="14840" width="0" style="188" hidden="1" customWidth="1"/>
    <col min="14841" max="14841" width="61.42578125" style="188" customWidth="1"/>
    <col min="14842" max="14842" width="62.140625" style="188" customWidth="1"/>
    <col min="14843" max="14846" width="0" style="188" hidden="1" customWidth="1"/>
    <col min="14847" max="15091" width="8.7109375" style="188"/>
    <col min="15092" max="15092" width="5.5703125" style="188" customWidth="1"/>
    <col min="15093" max="15093" width="58" style="188" customWidth="1"/>
    <col min="15094" max="15094" width="24.140625" style="188" customWidth="1"/>
    <col min="15095" max="15096" width="0" style="188" hidden="1" customWidth="1"/>
    <col min="15097" max="15097" width="61.42578125" style="188" customWidth="1"/>
    <col min="15098" max="15098" width="62.140625" style="188" customWidth="1"/>
    <col min="15099" max="15102" width="0" style="188" hidden="1" customWidth="1"/>
    <col min="15103" max="15347" width="8.7109375" style="188"/>
    <col min="15348" max="15348" width="5.5703125" style="188" customWidth="1"/>
    <col min="15349" max="15349" width="58" style="188" customWidth="1"/>
    <col min="15350" max="15350" width="24.140625" style="188" customWidth="1"/>
    <col min="15351" max="15352" width="0" style="188" hidden="1" customWidth="1"/>
    <col min="15353" max="15353" width="61.42578125" style="188" customWidth="1"/>
    <col min="15354" max="15354" width="62.140625" style="188" customWidth="1"/>
    <col min="15355" max="15358" width="0" style="188" hidden="1" customWidth="1"/>
    <col min="15359" max="15603" width="8.7109375" style="188"/>
    <col min="15604" max="15604" width="5.5703125" style="188" customWidth="1"/>
    <col min="15605" max="15605" width="58" style="188" customWidth="1"/>
    <col min="15606" max="15606" width="24.140625" style="188" customWidth="1"/>
    <col min="15607" max="15608" width="0" style="188" hidden="1" customWidth="1"/>
    <col min="15609" max="15609" width="61.42578125" style="188" customWidth="1"/>
    <col min="15610" max="15610" width="62.140625" style="188" customWidth="1"/>
    <col min="15611" max="15614" width="0" style="188" hidden="1" customWidth="1"/>
    <col min="15615" max="15859" width="8.7109375" style="188"/>
    <col min="15860" max="15860" width="5.5703125" style="188" customWidth="1"/>
    <col min="15861" max="15861" width="58" style="188" customWidth="1"/>
    <col min="15862" max="15862" width="24.140625" style="188" customWidth="1"/>
    <col min="15863" max="15864" width="0" style="188" hidden="1" customWidth="1"/>
    <col min="15865" max="15865" width="61.42578125" style="188" customWidth="1"/>
    <col min="15866" max="15866" width="62.140625" style="188" customWidth="1"/>
    <col min="15867" max="15870" width="0" style="188" hidden="1" customWidth="1"/>
    <col min="15871" max="16115" width="8.7109375" style="188"/>
    <col min="16116" max="16116" width="5.5703125" style="188" customWidth="1"/>
    <col min="16117" max="16117" width="58" style="188" customWidth="1"/>
    <col min="16118" max="16118" width="24.140625" style="188" customWidth="1"/>
    <col min="16119" max="16120" width="0" style="188" hidden="1" customWidth="1"/>
    <col min="16121" max="16121" width="61.42578125" style="188" customWidth="1"/>
    <col min="16122" max="16122" width="62.140625" style="188" customWidth="1"/>
    <col min="16123" max="16126" width="0" style="188" hidden="1" customWidth="1"/>
    <col min="16127" max="16370" width="8.7109375" style="188"/>
    <col min="16371" max="16384" width="8.85546875" style="188" customWidth="1"/>
  </cols>
  <sheetData>
    <row r="1" spans="2:6" x14ac:dyDescent="0.4">
      <c r="C1" s="189" t="s">
        <v>120</v>
      </c>
    </row>
    <row r="2" spans="2:6" x14ac:dyDescent="0.4">
      <c r="C2" s="191">
        <v>44317</v>
      </c>
    </row>
    <row r="3" spans="2:6" x14ac:dyDescent="0.4">
      <c r="B3" s="192"/>
      <c r="C3" s="193" t="s">
        <v>121</v>
      </c>
    </row>
    <row r="4" spans="2:6" ht="24.95" customHeight="1" thickBot="1" x14ac:dyDescent="0.45">
      <c r="B4" s="194" t="s">
        <v>119</v>
      </c>
      <c r="C4" s="195" t="s">
        <v>122</v>
      </c>
      <c r="D4" s="194" t="s">
        <v>123</v>
      </c>
      <c r="E4" s="196" t="s">
        <v>124</v>
      </c>
      <c r="F4" s="196" t="s">
        <v>125</v>
      </c>
    </row>
    <row r="5" spans="2:6" ht="39.950000000000003" customHeight="1" x14ac:dyDescent="0.4">
      <c r="B5" s="197" t="s">
        <v>126</v>
      </c>
      <c r="C5" s="198">
        <f>'[20]DC  CNA  DC III'!J6</f>
        <v>19.000800000000002</v>
      </c>
      <c r="D5" s="308" t="s">
        <v>340</v>
      </c>
      <c r="E5" s="306" t="s">
        <v>127</v>
      </c>
      <c r="F5" s="306" t="s">
        <v>128</v>
      </c>
    </row>
    <row r="6" spans="2:6" ht="42.6" customHeight="1" thickBot="1" x14ac:dyDescent="0.45">
      <c r="B6" s="199" t="s">
        <v>129</v>
      </c>
      <c r="C6" s="200">
        <f>C5*2080</f>
        <v>39521.664000000004</v>
      </c>
      <c r="D6" s="309"/>
      <c r="E6" s="307"/>
      <c r="F6" s="307"/>
    </row>
    <row r="7" spans="2:6" x14ac:dyDescent="0.4">
      <c r="B7" s="197" t="s">
        <v>130</v>
      </c>
      <c r="C7" s="198">
        <f>'[20]DC  CNA  DC III'!J19</f>
        <v>24.241120000000002</v>
      </c>
      <c r="D7" s="201" t="s">
        <v>131</v>
      </c>
      <c r="E7" s="306" t="s">
        <v>132</v>
      </c>
      <c r="F7" s="306" t="s">
        <v>133</v>
      </c>
    </row>
    <row r="8" spans="2:6" ht="27" thickBot="1" x14ac:dyDescent="0.45">
      <c r="B8" s="202" t="s">
        <v>134</v>
      </c>
      <c r="C8" s="203">
        <f>C7*2080</f>
        <v>50421.529600000002</v>
      </c>
      <c r="D8" s="188" t="s">
        <v>341</v>
      </c>
      <c r="E8" s="310"/>
      <c r="F8" s="310"/>
    </row>
    <row r="9" spans="2:6" x14ac:dyDescent="0.4">
      <c r="B9" s="197" t="s">
        <v>135</v>
      </c>
      <c r="C9" s="198">
        <f>'[20]DC  CNA  DC III'!J10</f>
        <v>18.008399999999998</v>
      </c>
      <c r="D9" s="201"/>
      <c r="E9" s="306" t="s">
        <v>136</v>
      </c>
      <c r="F9" s="306" t="s">
        <v>137</v>
      </c>
    </row>
    <row r="10" spans="2:6" ht="27" thickBot="1" x14ac:dyDescent="0.45">
      <c r="B10" s="199" t="s">
        <v>138</v>
      </c>
      <c r="C10" s="200">
        <f>C9*2080</f>
        <v>37457.471999999994</v>
      </c>
      <c r="D10" s="204"/>
      <c r="E10" s="307"/>
      <c r="F10" s="307"/>
    </row>
    <row r="11" spans="2:6" x14ac:dyDescent="0.4">
      <c r="B11" s="197" t="s">
        <v>139</v>
      </c>
      <c r="C11" s="198">
        <f>'[20]Case Social Worker.Manager'!J4</f>
        <v>24.3888</v>
      </c>
      <c r="D11" s="201" t="s">
        <v>140</v>
      </c>
      <c r="E11" s="306" t="s">
        <v>141</v>
      </c>
      <c r="F11" s="306" t="s">
        <v>142</v>
      </c>
    </row>
    <row r="12" spans="2:6" ht="27" thickBot="1" x14ac:dyDescent="0.45">
      <c r="B12" s="202" t="s">
        <v>143</v>
      </c>
      <c r="C12" s="203">
        <f>C11*2080</f>
        <v>50728.703999999998</v>
      </c>
      <c r="D12" s="188" t="s">
        <v>144</v>
      </c>
      <c r="E12" s="310"/>
      <c r="F12" s="310"/>
    </row>
    <row r="13" spans="2:6" ht="52.5" x14ac:dyDescent="0.4">
      <c r="B13" s="205" t="s">
        <v>145</v>
      </c>
      <c r="C13" s="198">
        <f>'[20]Case Social Worker.Manager'!J11</f>
        <v>30.569499999999998</v>
      </c>
      <c r="D13" s="201" t="s">
        <v>146</v>
      </c>
      <c r="E13" s="306" t="s">
        <v>147</v>
      </c>
      <c r="F13" s="306" t="s">
        <v>148</v>
      </c>
    </row>
    <row r="14" spans="2:6" ht="53.25" thickBot="1" x14ac:dyDescent="0.45">
      <c r="B14" s="206" t="s">
        <v>149</v>
      </c>
      <c r="C14" s="200">
        <f>C13*2080</f>
        <v>63584.56</v>
      </c>
      <c r="D14" s="204" t="s">
        <v>150</v>
      </c>
      <c r="E14" s="307"/>
      <c r="F14" s="307"/>
    </row>
    <row r="15" spans="2:6" x14ac:dyDescent="0.4">
      <c r="B15" s="197" t="s">
        <v>151</v>
      </c>
      <c r="C15" s="198">
        <f>[20]Nursing!J2</f>
        <v>29.084</v>
      </c>
      <c r="D15" s="201"/>
      <c r="E15" s="306" t="s">
        <v>152</v>
      </c>
      <c r="F15" s="306" t="s">
        <v>153</v>
      </c>
    </row>
    <row r="16" spans="2:6" ht="27" thickBot="1" x14ac:dyDescent="0.45">
      <c r="B16" s="199" t="s">
        <v>154</v>
      </c>
      <c r="C16" s="200">
        <f>C15*2080</f>
        <v>60494.720000000001</v>
      </c>
      <c r="D16" s="204" t="s">
        <v>155</v>
      </c>
      <c r="E16" s="307"/>
      <c r="F16" s="307"/>
    </row>
    <row r="17" spans="2:6" x14ac:dyDescent="0.4">
      <c r="B17" s="197" t="s">
        <v>156</v>
      </c>
      <c r="C17" s="198">
        <f>[20]Clinical!J6</f>
        <v>35.178200000000004</v>
      </c>
      <c r="D17" s="201" t="s">
        <v>157</v>
      </c>
      <c r="E17" s="306" t="s">
        <v>158</v>
      </c>
      <c r="F17" s="306" t="s">
        <v>159</v>
      </c>
    </row>
    <row r="18" spans="2:6" ht="27" thickBot="1" x14ac:dyDescent="0.45">
      <c r="B18" s="199" t="s">
        <v>160</v>
      </c>
      <c r="C18" s="200">
        <f>C17*2080</f>
        <v>73170.656000000003</v>
      </c>
      <c r="D18" s="204"/>
      <c r="E18" s="307"/>
      <c r="F18" s="307"/>
    </row>
    <row r="19" spans="2:6" x14ac:dyDescent="0.4">
      <c r="B19" s="197" t="s">
        <v>161</v>
      </c>
      <c r="C19" s="207">
        <f>[20]Therapies!M2</f>
        <v>30.937200000000001</v>
      </c>
      <c r="D19" s="201"/>
      <c r="E19" s="306" t="s">
        <v>162</v>
      </c>
      <c r="F19" s="306" t="s">
        <v>163</v>
      </c>
    </row>
    <row r="20" spans="2:6" ht="27" thickBot="1" x14ac:dyDescent="0.45">
      <c r="B20" s="199" t="s">
        <v>164</v>
      </c>
      <c r="C20" s="200">
        <f>C19*2080</f>
        <v>64349.376000000004</v>
      </c>
      <c r="D20" s="204"/>
      <c r="E20" s="307"/>
      <c r="F20" s="307"/>
    </row>
    <row r="21" spans="2:6" x14ac:dyDescent="0.4">
      <c r="B21" s="202" t="s">
        <v>165</v>
      </c>
      <c r="C21" s="208">
        <f>[20]Management!J2</f>
        <v>35.084000000000003</v>
      </c>
      <c r="D21" s="188" t="s">
        <v>166</v>
      </c>
      <c r="E21" s="306" t="s">
        <v>167</v>
      </c>
      <c r="F21" s="311" t="s">
        <v>168</v>
      </c>
    </row>
    <row r="22" spans="2:6" ht="27" thickBot="1" x14ac:dyDescent="0.45">
      <c r="B22" s="199" t="s">
        <v>169</v>
      </c>
      <c r="C22" s="200">
        <f>C21*2080</f>
        <v>72974.720000000001</v>
      </c>
      <c r="D22" s="204" t="s">
        <v>170</v>
      </c>
      <c r="E22" s="307"/>
      <c r="F22" s="312"/>
    </row>
    <row r="23" spans="2:6" x14ac:dyDescent="0.4">
      <c r="B23" s="202" t="s">
        <v>171</v>
      </c>
      <c r="C23" s="208">
        <f>[20]Therapies!M8</f>
        <v>38.650100000000002</v>
      </c>
      <c r="D23" s="188" t="s">
        <v>172</v>
      </c>
      <c r="E23" s="306" t="s">
        <v>147</v>
      </c>
      <c r="F23" s="306" t="s">
        <v>173</v>
      </c>
    </row>
    <row r="24" spans="2:6" ht="27" thickBot="1" x14ac:dyDescent="0.45">
      <c r="B24" s="199" t="s">
        <v>174</v>
      </c>
      <c r="C24" s="200">
        <f>C23*2080</f>
        <v>80392.207999999999</v>
      </c>
      <c r="D24" s="204"/>
      <c r="E24" s="307"/>
      <c r="F24" s="307"/>
    </row>
    <row r="25" spans="2:6" x14ac:dyDescent="0.4">
      <c r="B25" s="202" t="s">
        <v>175</v>
      </c>
      <c r="C25" s="208">
        <f>[20]Therapies!M14</f>
        <v>40.563600000000001</v>
      </c>
      <c r="D25" s="188" t="s">
        <v>176</v>
      </c>
      <c r="E25" s="306" t="s">
        <v>147</v>
      </c>
      <c r="F25" s="306" t="s">
        <v>177</v>
      </c>
    </row>
    <row r="26" spans="2:6" ht="27" thickBot="1" x14ac:dyDescent="0.45">
      <c r="B26" s="199" t="s">
        <v>178</v>
      </c>
      <c r="C26" s="203">
        <f>C25*2080</f>
        <v>84372.288</v>
      </c>
      <c r="E26" s="307"/>
      <c r="F26" s="307"/>
    </row>
    <row r="27" spans="2:6" x14ac:dyDescent="0.4">
      <c r="B27" s="197" t="s">
        <v>179</v>
      </c>
      <c r="C27" s="198">
        <f>[20]Clinical!J12</f>
        <v>43.1312</v>
      </c>
      <c r="D27" s="313" t="s">
        <v>180</v>
      </c>
      <c r="E27" s="306" t="s">
        <v>181</v>
      </c>
      <c r="F27" s="306" t="s">
        <v>182</v>
      </c>
    </row>
    <row r="28" spans="2:6" ht="34.5" customHeight="1" thickBot="1" x14ac:dyDescent="0.45">
      <c r="B28" s="199" t="s">
        <v>183</v>
      </c>
      <c r="C28" s="200">
        <f>C27*2080</f>
        <v>89712.895999999993</v>
      </c>
      <c r="D28" s="314"/>
      <c r="E28" s="307"/>
      <c r="F28" s="307"/>
    </row>
    <row r="29" spans="2:6" x14ac:dyDescent="0.4">
      <c r="B29" s="197" t="s">
        <v>184</v>
      </c>
      <c r="C29" s="198">
        <f>[20]Therapies!M18</f>
        <v>43.066240000000008</v>
      </c>
      <c r="D29" s="201"/>
      <c r="E29" s="306" t="s">
        <v>147</v>
      </c>
      <c r="F29" s="306" t="s">
        <v>185</v>
      </c>
    </row>
    <row r="30" spans="2:6" ht="27" thickBot="1" x14ac:dyDescent="0.45">
      <c r="B30" s="199" t="s">
        <v>186</v>
      </c>
      <c r="C30" s="200">
        <f>C29*2080</f>
        <v>89577.779200000019</v>
      </c>
      <c r="D30" s="204"/>
      <c r="E30" s="307"/>
      <c r="F30" s="307"/>
    </row>
    <row r="31" spans="2:6" x14ac:dyDescent="0.4">
      <c r="B31" s="197" t="s">
        <v>187</v>
      </c>
      <c r="C31" s="198">
        <f>[20]Nursing!J6</f>
        <v>47.109200000000001</v>
      </c>
      <c r="D31" s="201"/>
      <c r="E31" s="306" t="s">
        <v>188</v>
      </c>
      <c r="F31" s="306" t="s">
        <v>189</v>
      </c>
    </row>
    <row r="32" spans="2:6" ht="38.450000000000003" customHeight="1" thickBot="1" x14ac:dyDescent="0.45">
      <c r="B32" s="199" t="s">
        <v>190</v>
      </c>
      <c r="C32" s="200">
        <f>C31*2080</f>
        <v>97987.135999999999</v>
      </c>
      <c r="D32" s="204"/>
      <c r="E32" s="307"/>
      <c r="F32" s="307"/>
    </row>
    <row r="33" spans="2:6" x14ac:dyDescent="0.4">
      <c r="B33" s="197" t="s">
        <v>191</v>
      </c>
      <c r="C33" s="198">
        <f>[20]Nursing!J11</f>
        <v>62.008800000000001</v>
      </c>
      <c r="D33" s="201"/>
      <c r="E33" s="306" t="s">
        <v>192</v>
      </c>
      <c r="F33" s="306" t="s">
        <v>193</v>
      </c>
    </row>
    <row r="34" spans="2:6" ht="27" thickBot="1" x14ac:dyDescent="0.45">
      <c r="B34" s="199" t="s">
        <v>194</v>
      </c>
      <c r="C34" s="200">
        <f>C33*2080</f>
        <v>128978.304</v>
      </c>
      <c r="D34" s="204"/>
      <c r="E34" s="307"/>
      <c r="F34" s="307"/>
    </row>
    <row r="36" spans="2:6" ht="52.5" x14ac:dyDescent="0.4">
      <c r="B36" s="209" t="s">
        <v>195</v>
      </c>
      <c r="C36" s="203">
        <f>C6</f>
        <v>39521.664000000004</v>
      </c>
    </row>
    <row r="37" spans="2:6" x14ac:dyDescent="0.4">
      <c r="C37" s="210"/>
    </row>
    <row r="38" spans="2:6" x14ac:dyDescent="0.4">
      <c r="B38" s="211" t="s">
        <v>196</v>
      </c>
      <c r="C38" s="212">
        <f>23.39%+2%</f>
        <v>0.25390000000000001</v>
      </c>
      <c r="D38" s="188" t="s">
        <v>197</v>
      </c>
    </row>
    <row r="39" spans="2:6" ht="34.35" customHeight="1" x14ac:dyDescent="0.4">
      <c r="B39" s="211"/>
      <c r="C39" s="210"/>
      <c r="D39" s="315" t="s">
        <v>198</v>
      </c>
      <c r="E39" s="315"/>
      <c r="F39" s="188"/>
    </row>
    <row r="40" spans="2:6" x14ac:dyDescent="0.4">
      <c r="B40" s="211" t="s">
        <v>41</v>
      </c>
      <c r="C40" s="252">
        <f>'FALL CAF 2022'!CI24</f>
        <v>2.7811565914169036E-2</v>
      </c>
      <c r="D40" s="188" t="s">
        <v>327</v>
      </c>
    </row>
    <row r="41" spans="2:6" x14ac:dyDescent="0.4">
      <c r="B41" s="211" t="s">
        <v>45</v>
      </c>
      <c r="C41" s="213">
        <v>0.12</v>
      </c>
      <c r="D41" s="188" t="s">
        <v>199</v>
      </c>
    </row>
    <row r="42" spans="2:6" x14ac:dyDescent="0.4">
      <c r="B42" s="211"/>
      <c r="C42" s="214"/>
    </row>
    <row r="43" spans="2:6" x14ac:dyDescent="0.4">
      <c r="B43" s="316" t="s">
        <v>200</v>
      </c>
      <c r="C43" s="316"/>
      <c r="D43" s="316"/>
    </row>
    <row r="44" spans="2:6" x14ac:dyDescent="0.4">
      <c r="B44" s="211" t="s">
        <v>201</v>
      </c>
      <c r="C44" s="203">
        <v>247150</v>
      </c>
      <c r="D44" s="188" t="s">
        <v>202</v>
      </c>
    </row>
    <row r="45" spans="2:6" x14ac:dyDescent="0.4">
      <c r="B45" s="211" t="s">
        <v>203</v>
      </c>
      <c r="C45" s="203">
        <v>206010</v>
      </c>
      <c r="D45" s="188" t="s">
        <v>204</v>
      </c>
    </row>
    <row r="46" spans="2:6" x14ac:dyDescent="0.4">
      <c r="B46" s="211" t="s">
        <v>205</v>
      </c>
      <c r="C46" s="203">
        <f>'[20]02021 53_PCT'!N34</f>
        <v>133902.08000000002</v>
      </c>
      <c r="D46" s="188" t="s">
        <v>206</v>
      </c>
    </row>
    <row r="47" spans="2:6" x14ac:dyDescent="0.4">
      <c r="B47" s="211"/>
      <c r="C47" s="203"/>
    </row>
    <row r="48" spans="2:6" x14ac:dyDescent="0.4">
      <c r="B48" s="211"/>
      <c r="C48" s="203"/>
    </row>
    <row r="49" spans="2:3" x14ac:dyDescent="0.4">
      <c r="B49" s="211"/>
      <c r="C49" s="203"/>
    </row>
    <row r="50" spans="2:3" x14ac:dyDescent="0.4">
      <c r="B50" s="211"/>
      <c r="C50" s="203"/>
    </row>
    <row r="51" spans="2:3" x14ac:dyDescent="0.4">
      <c r="B51" s="211"/>
      <c r="C51" s="203"/>
    </row>
    <row r="52" spans="2:3" x14ac:dyDescent="0.4">
      <c r="B52" s="211"/>
      <c r="C52" s="203"/>
    </row>
  </sheetData>
  <mergeCells count="34">
    <mergeCell ref="D39:E39"/>
    <mergeCell ref="B43:D43"/>
    <mergeCell ref="E29:E30"/>
    <mergeCell ref="F29:F30"/>
    <mergeCell ref="E31:E32"/>
    <mergeCell ref="F31:F32"/>
    <mergeCell ref="E33:E34"/>
    <mergeCell ref="F33:F34"/>
    <mergeCell ref="E23:E24"/>
    <mergeCell ref="F23:F24"/>
    <mergeCell ref="E25:E26"/>
    <mergeCell ref="F25:F26"/>
    <mergeCell ref="D27:D28"/>
    <mergeCell ref="E27:E28"/>
    <mergeCell ref="F27:F28"/>
    <mergeCell ref="E17:E18"/>
    <mergeCell ref="F17:F18"/>
    <mergeCell ref="E19:E20"/>
    <mergeCell ref="F19:F20"/>
    <mergeCell ref="E21:E22"/>
    <mergeCell ref="F21:F22"/>
    <mergeCell ref="E11:E12"/>
    <mergeCell ref="F11:F12"/>
    <mergeCell ref="E13:E14"/>
    <mergeCell ref="F13:F14"/>
    <mergeCell ref="E15:E16"/>
    <mergeCell ref="F15:F16"/>
    <mergeCell ref="E9:E10"/>
    <mergeCell ref="F9:F10"/>
    <mergeCell ref="D5:D6"/>
    <mergeCell ref="E5:E6"/>
    <mergeCell ref="F5:F6"/>
    <mergeCell ref="E7:E8"/>
    <mergeCell ref="F7:F8"/>
  </mergeCells>
  <pageMargins left="0.7" right="0.7" top="0.75" bottom="0.75" header="0.3" footer="0.3"/>
  <pageSetup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1CF8-3B12-434A-A92A-2469DAF8D17D}">
  <dimension ref="A1:CT28"/>
  <sheetViews>
    <sheetView topLeftCell="BK1" workbookViewId="0">
      <selection activeCell="CF32" sqref="CF32"/>
    </sheetView>
  </sheetViews>
  <sheetFormatPr defaultRowHeight="12.75" x14ac:dyDescent="0.2"/>
  <cols>
    <col min="1" max="1" width="38.42578125" style="215" customWidth="1"/>
    <col min="2" max="2" width="12.85546875" style="220" customWidth="1"/>
    <col min="3" max="62" width="7.7109375" style="215" hidden="1" customWidth="1"/>
    <col min="63" max="82" width="7.7109375" style="215" customWidth="1"/>
    <col min="83" max="256" width="8.7109375" style="215"/>
    <col min="257" max="257" width="38.42578125" style="215" customWidth="1"/>
    <col min="258" max="258" width="12.85546875" style="215" customWidth="1"/>
    <col min="259" max="318" width="0" style="215" hidden="1" customWidth="1"/>
    <col min="319" max="338" width="7.7109375" style="215" customWidth="1"/>
    <col min="339" max="512" width="8.7109375" style="215"/>
    <col min="513" max="513" width="38.42578125" style="215" customWidth="1"/>
    <col min="514" max="514" width="12.85546875" style="215" customWidth="1"/>
    <col min="515" max="574" width="0" style="215" hidden="1" customWidth="1"/>
    <col min="575" max="594" width="7.7109375" style="215" customWidth="1"/>
    <col min="595" max="768" width="8.7109375" style="215"/>
    <col min="769" max="769" width="38.42578125" style="215" customWidth="1"/>
    <col min="770" max="770" width="12.85546875" style="215" customWidth="1"/>
    <col min="771" max="830" width="0" style="215" hidden="1" customWidth="1"/>
    <col min="831" max="850" width="7.7109375" style="215" customWidth="1"/>
    <col min="851" max="1024" width="8.7109375" style="215"/>
    <col min="1025" max="1025" width="38.42578125" style="215" customWidth="1"/>
    <col min="1026" max="1026" width="12.85546875" style="215" customWidth="1"/>
    <col min="1027" max="1086" width="0" style="215" hidden="1" customWidth="1"/>
    <col min="1087" max="1106" width="7.7109375" style="215" customWidth="1"/>
    <col min="1107" max="1280" width="8.7109375" style="215"/>
    <col min="1281" max="1281" width="38.42578125" style="215" customWidth="1"/>
    <col min="1282" max="1282" width="12.85546875" style="215" customWidth="1"/>
    <col min="1283" max="1342" width="0" style="215" hidden="1" customWidth="1"/>
    <col min="1343" max="1362" width="7.7109375" style="215" customWidth="1"/>
    <col min="1363" max="1536" width="8.7109375" style="215"/>
    <col min="1537" max="1537" width="38.42578125" style="215" customWidth="1"/>
    <col min="1538" max="1538" width="12.85546875" style="215" customWidth="1"/>
    <col min="1539" max="1598" width="0" style="215" hidden="1" customWidth="1"/>
    <col min="1599" max="1618" width="7.7109375" style="215" customWidth="1"/>
    <col min="1619" max="1792" width="8.7109375" style="215"/>
    <col min="1793" max="1793" width="38.42578125" style="215" customWidth="1"/>
    <col min="1794" max="1794" width="12.85546875" style="215" customWidth="1"/>
    <col min="1795" max="1854" width="0" style="215" hidden="1" customWidth="1"/>
    <col min="1855" max="1874" width="7.7109375" style="215" customWidth="1"/>
    <col min="1875" max="2048" width="8.7109375" style="215"/>
    <col min="2049" max="2049" width="38.42578125" style="215" customWidth="1"/>
    <col min="2050" max="2050" width="12.85546875" style="215" customWidth="1"/>
    <col min="2051" max="2110" width="0" style="215" hidden="1" customWidth="1"/>
    <col min="2111" max="2130" width="7.7109375" style="215" customWidth="1"/>
    <col min="2131" max="2304" width="8.7109375" style="215"/>
    <col min="2305" max="2305" width="38.42578125" style="215" customWidth="1"/>
    <col min="2306" max="2306" width="12.85546875" style="215" customWidth="1"/>
    <col min="2307" max="2366" width="0" style="215" hidden="1" customWidth="1"/>
    <col min="2367" max="2386" width="7.7109375" style="215" customWidth="1"/>
    <col min="2387" max="2560" width="8.7109375" style="215"/>
    <col min="2561" max="2561" width="38.42578125" style="215" customWidth="1"/>
    <col min="2562" max="2562" width="12.85546875" style="215" customWidth="1"/>
    <col min="2563" max="2622" width="0" style="215" hidden="1" customWidth="1"/>
    <col min="2623" max="2642" width="7.7109375" style="215" customWidth="1"/>
    <col min="2643" max="2816" width="8.7109375" style="215"/>
    <col min="2817" max="2817" width="38.42578125" style="215" customWidth="1"/>
    <col min="2818" max="2818" width="12.85546875" style="215" customWidth="1"/>
    <col min="2819" max="2878" width="0" style="215" hidden="1" customWidth="1"/>
    <col min="2879" max="2898" width="7.7109375" style="215" customWidth="1"/>
    <col min="2899" max="3072" width="8.7109375" style="215"/>
    <col min="3073" max="3073" width="38.42578125" style="215" customWidth="1"/>
    <col min="3074" max="3074" width="12.85546875" style="215" customWidth="1"/>
    <col min="3075" max="3134" width="0" style="215" hidden="1" customWidth="1"/>
    <col min="3135" max="3154" width="7.7109375" style="215" customWidth="1"/>
    <col min="3155" max="3328" width="8.7109375" style="215"/>
    <col min="3329" max="3329" width="38.42578125" style="215" customWidth="1"/>
    <col min="3330" max="3330" width="12.85546875" style="215" customWidth="1"/>
    <col min="3331" max="3390" width="0" style="215" hidden="1" customWidth="1"/>
    <col min="3391" max="3410" width="7.7109375" style="215" customWidth="1"/>
    <col min="3411" max="3584" width="8.7109375" style="215"/>
    <col min="3585" max="3585" width="38.42578125" style="215" customWidth="1"/>
    <col min="3586" max="3586" width="12.85546875" style="215" customWidth="1"/>
    <col min="3587" max="3646" width="0" style="215" hidden="1" customWidth="1"/>
    <col min="3647" max="3666" width="7.7109375" style="215" customWidth="1"/>
    <col min="3667" max="3840" width="8.7109375" style="215"/>
    <col min="3841" max="3841" width="38.42578125" style="215" customWidth="1"/>
    <col min="3842" max="3842" width="12.85546875" style="215" customWidth="1"/>
    <col min="3843" max="3902" width="0" style="215" hidden="1" customWidth="1"/>
    <col min="3903" max="3922" width="7.7109375" style="215" customWidth="1"/>
    <col min="3923" max="4096" width="8.7109375" style="215"/>
    <col min="4097" max="4097" width="38.42578125" style="215" customWidth="1"/>
    <col min="4098" max="4098" width="12.85546875" style="215" customWidth="1"/>
    <col min="4099" max="4158" width="0" style="215" hidden="1" customWidth="1"/>
    <col min="4159" max="4178" width="7.7109375" style="215" customWidth="1"/>
    <col min="4179" max="4352" width="8.7109375" style="215"/>
    <col min="4353" max="4353" width="38.42578125" style="215" customWidth="1"/>
    <col min="4354" max="4354" width="12.85546875" style="215" customWidth="1"/>
    <col min="4355" max="4414" width="0" style="215" hidden="1" customWidth="1"/>
    <col min="4415" max="4434" width="7.7109375" style="215" customWidth="1"/>
    <col min="4435" max="4608" width="8.7109375" style="215"/>
    <col min="4609" max="4609" width="38.42578125" style="215" customWidth="1"/>
    <col min="4610" max="4610" width="12.85546875" style="215" customWidth="1"/>
    <col min="4611" max="4670" width="0" style="215" hidden="1" customWidth="1"/>
    <col min="4671" max="4690" width="7.7109375" style="215" customWidth="1"/>
    <col min="4691" max="4864" width="8.7109375" style="215"/>
    <col min="4865" max="4865" width="38.42578125" style="215" customWidth="1"/>
    <col min="4866" max="4866" width="12.85546875" style="215" customWidth="1"/>
    <col min="4867" max="4926" width="0" style="215" hidden="1" customWidth="1"/>
    <col min="4927" max="4946" width="7.7109375" style="215" customWidth="1"/>
    <col min="4947" max="5120" width="8.7109375" style="215"/>
    <col min="5121" max="5121" width="38.42578125" style="215" customWidth="1"/>
    <col min="5122" max="5122" width="12.85546875" style="215" customWidth="1"/>
    <col min="5123" max="5182" width="0" style="215" hidden="1" customWidth="1"/>
    <col min="5183" max="5202" width="7.7109375" style="215" customWidth="1"/>
    <col min="5203" max="5376" width="8.7109375" style="215"/>
    <col min="5377" max="5377" width="38.42578125" style="215" customWidth="1"/>
    <col min="5378" max="5378" width="12.85546875" style="215" customWidth="1"/>
    <col min="5379" max="5438" width="0" style="215" hidden="1" customWidth="1"/>
    <col min="5439" max="5458" width="7.7109375" style="215" customWidth="1"/>
    <col min="5459" max="5632" width="8.7109375" style="215"/>
    <col min="5633" max="5633" width="38.42578125" style="215" customWidth="1"/>
    <col min="5634" max="5634" width="12.85546875" style="215" customWidth="1"/>
    <col min="5635" max="5694" width="0" style="215" hidden="1" customWidth="1"/>
    <col min="5695" max="5714" width="7.7109375" style="215" customWidth="1"/>
    <col min="5715" max="5888" width="8.7109375" style="215"/>
    <col min="5889" max="5889" width="38.42578125" style="215" customWidth="1"/>
    <col min="5890" max="5890" width="12.85546875" style="215" customWidth="1"/>
    <col min="5891" max="5950" width="0" style="215" hidden="1" customWidth="1"/>
    <col min="5951" max="5970" width="7.7109375" style="215" customWidth="1"/>
    <col min="5971" max="6144" width="8.7109375" style="215"/>
    <col min="6145" max="6145" width="38.42578125" style="215" customWidth="1"/>
    <col min="6146" max="6146" width="12.85546875" style="215" customWidth="1"/>
    <col min="6147" max="6206" width="0" style="215" hidden="1" customWidth="1"/>
    <col min="6207" max="6226" width="7.7109375" style="215" customWidth="1"/>
    <col min="6227" max="6400" width="8.7109375" style="215"/>
    <col min="6401" max="6401" width="38.42578125" style="215" customWidth="1"/>
    <col min="6402" max="6402" width="12.85546875" style="215" customWidth="1"/>
    <col min="6403" max="6462" width="0" style="215" hidden="1" customWidth="1"/>
    <col min="6463" max="6482" width="7.7109375" style="215" customWidth="1"/>
    <col min="6483" max="6656" width="8.7109375" style="215"/>
    <col min="6657" max="6657" width="38.42578125" style="215" customWidth="1"/>
    <col min="6658" max="6658" width="12.85546875" style="215" customWidth="1"/>
    <col min="6659" max="6718" width="0" style="215" hidden="1" customWidth="1"/>
    <col min="6719" max="6738" width="7.7109375" style="215" customWidth="1"/>
    <col min="6739" max="6912" width="8.7109375" style="215"/>
    <col min="6913" max="6913" width="38.42578125" style="215" customWidth="1"/>
    <col min="6914" max="6914" width="12.85546875" style="215" customWidth="1"/>
    <col min="6915" max="6974" width="0" style="215" hidden="1" customWidth="1"/>
    <col min="6975" max="6994" width="7.7109375" style="215" customWidth="1"/>
    <col min="6995" max="7168" width="8.7109375" style="215"/>
    <col min="7169" max="7169" width="38.42578125" style="215" customWidth="1"/>
    <col min="7170" max="7170" width="12.85546875" style="215" customWidth="1"/>
    <col min="7171" max="7230" width="0" style="215" hidden="1" customWidth="1"/>
    <col min="7231" max="7250" width="7.7109375" style="215" customWidth="1"/>
    <col min="7251" max="7424" width="8.7109375" style="215"/>
    <col min="7425" max="7425" width="38.42578125" style="215" customWidth="1"/>
    <col min="7426" max="7426" width="12.85546875" style="215" customWidth="1"/>
    <col min="7427" max="7486" width="0" style="215" hidden="1" customWidth="1"/>
    <col min="7487" max="7506" width="7.7109375" style="215" customWidth="1"/>
    <col min="7507" max="7680" width="8.7109375" style="215"/>
    <col min="7681" max="7681" width="38.42578125" style="215" customWidth="1"/>
    <col min="7682" max="7682" width="12.85546875" style="215" customWidth="1"/>
    <col min="7683" max="7742" width="0" style="215" hidden="1" customWidth="1"/>
    <col min="7743" max="7762" width="7.7109375" style="215" customWidth="1"/>
    <col min="7763" max="7936" width="8.7109375" style="215"/>
    <col min="7937" max="7937" width="38.42578125" style="215" customWidth="1"/>
    <col min="7938" max="7938" width="12.85546875" style="215" customWidth="1"/>
    <col min="7939" max="7998" width="0" style="215" hidden="1" customWidth="1"/>
    <col min="7999" max="8018" width="7.7109375" style="215" customWidth="1"/>
    <col min="8019" max="8192" width="8.7109375" style="215"/>
    <col min="8193" max="8193" width="38.42578125" style="215" customWidth="1"/>
    <col min="8194" max="8194" width="12.85546875" style="215" customWidth="1"/>
    <col min="8195" max="8254" width="0" style="215" hidden="1" customWidth="1"/>
    <col min="8255" max="8274" width="7.7109375" style="215" customWidth="1"/>
    <col min="8275" max="8448" width="8.7109375" style="215"/>
    <col min="8449" max="8449" width="38.42578125" style="215" customWidth="1"/>
    <col min="8450" max="8450" width="12.85546875" style="215" customWidth="1"/>
    <col min="8451" max="8510" width="0" style="215" hidden="1" customWidth="1"/>
    <col min="8511" max="8530" width="7.7109375" style="215" customWidth="1"/>
    <col min="8531" max="8704" width="8.7109375" style="215"/>
    <col min="8705" max="8705" width="38.42578125" style="215" customWidth="1"/>
    <col min="8706" max="8706" width="12.85546875" style="215" customWidth="1"/>
    <col min="8707" max="8766" width="0" style="215" hidden="1" customWidth="1"/>
    <col min="8767" max="8786" width="7.7109375" style="215" customWidth="1"/>
    <col min="8787" max="8960" width="8.7109375" style="215"/>
    <col min="8961" max="8961" width="38.42578125" style="215" customWidth="1"/>
    <col min="8962" max="8962" width="12.85546875" style="215" customWidth="1"/>
    <col min="8963" max="9022" width="0" style="215" hidden="1" customWidth="1"/>
    <col min="9023" max="9042" width="7.7109375" style="215" customWidth="1"/>
    <col min="9043" max="9216" width="8.7109375" style="215"/>
    <col min="9217" max="9217" width="38.42578125" style="215" customWidth="1"/>
    <col min="9218" max="9218" width="12.85546875" style="215" customWidth="1"/>
    <col min="9219" max="9278" width="0" style="215" hidden="1" customWidth="1"/>
    <col min="9279" max="9298" width="7.7109375" style="215" customWidth="1"/>
    <col min="9299" max="9472" width="8.7109375" style="215"/>
    <col min="9473" max="9473" width="38.42578125" style="215" customWidth="1"/>
    <col min="9474" max="9474" width="12.85546875" style="215" customWidth="1"/>
    <col min="9475" max="9534" width="0" style="215" hidden="1" customWidth="1"/>
    <col min="9535" max="9554" width="7.7109375" style="215" customWidth="1"/>
    <col min="9555" max="9728" width="8.7109375" style="215"/>
    <col min="9729" max="9729" width="38.42578125" style="215" customWidth="1"/>
    <col min="9730" max="9730" width="12.85546875" style="215" customWidth="1"/>
    <col min="9731" max="9790" width="0" style="215" hidden="1" customWidth="1"/>
    <col min="9791" max="9810" width="7.7109375" style="215" customWidth="1"/>
    <col min="9811" max="9984" width="8.7109375" style="215"/>
    <col min="9985" max="9985" width="38.42578125" style="215" customWidth="1"/>
    <col min="9986" max="9986" width="12.85546875" style="215" customWidth="1"/>
    <col min="9987" max="10046" width="0" style="215" hidden="1" customWidth="1"/>
    <col min="10047" max="10066" width="7.7109375" style="215" customWidth="1"/>
    <col min="10067" max="10240" width="8.7109375" style="215"/>
    <col min="10241" max="10241" width="38.42578125" style="215" customWidth="1"/>
    <col min="10242" max="10242" width="12.85546875" style="215" customWidth="1"/>
    <col min="10243" max="10302" width="0" style="215" hidden="1" customWidth="1"/>
    <col min="10303" max="10322" width="7.7109375" style="215" customWidth="1"/>
    <col min="10323" max="10496" width="8.7109375" style="215"/>
    <col min="10497" max="10497" width="38.42578125" style="215" customWidth="1"/>
    <col min="10498" max="10498" width="12.85546875" style="215" customWidth="1"/>
    <col min="10499" max="10558" width="0" style="215" hidden="1" customWidth="1"/>
    <col min="10559" max="10578" width="7.7109375" style="215" customWidth="1"/>
    <col min="10579" max="10752" width="8.7109375" style="215"/>
    <col min="10753" max="10753" width="38.42578125" style="215" customWidth="1"/>
    <col min="10754" max="10754" width="12.85546875" style="215" customWidth="1"/>
    <col min="10755" max="10814" width="0" style="215" hidden="1" customWidth="1"/>
    <col min="10815" max="10834" width="7.7109375" style="215" customWidth="1"/>
    <col min="10835" max="11008" width="8.7109375" style="215"/>
    <col min="11009" max="11009" width="38.42578125" style="215" customWidth="1"/>
    <col min="11010" max="11010" width="12.85546875" style="215" customWidth="1"/>
    <col min="11011" max="11070" width="0" style="215" hidden="1" customWidth="1"/>
    <col min="11071" max="11090" width="7.7109375" style="215" customWidth="1"/>
    <col min="11091" max="11264" width="8.7109375" style="215"/>
    <col min="11265" max="11265" width="38.42578125" style="215" customWidth="1"/>
    <col min="11266" max="11266" width="12.85546875" style="215" customWidth="1"/>
    <col min="11267" max="11326" width="0" style="215" hidden="1" customWidth="1"/>
    <col min="11327" max="11346" width="7.7109375" style="215" customWidth="1"/>
    <col min="11347" max="11520" width="8.7109375" style="215"/>
    <col min="11521" max="11521" width="38.42578125" style="215" customWidth="1"/>
    <col min="11522" max="11522" width="12.85546875" style="215" customWidth="1"/>
    <col min="11523" max="11582" width="0" style="215" hidden="1" customWidth="1"/>
    <col min="11583" max="11602" width="7.7109375" style="215" customWidth="1"/>
    <col min="11603" max="11776" width="8.7109375" style="215"/>
    <col min="11777" max="11777" width="38.42578125" style="215" customWidth="1"/>
    <col min="11778" max="11778" width="12.85546875" style="215" customWidth="1"/>
    <col min="11779" max="11838" width="0" style="215" hidden="1" customWidth="1"/>
    <col min="11839" max="11858" width="7.7109375" style="215" customWidth="1"/>
    <col min="11859" max="12032" width="8.7109375" style="215"/>
    <col min="12033" max="12033" width="38.42578125" style="215" customWidth="1"/>
    <col min="12034" max="12034" width="12.85546875" style="215" customWidth="1"/>
    <col min="12035" max="12094" width="0" style="215" hidden="1" customWidth="1"/>
    <col min="12095" max="12114" width="7.7109375" style="215" customWidth="1"/>
    <col min="12115" max="12288" width="8.7109375" style="215"/>
    <col min="12289" max="12289" width="38.42578125" style="215" customWidth="1"/>
    <col min="12290" max="12290" width="12.85546875" style="215" customWidth="1"/>
    <col min="12291" max="12350" width="0" style="215" hidden="1" customWidth="1"/>
    <col min="12351" max="12370" width="7.7109375" style="215" customWidth="1"/>
    <col min="12371" max="12544" width="8.7109375" style="215"/>
    <col min="12545" max="12545" width="38.42578125" style="215" customWidth="1"/>
    <col min="12546" max="12546" width="12.85546875" style="215" customWidth="1"/>
    <col min="12547" max="12606" width="0" style="215" hidden="1" customWidth="1"/>
    <col min="12607" max="12626" width="7.7109375" style="215" customWidth="1"/>
    <col min="12627" max="12800" width="8.7109375" style="215"/>
    <col min="12801" max="12801" width="38.42578125" style="215" customWidth="1"/>
    <col min="12802" max="12802" width="12.85546875" style="215" customWidth="1"/>
    <col min="12803" max="12862" width="0" style="215" hidden="1" customWidth="1"/>
    <col min="12863" max="12882" width="7.7109375" style="215" customWidth="1"/>
    <col min="12883" max="13056" width="8.7109375" style="215"/>
    <col min="13057" max="13057" width="38.42578125" style="215" customWidth="1"/>
    <col min="13058" max="13058" width="12.85546875" style="215" customWidth="1"/>
    <col min="13059" max="13118" width="0" style="215" hidden="1" customWidth="1"/>
    <col min="13119" max="13138" width="7.7109375" style="215" customWidth="1"/>
    <col min="13139" max="13312" width="8.7109375" style="215"/>
    <col min="13313" max="13313" width="38.42578125" style="215" customWidth="1"/>
    <col min="13314" max="13314" width="12.85546875" style="215" customWidth="1"/>
    <col min="13315" max="13374" width="0" style="215" hidden="1" customWidth="1"/>
    <col min="13375" max="13394" width="7.7109375" style="215" customWidth="1"/>
    <col min="13395" max="13568" width="8.7109375" style="215"/>
    <col min="13569" max="13569" width="38.42578125" style="215" customWidth="1"/>
    <col min="13570" max="13570" width="12.85546875" style="215" customWidth="1"/>
    <col min="13571" max="13630" width="0" style="215" hidden="1" customWidth="1"/>
    <col min="13631" max="13650" width="7.7109375" style="215" customWidth="1"/>
    <col min="13651" max="13824" width="8.7109375" style="215"/>
    <col min="13825" max="13825" width="38.42578125" style="215" customWidth="1"/>
    <col min="13826" max="13826" width="12.85546875" style="215" customWidth="1"/>
    <col min="13827" max="13886" width="0" style="215" hidden="1" customWidth="1"/>
    <col min="13887" max="13906" width="7.7109375" style="215" customWidth="1"/>
    <col min="13907" max="14080" width="8.7109375" style="215"/>
    <col min="14081" max="14081" width="38.42578125" style="215" customWidth="1"/>
    <col min="14082" max="14082" width="12.85546875" style="215" customWidth="1"/>
    <col min="14083" max="14142" width="0" style="215" hidden="1" customWidth="1"/>
    <col min="14143" max="14162" width="7.7109375" style="215" customWidth="1"/>
    <col min="14163" max="14336" width="8.7109375" style="215"/>
    <col min="14337" max="14337" width="38.42578125" style="215" customWidth="1"/>
    <col min="14338" max="14338" width="12.85546875" style="215" customWidth="1"/>
    <col min="14339" max="14398" width="0" style="215" hidden="1" customWidth="1"/>
    <col min="14399" max="14418" width="7.7109375" style="215" customWidth="1"/>
    <col min="14419" max="14592" width="8.7109375" style="215"/>
    <col min="14593" max="14593" width="38.42578125" style="215" customWidth="1"/>
    <col min="14594" max="14594" width="12.85546875" style="215" customWidth="1"/>
    <col min="14595" max="14654" width="0" style="215" hidden="1" customWidth="1"/>
    <col min="14655" max="14674" width="7.7109375" style="215" customWidth="1"/>
    <col min="14675" max="14848" width="8.7109375" style="215"/>
    <col min="14849" max="14849" width="38.42578125" style="215" customWidth="1"/>
    <col min="14850" max="14850" width="12.85546875" style="215" customWidth="1"/>
    <col min="14851" max="14910" width="0" style="215" hidden="1" customWidth="1"/>
    <col min="14911" max="14930" width="7.7109375" style="215" customWidth="1"/>
    <col min="14931" max="15104" width="8.7109375" style="215"/>
    <col min="15105" max="15105" width="38.42578125" style="215" customWidth="1"/>
    <col min="15106" max="15106" width="12.85546875" style="215" customWidth="1"/>
    <col min="15107" max="15166" width="0" style="215" hidden="1" customWidth="1"/>
    <col min="15167" max="15186" width="7.7109375" style="215" customWidth="1"/>
    <col min="15187" max="15360" width="8.7109375" style="215"/>
    <col min="15361" max="15361" width="38.42578125" style="215" customWidth="1"/>
    <col min="15362" max="15362" width="12.85546875" style="215" customWidth="1"/>
    <col min="15363" max="15422" width="0" style="215" hidden="1" customWidth="1"/>
    <col min="15423" max="15442" width="7.7109375" style="215" customWidth="1"/>
    <col min="15443" max="15616" width="8.7109375" style="215"/>
    <col min="15617" max="15617" width="38.42578125" style="215" customWidth="1"/>
    <col min="15618" max="15618" width="12.85546875" style="215" customWidth="1"/>
    <col min="15619" max="15678" width="0" style="215" hidden="1" customWidth="1"/>
    <col min="15679" max="15698" width="7.7109375" style="215" customWidth="1"/>
    <col min="15699" max="15872" width="8.7109375" style="215"/>
    <col min="15873" max="15873" width="38.42578125" style="215" customWidth="1"/>
    <col min="15874" max="15874" width="12.85546875" style="215" customWidth="1"/>
    <col min="15875" max="15934" width="0" style="215" hidden="1" customWidth="1"/>
    <col min="15935" max="15954" width="7.7109375" style="215" customWidth="1"/>
    <col min="15955" max="16128" width="8.7109375" style="215"/>
    <col min="16129" max="16129" width="38.42578125" style="215" customWidth="1"/>
    <col min="16130" max="16130" width="12.85546875" style="215" customWidth="1"/>
    <col min="16131" max="16190" width="0" style="215" hidden="1" customWidth="1"/>
    <col min="16191" max="16210" width="7.7109375" style="215" customWidth="1"/>
    <col min="16211" max="16384" width="8.7109375" style="215"/>
  </cols>
  <sheetData>
    <row r="1" spans="1:98" ht="18" x14ac:dyDescent="0.25">
      <c r="A1" s="317" t="s">
        <v>207</v>
      </c>
      <c r="B1" s="318"/>
    </row>
    <row r="2" spans="1:98" ht="15.75" x14ac:dyDescent="0.25">
      <c r="A2" s="216" t="s">
        <v>208</v>
      </c>
      <c r="B2" s="217"/>
    </row>
    <row r="3" spans="1:98" ht="15.75" thickBot="1" x14ac:dyDescent="0.3">
      <c r="A3" s="218" t="s">
        <v>209</v>
      </c>
      <c r="B3" s="219"/>
    </row>
    <row r="6" spans="1:98" x14ac:dyDescent="0.2">
      <c r="BQ6" s="221" t="s">
        <v>210</v>
      </c>
      <c r="BR6" s="221" t="s">
        <v>210</v>
      </c>
      <c r="BS6" s="221" t="s">
        <v>210</v>
      </c>
      <c r="BT6" s="221" t="s">
        <v>210</v>
      </c>
      <c r="BU6" s="222" t="s">
        <v>211</v>
      </c>
      <c r="BV6" s="222" t="s">
        <v>211</v>
      </c>
      <c r="BW6" s="222" t="s">
        <v>211</v>
      </c>
      <c r="BX6" s="222" t="s">
        <v>211</v>
      </c>
      <c r="BY6" s="223" t="s">
        <v>212</v>
      </c>
      <c r="BZ6" s="223" t="s">
        <v>212</v>
      </c>
      <c r="CA6" s="223" t="s">
        <v>212</v>
      </c>
      <c r="CB6" s="223" t="s">
        <v>212</v>
      </c>
      <c r="CC6" s="224" t="s">
        <v>213</v>
      </c>
      <c r="CD6" s="224" t="s">
        <v>213</v>
      </c>
      <c r="CE6" s="224" t="s">
        <v>213</v>
      </c>
      <c r="CF6" s="224" t="s">
        <v>213</v>
      </c>
      <c r="CG6" s="225" t="s">
        <v>214</v>
      </c>
      <c r="CH6" s="225" t="s">
        <v>214</v>
      </c>
      <c r="CI6" s="225" t="s">
        <v>214</v>
      </c>
      <c r="CJ6" s="225" t="s">
        <v>214</v>
      </c>
    </row>
    <row r="7" spans="1:98" s="220" customFormat="1" x14ac:dyDescent="0.2">
      <c r="B7" s="220" t="s">
        <v>215</v>
      </c>
      <c r="C7" s="226" t="s">
        <v>216</v>
      </c>
      <c r="D7" s="226" t="s">
        <v>217</v>
      </c>
      <c r="E7" s="226" t="s">
        <v>218</v>
      </c>
      <c r="F7" s="226" t="s">
        <v>219</v>
      </c>
      <c r="G7" s="226" t="s">
        <v>220</v>
      </c>
      <c r="H7" s="226" t="s">
        <v>221</v>
      </c>
      <c r="I7" s="226" t="s">
        <v>222</v>
      </c>
      <c r="J7" s="226" t="s">
        <v>223</v>
      </c>
      <c r="K7" s="226" t="s">
        <v>224</v>
      </c>
      <c r="L7" s="226" t="s">
        <v>225</v>
      </c>
      <c r="M7" s="226" t="s">
        <v>226</v>
      </c>
      <c r="N7" s="226" t="s">
        <v>227</v>
      </c>
      <c r="O7" s="226" t="s">
        <v>228</v>
      </c>
      <c r="P7" s="226" t="s">
        <v>229</v>
      </c>
      <c r="Q7" s="226" t="s">
        <v>230</v>
      </c>
      <c r="R7" s="226" t="s">
        <v>231</v>
      </c>
      <c r="S7" s="226" t="s">
        <v>232</v>
      </c>
      <c r="T7" s="226" t="s">
        <v>233</v>
      </c>
      <c r="U7" s="226" t="s">
        <v>234</v>
      </c>
      <c r="V7" s="226" t="s">
        <v>235</v>
      </c>
      <c r="W7" s="226" t="s">
        <v>236</v>
      </c>
      <c r="X7" s="226" t="s">
        <v>237</v>
      </c>
      <c r="Y7" s="226" t="s">
        <v>238</v>
      </c>
      <c r="Z7" s="226" t="s">
        <v>239</v>
      </c>
      <c r="AA7" s="226" t="s">
        <v>240</v>
      </c>
      <c r="AB7" s="226" t="s">
        <v>241</v>
      </c>
      <c r="AC7" s="226" t="s">
        <v>242</v>
      </c>
      <c r="AD7" s="226" t="s">
        <v>243</v>
      </c>
      <c r="AE7" s="226" t="s">
        <v>244</v>
      </c>
      <c r="AF7" s="226" t="s">
        <v>245</v>
      </c>
      <c r="AG7" s="226" t="s">
        <v>246</v>
      </c>
      <c r="AH7" s="226" t="s">
        <v>247</v>
      </c>
      <c r="AI7" s="226" t="s">
        <v>248</v>
      </c>
      <c r="AJ7" s="226" t="s">
        <v>249</v>
      </c>
      <c r="AK7" s="226" t="s">
        <v>250</v>
      </c>
      <c r="AL7" s="226" t="s">
        <v>251</v>
      </c>
      <c r="AM7" s="226" t="s">
        <v>252</v>
      </c>
      <c r="AN7" s="226" t="s">
        <v>253</v>
      </c>
      <c r="AO7" s="226" t="s">
        <v>254</v>
      </c>
      <c r="AP7" s="226" t="s">
        <v>255</v>
      </c>
      <c r="AQ7" s="226" t="s">
        <v>256</v>
      </c>
      <c r="AR7" s="226" t="s">
        <v>257</v>
      </c>
      <c r="AS7" s="226" t="s">
        <v>258</v>
      </c>
      <c r="AT7" s="226" t="s">
        <v>259</v>
      </c>
      <c r="AU7" s="220" t="s">
        <v>260</v>
      </c>
      <c r="AV7" s="220" t="s">
        <v>261</v>
      </c>
      <c r="AW7" s="220" t="s">
        <v>262</v>
      </c>
      <c r="AX7" s="220" t="s">
        <v>263</v>
      </c>
      <c r="AY7" s="220" t="s">
        <v>264</v>
      </c>
      <c r="AZ7" s="220" t="s">
        <v>265</v>
      </c>
      <c r="BA7" s="220" t="s">
        <v>266</v>
      </c>
      <c r="BB7" s="220" t="s">
        <v>267</v>
      </c>
      <c r="BC7" s="220" t="s">
        <v>268</v>
      </c>
      <c r="BD7" s="220" t="s">
        <v>269</v>
      </c>
      <c r="BE7" s="220" t="s">
        <v>270</v>
      </c>
      <c r="BF7" s="220" t="s">
        <v>271</v>
      </c>
      <c r="BG7" s="220" t="s">
        <v>272</v>
      </c>
      <c r="BH7" s="220" t="s">
        <v>273</v>
      </c>
      <c r="BI7" s="220" t="s">
        <v>274</v>
      </c>
      <c r="BJ7" s="220" t="s">
        <v>275</v>
      </c>
      <c r="BK7" s="220" t="s">
        <v>276</v>
      </c>
      <c r="BL7" s="220" t="s">
        <v>277</v>
      </c>
      <c r="BM7" s="220" t="s">
        <v>278</v>
      </c>
      <c r="BN7" s="220" t="s">
        <v>279</v>
      </c>
      <c r="BO7" s="220" t="s">
        <v>280</v>
      </c>
      <c r="BP7" s="220" t="s">
        <v>281</v>
      </c>
      <c r="BQ7" s="220" t="s">
        <v>282</v>
      </c>
      <c r="BR7" s="220" t="s">
        <v>283</v>
      </c>
      <c r="BS7" s="220" t="s">
        <v>284</v>
      </c>
      <c r="BT7" s="220" t="s">
        <v>285</v>
      </c>
      <c r="BU7" s="220" t="s">
        <v>286</v>
      </c>
      <c r="BV7" s="220" t="s">
        <v>287</v>
      </c>
      <c r="BW7" s="220" t="s">
        <v>288</v>
      </c>
      <c r="BX7" s="220" t="s">
        <v>289</v>
      </c>
      <c r="BY7" s="220" t="s">
        <v>290</v>
      </c>
      <c r="BZ7" s="220" t="s">
        <v>291</v>
      </c>
      <c r="CA7" s="220" t="s">
        <v>292</v>
      </c>
      <c r="CB7" s="220" t="s">
        <v>293</v>
      </c>
      <c r="CC7" s="220" t="s">
        <v>294</v>
      </c>
      <c r="CD7" s="220" t="s">
        <v>295</v>
      </c>
      <c r="CE7" s="220" t="s">
        <v>296</v>
      </c>
      <c r="CF7" s="220" t="s">
        <v>297</v>
      </c>
      <c r="CG7" s="220" t="s">
        <v>298</v>
      </c>
      <c r="CH7" s="220" t="s">
        <v>299</v>
      </c>
      <c r="CI7" s="220" t="s">
        <v>300</v>
      </c>
      <c r="CJ7" s="220" t="s">
        <v>301</v>
      </c>
      <c r="CK7" s="220" t="s">
        <v>302</v>
      </c>
      <c r="CL7" s="220" t="s">
        <v>303</v>
      </c>
      <c r="CM7" s="220" t="s">
        <v>304</v>
      </c>
      <c r="CN7" s="220" t="s">
        <v>305</v>
      </c>
      <c r="CO7" s="220" t="s">
        <v>306</v>
      </c>
      <c r="CP7" s="220" t="s">
        <v>307</v>
      </c>
      <c r="CQ7" s="220" t="s">
        <v>308</v>
      </c>
      <c r="CR7" s="220" t="s">
        <v>309</v>
      </c>
      <c r="CS7" s="220" t="s">
        <v>310</v>
      </c>
      <c r="CT7" s="220" t="s">
        <v>311</v>
      </c>
    </row>
    <row r="8" spans="1:98" x14ac:dyDescent="0.2">
      <c r="A8" s="220" t="s">
        <v>312</v>
      </c>
      <c r="B8" s="220" t="s">
        <v>313</v>
      </c>
      <c r="C8" s="227">
        <v>2.03516971038266</v>
      </c>
      <c r="D8" s="227">
        <v>2.0603243586248499</v>
      </c>
      <c r="E8" s="227">
        <v>2.0653694065802699</v>
      </c>
      <c r="F8" s="227">
        <v>2.0874807762832099</v>
      </c>
      <c r="G8" s="227">
        <v>2.1050400482010199</v>
      </c>
      <c r="H8" s="227">
        <v>2.1154192603458899</v>
      </c>
      <c r="I8" s="227">
        <v>2.1518068200870601</v>
      </c>
      <c r="J8" s="227">
        <v>2.1707783725541501</v>
      </c>
      <c r="K8" s="227">
        <v>2.18783691981761</v>
      </c>
      <c r="L8" s="227">
        <v>2.2132586941521701</v>
      </c>
      <c r="M8" s="227">
        <v>2.2359257447920902</v>
      </c>
      <c r="N8" s="227">
        <v>2.2211869184724802</v>
      </c>
      <c r="O8" s="227">
        <v>2.2326241842019399</v>
      </c>
      <c r="P8" s="227">
        <v>2.25901750728924</v>
      </c>
      <c r="Q8" s="227">
        <v>2.2765164106308</v>
      </c>
      <c r="R8" s="227">
        <v>2.30291395940545</v>
      </c>
      <c r="S8" s="227">
        <v>2.3203732479405201</v>
      </c>
      <c r="T8" s="227">
        <v>2.3642172164480799</v>
      </c>
      <c r="U8" s="227">
        <v>2.4053168355103001</v>
      </c>
      <c r="V8" s="227">
        <v>2.3519755124970101</v>
      </c>
      <c r="W8" s="227">
        <v>2.3408422306286298</v>
      </c>
      <c r="X8" s="227">
        <v>2.3474188487574099</v>
      </c>
      <c r="Y8" s="227">
        <v>2.36722788639723</v>
      </c>
      <c r="Z8" s="227">
        <v>2.38170796623861</v>
      </c>
      <c r="AA8" s="227">
        <v>2.37977560548517</v>
      </c>
      <c r="AB8" s="227">
        <v>2.3845469305921401</v>
      </c>
      <c r="AC8" s="227">
        <v>2.3990494738484398</v>
      </c>
      <c r="AD8" s="227">
        <v>2.4227910394257499</v>
      </c>
      <c r="AE8" s="227">
        <v>2.4330498565991299</v>
      </c>
      <c r="AF8" s="227">
        <v>2.4782592908991101</v>
      </c>
      <c r="AG8" s="227">
        <v>2.48958598393371</v>
      </c>
      <c r="AH8" s="227">
        <v>2.4982528033804701</v>
      </c>
      <c r="AI8" s="227">
        <v>2.5146494553159999</v>
      </c>
      <c r="AJ8" s="227">
        <v>2.52107076869803</v>
      </c>
      <c r="AK8" s="227">
        <v>2.5313114193711401</v>
      </c>
      <c r="AL8" s="227">
        <v>2.5519818070473299</v>
      </c>
      <c r="AM8" s="227">
        <v>2.5588970948066301</v>
      </c>
      <c r="AN8" s="227">
        <v>2.5563607318916199</v>
      </c>
      <c r="AO8" s="227">
        <v>2.5757018498037501</v>
      </c>
      <c r="AP8" s="227">
        <v>2.5903118852466198</v>
      </c>
      <c r="AQ8" s="227">
        <v>2.5984834377108701</v>
      </c>
      <c r="AR8" s="227">
        <v>2.6097667453760698</v>
      </c>
      <c r="AS8" s="227">
        <v>2.6162580136308198</v>
      </c>
      <c r="AT8" s="227">
        <v>2.6185435816407101</v>
      </c>
      <c r="AU8" s="227">
        <v>2.6130742036410601</v>
      </c>
      <c r="AV8" s="227">
        <v>2.6248654931503501</v>
      </c>
      <c r="AW8" s="227">
        <v>2.6210903132751202</v>
      </c>
      <c r="AX8" s="227">
        <v>2.62812001494735</v>
      </c>
      <c r="AY8" s="227">
        <v>2.6195672059792101</v>
      </c>
      <c r="AZ8" s="227">
        <v>2.6445845101286198</v>
      </c>
      <c r="BA8" s="227">
        <v>2.6645119184811499</v>
      </c>
      <c r="BB8" s="227">
        <v>2.6793127669589998</v>
      </c>
      <c r="BC8" s="227">
        <v>2.69196801581622</v>
      </c>
      <c r="BD8" s="227">
        <v>2.6963999173151398</v>
      </c>
      <c r="BE8" s="227">
        <v>2.70820199309592</v>
      </c>
      <c r="BF8" s="227">
        <v>2.7228199938442401</v>
      </c>
      <c r="BG8" s="227">
        <v>2.7581855200157999</v>
      </c>
      <c r="BH8" s="227">
        <v>2.7725868388914199</v>
      </c>
      <c r="BI8" s="227">
        <v>2.7794261240196301</v>
      </c>
      <c r="BJ8" s="227">
        <v>2.79252284616837</v>
      </c>
      <c r="BK8" s="227">
        <v>2.80204068249218</v>
      </c>
      <c r="BL8" s="227">
        <v>2.8122450644763202</v>
      </c>
      <c r="BM8" s="227">
        <v>2.8300584393122699</v>
      </c>
      <c r="BN8" s="227">
        <v>2.84208162724111</v>
      </c>
      <c r="BO8" s="227">
        <v>2.8551686160991401</v>
      </c>
      <c r="BP8" s="227">
        <v>2.8532778182259202</v>
      </c>
      <c r="BQ8" s="227">
        <v>2.8766732544002802</v>
      </c>
      <c r="BR8" s="227">
        <v>2.8982648495135899</v>
      </c>
      <c r="BS8" s="227">
        <v>2.9160216774221999</v>
      </c>
      <c r="BT8" s="227">
        <v>2.9654626403941302</v>
      </c>
      <c r="BU8" s="227">
        <v>3.0081548337632902</v>
      </c>
      <c r="BV8" s="227">
        <v>3.0630482422248799</v>
      </c>
      <c r="BW8" s="227">
        <v>3.1259030163817498</v>
      </c>
      <c r="BX8" s="227">
        <v>3.2014215237569101</v>
      </c>
      <c r="BY8" s="227">
        <v>3.2421852795932899</v>
      </c>
      <c r="BZ8" s="227">
        <v>3.28097034676113</v>
      </c>
      <c r="CA8" s="227">
        <v>3.3147673493876102</v>
      </c>
      <c r="CB8" s="227">
        <v>3.3342442670690202</v>
      </c>
      <c r="CC8" s="227">
        <v>3.3575240050477801</v>
      </c>
      <c r="CD8" s="227">
        <v>3.3819769082909898</v>
      </c>
      <c r="CE8" s="227">
        <v>3.4050737208242499</v>
      </c>
      <c r="CF8" s="227">
        <v>3.4235125377062201</v>
      </c>
      <c r="CG8" s="227">
        <v>3.4450513542515901</v>
      </c>
      <c r="CH8" s="227">
        <v>3.46875440874557</v>
      </c>
      <c r="CI8" s="227">
        <v>3.4882052868706701</v>
      </c>
      <c r="CJ8" s="227">
        <v>3.5079404569764301</v>
      </c>
      <c r="CK8" s="227">
        <v>3.52720160365971</v>
      </c>
      <c r="CL8" s="227">
        <v>3.5476099886222801</v>
      </c>
      <c r="CM8" s="227">
        <v>3.56843780489451</v>
      </c>
      <c r="CN8" s="227">
        <v>3.5885155982193702</v>
      </c>
      <c r="CO8" s="227">
        <v>3.6085155243706</v>
      </c>
      <c r="CP8" s="227">
        <v>3.6288578979966402</v>
      </c>
      <c r="CQ8" s="227">
        <v>3.6502636785569198</v>
      </c>
      <c r="CR8" s="227">
        <v>3.6714830563818301</v>
      </c>
      <c r="CS8" s="227">
        <v>3.6917467571563201</v>
      </c>
      <c r="CT8" s="227">
        <v>3.7124949401037699</v>
      </c>
    </row>
    <row r="9" spans="1:98" x14ac:dyDescent="0.2">
      <c r="A9" s="220" t="s">
        <v>314</v>
      </c>
      <c r="B9" s="220" t="s">
        <v>315</v>
      </c>
      <c r="C9" s="227">
        <v>2.03516971038266</v>
      </c>
      <c r="D9" s="227">
        <v>2.0603243586248499</v>
      </c>
      <c r="E9" s="227">
        <v>2.0653694065802699</v>
      </c>
      <c r="F9" s="227">
        <v>2.0874807762832099</v>
      </c>
      <c r="G9" s="227">
        <v>2.1050400482010199</v>
      </c>
      <c r="H9" s="227">
        <v>2.1154192603458899</v>
      </c>
      <c r="I9" s="227">
        <v>2.1518068200870601</v>
      </c>
      <c r="J9" s="227">
        <v>2.1707783725541501</v>
      </c>
      <c r="K9" s="227">
        <v>2.18783691981761</v>
      </c>
      <c r="L9" s="227">
        <v>2.2132586941521701</v>
      </c>
      <c r="M9" s="227">
        <v>2.2359257447920902</v>
      </c>
      <c r="N9" s="227">
        <v>2.2211869184724802</v>
      </c>
      <c r="O9" s="227">
        <v>2.2326241842019399</v>
      </c>
      <c r="P9" s="227">
        <v>2.25901750728924</v>
      </c>
      <c r="Q9" s="227">
        <v>2.2765164106308</v>
      </c>
      <c r="R9" s="227">
        <v>2.30291395940545</v>
      </c>
      <c r="S9" s="227">
        <v>2.3203732479405201</v>
      </c>
      <c r="T9" s="227">
        <v>2.3642172164480799</v>
      </c>
      <c r="U9" s="227">
        <v>2.4053168355103001</v>
      </c>
      <c r="V9" s="227">
        <v>2.3519755124970101</v>
      </c>
      <c r="W9" s="227">
        <v>2.3408422306286298</v>
      </c>
      <c r="X9" s="227">
        <v>2.3474188487574099</v>
      </c>
      <c r="Y9" s="227">
        <v>2.36722788639723</v>
      </c>
      <c r="Z9" s="227">
        <v>2.38170796623861</v>
      </c>
      <c r="AA9" s="227">
        <v>2.37977560548517</v>
      </c>
      <c r="AB9" s="227">
        <v>2.3845469305921401</v>
      </c>
      <c r="AC9" s="227">
        <v>2.3990494738484398</v>
      </c>
      <c r="AD9" s="227">
        <v>2.4227910394257499</v>
      </c>
      <c r="AE9" s="227">
        <v>2.4330498565991299</v>
      </c>
      <c r="AF9" s="227">
        <v>2.4782592908991101</v>
      </c>
      <c r="AG9" s="227">
        <v>2.48958598393371</v>
      </c>
      <c r="AH9" s="227">
        <v>2.4982528033804701</v>
      </c>
      <c r="AI9" s="227">
        <v>2.5146494553159999</v>
      </c>
      <c r="AJ9" s="227">
        <v>2.52107076869803</v>
      </c>
      <c r="AK9" s="227">
        <v>2.5313114193711401</v>
      </c>
      <c r="AL9" s="227">
        <v>2.5519818070473299</v>
      </c>
      <c r="AM9" s="227">
        <v>2.5588970948066301</v>
      </c>
      <c r="AN9" s="227">
        <v>2.5563607318916199</v>
      </c>
      <c r="AO9" s="227">
        <v>2.5757018498037501</v>
      </c>
      <c r="AP9" s="227">
        <v>2.5903118852466198</v>
      </c>
      <c r="AQ9" s="227">
        <v>2.5984834377108701</v>
      </c>
      <c r="AR9" s="227">
        <v>2.6097667453760698</v>
      </c>
      <c r="AS9" s="227">
        <v>2.6162580136308198</v>
      </c>
      <c r="AT9" s="227">
        <v>2.6185435816407101</v>
      </c>
      <c r="AU9" s="227">
        <v>2.6130742036410601</v>
      </c>
      <c r="AV9" s="227">
        <v>2.6248654931503501</v>
      </c>
      <c r="AW9" s="227">
        <v>2.6210903132751202</v>
      </c>
      <c r="AX9" s="227">
        <v>2.62812001494735</v>
      </c>
      <c r="AY9" s="227">
        <v>2.6195672059792101</v>
      </c>
      <c r="AZ9" s="227">
        <v>2.6445845101286198</v>
      </c>
      <c r="BA9" s="227">
        <v>2.6645119184811499</v>
      </c>
      <c r="BB9" s="227">
        <v>2.6793127669589998</v>
      </c>
      <c r="BC9" s="227">
        <v>2.69196801581622</v>
      </c>
      <c r="BD9" s="227">
        <v>2.6963999173151398</v>
      </c>
      <c r="BE9" s="227">
        <v>2.70820199309592</v>
      </c>
      <c r="BF9" s="227">
        <v>2.7228199938442401</v>
      </c>
      <c r="BG9" s="227">
        <v>2.7581855200157999</v>
      </c>
      <c r="BH9" s="227">
        <v>2.7725868388914199</v>
      </c>
      <c r="BI9" s="227">
        <v>2.7794261240196301</v>
      </c>
      <c r="BJ9" s="227">
        <v>2.79252284616837</v>
      </c>
      <c r="BK9" s="227">
        <v>2.80204068249218</v>
      </c>
      <c r="BL9" s="227">
        <v>2.8122450644763202</v>
      </c>
      <c r="BM9" s="227">
        <v>2.8300584393122699</v>
      </c>
      <c r="BN9" s="227">
        <v>2.84208162724111</v>
      </c>
      <c r="BO9" s="227">
        <v>2.8551686160991401</v>
      </c>
      <c r="BP9" s="227">
        <v>2.8532778182259202</v>
      </c>
      <c r="BQ9" s="227">
        <v>2.8766732544002802</v>
      </c>
      <c r="BR9" s="227">
        <v>2.8982648495135899</v>
      </c>
      <c r="BS9" s="227">
        <v>2.9160216774221999</v>
      </c>
      <c r="BT9" s="227">
        <v>2.9654626403941302</v>
      </c>
      <c r="BU9" s="227">
        <v>3.0081548337632902</v>
      </c>
      <c r="BV9" s="227">
        <v>3.0630482422248799</v>
      </c>
      <c r="BW9" s="227">
        <v>3.1259030163817498</v>
      </c>
      <c r="BX9" s="227">
        <v>3.2014215237569101</v>
      </c>
      <c r="BY9" s="227">
        <v>3.2255363055134101</v>
      </c>
      <c r="BZ9" s="227">
        <v>3.2598916230874599</v>
      </c>
      <c r="CA9" s="227">
        <v>3.2891346677534301</v>
      </c>
      <c r="CB9" s="227">
        <v>3.30621025530152</v>
      </c>
      <c r="CC9" s="227">
        <v>3.3272304548242801</v>
      </c>
      <c r="CD9" s="227">
        <v>3.3506000676307002</v>
      </c>
      <c r="CE9" s="227">
        <v>3.3713855548821599</v>
      </c>
      <c r="CF9" s="227">
        <v>3.3883014039568402</v>
      </c>
      <c r="CG9" s="227">
        <v>3.4080858525713902</v>
      </c>
      <c r="CH9" s="227">
        <v>3.42941797508669</v>
      </c>
      <c r="CI9" s="227">
        <v>3.4464785567767202</v>
      </c>
      <c r="CJ9" s="227">
        <v>3.46378925221474</v>
      </c>
      <c r="CK9" s="227">
        <v>3.4809094361872699</v>
      </c>
      <c r="CL9" s="227">
        <v>3.4992140517661001</v>
      </c>
      <c r="CM9" s="227">
        <v>3.5178797103848898</v>
      </c>
      <c r="CN9" s="227">
        <v>3.53579934508278</v>
      </c>
      <c r="CO9" s="227">
        <v>3.5537903995520801</v>
      </c>
      <c r="CP9" s="227">
        <v>3.5722371267770701</v>
      </c>
      <c r="CQ9" s="227">
        <v>3.5919469703646798</v>
      </c>
      <c r="CR9" s="227">
        <v>3.6114642330203099</v>
      </c>
      <c r="CS9" s="227">
        <v>3.6300819400814999</v>
      </c>
      <c r="CT9" s="227">
        <v>3.6492439952051701</v>
      </c>
    </row>
    <row r="10" spans="1:98" x14ac:dyDescent="0.2">
      <c r="A10" s="220" t="s">
        <v>316</v>
      </c>
      <c r="B10" s="220" t="s">
        <v>317</v>
      </c>
      <c r="C10" s="227">
        <v>2.03516971038266</v>
      </c>
      <c r="D10" s="227">
        <v>2.0603243586248499</v>
      </c>
      <c r="E10" s="227">
        <v>2.0653694065802699</v>
      </c>
      <c r="F10" s="227">
        <v>2.0874807762832099</v>
      </c>
      <c r="G10" s="227">
        <v>2.1050400482010199</v>
      </c>
      <c r="H10" s="227">
        <v>2.1154192603458899</v>
      </c>
      <c r="I10" s="227">
        <v>2.1518068200870601</v>
      </c>
      <c r="J10" s="227">
        <v>2.1707783725541501</v>
      </c>
      <c r="K10" s="227">
        <v>2.18783691981761</v>
      </c>
      <c r="L10" s="227">
        <v>2.2132586941521701</v>
      </c>
      <c r="M10" s="227">
        <v>2.2359257447920902</v>
      </c>
      <c r="N10" s="227">
        <v>2.2211869184724802</v>
      </c>
      <c r="O10" s="227">
        <v>2.2326241842019399</v>
      </c>
      <c r="P10" s="227">
        <v>2.25901750728924</v>
      </c>
      <c r="Q10" s="227">
        <v>2.2765164106308</v>
      </c>
      <c r="R10" s="227">
        <v>2.30291395940545</v>
      </c>
      <c r="S10" s="227">
        <v>2.3203732479405201</v>
      </c>
      <c r="T10" s="227">
        <v>2.3642172164480799</v>
      </c>
      <c r="U10" s="227">
        <v>2.4053168355103001</v>
      </c>
      <c r="V10" s="227">
        <v>2.3519755124970101</v>
      </c>
      <c r="W10" s="227">
        <v>2.3408422306286298</v>
      </c>
      <c r="X10" s="227">
        <v>2.3474188487574099</v>
      </c>
      <c r="Y10" s="227">
        <v>2.36722788639723</v>
      </c>
      <c r="Z10" s="227">
        <v>2.38170796623861</v>
      </c>
      <c r="AA10" s="227">
        <v>2.37977560548517</v>
      </c>
      <c r="AB10" s="227">
        <v>2.3845469305921401</v>
      </c>
      <c r="AC10" s="227">
        <v>2.3990494738484398</v>
      </c>
      <c r="AD10" s="227">
        <v>2.4227910394257499</v>
      </c>
      <c r="AE10" s="227">
        <v>2.4330498565991299</v>
      </c>
      <c r="AF10" s="227">
        <v>2.4782592908991101</v>
      </c>
      <c r="AG10" s="227">
        <v>2.48958598393371</v>
      </c>
      <c r="AH10" s="227">
        <v>2.4982528033804701</v>
      </c>
      <c r="AI10" s="227">
        <v>2.5146494553159999</v>
      </c>
      <c r="AJ10" s="227">
        <v>2.52107076869803</v>
      </c>
      <c r="AK10" s="227">
        <v>2.5313114193711401</v>
      </c>
      <c r="AL10" s="227">
        <v>2.5519818070473299</v>
      </c>
      <c r="AM10" s="227">
        <v>2.5588970948066301</v>
      </c>
      <c r="AN10" s="227">
        <v>2.5563607318916199</v>
      </c>
      <c r="AO10" s="227">
        <v>2.5757018498037501</v>
      </c>
      <c r="AP10" s="227">
        <v>2.5903118852466198</v>
      </c>
      <c r="AQ10" s="227">
        <v>2.5984834377108701</v>
      </c>
      <c r="AR10" s="227">
        <v>2.6097667453760698</v>
      </c>
      <c r="AS10" s="227">
        <v>2.6162580136308198</v>
      </c>
      <c r="AT10" s="227">
        <v>2.6185435816407101</v>
      </c>
      <c r="AU10" s="227">
        <v>2.6130742036410601</v>
      </c>
      <c r="AV10" s="227">
        <v>2.6248654931503501</v>
      </c>
      <c r="AW10" s="227">
        <v>2.6210903132751202</v>
      </c>
      <c r="AX10" s="227">
        <v>2.62812001494735</v>
      </c>
      <c r="AY10" s="227">
        <v>2.6195672059792101</v>
      </c>
      <c r="AZ10" s="227">
        <v>2.6445845101286198</v>
      </c>
      <c r="BA10" s="227">
        <v>2.6645119184811499</v>
      </c>
      <c r="BB10" s="227">
        <v>2.6793127669589998</v>
      </c>
      <c r="BC10" s="227">
        <v>2.69196801581622</v>
      </c>
      <c r="BD10" s="227">
        <v>2.6963999173151398</v>
      </c>
      <c r="BE10" s="227">
        <v>2.70820199309592</v>
      </c>
      <c r="BF10" s="227">
        <v>2.7228199938442401</v>
      </c>
      <c r="BG10" s="227">
        <v>2.7581855200157999</v>
      </c>
      <c r="BH10" s="227">
        <v>2.7725868388914199</v>
      </c>
      <c r="BI10" s="227">
        <v>2.7794261240196301</v>
      </c>
      <c r="BJ10" s="227">
        <v>2.79252284616837</v>
      </c>
      <c r="BK10" s="227">
        <v>2.80204068249218</v>
      </c>
      <c r="BL10" s="227">
        <v>2.8122450644763202</v>
      </c>
      <c r="BM10" s="227">
        <v>2.8300584393122699</v>
      </c>
      <c r="BN10" s="227">
        <v>2.84208162724111</v>
      </c>
      <c r="BO10" s="227">
        <v>2.8551686160991401</v>
      </c>
      <c r="BP10" s="227">
        <v>2.8532778182259202</v>
      </c>
      <c r="BQ10" s="227">
        <v>2.8766732544002802</v>
      </c>
      <c r="BR10" s="227">
        <v>2.8982648495135899</v>
      </c>
      <c r="BS10" s="227">
        <v>2.9160216774221999</v>
      </c>
      <c r="BT10" s="227">
        <v>2.9654626403941302</v>
      </c>
      <c r="BU10" s="227">
        <v>3.0081548337632902</v>
      </c>
      <c r="BV10" s="227">
        <v>3.0630482422248799</v>
      </c>
      <c r="BW10" s="227">
        <v>3.1259030163817498</v>
      </c>
      <c r="BX10" s="227">
        <v>3.2014215237569101</v>
      </c>
      <c r="BY10" s="227">
        <v>3.2538360600876799</v>
      </c>
      <c r="BZ10" s="227">
        <v>3.3031965097870799</v>
      </c>
      <c r="CA10" s="227">
        <v>3.3480395194667398</v>
      </c>
      <c r="CB10" s="227">
        <v>3.3772072582577199</v>
      </c>
      <c r="CC10" s="227">
        <v>3.4094675504554299</v>
      </c>
      <c r="CD10" s="227">
        <v>3.4424749536492398</v>
      </c>
      <c r="CE10" s="227">
        <v>3.4743211894451802</v>
      </c>
      <c r="CF10" s="227">
        <v>3.5006039732964802</v>
      </c>
      <c r="CG10" s="227">
        <v>3.5303989876569202</v>
      </c>
      <c r="CH10" s="227">
        <v>3.5628674447020598</v>
      </c>
      <c r="CI10" s="227">
        <v>3.5914669049492498</v>
      </c>
      <c r="CJ10" s="227">
        <v>3.6209181772272898</v>
      </c>
      <c r="CK10" s="227">
        <v>3.6499561132707901</v>
      </c>
      <c r="CL10" s="227">
        <v>3.6803370088943401</v>
      </c>
      <c r="CM10" s="227">
        <v>3.7115944324369101</v>
      </c>
      <c r="CN10" s="227">
        <v>3.7424449232069499</v>
      </c>
      <c r="CO10" s="227">
        <v>3.7735168503534799</v>
      </c>
      <c r="CP10" s="227">
        <v>3.8051953825342602</v>
      </c>
      <c r="CQ10" s="227">
        <v>3.8381085422962502</v>
      </c>
      <c r="CR10" s="227">
        <v>3.8709313876845499</v>
      </c>
      <c r="CS10" s="227">
        <v>3.9029692393289599</v>
      </c>
      <c r="CT10" s="227">
        <v>3.9358493172804301</v>
      </c>
    </row>
    <row r="12" spans="1:98" x14ac:dyDescent="0.2"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</row>
    <row r="13" spans="1:98" x14ac:dyDescent="0.2"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</row>
    <row r="14" spans="1:98" x14ac:dyDescent="0.2"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BX14" s="229" t="s">
        <v>318</v>
      </c>
      <c r="BY14" s="230"/>
      <c r="BZ14" s="230"/>
      <c r="CA14" s="231" t="s">
        <v>319</v>
      </c>
      <c r="CB14" s="232"/>
      <c r="CC14" s="232"/>
      <c r="CD14" s="232"/>
      <c r="CE14" s="232"/>
      <c r="CF14" s="232"/>
      <c r="CG14" s="230"/>
      <c r="CH14" s="230"/>
      <c r="CI14" s="230"/>
    </row>
    <row r="15" spans="1:98" x14ac:dyDescent="0.2"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BX15" s="233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5"/>
    </row>
    <row r="16" spans="1:98" x14ac:dyDescent="0.2"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BX16" s="236"/>
      <c r="BY16" s="237" t="s">
        <v>320</v>
      </c>
      <c r="BZ16" s="238" t="s">
        <v>321</v>
      </c>
      <c r="CA16" s="230"/>
      <c r="CB16" s="230"/>
      <c r="CC16" s="230"/>
      <c r="CD16" s="230"/>
      <c r="CE16" s="230"/>
      <c r="CF16" s="230"/>
      <c r="CG16" s="230"/>
      <c r="CH16" s="230"/>
      <c r="CI16" s="239"/>
    </row>
    <row r="17" spans="3:87" x14ac:dyDescent="0.2"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240"/>
      <c r="BX17" s="236"/>
      <c r="BY17" s="230"/>
      <c r="BZ17" s="241" t="str">
        <f>CB7</f>
        <v>2023Q2</v>
      </c>
      <c r="CA17" s="230"/>
      <c r="CB17" s="230"/>
      <c r="CC17" s="230"/>
      <c r="CD17" s="230"/>
      <c r="CE17" s="230"/>
      <c r="CF17" s="230"/>
      <c r="CG17" s="230"/>
      <c r="CH17" s="230"/>
      <c r="CI17" s="242" t="s">
        <v>322</v>
      </c>
    </row>
    <row r="18" spans="3:87" x14ac:dyDescent="0.2">
      <c r="BX18" s="236"/>
      <c r="BY18" s="230"/>
      <c r="BZ18" s="243">
        <f>CB9</f>
        <v>3.30621025530152</v>
      </c>
      <c r="CA18" s="230"/>
      <c r="CB18" s="230"/>
      <c r="CC18" s="230"/>
      <c r="CD18" s="230"/>
      <c r="CE18" s="230"/>
      <c r="CF18" s="230"/>
      <c r="CG18" s="230"/>
      <c r="CH18" s="230"/>
      <c r="CI18" s="244">
        <f>BZ18</f>
        <v>3.30621025530152</v>
      </c>
    </row>
    <row r="19" spans="3:87" x14ac:dyDescent="0.2">
      <c r="BX19" s="236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45"/>
    </row>
    <row r="20" spans="3:87" x14ac:dyDescent="0.2">
      <c r="BX20" s="319" t="s">
        <v>323</v>
      </c>
      <c r="BY20" s="320"/>
      <c r="BZ20" s="320"/>
      <c r="CA20" s="230" t="s">
        <v>324</v>
      </c>
      <c r="CB20" s="230"/>
      <c r="CC20" s="230"/>
      <c r="CD20" s="230"/>
      <c r="CE20" s="230"/>
      <c r="CF20" s="230"/>
      <c r="CG20" s="230"/>
      <c r="CH20" s="230"/>
      <c r="CI20" s="245"/>
    </row>
    <row r="21" spans="3:87" x14ac:dyDescent="0.2">
      <c r="BX21" s="246"/>
      <c r="BY21" s="237"/>
      <c r="BZ21" s="220" t="str">
        <f>CC7</f>
        <v>2023Q3</v>
      </c>
      <c r="CA21" s="220" t="str">
        <f t="shared" ref="CA21:CG21" si="0">CD7</f>
        <v>2023Q4</v>
      </c>
      <c r="CB21" s="220" t="str">
        <f t="shared" si="0"/>
        <v>2024Q1</v>
      </c>
      <c r="CC21" s="220" t="str">
        <f t="shared" si="0"/>
        <v>2024Q2</v>
      </c>
      <c r="CD21" s="220" t="str">
        <f t="shared" si="0"/>
        <v>2024Q3</v>
      </c>
      <c r="CE21" s="220" t="str">
        <f t="shared" si="0"/>
        <v>2024Q4</v>
      </c>
      <c r="CF21" s="220" t="str">
        <f t="shared" si="0"/>
        <v>2025Q1</v>
      </c>
      <c r="CG21" s="220" t="str">
        <f t="shared" si="0"/>
        <v>2025Q2</v>
      </c>
      <c r="CH21" s="230"/>
      <c r="CI21" s="245"/>
    </row>
    <row r="22" spans="3:87" x14ac:dyDescent="0.2">
      <c r="BX22" s="236"/>
      <c r="BY22" s="230"/>
      <c r="BZ22" s="227">
        <f>CC9</f>
        <v>3.3272304548242801</v>
      </c>
      <c r="CA22" s="227">
        <f t="shared" ref="CA22:CG22" si="1">CD9</f>
        <v>3.3506000676307002</v>
      </c>
      <c r="CB22" s="227">
        <f t="shared" si="1"/>
        <v>3.3713855548821599</v>
      </c>
      <c r="CC22" s="227">
        <f t="shared" si="1"/>
        <v>3.3883014039568402</v>
      </c>
      <c r="CD22" s="227">
        <f t="shared" si="1"/>
        <v>3.4080858525713902</v>
      </c>
      <c r="CE22" s="227">
        <f t="shared" si="1"/>
        <v>3.42941797508669</v>
      </c>
      <c r="CF22" s="227">
        <f t="shared" si="1"/>
        <v>3.4464785567767202</v>
      </c>
      <c r="CG22" s="227">
        <f t="shared" si="1"/>
        <v>3.46378925221474</v>
      </c>
      <c r="CH22" s="230"/>
      <c r="CI22" s="244">
        <f>AVERAGE(BZ22:CG22)</f>
        <v>3.3981611397429399</v>
      </c>
    </row>
    <row r="23" spans="3:87" x14ac:dyDescent="0.2">
      <c r="BX23" s="236"/>
      <c r="BY23" s="230"/>
      <c r="BZ23" s="230"/>
      <c r="CA23" s="230"/>
      <c r="CB23" s="230"/>
      <c r="CC23" s="230"/>
      <c r="CD23" s="230"/>
      <c r="CE23" s="230"/>
      <c r="CF23" s="230"/>
      <c r="CG23" s="230"/>
      <c r="CH23" s="230"/>
      <c r="CI23" s="245"/>
    </row>
    <row r="24" spans="3:87" x14ac:dyDescent="0.2">
      <c r="BX24" s="236"/>
      <c r="BY24" s="230"/>
      <c r="BZ24" s="230"/>
      <c r="CA24" s="230"/>
      <c r="CB24" s="230"/>
      <c r="CC24" s="230"/>
      <c r="CD24" s="230"/>
      <c r="CE24" s="230"/>
      <c r="CF24" s="230"/>
      <c r="CG24" s="230"/>
      <c r="CH24" s="247" t="s">
        <v>325</v>
      </c>
      <c r="CI24" s="248">
        <f>(CI22-CI18)/CI18</f>
        <v>2.7811565914169036E-2</v>
      </c>
    </row>
    <row r="25" spans="3:87" x14ac:dyDescent="0.2">
      <c r="BX25" s="249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1"/>
    </row>
    <row r="28" spans="3:87" x14ac:dyDescent="0.2">
      <c r="CD28" s="215" t="s">
        <v>326</v>
      </c>
    </row>
  </sheetData>
  <mergeCells count="2">
    <mergeCell ref="A1:B1"/>
    <mergeCell ref="BX20:BZ20"/>
  </mergeCells>
  <pageMargins left="0.25" right="0.25" top="1" bottom="1" header="0.5" footer="0.5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AA67-7570-4ABC-8BA9-B54F01AF19E7}">
  <dimension ref="A2:L30"/>
  <sheetViews>
    <sheetView zoomScaleNormal="100" workbookViewId="0">
      <selection activeCell="E18" sqref="E18"/>
    </sheetView>
  </sheetViews>
  <sheetFormatPr defaultRowHeight="15" x14ac:dyDescent="0.25"/>
  <cols>
    <col min="1" max="1" width="11.85546875" bestFit="1" customWidth="1"/>
    <col min="2" max="2" width="32.7109375" bestFit="1" customWidth="1"/>
    <col min="3" max="3" width="19.85546875" bestFit="1" customWidth="1"/>
    <col min="4" max="4" width="11.140625" bestFit="1" customWidth="1"/>
    <col min="5" max="5" width="13.42578125" customWidth="1"/>
    <col min="6" max="6" width="31.5703125" customWidth="1"/>
    <col min="7" max="7" width="15.85546875" customWidth="1"/>
    <col min="8" max="8" width="30.140625" bestFit="1" customWidth="1"/>
    <col min="9" max="9" width="19.85546875" bestFit="1" customWidth="1"/>
    <col min="10" max="10" width="11.140625" bestFit="1" customWidth="1"/>
    <col min="11" max="11" width="14.140625" bestFit="1" customWidth="1"/>
    <col min="12" max="12" width="18.42578125" bestFit="1" customWidth="1"/>
  </cols>
  <sheetData>
    <row r="2" spans="1:12" ht="27" thickBot="1" x14ac:dyDescent="0.45">
      <c r="B2" s="321" t="s">
        <v>0</v>
      </c>
      <c r="C2" s="321"/>
      <c r="D2" s="321"/>
      <c r="E2" s="321"/>
      <c r="F2" s="321"/>
      <c r="H2" s="321" t="s">
        <v>1</v>
      </c>
      <c r="I2" s="321"/>
      <c r="J2" s="321"/>
      <c r="K2" s="321"/>
      <c r="L2" s="321"/>
    </row>
    <row r="3" spans="1:12" ht="21.75" thickBot="1" x14ac:dyDescent="0.4">
      <c r="A3" s="2"/>
      <c r="B3" s="322" t="s">
        <v>2</v>
      </c>
      <c r="C3" s="323"/>
      <c r="D3" s="3"/>
      <c r="E3" s="322" t="s">
        <v>3</v>
      </c>
      <c r="F3" s="323"/>
      <c r="G3" s="1"/>
      <c r="H3" s="322" t="s">
        <v>2</v>
      </c>
      <c r="I3" s="323"/>
      <c r="J3" s="3"/>
      <c r="K3" s="322" t="s">
        <v>4</v>
      </c>
      <c r="L3" s="323"/>
    </row>
    <row r="4" spans="1:12" x14ac:dyDescent="0.25">
      <c r="B4" s="4" t="s">
        <v>5</v>
      </c>
      <c r="C4" s="4" t="s">
        <v>6</v>
      </c>
      <c r="D4" s="5"/>
      <c r="E4" s="6" t="s">
        <v>8</v>
      </c>
      <c r="F4" s="7" t="s">
        <v>9</v>
      </c>
      <c r="H4" s="4" t="s">
        <v>5</v>
      </c>
      <c r="I4" s="4" t="s">
        <v>6</v>
      </c>
      <c r="J4" s="5"/>
      <c r="K4" s="6" t="s">
        <v>10</v>
      </c>
      <c r="L4" s="7" t="s">
        <v>11</v>
      </c>
    </row>
    <row r="5" spans="1:12" x14ac:dyDescent="0.25">
      <c r="B5" s="267" t="s">
        <v>12</v>
      </c>
      <c r="C5" s="10" t="s">
        <v>13</v>
      </c>
      <c r="D5" s="268"/>
      <c r="E5" s="269">
        <v>0.1</v>
      </c>
      <c r="F5" s="13">
        <v>0.05</v>
      </c>
      <c r="H5" s="267" t="s">
        <v>12</v>
      </c>
      <c r="I5" s="10" t="s">
        <v>13</v>
      </c>
      <c r="J5" s="12"/>
      <c r="K5" s="14">
        <v>0.13</v>
      </c>
      <c r="L5" s="13">
        <v>0.13</v>
      </c>
    </row>
    <row r="6" spans="1:12" x14ac:dyDescent="0.25">
      <c r="B6" s="256" t="s">
        <v>15</v>
      </c>
      <c r="C6" s="17" t="s">
        <v>16</v>
      </c>
      <c r="D6" s="257"/>
      <c r="E6" s="20">
        <v>1</v>
      </c>
      <c r="F6" s="21">
        <v>1</v>
      </c>
      <c r="G6" s="22"/>
      <c r="H6" s="256" t="s">
        <v>17</v>
      </c>
      <c r="I6" s="17" t="s">
        <v>14</v>
      </c>
      <c r="J6" s="19"/>
      <c r="K6" s="23">
        <v>0.08</v>
      </c>
      <c r="L6" s="24">
        <v>0.08</v>
      </c>
    </row>
    <row r="7" spans="1:12" x14ac:dyDescent="0.25">
      <c r="B7" s="256" t="s">
        <v>17</v>
      </c>
      <c r="C7" s="17" t="s">
        <v>14</v>
      </c>
      <c r="D7" s="257"/>
      <c r="E7" s="20">
        <v>0.02</v>
      </c>
      <c r="F7" s="24">
        <v>0.02</v>
      </c>
      <c r="H7" s="256" t="s">
        <v>18</v>
      </c>
      <c r="I7" s="17" t="s">
        <v>19</v>
      </c>
      <c r="J7" s="19"/>
      <c r="K7" s="20">
        <v>0</v>
      </c>
      <c r="L7" s="21">
        <v>0.2</v>
      </c>
    </row>
    <row r="8" spans="1:12" x14ac:dyDescent="0.25">
      <c r="B8" s="256" t="s">
        <v>18</v>
      </c>
      <c r="C8" s="17" t="s">
        <v>19</v>
      </c>
      <c r="D8" s="257"/>
      <c r="E8" s="20">
        <v>0.01</v>
      </c>
      <c r="F8" s="21">
        <v>0</v>
      </c>
      <c r="G8" s="22"/>
      <c r="H8" s="256" t="s">
        <v>14</v>
      </c>
      <c r="I8" s="17" t="s">
        <v>14</v>
      </c>
      <c r="J8" s="19"/>
      <c r="K8" s="20">
        <v>2</v>
      </c>
      <c r="L8" s="21">
        <v>2.33</v>
      </c>
    </row>
    <row r="9" spans="1:12" x14ac:dyDescent="0.25">
      <c r="B9" s="258" t="s">
        <v>14</v>
      </c>
      <c r="C9" s="6" t="s">
        <v>14</v>
      </c>
      <c r="D9" s="259"/>
      <c r="E9" s="260">
        <v>0</v>
      </c>
      <c r="F9" s="26">
        <v>0</v>
      </c>
      <c r="G9" s="22"/>
      <c r="H9" s="261" t="s">
        <v>20</v>
      </c>
      <c r="I9" s="15" t="s">
        <v>20</v>
      </c>
      <c r="J9" s="11"/>
      <c r="K9" s="27">
        <f>K17-K8</f>
        <v>0.85999999999999988</v>
      </c>
      <c r="L9" s="16">
        <f>L17-L8</f>
        <v>1</v>
      </c>
    </row>
    <row r="10" spans="1:12" hidden="1" x14ac:dyDescent="0.25">
      <c r="B10" s="8"/>
      <c r="C10" s="17"/>
      <c r="D10" s="257" t="str">
        <f>IFERROR(VLOOKUP(C10,#REF!,5,FALSE),"")</f>
        <v/>
      </c>
      <c r="E10" s="10"/>
      <c r="F10" s="262"/>
      <c r="H10" s="17"/>
      <c r="I10" s="8"/>
      <c r="J10" s="18" t="str">
        <f>IFERROR(VLOOKUP(I10,#REF!,5,FALSE),"")</f>
        <v/>
      </c>
      <c r="K10" s="28"/>
      <c r="L10" s="21"/>
    </row>
    <row r="11" spans="1:12" hidden="1" x14ac:dyDescent="0.25">
      <c r="B11" s="8"/>
      <c r="C11" s="17"/>
      <c r="D11" s="257" t="str">
        <f>IFERROR(VLOOKUP(C11,#REF!,5,FALSE),"")</f>
        <v/>
      </c>
      <c r="E11" s="17"/>
      <c r="F11" s="263"/>
      <c r="H11" s="17"/>
      <c r="I11" s="8"/>
      <c r="J11" s="18" t="str">
        <f>IFERROR(VLOOKUP(I11,#REF!,5,FALSE),"")</f>
        <v/>
      </c>
      <c r="K11" s="28"/>
      <c r="L11" s="21"/>
    </row>
    <row r="12" spans="1:12" hidden="1" x14ac:dyDescent="0.25">
      <c r="B12" s="8"/>
      <c r="C12" s="17"/>
      <c r="D12" s="257" t="str">
        <f>IFERROR(VLOOKUP(C12,#REF!,5,FALSE),"")</f>
        <v/>
      </c>
      <c r="E12" s="17"/>
      <c r="F12" s="263"/>
      <c r="H12" s="17"/>
      <c r="I12" s="8"/>
      <c r="J12" s="18" t="str">
        <f>IFERROR(VLOOKUP(I12,#REF!,5,FALSE),"")</f>
        <v/>
      </c>
      <c r="K12" s="28"/>
      <c r="L12" s="21"/>
    </row>
    <row r="13" spans="1:12" hidden="1" x14ac:dyDescent="0.25">
      <c r="B13" s="8"/>
      <c r="C13" s="17"/>
      <c r="D13" s="257" t="str">
        <f>IFERROR(VLOOKUP(C13,#REF!,5,FALSE),"")</f>
        <v/>
      </c>
      <c r="E13" s="17"/>
      <c r="F13" s="263"/>
      <c r="H13" s="17"/>
      <c r="I13" s="8"/>
      <c r="J13" s="18" t="str">
        <f>IFERROR(VLOOKUP(I13,#REF!,5,FALSE),"")</f>
        <v/>
      </c>
      <c r="K13" s="28"/>
      <c r="L13" s="21"/>
    </row>
    <row r="14" spans="1:12" hidden="1" x14ac:dyDescent="0.25">
      <c r="B14" s="8"/>
      <c r="C14" s="17"/>
      <c r="D14" s="257" t="str">
        <f>IFERROR(VLOOKUP(C14,#REF!,5,FALSE),"")</f>
        <v/>
      </c>
      <c r="E14" s="17"/>
      <c r="F14" s="263"/>
      <c r="H14" s="17"/>
      <c r="I14" s="8"/>
      <c r="J14" s="18" t="str">
        <f>IFERROR(VLOOKUP(I14,#REF!,5,FALSE),"")</f>
        <v/>
      </c>
      <c r="K14" s="28"/>
      <c r="L14" s="21"/>
    </row>
    <row r="15" spans="1:12" hidden="1" x14ac:dyDescent="0.25">
      <c r="B15" s="8"/>
      <c r="C15" s="17"/>
      <c r="D15" s="257" t="str">
        <f>IFERROR(VLOOKUP(C15,#REF!,5,FALSE),"")</f>
        <v/>
      </c>
      <c r="E15" s="17"/>
      <c r="F15" s="263"/>
      <c r="H15" s="17"/>
      <c r="I15" s="8"/>
      <c r="J15" s="18" t="str">
        <f>IFERROR(VLOOKUP(I15,#REF!,5,FALSE),"")</f>
        <v/>
      </c>
      <c r="K15" s="28"/>
      <c r="L15" s="21"/>
    </row>
    <row r="16" spans="1:12" hidden="1" x14ac:dyDescent="0.25">
      <c r="B16" s="4"/>
      <c r="C16" s="6"/>
      <c r="D16" s="264" t="str">
        <f>IFERROR(VLOOKUP(C16,#REF!,5,FALSE),"")</f>
        <v/>
      </c>
      <c r="E16" s="6"/>
      <c r="F16" s="7"/>
      <c r="H16" s="6"/>
      <c r="I16" s="4"/>
      <c r="J16" s="25" t="str">
        <f>IFERROR(VLOOKUP(I16,#REF!,5,FALSE),"")</f>
        <v/>
      </c>
      <c r="K16" s="30"/>
      <c r="L16" s="26"/>
    </row>
    <row r="17" spans="2:12" x14ac:dyDescent="0.25">
      <c r="B17" s="265"/>
      <c r="C17" s="31"/>
      <c r="D17" s="31"/>
      <c r="E17" s="287">
        <f>E6+E7+E8</f>
        <v>1.03</v>
      </c>
      <c r="F17" s="288"/>
      <c r="H17" s="266" t="s">
        <v>21</v>
      </c>
      <c r="I17" s="31"/>
      <c r="J17" s="33"/>
      <c r="K17" s="34">
        <v>2.86</v>
      </c>
      <c r="L17" s="35">
        <v>3.33</v>
      </c>
    </row>
    <row r="18" spans="2:12" ht="15.75" thickBot="1" x14ac:dyDescent="0.3"/>
    <row r="19" spans="2:12" ht="45" customHeight="1" thickBot="1" x14ac:dyDescent="0.3">
      <c r="B19" s="36" t="s">
        <v>22</v>
      </c>
      <c r="C19" s="36" t="s">
        <v>23</v>
      </c>
      <c r="D19" s="327" t="s">
        <v>24</v>
      </c>
      <c r="E19" s="328"/>
      <c r="F19" s="329"/>
      <c r="H19" s="36" t="s">
        <v>22</v>
      </c>
      <c r="I19" s="36" t="s">
        <v>23</v>
      </c>
      <c r="J19" s="327" t="s">
        <v>24</v>
      </c>
      <c r="K19" s="328"/>
      <c r="L19" s="329"/>
    </row>
    <row r="20" spans="2:12" ht="14.45" customHeight="1" x14ac:dyDescent="0.25">
      <c r="B20" s="9" t="s">
        <v>25</v>
      </c>
      <c r="C20" s="38">
        <v>0.25390000000000001</v>
      </c>
      <c r="D20" s="324" t="s">
        <v>26</v>
      </c>
      <c r="E20" s="324"/>
      <c r="F20" s="324"/>
      <c r="H20" s="9" t="s">
        <v>25</v>
      </c>
      <c r="I20" s="38">
        <v>0.25390000000000001</v>
      </c>
      <c r="J20" s="324" t="s">
        <v>26</v>
      </c>
      <c r="K20" s="324"/>
      <c r="L20" s="324"/>
    </row>
    <row r="21" spans="2:12" ht="14.45" customHeight="1" x14ac:dyDescent="0.25">
      <c r="B21" s="39" t="s">
        <v>28</v>
      </c>
      <c r="C21" s="270">
        <f>2662.64689594956*(0.74%+1)</f>
        <v>2682.350482979587</v>
      </c>
      <c r="D21" s="325" t="s">
        <v>29</v>
      </c>
      <c r="E21" s="325"/>
      <c r="F21" s="326"/>
      <c r="H21" s="39" t="s">
        <v>30</v>
      </c>
      <c r="I21" s="18">
        <f>6332.17253186811*(0.74%+1)</f>
        <v>6379.0306086039345</v>
      </c>
      <c r="J21" s="325" t="s">
        <v>31</v>
      </c>
      <c r="K21" s="325"/>
      <c r="L21" s="326"/>
    </row>
    <row r="22" spans="2:12" ht="14.45" customHeight="1" x14ac:dyDescent="0.25">
      <c r="B22" s="40" t="s">
        <v>32</v>
      </c>
      <c r="C22" s="41">
        <f>149.051394369673*(0.74%+1)</f>
        <v>150.1543746880086</v>
      </c>
      <c r="D22" s="330" t="s">
        <v>33</v>
      </c>
      <c r="E22" s="330"/>
      <c r="F22" s="331"/>
      <c r="H22" s="40" t="s">
        <v>32</v>
      </c>
      <c r="I22" s="41">
        <f>149.051394369673*(0.74%+1)</f>
        <v>150.1543746880086</v>
      </c>
      <c r="J22" s="330" t="s">
        <v>33</v>
      </c>
      <c r="K22" s="330"/>
      <c r="L22" s="331"/>
    </row>
    <row r="23" spans="2:12" ht="14.45" customHeight="1" x14ac:dyDescent="0.25">
      <c r="B23" s="40" t="s">
        <v>36</v>
      </c>
      <c r="C23" s="42">
        <f>'Training calc'!K9</f>
        <v>187</v>
      </c>
      <c r="D23" s="332" t="s">
        <v>37</v>
      </c>
      <c r="E23" s="332"/>
      <c r="F23" s="333"/>
      <c r="H23" s="40" t="s">
        <v>36</v>
      </c>
      <c r="I23" s="42">
        <f>'Training calc'!K9</f>
        <v>187</v>
      </c>
      <c r="J23" s="332" t="s">
        <v>37</v>
      </c>
      <c r="K23" s="332"/>
      <c r="L23" s="333"/>
    </row>
    <row r="24" spans="2:12" ht="14.45" customHeight="1" x14ac:dyDescent="0.25">
      <c r="B24" s="40" t="s">
        <v>35</v>
      </c>
      <c r="C24" s="43">
        <v>4.0069100000000004</v>
      </c>
      <c r="D24" s="330" t="s">
        <v>33</v>
      </c>
      <c r="E24" s="330"/>
      <c r="F24" s="331"/>
      <c r="H24" s="40" t="s">
        <v>35</v>
      </c>
      <c r="I24" s="43">
        <f>0.994370119480238*(0.74%+1)</f>
        <v>1.0017284583643919</v>
      </c>
      <c r="J24" s="330" t="s">
        <v>33</v>
      </c>
      <c r="K24" s="330"/>
      <c r="L24" s="331"/>
    </row>
    <row r="25" spans="2:12" ht="14.45" customHeight="1" x14ac:dyDescent="0.25">
      <c r="B25" s="9" t="s">
        <v>38</v>
      </c>
      <c r="C25" s="43">
        <f>0.914720883804298*(0.74%+1)</f>
        <v>0.92148981834444976</v>
      </c>
      <c r="D25" s="330" t="s">
        <v>33</v>
      </c>
      <c r="E25" s="330"/>
      <c r="F25" s="331"/>
      <c r="H25" s="9" t="s">
        <v>38</v>
      </c>
      <c r="I25" s="43">
        <f>0.914720883804298*(0.74%+1)</f>
        <v>0.92148981834444976</v>
      </c>
      <c r="J25" s="330" t="s">
        <v>33</v>
      </c>
      <c r="K25" s="330"/>
      <c r="L25" s="331"/>
    </row>
    <row r="26" spans="2:12" ht="14.45" customHeight="1" x14ac:dyDescent="0.25">
      <c r="B26" s="44" t="s">
        <v>34</v>
      </c>
      <c r="C26" s="45">
        <f>0.196037875344417*(0.74%+1)</f>
        <v>0.19748855562196568</v>
      </c>
      <c r="D26" s="330" t="s">
        <v>33</v>
      </c>
      <c r="E26" s="330"/>
      <c r="F26" s="331"/>
      <c r="H26" s="44" t="s">
        <v>34</v>
      </c>
      <c r="I26" s="43">
        <f>0.196037875344417*(0.74%+1)</f>
        <v>0.19748855562196568</v>
      </c>
      <c r="J26" s="330" t="s">
        <v>33</v>
      </c>
      <c r="K26" s="330"/>
      <c r="L26" s="331"/>
    </row>
    <row r="27" spans="2:12" x14ac:dyDescent="0.25">
      <c r="B27" s="15" t="s">
        <v>43</v>
      </c>
      <c r="C27" s="46">
        <f>0.8*(0.74%+1)</f>
        <v>0.80592000000000008</v>
      </c>
      <c r="D27" s="336" t="s">
        <v>44</v>
      </c>
      <c r="E27" s="336"/>
      <c r="F27" s="337"/>
      <c r="H27" s="15" t="s">
        <v>43</v>
      </c>
      <c r="I27" s="46">
        <f>0.8*(0.74%+1)</f>
        <v>0.80592000000000008</v>
      </c>
      <c r="J27" s="336" t="s">
        <v>44</v>
      </c>
      <c r="K27" s="336"/>
      <c r="L27" s="337"/>
    </row>
    <row r="28" spans="2:12" ht="14.45" customHeight="1" x14ac:dyDescent="0.25">
      <c r="B28" s="40" t="s">
        <v>39</v>
      </c>
      <c r="C28" s="38">
        <v>0.12</v>
      </c>
      <c r="D28" s="338" t="s">
        <v>40</v>
      </c>
      <c r="E28" s="338"/>
      <c r="F28" s="339"/>
      <c r="H28" s="40" t="s">
        <v>39</v>
      </c>
      <c r="I28" s="38">
        <v>0.12</v>
      </c>
      <c r="J28" s="338" t="s">
        <v>40</v>
      </c>
      <c r="K28" s="338"/>
      <c r="L28" s="339"/>
    </row>
    <row r="29" spans="2:12" ht="14.45" customHeight="1" x14ac:dyDescent="0.25">
      <c r="B29" s="47" t="s">
        <v>41</v>
      </c>
      <c r="C29" s="37">
        <v>2.7799999999999998E-2</v>
      </c>
      <c r="D29" s="334" t="s">
        <v>42</v>
      </c>
      <c r="E29" s="334"/>
      <c r="F29" s="335"/>
      <c r="H29" s="47" t="s">
        <v>41</v>
      </c>
      <c r="I29" s="37">
        <v>2.7799999999999998E-2</v>
      </c>
      <c r="J29" s="334" t="s">
        <v>42</v>
      </c>
      <c r="K29" s="334"/>
      <c r="L29" s="335"/>
    </row>
    <row r="30" spans="2:12" ht="14.45" customHeight="1" x14ac:dyDescent="0.25"/>
  </sheetData>
  <mergeCells count="28">
    <mergeCell ref="D29:F29"/>
    <mergeCell ref="J29:L29"/>
    <mergeCell ref="D26:F26"/>
    <mergeCell ref="J26:L26"/>
    <mergeCell ref="D27:F27"/>
    <mergeCell ref="J27:L27"/>
    <mergeCell ref="D28:F28"/>
    <mergeCell ref="J28:L28"/>
    <mergeCell ref="D24:F24"/>
    <mergeCell ref="J24:L24"/>
    <mergeCell ref="D25:F25"/>
    <mergeCell ref="J25:L25"/>
    <mergeCell ref="D22:F22"/>
    <mergeCell ref="J22:L22"/>
    <mergeCell ref="D23:F23"/>
    <mergeCell ref="J23:L23"/>
    <mergeCell ref="D20:F20"/>
    <mergeCell ref="J20:L20"/>
    <mergeCell ref="D21:F21"/>
    <mergeCell ref="J21:L21"/>
    <mergeCell ref="D19:F19"/>
    <mergeCell ref="J19:L19"/>
    <mergeCell ref="B2:F2"/>
    <mergeCell ref="H2:L2"/>
    <mergeCell ref="B3:C3"/>
    <mergeCell ref="E3:F3"/>
    <mergeCell ref="H3:I3"/>
    <mergeCell ref="K3:L3"/>
  </mergeCells>
  <dataValidations count="1">
    <dataValidation type="list" allowBlank="1" showInputMessage="1" showErrorMessage="1" sqref="C5:C16 I5:I16" xr:uid="{9357F19D-C044-4BC2-852A-BE474B637475}">
      <formula1>#REF!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2989-B560-47B9-A853-4C735FB2F602}">
  <dimension ref="B2:L13"/>
  <sheetViews>
    <sheetView topLeftCell="B1" workbookViewId="0">
      <selection activeCell="L29" sqref="L29"/>
    </sheetView>
  </sheetViews>
  <sheetFormatPr defaultColWidth="8.7109375" defaultRowHeight="15" x14ac:dyDescent="0.25"/>
  <cols>
    <col min="1" max="1" width="8.7109375" style="138"/>
    <col min="2" max="2" width="31.42578125" style="138" bestFit="1" customWidth="1"/>
    <col min="3" max="3" width="10.85546875" style="144" customWidth="1"/>
    <col min="4" max="4" width="15.140625" style="138" customWidth="1"/>
    <col min="5" max="5" width="8.7109375" style="138"/>
    <col min="6" max="6" width="17.85546875" style="138" bestFit="1" customWidth="1"/>
    <col min="7" max="7" width="8.5703125" style="138" bestFit="1" customWidth="1"/>
    <col min="8" max="8" width="8.7109375" style="138"/>
    <col min="9" max="9" width="40.140625" style="138" bestFit="1" customWidth="1"/>
    <col min="10" max="10" width="10.85546875" style="138" bestFit="1" customWidth="1"/>
    <col min="11" max="11" width="10.140625" style="138" bestFit="1" customWidth="1"/>
    <col min="12" max="16384" width="8.7109375" style="138"/>
  </cols>
  <sheetData>
    <row r="2" spans="2:12" x14ac:dyDescent="0.25">
      <c r="B2" s="340" t="s">
        <v>89</v>
      </c>
      <c r="C2" s="340"/>
      <c r="I2" s="139" t="s">
        <v>88</v>
      </c>
      <c r="J2" s="139"/>
      <c r="K2" s="139" t="s">
        <v>89</v>
      </c>
    </row>
    <row r="3" spans="2:12" ht="57.95" customHeight="1" x14ac:dyDescent="0.25">
      <c r="B3" s="140" t="s">
        <v>90</v>
      </c>
      <c r="C3" s="141" t="s">
        <v>338</v>
      </c>
      <c r="D3" s="138" t="s">
        <v>339</v>
      </c>
      <c r="I3" s="142" t="s">
        <v>91</v>
      </c>
      <c r="J3" s="141"/>
      <c r="K3" s="141">
        <v>199</v>
      </c>
    </row>
    <row r="4" spans="2:12" x14ac:dyDescent="0.25">
      <c r="B4" s="142" t="s">
        <v>92</v>
      </c>
      <c r="C4" s="141">
        <v>125</v>
      </c>
      <c r="I4" s="142" t="s">
        <v>93</v>
      </c>
      <c r="J4" s="141"/>
      <c r="K4" s="141">
        <f>125/3</f>
        <v>41.666666666666664</v>
      </c>
    </row>
    <row r="5" spans="2:12" ht="75" x14ac:dyDescent="0.25">
      <c r="B5" s="140" t="s">
        <v>94</v>
      </c>
      <c r="C5" s="141" t="s">
        <v>95</v>
      </c>
      <c r="D5" s="143" t="s">
        <v>96</v>
      </c>
      <c r="I5" s="142" t="s">
        <v>97</v>
      </c>
      <c r="J5" s="141"/>
      <c r="K5" s="141">
        <f>300/K11</f>
        <v>133.33333333333334</v>
      </c>
      <c r="L5" s="143"/>
    </row>
    <row r="6" spans="2:12" x14ac:dyDescent="0.25">
      <c r="I6" s="142" t="s">
        <v>98</v>
      </c>
      <c r="J6" s="141"/>
      <c r="K6" s="141">
        <v>0</v>
      </c>
    </row>
    <row r="7" spans="2:12" x14ac:dyDescent="0.25">
      <c r="B7" s="341"/>
      <c r="C7" s="341"/>
      <c r="I7" s="145" t="s">
        <v>52</v>
      </c>
      <c r="J7" s="146"/>
      <c r="K7" s="286">
        <f>SUM(K3:K6)</f>
        <v>374</v>
      </c>
    </row>
    <row r="8" spans="2:12" x14ac:dyDescent="0.25">
      <c r="B8" s="284"/>
      <c r="C8" s="285"/>
      <c r="I8" s="142" t="s">
        <v>99</v>
      </c>
      <c r="J8" s="147"/>
      <c r="K8" s="147">
        <v>0.5</v>
      </c>
    </row>
    <row r="9" spans="2:12" x14ac:dyDescent="0.25">
      <c r="C9" s="285"/>
      <c r="I9" s="145" t="s">
        <v>100</v>
      </c>
      <c r="J9" s="146"/>
      <c r="K9" s="146">
        <f>K7*K8</f>
        <v>187</v>
      </c>
    </row>
    <row r="10" spans="2:12" x14ac:dyDescent="0.25">
      <c r="C10" s="138"/>
    </row>
    <row r="11" spans="2:12" x14ac:dyDescent="0.25">
      <c r="I11" s="138" t="s">
        <v>101</v>
      </c>
      <c r="K11" s="138">
        <v>2.25</v>
      </c>
    </row>
    <row r="13" spans="2:12" x14ac:dyDescent="0.25">
      <c r="I13" s="143"/>
    </row>
  </sheetData>
  <mergeCells count="2">
    <mergeCell ref="B2:C2"/>
    <mergeCell ref="B7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SE Models </vt:lpstr>
      <vt:lpstr> Travel Model</vt:lpstr>
      <vt:lpstr>DC . DSW -Add on Rates</vt:lpstr>
      <vt:lpstr>M2021 BLS SALARY CHART (53rd)</vt:lpstr>
      <vt:lpstr>FALL CAF 2022</vt:lpstr>
      <vt:lpstr>Master Lookup</vt:lpstr>
      <vt:lpstr>Training calc</vt:lpstr>
      <vt:lpstr>' Travel Model'!Print_Area</vt:lpstr>
      <vt:lpstr>'M2021 BLS SALARY CHART (53rd)'!Print_Area</vt:lpstr>
      <vt:lpstr>'FALL CAF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Harrison, Deborah (EHS)</cp:lastModifiedBy>
  <dcterms:created xsi:type="dcterms:W3CDTF">2023-03-27T15:29:46Z</dcterms:created>
  <dcterms:modified xsi:type="dcterms:W3CDTF">2023-05-18T13:42:50Z</dcterms:modified>
</cp:coreProperties>
</file>