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7CF6ADBF-870D-4D10-AED3-AFD0DBA81F51}" xr6:coauthVersionLast="47" xr6:coauthVersionMax="47" xr10:uidLastSave="{00000000-0000-0000-0000-000000000000}"/>
  <bookViews>
    <workbookView xWindow="5010" yWindow="2415" windowWidth="22725" windowHeight="9765" tabRatio="911" activeTab="3" xr2:uid="{00000000-000D-0000-FFFF-FFFF00000000}"/>
  </bookViews>
  <sheets>
    <sheet name="MAY 2024 BLS" sheetId="45" r:id="rId1"/>
    <sheet name="Fall CAF 2025" sheetId="46" r:id="rId2"/>
    <sheet name="SUMMARY" sheetId="31" state="hidden" r:id="rId3"/>
    <sheet name="Master Data" sheetId="16" r:id="rId4"/>
    <sheet name="Add Ons" sheetId="17" r:id="rId5"/>
    <sheet name="RDP Add On Model" sheetId="37" r:id="rId6"/>
    <sheet name="Vehicle Add-Ons" sheetId="3" r:id="rId7"/>
    <sheet name="Transportation" sheetId="48" r:id="rId8"/>
    <sheet name="Transportation FY25" sheetId="34" state="hidden" r:id="rId9"/>
    <sheet name="Rate Chart" sheetId="19" r:id="rId10"/>
    <sheet name="Occupancy" sheetId="50" r:id="rId11"/>
    <sheet name="Rate Component" sheetId="49" r:id="rId12"/>
    <sheet name="Model Calculator" sheetId="11" state="hidden" r:id="rId13"/>
    <sheet name="GAS Average" sheetId="47"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xlnm._FilterDatabase" localSheetId="12" hidden="1">'Model Calculator'!$A$1:$AM$226</definedName>
    <definedName name="_Key1" hidden="1">#REF!</definedName>
    <definedName name="_Sort" hidden="1">#REF!</definedName>
    <definedName name="alldata">#REF!</definedName>
    <definedName name="alled">#REF!</definedName>
    <definedName name="allstem">#REF!</definedName>
    <definedName name="Area">[1]Sheet2!$A$2:$A$28</definedName>
    <definedName name="ARENEW">[2]amendA!$B$1:$U$51</definedName>
    <definedName name="asdfasd">'[3]Complete UFR List'!#REF!</definedName>
    <definedName name="asdfasdf" localSheetId="7">#REF!</definedName>
    <definedName name="asdfasdf" localSheetId="8">#REF!</definedName>
    <definedName name="asdfasdf">#REF!</definedName>
    <definedName name="ATTABOY">[2]amendA!$B$2:$S$2</definedName>
    <definedName name="AutoInsurance">[4]Universal!$C$19</definedName>
    <definedName name="autsupp2">#REF!</definedName>
    <definedName name="Average" localSheetId="7">#REF!</definedName>
    <definedName name="Average" localSheetId="8">#REF!</definedName>
    <definedName name="Average">#REF!</definedName>
    <definedName name="BB6_4">#REF!</definedName>
    <definedName name="Break" localSheetId="1">'[5]Tech Stuff'!$E$4</definedName>
    <definedName name="Break" localSheetId="7">'[6]Tech Stuff'!$E$4</definedName>
    <definedName name="Break" localSheetId="8">'[6]Tech Stuff'!$E$4</definedName>
    <definedName name="Break">'[7]Tech Stuff'!$E$4</definedName>
    <definedName name="CAF_NEW" localSheetId="1">[8]RawDataCalcs!$L$70:$DB$70</definedName>
    <definedName name="CAF_NEW">[9]RawDataCalcs!$L$70:$DB$70</definedName>
    <definedName name="Cap" localSheetId="1">[10]RawDataCalcs!$L$13:$DB$13</definedName>
    <definedName name="Cap">[11]RawDataCalcs!$L$13:$DB$13</definedName>
    <definedName name="capa">[12]RawDataCalcs!$L$17:$DB$17</definedName>
    <definedName name="chart">#N/A</definedName>
    <definedName name="COLA">[4]Universal!$C$12</definedName>
    <definedName name="Data" localSheetId="7">#REF!</definedName>
    <definedName name="Data" localSheetId="8">#REF!</definedName>
    <definedName name="Data">#REF!</definedName>
    <definedName name="Electricity">[4]Universal!$C$21</definedName>
    <definedName name="Fisc">'[3]Complete UFR List'!#REF!</definedName>
    <definedName name="fisc1">'[3]Complete UFR List'!#REF!</definedName>
    <definedName name="FiveDay">[4]Universal!$C$17</definedName>
    <definedName name="Floor" localSheetId="1">[10]RawDataCalcs!$L$12:$DB$12</definedName>
    <definedName name="Floor">[11]RawDataCalcs!$L$12:$DB$12</definedName>
    <definedName name="Fringe">[4]Universal!$C$8</definedName>
    <definedName name="FROM">[2]amendA!$G$7</definedName>
    <definedName name="Funds" localSheetId="1">'[13]RawDataCalcs3386&amp;3401'!$L$68:$DB$68</definedName>
    <definedName name="Funds">'[14]RawDataCalcs3386&amp;3401'!$L$68:$DB$68</definedName>
    <definedName name="GA">[4]Universal!$C$13</definedName>
    <definedName name="Gas">[4]Universal!$C$22</definedName>
    <definedName name="gk" localSheetId="7">#REF!</definedName>
    <definedName name="gk" localSheetId="8">#REF!</definedName>
    <definedName name="gk">#REF!</definedName>
    <definedName name="hhh" localSheetId="7">#REF!</definedName>
    <definedName name="hhh" localSheetId="8">#REF!</definedName>
    <definedName name="hhh">#REF!</definedName>
    <definedName name="Holidays">[4]Universal!$C$49:$C$59</definedName>
    <definedName name="JailDAverage" localSheetId="7">#REF!</definedName>
    <definedName name="JailDAverage" localSheetId="8">#REF!</definedName>
    <definedName name="JailDAverage">#REF!</definedName>
    <definedName name="JailDCap" localSheetId="1">[15]ALLRawDataCalcs!$L$80:$DB$80</definedName>
    <definedName name="JailDCap">[16]ALLRawDataCalcs!$L$80:$DB$80</definedName>
    <definedName name="JailDFloor" localSheetId="1">[15]ALLRawDataCalcs!$L$79:$DB$79</definedName>
    <definedName name="JailDFloor">[16]ALLRawDataCalcs!$L$79:$DB$79</definedName>
    <definedName name="JailDgk" localSheetId="7">#REF!</definedName>
    <definedName name="JailDgk" localSheetId="8">#REF!</definedName>
    <definedName name="JailDgk">#REF!</definedName>
    <definedName name="JailDMax" localSheetId="7">#REF!</definedName>
    <definedName name="JailDMax" localSheetId="8">#REF!</definedName>
    <definedName name="JailDMax">#REF!</definedName>
    <definedName name="JailDMedian" localSheetId="7">#REF!</definedName>
    <definedName name="JailDMedian" localSheetId="8">#REF!</definedName>
    <definedName name="JailDMedian">#REF!</definedName>
    <definedName name="jm">'[3]Complete UFR List'!#REF!</definedName>
    <definedName name="KARA">#N/A</definedName>
    <definedName name="kls" localSheetId="7">#REF!</definedName>
    <definedName name="kls" localSheetId="8">#REF!</definedName>
    <definedName name="kls">#REF!</definedName>
    <definedName name="ListProviders" localSheetId="1">'[17]List of Programs'!$A$24:$A$29</definedName>
    <definedName name="ListProviders" localSheetId="7">'[18]List of Programs'!$A$24:$A$29</definedName>
    <definedName name="ListProviders" localSheetId="8">'[18]List of Programs'!$A$24:$A$29</definedName>
    <definedName name="ListProviders">'[19]List of Programs'!$A$24:$A$29</definedName>
    <definedName name="Max" localSheetId="7">#REF!</definedName>
    <definedName name="Max" localSheetId="8">#REF!</definedName>
    <definedName name="Max">#REF!</definedName>
    <definedName name="Median" localSheetId="7">#REF!</definedName>
    <definedName name="Median" localSheetId="8">#REF!</definedName>
    <definedName name="Median">#REF!</definedName>
    <definedName name="Min" localSheetId="7">#REF!</definedName>
    <definedName name="Min" localSheetId="8">#REF!</definedName>
    <definedName name="Min">#REF!</definedName>
    <definedName name="mr">#REF!</definedName>
    <definedName name="MT" localSheetId="7">#REF!</definedName>
    <definedName name="MT" localSheetId="8">#REF!</definedName>
    <definedName name="MT">#REF!</definedName>
    <definedName name="new" localSheetId="7">#REF!</definedName>
    <definedName name="new" localSheetId="8">#REF!</definedName>
    <definedName name="new">#REF!</definedName>
    <definedName name="Oil">[4]Universal!$C$23</definedName>
    <definedName name="ok" localSheetId="7">#REF!</definedName>
    <definedName name="ok" localSheetId="8">#REF!</definedName>
    <definedName name="ok">#REF!</definedName>
    <definedName name="Paydays">[4]Universal!$C$33:$N$33</definedName>
    <definedName name="Phone">[4]Universal!$C$25</definedName>
    <definedName name="PivotData">#REF!</definedName>
    <definedName name="_xlnm.Print_Area" localSheetId="7">Transportation!$A$2:$H$34</definedName>
    <definedName name="_xlnm.Print_Area" localSheetId="8">'Transportation FY25'!$A$2:$H$34</definedName>
    <definedName name="_xlnm.Print_Titles" localSheetId="1">'Fall CAF 2025'!$A:$A</definedName>
    <definedName name="Program_File" localSheetId="7">#REF!</definedName>
    <definedName name="Program_File" localSheetId="8">#REF!</definedName>
    <definedName name="Program_File">#REF!</definedName>
    <definedName name="Programs" localSheetId="1">'[17]List of Programs'!$B$3:$B$19</definedName>
    <definedName name="Programs" localSheetId="7">'[18]List of Programs'!$B$3:$B$19</definedName>
    <definedName name="Programs" localSheetId="8">'[18]List of Programs'!$B$3:$B$19</definedName>
    <definedName name="Programs">'[19]List of Programs'!$B$3:$B$19</definedName>
    <definedName name="PropInsurance">[4]Universal!$C$20</definedName>
    <definedName name="ProvFTE">'[20]FTE Data'!$A$3:$AW$56</definedName>
    <definedName name="PTO_Hours">[4]Universal!$F$72:$F$78</definedName>
    <definedName name="PTO_Years">[4]Universal!$B$72:$B$78</definedName>
    <definedName name="PurchasedBy">'[20]FTE Data'!$C$263:$AZ$657</definedName>
    <definedName name="REGION">[1]Sheet2!$B$1:$B$5</definedName>
    <definedName name="Relief">[4]Universal!$C$14</definedName>
    <definedName name="resmay2007" localSheetId="7">#REF!</definedName>
    <definedName name="resmay2007" localSheetId="8">#REF!</definedName>
    <definedName name="resmay2007">#REF!</definedName>
    <definedName name="SevenDay">[4]Universal!$C$18</definedName>
    <definedName name="sheet1">#REF!</definedName>
    <definedName name="Site_list">[20]Lists!$A$2:$A$53</definedName>
    <definedName name="Source" localSheetId="7">#REF!</definedName>
    <definedName name="Source" localSheetId="8">#REF!</definedName>
    <definedName name="Source">#REF!</definedName>
    <definedName name="Source_2" localSheetId="7">#REF!</definedName>
    <definedName name="Source_2" localSheetId="8">#REF!</definedName>
    <definedName name="Source_2">#REF!</definedName>
    <definedName name="SourcePathAndFileName" localSheetId="7">#REF!</definedName>
    <definedName name="SourcePathAndFileName" localSheetId="8">#REF!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7">#REF!</definedName>
    <definedName name="Total_UFR" localSheetId="8">#REF!</definedName>
    <definedName name="Total_UFR">#REF!</definedName>
    <definedName name="Total_UFRs" localSheetId="7">#REF!</definedName>
    <definedName name="Total_UFRs" localSheetId="8">#REF!</definedName>
    <definedName name="Total_UFRs">#REF!</definedName>
    <definedName name="Total_UFRs_" localSheetId="7">#REF!</definedName>
    <definedName name="Total_UFRs_" localSheetId="8">#REF!</definedName>
    <definedName name="Total_UFRs_">#REF!</definedName>
    <definedName name="TotalDays">[4]Universal!$C$30:$N$30</definedName>
    <definedName name="UFR" localSheetId="7">'[3]Complete UFR List'!#REF!</definedName>
    <definedName name="UFR" localSheetId="8">'[3]Complete UFR List'!#REF!</definedName>
    <definedName name="UFR">'[3]Complete UFR List'!#REF!</definedName>
    <definedName name="UFRS" localSheetId="7">'[3]Complete UFR List'!#REF!</definedName>
    <definedName name="UFRS" localSheetId="8">'[3]Complete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5" i="16" l="1"/>
  <c r="G89" i="49" l="1"/>
  <c r="G90" i="49"/>
  <c r="G91" i="49"/>
  <c r="G92" i="49"/>
  <c r="G93" i="49"/>
  <c r="G94" i="49"/>
  <c r="G95" i="49"/>
  <c r="G96" i="49"/>
  <c r="G97" i="49"/>
  <c r="G98" i="49"/>
  <c r="G99" i="49"/>
  <c r="G100" i="49"/>
  <c r="G101" i="49"/>
  <c r="G102" i="49"/>
  <c r="G103" i="49"/>
  <c r="G104" i="49"/>
  <c r="G105" i="49"/>
  <c r="G106" i="49"/>
  <c r="G107" i="49"/>
  <c r="G108" i="49"/>
  <c r="G109" i="49"/>
  <c r="G110" i="49"/>
  <c r="G111" i="49"/>
  <c r="G112" i="49"/>
  <c r="G113" i="49"/>
  <c r="G114" i="49"/>
  <c r="G115" i="49"/>
  <c r="G116" i="49"/>
  <c r="G117" i="49"/>
  <c r="G118" i="49"/>
  <c r="G119" i="49"/>
  <c r="G120" i="49"/>
  <c r="G121" i="49"/>
  <c r="G122" i="49"/>
  <c r="G123" i="49"/>
  <c r="G124" i="49"/>
  <c r="G125" i="49"/>
  <c r="G126" i="49"/>
  <c r="G127" i="49"/>
  <c r="G128" i="49"/>
  <c r="G129" i="49"/>
  <c r="G130" i="49"/>
  <c r="G131" i="49"/>
  <c r="G132" i="49"/>
  <c r="G133" i="49"/>
  <c r="G134" i="49"/>
  <c r="G135" i="49"/>
  <c r="G136" i="49"/>
  <c r="G137" i="49"/>
  <c r="G138" i="49"/>
  <c r="G139" i="49"/>
  <c r="G140" i="49"/>
  <c r="G141" i="49"/>
  <c r="G142" i="49"/>
  <c r="G143" i="49"/>
  <c r="G144" i="49"/>
  <c r="G145" i="49"/>
  <c r="G146" i="49"/>
  <c r="G147" i="49"/>
  <c r="G148" i="49"/>
  <c r="G149" i="49"/>
  <c r="G150" i="49"/>
  <c r="G151" i="49"/>
  <c r="G152" i="49"/>
  <c r="G153" i="49"/>
  <c r="G154" i="49"/>
  <c r="G155" i="49"/>
  <c r="G156" i="49"/>
  <c r="G157" i="49"/>
  <c r="G158" i="49"/>
  <c r="G159" i="49"/>
  <c r="G160" i="49"/>
  <c r="G161" i="49"/>
  <c r="G162" i="49"/>
  <c r="G163" i="49"/>
  <c r="G164" i="49"/>
  <c r="G165" i="49"/>
  <c r="G166" i="49"/>
  <c r="G167" i="49"/>
  <c r="G168" i="49"/>
  <c r="G169" i="49"/>
  <c r="G170" i="49"/>
  <c r="G171" i="49"/>
  <c r="G172" i="49"/>
  <c r="G173" i="49"/>
  <c r="G174" i="49"/>
  <c r="G175" i="49"/>
  <c r="G176" i="49"/>
  <c r="G177" i="49"/>
  <c r="G178" i="49"/>
  <c r="G179" i="49"/>
  <c r="G180" i="49"/>
  <c r="G181" i="49"/>
  <c r="G182" i="49"/>
  <c r="G183" i="49"/>
  <c r="G184" i="49"/>
  <c r="G185" i="49"/>
  <c r="G186" i="49"/>
  <c r="G187" i="49"/>
  <c r="G188" i="49"/>
  <c r="G189" i="49"/>
  <c r="G190" i="49"/>
  <c r="G191" i="49"/>
  <c r="G192" i="49"/>
  <c r="G193" i="49"/>
  <c r="G194" i="49"/>
  <c r="G195" i="49"/>
  <c r="G196" i="49"/>
  <c r="G197" i="49"/>
  <c r="G198" i="49"/>
  <c r="G199" i="49"/>
  <c r="G200" i="49"/>
  <c r="G201" i="49"/>
  <c r="G202" i="49"/>
  <c r="G203" i="49"/>
  <c r="G204" i="49"/>
  <c r="G205" i="49"/>
  <c r="G206" i="49"/>
  <c r="G207" i="49"/>
  <c r="G208" i="49"/>
  <c r="G209" i="49"/>
  <c r="G210" i="49"/>
  <c r="G211" i="49"/>
  <c r="G212" i="49"/>
  <c r="G213" i="49"/>
  <c r="G214" i="49"/>
  <c r="G215" i="49"/>
  <c r="G216" i="49"/>
  <c r="G217" i="49"/>
  <c r="G218" i="49"/>
  <c r="G219" i="49"/>
  <c r="G220" i="49"/>
  <c r="G221" i="49"/>
  <c r="G222" i="49"/>
  <c r="G223" i="49"/>
  <c r="G224" i="49"/>
  <c r="G225" i="49"/>
  <c r="G226" i="49"/>
  <c r="G227" i="49"/>
  <c r="G3" i="49"/>
  <c r="G4" i="49"/>
  <c r="G5" i="49"/>
  <c r="G6" i="49"/>
  <c r="G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2" i="49"/>
  <c r="G43" i="49"/>
  <c r="G44" i="49"/>
  <c r="G45" i="49"/>
  <c r="G46" i="49"/>
  <c r="G47" i="49"/>
  <c r="G48" i="49"/>
  <c r="G49" i="49"/>
  <c r="G50" i="49"/>
  <c r="G51" i="49"/>
  <c r="G52" i="49"/>
  <c r="G53" i="49"/>
  <c r="G54" i="49"/>
  <c r="G55" i="49"/>
  <c r="G56" i="49"/>
  <c r="G57" i="49"/>
  <c r="G58" i="49"/>
  <c r="G59" i="49"/>
  <c r="G60" i="49"/>
  <c r="G61" i="49"/>
  <c r="G62" i="49"/>
  <c r="G63" i="49"/>
  <c r="G64" i="49"/>
  <c r="G65" i="49"/>
  <c r="G66" i="49"/>
  <c r="G67" i="49"/>
  <c r="G68" i="49"/>
  <c r="G69" i="49"/>
  <c r="G70" i="49"/>
  <c r="G71" i="49"/>
  <c r="G72" i="49"/>
  <c r="G73" i="49"/>
  <c r="G74" i="49"/>
  <c r="G75" i="49"/>
  <c r="G76" i="49"/>
  <c r="G77" i="49"/>
  <c r="G78" i="49"/>
  <c r="G79" i="49"/>
  <c r="G80" i="49"/>
  <c r="G81" i="49"/>
  <c r="G82" i="49"/>
  <c r="G83" i="49"/>
  <c r="G84" i="49"/>
  <c r="G85" i="49"/>
  <c r="G86" i="49"/>
  <c r="G87" i="49"/>
  <c r="G88" i="49"/>
  <c r="G41" i="49"/>
  <c r="M8" i="50"/>
  <c r="K8" i="50"/>
  <c r="C67" i="16"/>
  <c r="C66" i="16"/>
  <c r="C68" i="16"/>
  <c r="C69" i="16"/>
  <c r="C70" i="16"/>
  <c r="C71" i="16"/>
  <c r="K11" i="50"/>
  <c r="K10" i="50"/>
  <c r="K9" i="50"/>
  <c r="K7" i="50"/>
  <c r="K6" i="50"/>
  <c r="Z2" i="11" l="1"/>
  <c r="D4" i="49" l="1"/>
  <c r="D5" i="49"/>
  <c r="D6" i="49"/>
  <c r="D7" i="49"/>
  <c r="D8" i="49"/>
  <c r="D9" i="49"/>
  <c r="D10" i="49"/>
  <c r="D11" i="49"/>
  <c r="D12" i="49"/>
  <c r="D13" i="49"/>
  <c r="D14" i="49"/>
  <c r="D15" i="49"/>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73" i="49"/>
  <c r="D74" i="49"/>
  <c r="D75" i="49"/>
  <c r="D76" i="49"/>
  <c r="D77" i="49"/>
  <c r="D78" i="49"/>
  <c r="D79" i="49"/>
  <c r="D80" i="49"/>
  <c r="D81" i="49"/>
  <c r="D82" i="49"/>
  <c r="D83" i="49"/>
  <c r="D84" i="49"/>
  <c r="D85" i="49"/>
  <c r="D86" i="49"/>
  <c r="D87" i="49"/>
  <c r="D88" i="49"/>
  <c r="D89" i="49"/>
  <c r="D90" i="49"/>
  <c r="D91" i="49"/>
  <c r="D92" i="49"/>
  <c r="D93" i="49"/>
  <c r="D94" i="49"/>
  <c r="D95" i="49"/>
  <c r="D96" i="49"/>
  <c r="D97" i="49"/>
  <c r="D98" i="49"/>
  <c r="D99" i="49"/>
  <c r="D100" i="49"/>
  <c r="D101" i="49"/>
  <c r="D102" i="49"/>
  <c r="D103" i="49"/>
  <c r="D104" i="49"/>
  <c r="D105" i="49"/>
  <c r="D106" i="49"/>
  <c r="D107" i="49"/>
  <c r="D108" i="49"/>
  <c r="D109" i="49"/>
  <c r="D110" i="49"/>
  <c r="D111" i="49"/>
  <c r="D112" i="49"/>
  <c r="D113" i="49"/>
  <c r="D114" i="49"/>
  <c r="D115" i="49"/>
  <c r="D116" i="49"/>
  <c r="D117" i="49"/>
  <c r="D118" i="49"/>
  <c r="D119" i="49"/>
  <c r="D120" i="49"/>
  <c r="D121" i="49"/>
  <c r="D122" i="49"/>
  <c r="D123" i="49"/>
  <c r="D124" i="49"/>
  <c r="D125" i="49"/>
  <c r="D126" i="49"/>
  <c r="D127" i="49"/>
  <c r="D128" i="49"/>
  <c r="D129" i="49"/>
  <c r="D130" i="49"/>
  <c r="D131" i="49"/>
  <c r="D132" i="49"/>
  <c r="D133" i="49"/>
  <c r="D134" i="49"/>
  <c r="D135" i="49"/>
  <c r="D136" i="49"/>
  <c r="D137" i="49"/>
  <c r="D138" i="49"/>
  <c r="D139" i="49"/>
  <c r="D140" i="49"/>
  <c r="D141" i="49"/>
  <c r="D142" i="49"/>
  <c r="D143" i="49"/>
  <c r="D144" i="49"/>
  <c r="D145" i="49"/>
  <c r="D146" i="49"/>
  <c r="D147" i="49"/>
  <c r="D148" i="49"/>
  <c r="D149" i="49"/>
  <c r="D150" i="49"/>
  <c r="D151" i="49"/>
  <c r="D152" i="49"/>
  <c r="D153" i="49"/>
  <c r="D154" i="49"/>
  <c r="D155" i="49"/>
  <c r="D156" i="49"/>
  <c r="D157" i="49"/>
  <c r="D158" i="49"/>
  <c r="D159" i="49"/>
  <c r="D160" i="49"/>
  <c r="D161" i="49"/>
  <c r="D162" i="49"/>
  <c r="D163" i="49"/>
  <c r="D164" i="49"/>
  <c r="D165" i="49"/>
  <c r="D166" i="49"/>
  <c r="D167" i="49"/>
  <c r="D168" i="49"/>
  <c r="D169" i="49"/>
  <c r="D170" i="49"/>
  <c r="D171" i="49"/>
  <c r="D172" i="49"/>
  <c r="D173" i="49"/>
  <c r="D174" i="49"/>
  <c r="D175" i="49"/>
  <c r="D176" i="49"/>
  <c r="D177" i="49"/>
  <c r="D178" i="49"/>
  <c r="D179" i="49"/>
  <c r="D180" i="49"/>
  <c r="D181" i="49"/>
  <c r="D182" i="49"/>
  <c r="D183" i="49"/>
  <c r="D184" i="49"/>
  <c r="D185" i="49"/>
  <c r="D186" i="49"/>
  <c r="D187" i="49"/>
  <c r="D188" i="49"/>
  <c r="D189" i="49"/>
  <c r="D190" i="49"/>
  <c r="D191" i="49"/>
  <c r="D192" i="49"/>
  <c r="D193" i="49"/>
  <c r="D194" i="49"/>
  <c r="D195" i="49"/>
  <c r="D196" i="49"/>
  <c r="D197" i="49"/>
  <c r="D198" i="49"/>
  <c r="D199" i="49"/>
  <c r="D200" i="49"/>
  <c r="D201" i="49"/>
  <c r="D202" i="49"/>
  <c r="D203" i="49"/>
  <c r="D204" i="49"/>
  <c r="D205" i="49"/>
  <c r="D206" i="49"/>
  <c r="D207" i="49"/>
  <c r="D208" i="49"/>
  <c r="D209" i="49"/>
  <c r="D210" i="49"/>
  <c r="D211" i="49"/>
  <c r="D212" i="49"/>
  <c r="D213" i="49"/>
  <c r="D214" i="49"/>
  <c r="D215" i="49"/>
  <c r="D216" i="49"/>
  <c r="D217" i="49"/>
  <c r="D218" i="49"/>
  <c r="D219" i="49"/>
  <c r="D220" i="49"/>
  <c r="D221" i="49"/>
  <c r="D222" i="49"/>
  <c r="D223" i="49"/>
  <c r="D224" i="49"/>
  <c r="D225" i="49"/>
  <c r="D226" i="49"/>
  <c r="D227" i="49"/>
  <c r="D3" i="49"/>
  <c r="B45" i="3"/>
  <c r="C45" i="3" s="1"/>
  <c r="C66" i="3" s="1"/>
  <c r="B6" i="3" s="1"/>
  <c r="J8" i="17"/>
  <c r="J9" i="17"/>
  <c r="J10" i="17"/>
  <c r="J11" i="17"/>
  <c r="J12" i="17"/>
  <c r="J7" i="17"/>
  <c r="J6" i="17"/>
  <c r="J5" i="17"/>
  <c r="J4" i="17"/>
  <c r="U76" i="16" l="1"/>
  <c r="I4" i="49" s="1"/>
  <c r="V76" i="16"/>
  <c r="J4" i="49" s="1"/>
  <c r="U77" i="16"/>
  <c r="I5" i="49" s="1"/>
  <c r="V77" i="16"/>
  <c r="J5" i="49" s="1"/>
  <c r="U78" i="16"/>
  <c r="I6" i="49" s="1"/>
  <c r="V78" i="16"/>
  <c r="J6" i="49" s="1"/>
  <c r="U79" i="16"/>
  <c r="I7" i="49" s="1"/>
  <c r="V79" i="16"/>
  <c r="J7" i="49" s="1"/>
  <c r="U80" i="16"/>
  <c r="I8" i="49" s="1"/>
  <c r="V80" i="16"/>
  <c r="J8" i="49" s="1"/>
  <c r="U81" i="16"/>
  <c r="I9" i="49" s="1"/>
  <c r="V81" i="16"/>
  <c r="J9" i="49" s="1"/>
  <c r="U82" i="16"/>
  <c r="I10" i="49" s="1"/>
  <c r="V82" i="16"/>
  <c r="J10" i="49" s="1"/>
  <c r="U83" i="16"/>
  <c r="I11" i="49" s="1"/>
  <c r="V83" i="16"/>
  <c r="J11" i="49" s="1"/>
  <c r="U84" i="16"/>
  <c r="I12" i="49" s="1"/>
  <c r="V84" i="16"/>
  <c r="J12" i="49" s="1"/>
  <c r="U85" i="16"/>
  <c r="I13" i="49" s="1"/>
  <c r="V85" i="16"/>
  <c r="J13" i="49" s="1"/>
  <c r="U86" i="16"/>
  <c r="I14" i="49" s="1"/>
  <c r="V86" i="16"/>
  <c r="J14" i="49" s="1"/>
  <c r="U87" i="16"/>
  <c r="I15" i="49" s="1"/>
  <c r="V87" i="16"/>
  <c r="J15" i="49" s="1"/>
  <c r="U88" i="16"/>
  <c r="I16" i="49" s="1"/>
  <c r="V88" i="16"/>
  <c r="J16" i="49" s="1"/>
  <c r="U89" i="16"/>
  <c r="I17" i="49" s="1"/>
  <c r="V89" i="16"/>
  <c r="J17" i="49" s="1"/>
  <c r="U90" i="16"/>
  <c r="I18" i="49" s="1"/>
  <c r="V90" i="16"/>
  <c r="J18" i="49" s="1"/>
  <c r="U91" i="16"/>
  <c r="I19" i="49" s="1"/>
  <c r="V91" i="16"/>
  <c r="J19" i="49" s="1"/>
  <c r="U92" i="16"/>
  <c r="I20" i="49" s="1"/>
  <c r="V92" i="16"/>
  <c r="J20" i="49" s="1"/>
  <c r="U93" i="16"/>
  <c r="I21" i="49" s="1"/>
  <c r="V93" i="16"/>
  <c r="J21" i="49" s="1"/>
  <c r="U94" i="16"/>
  <c r="I22" i="49" s="1"/>
  <c r="V94" i="16"/>
  <c r="J22" i="49" s="1"/>
  <c r="U95" i="16"/>
  <c r="I23" i="49" s="1"/>
  <c r="V95" i="16"/>
  <c r="J23" i="49" s="1"/>
  <c r="U96" i="16"/>
  <c r="I24" i="49" s="1"/>
  <c r="V96" i="16"/>
  <c r="J24" i="49" s="1"/>
  <c r="U97" i="16"/>
  <c r="I25" i="49" s="1"/>
  <c r="V97" i="16"/>
  <c r="J25" i="49" s="1"/>
  <c r="U98" i="16"/>
  <c r="I26" i="49" s="1"/>
  <c r="V98" i="16"/>
  <c r="J26" i="49" s="1"/>
  <c r="U99" i="16"/>
  <c r="I27" i="49" s="1"/>
  <c r="V99" i="16"/>
  <c r="J27" i="49" s="1"/>
  <c r="U100" i="16"/>
  <c r="I28" i="49" s="1"/>
  <c r="V100" i="16"/>
  <c r="J28" i="49" s="1"/>
  <c r="U101" i="16"/>
  <c r="I29" i="49" s="1"/>
  <c r="V101" i="16"/>
  <c r="J29" i="49" s="1"/>
  <c r="U102" i="16"/>
  <c r="I30" i="49" s="1"/>
  <c r="V102" i="16"/>
  <c r="J30" i="49" s="1"/>
  <c r="U103" i="16"/>
  <c r="I31" i="49" s="1"/>
  <c r="V103" i="16"/>
  <c r="J31" i="49" s="1"/>
  <c r="U104" i="16"/>
  <c r="I32" i="49" s="1"/>
  <c r="V104" i="16"/>
  <c r="J32" i="49" s="1"/>
  <c r="U105" i="16"/>
  <c r="I33" i="49" s="1"/>
  <c r="V105" i="16"/>
  <c r="J33" i="49" s="1"/>
  <c r="U106" i="16"/>
  <c r="I34" i="49" s="1"/>
  <c r="V106" i="16"/>
  <c r="J34" i="49" s="1"/>
  <c r="U107" i="16"/>
  <c r="I35" i="49" s="1"/>
  <c r="V107" i="16"/>
  <c r="J35" i="49" s="1"/>
  <c r="U108" i="16"/>
  <c r="I36" i="49" s="1"/>
  <c r="V108" i="16"/>
  <c r="J36" i="49" s="1"/>
  <c r="U109" i="16"/>
  <c r="I37" i="49" s="1"/>
  <c r="V109" i="16"/>
  <c r="J37" i="49" s="1"/>
  <c r="U110" i="16"/>
  <c r="I38" i="49" s="1"/>
  <c r="V110" i="16"/>
  <c r="J38" i="49" s="1"/>
  <c r="U111" i="16"/>
  <c r="I39" i="49" s="1"/>
  <c r="V111" i="16"/>
  <c r="J39" i="49" s="1"/>
  <c r="U112" i="16"/>
  <c r="I40" i="49" s="1"/>
  <c r="V112" i="16"/>
  <c r="J40" i="49" s="1"/>
  <c r="U113" i="16"/>
  <c r="I41" i="49" s="1"/>
  <c r="V113" i="16"/>
  <c r="J41" i="49" s="1"/>
  <c r="U114" i="16"/>
  <c r="I42" i="49" s="1"/>
  <c r="V114" i="16"/>
  <c r="J42" i="49" s="1"/>
  <c r="U115" i="16"/>
  <c r="I43" i="49" s="1"/>
  <c r="V115" i="16"/>
  <c r="J43" i="49" s="1"/>
  <c r="U116" i="16"/>
  <c r="I44" i="49" s="1"/>
  <c r="V116" i="16"/>
  <c r="J44" i="49" s="1"/>
  <c r="U117" i="16"/>
  <c r="I45" i="49" s="1"/>
  <c r="V117" i="16"/>
  <c r="J45" i="49" s="1"/>
  <c r="U118" i="16"/>
  <c r="I46" i="49" s="1"/>
  <c r="V118" i="16"/>
  <c r="J46" i="49" s="1"/>
  <c r="U119" i="16"/>
  <c r="I47" i="49" s="1"/>
  <c r="V119" i="16"/>
  <c r="J47" i="49" s="1"/>
  <c r="U120" i="16"/>
  <c r="I48" i="49" s="1"/>
  <c r="V120" i="16"/>
  <c r="J48" i="49" s="1"/>
  <c r="U121" i="16"/>
  <c r="I49" i="49" s="1"/>
  <c r="V121" i="16"/>
  <c r="J49" i="49" s="1"/>
  <c r="U122" i="16"/>
  <c r="I50" i="49" s="1"/>
  <c r="V122" i="16"/>
  <c r="J50" i="49" s="1"/>
  <c r="U123" i="16"/>
  <c r="I51" i="49" s="1"/>
  <c r="V123" i="16"/>
  <c r="J51" i="49" s="1"/>
  <c r="U124" i="16"/>
  <c r="I52" i="49" s="1"/>
  <c r="V124" i="16"/>
  <c r="J52" i="49" s="1"/>
  <c r="U125" i="16"/>
  <c r="I53" i="49" s="1"/>
  <c r="V125" i="16"/>
  <c r="J53" i="49" s="1"/>
  <c r="U126" i="16"/>
  <c r="I54" i="49" s="1"/>
  <c r="V126" i="16"/>
  <c r="J54" i="49" s="1"/>
  <c r="U127" i="16"/>
  <c r="I55" i="49" s="1"/>
  <c r="V127" i="16"/>
  <c r="J55" i="49" s="1"/>
  <c r="U128" i="16"/>
  <c r="I56" i="49" s="1"/>
  <c r="V128" i="16"/>
  <c r="J56" i="49" s="1"/>
  <c r="U129" i="16"/>
  <c r="I57" i="49" s="1"/>
  <c r="V129" i="16"/>
  <c r="J57" i="49" s="1"/>
  <c r="U130" i="16"/>
  <c r="I58" i="49" s="1"/>
  <c r="V130" i="16"/>
  <c r="J58" i="49" s="1"/>
  <c r="U131" i="16"/>
  <c r="I59" i="49" s="1"/>
  <c r="V131" i="16"/>
  <c r="J59" i="49" s="1"/>
  <c r="U132" i="16"/>
  <c r="I60" i="49" s="1"/>
  <c r="V132" i="16"/>
  <c r="J60" i="49" s="1"/>
  <c r="U133" i="16"/>
  <c r="I61" i="49" s="1"/>
  <c r="V133" i="16"/>
  <c r="J61" i="49" s="1"/>
  <c r="U134" i="16"/>
  <c r="I62" i="49" s="1"/>
  <c r="V134" i="16"/>
  <c r="J62" i="49" s="1"/>
  <c r="U135" i="16"/>
  <c r="I63" i="49" s="1"/>
  <c r="V135" i="16"/>
  <c r="J63" i="49" s="1"/>
  <c r="U136" i="16"/>
  <c r="I64" i="49" s="1"/>
  <c r="V136" i="16"/>
  <c r="J64" i="49" s="1"/>
  <c r="U137" i="16"/>
  <c r="I65" i="49" s="1"/>
  <c r="V137" i="16"/>
  <c r="J65" i="49" s="1"/>
  <c r="U138" i="16"/>
  <c r="I66" i="49" s="1"/>
  <c r="V138" i="16"/>
  <c r="J66" i="49" s="1"/>
  <c r="U139" i="16"/>
  <c r="I67" i="49" s="1"/>
  <c r="V139" i="16"/>
  <c r="J67" i="49" s="1"/>
  <c r="U140" i="16"/>
  <c r="I68" i="49" s="1"/>
  <c r="V140" i="16"/>
  <c r="J68" i="49" s="1"/>
  <c r="U141" i="16"/>
  <c r="I69" i="49" s="1"/>
  <c r="V141" i="16"/>
  <c r="J69" i="49" s="1"/>
  <c r="U142" i="16"/>
  <c r="I70" i="49" s="1"/>
  <c r="V142" i="16"/>
  <c r="J70" i="49" s="1"/>
  <c r="U143" i="16"/>
  <c r="I71" i="49" s="1"/>
  <c r="V143" i="16"/>
  <c r="J71" i="49" s="1"/>
  <c r="U144" i="16"/>
  <c r="I72" i="49" s="1"/>
  <c r="V144" i="16"/>
  <c r="J72" i="49" s="1"/>
  <c r="U145" i="16"/>
  <c r="I73" i="49" s="1"/>
  <c r="V145" i="16"/>
  <c r="J73" i="49" s="1"/>
  <c r="U146" i="16"/>
  <c r="I74" i="49" s="1"/>
  <c r="V146" i="16"/>
  <c r="J74" i="49" s="1"/>
  <c r="U147" i="16"/>
  <c r="I75" i="49" s="1"/>
  <c r="V147" i="16"/>
  <c r="J75" i="49" s="1"/>
  <c r="U148" i="16"/>
  <c r="I76" i="49" s="1"/>
  <c r="V148" i="16"/>
  <c r="J76" i="49" s="1"/>
  <c r="U149" i="16"/>
  <c r="I77" i="49" s="1"/>
  <c r="V149" i="16"/>
  <c r="J77" i="49" s="1"/>
  <c r="U150" i="16"/>
  <c r="I78" i="49" s="1"/>
  <c r="V150" i="16"/>
  <c r="J78" i="49" s="1"/>
  <c r="U151" i="16"/>
  <c r="I79" i="49" s="1"/>
  <c r="V151" i="16"/>
  <c r="J79" i="49" s="1"/>
  <c r="U152" i="16"/>
  <c r="I80" i="49" s="1"/>
  <c r="V152" i="16"/>
  <c r="J80" i="49" s="1"/>
  <c r="U153" i="16"/>
  <c r="I81" i="49" s="1"/>
  <c r="V153" i="16"/>
  <c r="J81" i="49" s="1"/>
  <c r="U154" i="16"/>
  <c r="I82" i="49" s="1"/>
  <c r="V154" i="16"/>
  <c r="J82" i="49" s="1"/>
  <c r="U155" i="16"/>
  <c r="I83" i="49" s="1"/>
  <c r="V155" i="16"/>
  <c r="J83" i="49" s="1"/>
  <c r="U156" i="16"/>
  <c r="I84" i="49" s="1"/>
  <c r="V156" i="16"/>
  <c r="J84" i="49" s="1"/>
  <c r="U157" i="16"/>
  <c r="I85" i="49" s="1"/>
  <c r="V157" i="16"/>
  <c r="J85" i="49" s="1"/>
  <c r="U158" i="16"/>
  <c r="I86" i="49" s="1"/>
  <c r="V158" i="16"/>
  <c r="J86" i="49" s="1"/>
  <c r="U159" i="16"/>
  <c r="I87" i="49" s="1"/>
  <c r="V159" i="16"/>
  <c r="J87" i="49" s="1"/>
  <c r="U160" i="16"/>
  <c r="I88" i="49" s="1"/>
  <c r="V160" i="16"/>
  <c r="J88" i="49" s="1"/>
  <c r="U161" i="16"/>
  <c r="I89" i="49" s="1"/>
  <c r="V161" i="16"/>
  <c r="J89" i="49" s="1"/>
  <c r="U162" i="16"/>
  <c r="I90" i="49" s="1"/>
  <c r="V162" i="16"/>
  <c r="J90" i="49" s="1"/>
  <c r="U163" i="16"/>
  <c r="I91" i="49" s="1"/>
  <c r="V163" i="16"/>
  <c r="J91" i="49" s="1"/>
  <c r="U164" i="16"/>
  <c r="I92" i="49" s="1"/>
  <c r="V164" i="16"/>
  <c r="J92" i="49" s="1"/>
  <c r="U165" i="16"/>
  <c r="I93" i="49" s="1"/>
  <c r="V165" i="16"/>
  <c r="J93" i="49" s="1"/>
  <c r="U166" i="16"/>
  <c r="I94" i="49" s="1"/>
  <c r="V166" i="16"/>
  <c r="J94" i="49" s="1"/>
  <c r="U167" i="16"/>
  <c r="I95" i="49" s="1"/>
  <c r="V167" i="16"/>
  <c r="J95" i="49" s="1"/>
  <c r="U168" i="16"/>
  <c r="I96" i="49" s="1"/>
  <c r="V168" i="16"/>
  <c r="J96" i="49" s="1"/>
  <c r="U169" i="16"/>
  <c r="I97" i="49" s="1"/>
  <c r="V169" i="16"/>
  <c r="J97" i="49" s="1"/>
  <c r="U170" i="16"/>
  <c r="I98" i="49" s="1"/>
  <c r="V170" i="16"/>
  <c r="J98" i="49" s="1"/>
  <c r="U171" i="16"/>
  <c r="I99" i="49" s="1"/>
  <c r="V171" i="16"/>
  <c r="J99" i="49" s="1"/>
  <c r="U172" i="16"/>
  <c r="I100" i="49" s="1"/>
  <c r="V172" i="16"/>
  <c r="J100" i="49" s="1"/>
  <c r="U173" i="16"/>
  <c r="I101" i="49" s="1"/>
  <c r="V173" i="16"/>
  <c r="J101" i="49" s="1"/>
  <c r="U174" i="16"/>
  <c r="I102" i="49" s="1"/>
  <c r="V174" i="16"/>
  <c r="J102" i="49" s="1"/>
  <c r="U175" i="16"/>
  <c r="I103" i="49" s="1"/>
  <c r="V175" i="16"/>
  <c r="J103" i="49" s="1"/>
  <c r="U176" i="16"/>
  <c r="I104" i="49" s="1"/>
  <c r="V176" i="16"/>
  <c r="J104" i="49" s="1"/>
  <c r="U177" i="16"/>
  <c r="I105" i="49" s="1"/>
  <c r="V177" i="16"/>
  <c r="J105" i="49" s="1"/>
  <c r="U178" i="16"/>
  <c r="I106" i="49" s="1"/>
  <c r="V178" i="16"/>
  <c r="J106" i="49" s="1"/>
  <c r="U179" i="16"/>
  <c r="I107" i="49" s="1"/>
  <c r="V179" i="16"/>
  <c r="J107" i="49" s="1"/>
  <c r="U180" i="16"/>
  <c r="I108" i="49" s="1"/>
  <c r="V180" i="16"/>
  <c r="J108" i="49" s="1"/>
  <c r="U181" i="16"/>
  <c r="I109" i="49" s="1"/>
  <c r="V181" i="16"/>
  <c r="J109" i="49" s="1"/>
  <c r="U182" i="16"/>
  <c r="I110" i="49" s="1"/>
  <c r="V182" i="16"/>
  <c r="J110" i="49" s="1"/>
  <c r="U183" i="16"/>
  <c r="I111" i="49" s="1"/>
  <c r="V183" i="16"/>
  <c r="J111" i="49" s="1"/>
  <c r="U184" i="16"/>
  <c r="I112" i="49" s="1"/>
  <c r="V184" i="16"/>
  <c r="J112" i="49" s="1"/>
  <c r="U185" i="16"/>
  <c r="I113" i="49" s="1"/>
  <c r="V185" i="16"/>
  <c r="J113" i="49" s="1"/>
  <c r="U186" i="16"/>
  <c r="I114" i="49" s="1"/>
  <c r="V186" i="16"/>
  <c r="J114" i="49" s="1"/>
  <c r="U187" i="16"/>
  <c r="I115" i="49" s="1"/>
  <c r="V187" i="16"/>
  <c r="J115" i="49" s="1"/>
  <c r="U188" i="16"/>
  <c r="I116" i="49" s="1"/>
  <c r="V188" i="16"/>
  <c r="J116" i="49" s="1"/>
  <c r="U189" i="16"/>
  <c r="I117" i="49" s="1"/>
  <c r="V189" i="16"/>
  <c r="J117" i="49" s="1"/>
  <c r="U190" i="16"/>
  <c r="I118" i="49" s="1"/>
  <c r="V190" i="16"/>
  <c r="J118" i="49" s="1"/>
  <c r="U191" i="16"/>
  <c r="I119" i="49" s="1"/>
  <c r="V191" i="16"/>
  <c r="J119" i="49" s="1"/>
  <c r="U192" i="16"/>
  <c r="I120" i="49" s="1"/>
  <c r="V192" i="16"/>
  <c r="J120" i="49" s="1"/>
  <c r="U193" i="16"/>
  <c r="I121" i="49" s="1"/>
  <c r="V193" i="16"/>
  <c r="J121" i="49" s="1"/>
  <c r="U194" i="16"/>
  <c r="I122" i="49" s="1"/>
  <c r="V194" i="16"/>
  <c r="J122" i="49" s="1"/>
  <c r="U195" i="16"/>
  <c r="I123" i="49" s="1"/>
  <c r="V195" i="16"/>
  <c r="J123" i="49" s="1"/>
  <c r="U196" i="16"/>
  <c r="I124" i="49" s="1"/>
  <c r="V196" i="16"/>
  <c r="J124" i="49" s="1"/>
  <c r="U197" i="16"/>
  <c r="I125" i="49" s="1"/>
  <c r="V197" i="16"/>
  <c r="J125" i="49" s="1"/>
  <c r="U198" i="16"/>
  <c r="I126" i="49" s="1"/>
  <c r="V198" i="16"/>
  <c r="J126" i="49" s="1"/>
  <c r="U199" i="16"/>
  <c r="I127" i="49" s="1"/>
  <c r="V199" i="16"/>
  <c r="J127" i="49" s="1"/>
  <c r="U200" i="16"/>
  <c r="I128" i="49" s="1"/>
  <c r="V200" i="16"/>
  <c r="J128" i="49" s="1"/>
  <c r="U201" i="16"/>
  <c r="I129" i="49" s="1"/>
  <c r="V201" i="16"/>
  <c r="J129" i="49" s="1"/>
  <c r="U202" i="16"/>
  <c r="I130" i="49" s="1"/>
  <c r="V202" i="16"/>
  <c r="J130" i="49" s="1"/>
  <c r="U203" i="16"/>
  <c r="I131" i="49" s="1"/>
  <c r="V203" i="16"/>
  <c r="J131" i="49" s="1"/>
  <c r="U204" i="16"/>
  <c r="I132" i="49" s="1"/>
  <c r="V204" i="16"/>
  <c r="J132" i="49" s="1"/>
  <c r="U205" i="16"/>
  <c r="I133" i="49" s="1"/>
  <c r="V205" i="16"/>
  <c r="J133" i="49" s="1"/>
  <c r="U206" i="16"/>
  <c r="I134" i="49" s="1"/>
  <c r="V206" i="16"/>
  <c r="J134" i="49" s="1"/>
  <c r="U207" i="16"/>
  <c r="I135" i="49" s="1"/>
  <c r="V207" i="16"/>
  <c r="J135" i="49" s="1"/>
  <c r="U208" i="16"/>
  <c r="I136" i="49" s="1"/>
  <c r="V208" i="16"/>
  <c r="J136" i="49" s="1"/>
  <c r="U209" i="16"/>
  <c r="I137" i="49" s="1"/>
  <c r="V209" i="16"/>
  <c r="J137" i="49" s="1"/>
  <c r="U210" i="16"/>
  <c r="I138" i="49" s="1"/>
  <c r="V210" i="16"/>
  <c r="J138" i="49" s="1"/>
  <c r="U211" i="16"/>
  <c r="I139" i="49" s="1"/>
  <c r="V211" i="16"/>
  <c r="J139" i="49" s="1"/>
  <c r="U212" i="16"/>
  <c r="I140" i="49" s="1"/>
  <c r="V212" i="16"/>
  <c r="J140" i="49" s="1"/>
  <c r="U213" i="16"/>
  <c r="I141" i="49" s="1"/>
  <c r="V213" i="16"/>
  <c r="J141" i="49" s="1"/>
  <c r="U214" i="16"/>
  <c r="I142" i="49" s="1"/>
  <c r="V214" i="16"/>
  <c r="J142" i="49" s="1"/>
  <c r="U215" i="16"/>
  <c r="I143" i="49" s="1"/>
  <c r="V215" i="16"/>
  <c r="J143" i="49" s="1"/>
  <c r="U216" i="16"/>
  <c r="I144" i="49" s="1"/>
  <c r="V216" i="16"/>
  <c r="J144" i="49" s="1"/>
  <c r="U217" i="16"/>
  <c r="I145" i="49" s="1"/>
  <c r="V217" i="16"/>
  <c r="J145" i="49" s="1"/>
  <c r="U218" i="16"/>
  <c r="I146" i="49" s="1"/>
  <c r="V218" i="16"/>
  <c r="J146" i="49" s="1"/>
  <c r="U219" i="16"/>
  <c r="I147" i="49" s="1"/>
  <c r="V219" i="16"/>
  <c r="J147" i="49" s="1"/>
  <c r="U220" i="16"/>
  <c r="I148" i="49" s="1"/>
  <c r="V220" i="16"/>
  <c r="J148" i="49" s="1"/>
  <c r="U221" i="16"/>
  <c r="I149" i="49" s="1"/>
  <c r="V221" i="16"/>
  <c r="J149" i="49" s="1"/>
  <c r="U222" i="16"/>
  <c r="I150" i="49" s="1"/>
  <c r="V222" i="16"/>
  <c r="J150" i="49" s="1"/>
  <c r="U223" i="16"/>
  <c r="I151" i="49" s="1"/>
  <c r="V223" i="16"/>
  <c r="J151" i="49" s="1"/>
  <c r="U224" i="16"/>
  <c r="I152" i="49" s="1"/>
  <c r="V224" i="16"/>
  <c r="J152" i="49" s="1"/>
  <c r="U225" i="16"/>
  <c r="I153" i="49" s="1"/>
  <c r="V225" i="16"/>
  <c r="J153" i="49" s="1"/>
  <c r="U226" i="16"/>
  <c r="I154" i="49" s="1"/>
  <c r="V226" i="16"/>
  <c r="J154" i="49" s="1"/>
  <c r="U227" i="16"/>
  <c r="I155" i="49" s="1"/>
  <c r="V227" i="16"/>
  <c r="J155" i="49" s="1"/>
  <c r="U228" i="16"/>
  <c r="I156" i="49" s="1"/>
  <c r="V228" i="16"/>
  <c r="J156" i="49" s="1"/>
  <c r="U229" i="16"/>
  <c r="I157" i="49" s="1"/>
  <c r="V229" i="16"/>
  <c r="J157" i="49" s="1"/>
  <c r="U230" i="16"/>
  <c r="I158" i="49" s="1"/>
  <c r="V230" i="16"/>
  <c r="J158" i="49" s="1"/>
  <c r="U231" i="16"/>
  <c r="I159" i="49" s="1"/>
  <c r="V231" i="16"/>
  <c r="J159" i="49" s="1"/>
  <c r="U232" i="16"/>
  <c r="I160" i="49" s="1"/>
  <c r="V232" i="16"/>
  <c r="J160" i="49" s="1"/>
  <c r="U233" i="16"/>
  <c r="I161" i="49" s="1"/>
  <c r="V233" i="16"/>
  <c r="J161" i="49" s="1"/>
  <c r="U234" i="16"/>
  <c r="I162" i="49" s="1"/>
  <c r="V234" i="16"/>
  <c r="J162" i="49" s="1"/>
  <c r="U235" i="16"/>
  <c r="I163" i="49" s="1"/>
  <c r="V235" i="16"/>
  <c r="J163" i="49" s="1"/>
  <c r="U236" i="16"/>
  <c r="I164" i="49" s="1"/>
  <c r="V236" i="16"/>
  <c r="J164" i="49" s="1"/>
  <c r="U237" i="16"/>
  <c r="I165" i="49" s="1"/>
  <c r="V237" i="16"/>
  <c r="J165" i="49" s="1"/>
  <c r="U238" i="16"/>
  <c r="I166" i="49" s="1"/>
  <c r="V238" i="16"/>
  <c r="J166" i="49" s="1"/>
  <c r="U239" i="16"/>
  <c r="I167" i="49" s="1"/>
  <c r="V239" i="16"/>
  <c r="J167" i="49" s="1"/>
  <c r="U240" i="16"/>
  <c r="I168" i="49" s="1"/>
  <c r="V240" i="16"/>
  <c r="J168" i="49" s="1"/>
  <c r="U241" i="16"/>
  <c r="I169" i="49" s="1"/>
  <c r="V241" i="16"/>
  <c r="J169" i="49" s="1"/>
  <c r="U242" i="16"/>
  <c r="I170" i="49" s="1"/>
  <c r="V242" i="16"/>
  <c r="J170" i="49" s="1"/>
  <c r="U243" i="16"/>
  <c r="I171" i="49" s="1"/>
  <c r="V243" i="16"/>
  <c r="J171" i="49" s="1"/>
  <c r="U244" i="16"/>
  <c r="I172" i="49" s="1"/>
  <c r="V244" i="16"/>
  <c r="J172" i="49" s="1"/>
  <c r="U245" i="16"/>
  <c r="I173" i="49" s="1"/>
  <c r="V245" i="16"/>
  <c r="J173" i="49" s="1"/>
  <c r="U246" i="16"/>
  <c r="I174" i="49" s="1"/>
  <c r="V246" i="16"/>
  <c r="J174" i="49" s="1"/>
  <c r="U247" i="16"/>
  <c r="I175" i="49" s="1"/>
  <c r="V247" i="16"/>
  <c r="J175" i="49" s="1"/>
  <c r="U248" i="16"/>
  <c r="I176" i="49" s="1"/>
  <c r="V248" i="16"/>
  <c r="J176" i="49" s="1"/>
  <c r="U249" i="16"/>
  <c r="I177" i="49" s="1"/>
  <c r="V249" i="16"/>
  <c r="J177" i="49" s="1"/>
  <c r="U250" i="16"/>
  <c r="I178" i="49" s="1"/>
  <c r="V250" i="16"/>
  <c r="J178" i="49" s="1"/>
  <c r="U251" i="16"/>
  <c r="I179" i="49" s="1"/>
  <c r="V251" i="16"/>
  <c r="J179" i="49" s="1"/>
  <c r="U252" i="16"/>
  <c r="I180" i="49" s="1"/>
  <c r="V252" i="16"/>
  <c r="J180" i="49" s="1"/>
  <c r="U253" i="16"/>
  <c r="I181" i="49" s="1"/>
  <c r="V253" i="16"/>
  <c r="J181" i="49" s="1"/>
  <c r="U254" i="16"/>
  <c r="I182" i="49" s="1"/>
  <c r="V254" i="16"/>
  <c r="J182" i="49" s="1"/>
  <c r="U255" i="16"/>
  <c r="I183" i="49" s="1"/>
  <c r="V255" i="16"/>
  <c r="J183" i="49" s="1"/>
  <c r="U256" i="16"/>
  <c r="I184" i="49" s="1"/>
  <c r="V256" i="16"/>
  <c r="J184" i="49" s="1"/>
  <c r="U257" i="16"/>
  <c r="I185" i="49" s="1"/>
  <c r="V257" i="16"/>
  <c r="J185" i="49" s="1"/>
  <c r="U258" i="16"/>
  <c r="I186" i="49" s="1"/>
  <c r="V258" i="16"/>
  <c r="J186" i="49" s="1"/>
  <c r="U259" i="16"/>
  <c r="I187" i="49" s="1"/>
  <c r="V259" i="16"/>
  <c r="J187" i="49" s="1"/>
  <c r="U260" i="16"/>
  <c r="I188" i="49" s="1"/>
  <c r="V260" i="16"/>
  <c r="J188" i="49" s="1"/>
  <c r="U261" i="16"/>
  <c r="I189" i="49" s="1"/>
  <c r="V261" i="16"/>
  <c r="J189" i="49" s="1"/>
  <c r="U262" i="16"/>
  <c r="I190" i="49" s="1"/>
  <c r="V262" i="16"/>
  <c r="J190" i="49" s="1"/>
  <c r="U263" i="16"/>
  <c r="I191" i="49" s="1"/>
  <c r="V263" i="16"/>
  <c r="J191" i="49" s="1"/>
  <c r="U264" i="16"/>
  <c r="I192" i="49" s="1"/>
  <c r="V264" i="16"/>
  <c r="J192" i="49" s="1"/>
  <c r="U265" i="16"/>
  <c r="I193" i="49" s="1"/>
  <c r="V265" i="16"/>
  <c r="J193" i="49" s="1"/>
  <c r="U266" i="16"/>
  <c r="I194" i="49" s="1"/>
  <c r="V266" i="16"/>
  <c r="J194" i="49" s="1"/>
  <c r="U267" i="16"/>
  <c r="I195" i="49" s="1"/>
  <c r="V267" i="16"/>
  <c r="J195" i="49" s="1"/>
  <c r="U268" i="16"/>
  <c r="I196" i="49" s="1"/>
  <c r="V268" i="16"/>
  <c r="J196" i="49" s="1"/>
  <c r="U269" i="16"/>
  <c r="I197" i="49" s="1"/>
  <c r="V269" i="16"/>
  <c r="J197" i="49" s="1"/>
  <c r="U270" i="16"/>
  <c r="I198" i="49" s="1"/>
  <c r="V270" i="16"/>
  <c r="J198" i="49" s="1"/>
  <c r="U271" i="16"/>
  <c r="I199" i="49" s="1"/>
  <c r="V271" i="16"/>
  <c r="J199" i="49" s="1"/>
  <c r="U272" i="16"/>
  <c r="I200" i="49" s="1"/>
  <c r="V272" i="16"/>
  <c r="J200" i="49" s="1"/>
  <c r="U273" i="16"/>
  <c r="I201" i="49" s="1"/>
  <c r="V273" i="16"/>
  <c r="J201" i="49" s="1"/>
  <c r="U274" i="16"/>
  <c r="I202" i="49" s="1"/>
  <c r="V274" i="16"/>
  <c r="J202" i="49" s="1"/>
  <c r="U275" i="16"/>
  <c r="I203" i="49" s="1"/>
  <c r="V275" i="16"/>
  <c r="J203" i="49" s="1"/>
  <c r="U276" i="16"/>
  <c r="I204" i="49" s="1"/>
  <c r="V276" i="16"/>
  <c r="J204" i="49" s="1"/>
  <c r="U277" i="16"/>
  <c r="I205" i="49" s="1"/>
  <c r="V277" i="16"/>
  <c r="J205" i="49" s="1"/>
  <c r="U278" i="16"/>
  <c r="I206" i="49" s="1"/>
  <c r="V278" i="16"/>
  <c r="J206" i="49" s="1"/>
  <c r="U279" i="16"/>
  <c r="I207" i="49" s="1"/>
  <c r="V279" i="16"/>
  <c r="J207" i="49" s="1"/>
  <c r="U280" i="16"/>
  <c r="I208" i="49" s="1"/>
  <c r="V280" i="16"/>
  <c r="J208" i="49" s="1"/>
  <c r="U281" i="16"/>
  <c r="I209" i="49" s="1"/>
  <c r="V281" i="16"/>
  <c r="J209" i="49" s="1"/>
  <c r="U282" i="16"/>
  <c r="I210" i="49" s="1"/>
  <c r="V282" i="16"/>
  <c r="J210" i="49" s="1"/>
  <c r="U283" i="16"/>
  <c r="I211" i="49" s="1"/>
  <c r="V283" i="16"/>
  <c r="J211" i="49" s="1"/>
  <c r="U284" i="16"/>
  <c r="I212" i="49" s="1"/>
  <c r="V284" i="16"/>
  <c r="J212" i="49" s="1"/>
  <c r="U285" i="16"/>
  <c r="I213" i="49" s="1"/>
  <c r="V285" i="16"/>
  <c r="J213" i="49" s="1"/>
  <c r="U286" i="16"/>
  <c r="I214" i="49" s="1"/>
  <c r="V286" i="16"/>
  <c r="J214" i="49" s="1"/>
  <c r="U287" i="16"/>
  <c r="I215" i="49" s="1"/>
  <c r="V287" i="16"/>
  <c r="J215" i="49" s="1"/>
  <c r="U288" i="16"/>
  <c r="I216" i="49" s="1"/>
  <c r="V288" i="16"/>
  <c r="J216" i="49" s="1"/>
  <c r="U289" i="16"/>
  <c r="I217" i="49" s="1"/>
  <c r="V289" i="16"/>
  <c r="J217" i="49" s="1"/>
  <c r="U290" i="16"/>
  <c r="I218" i="49" s="1"/>
  <c r="V290" i="16"/>
  <c r="J218" i="49" s="1"/>
  <c r="U291" i="16"/>
  <c r="I219" i="49" s="1"/>
  <c r="V291" i="16"/>
  <c r="J219" i="49" s="1"/>
  <c r="U292" i="16"/>
  <c r="I220" i="49" s="1"/>
  <c r="V292" i="16"/>
  <c r="J220" i="49" s="1"/>
  <c r="U293" i="16"/>
  <c r="I221" i="49" s="1"/>
  <c r="V293" i="16"/>
  <c r="J221" i="49" s="1"/>
  <c r="U294" i="16"/>
  <c r="I222" i="49" s="1"/>
  <c r="V294" i="16"/>
  <c r="J222" i="49" s="1"/>
  <c r="U295" i="16"/>
  <c r="I223" i="49" s="1"/>
  <c r="V295" i="16"/>
  <c r="J223" i="49" s="1"/>
  <c r="U296" i="16"/>
  <c r="I224" i="49" s="1"/>
  <c r="V296" i="16"/>
  <c r="J224" i="49" s="1"/>
  <c r="U297" i="16"/>
  <c r="I225" i="49" s="1"/>
  <c r="V297" i="16"/>
  <c r="J225" i="49" s="1"/>
  <c r="U298" i="16"/>
  <c r="I226" i="49" s="1"/>
  <c r="V298" i="16"/>
  <c r="J226" i="49" s="1"/>
  <c r="U299" i="16"/>
  <c r="I227" i="49" s="1"/>
  <c r="V299" i="16"/>
  <c r="J227" i="49" s="1"/>
  <c r="V75" i="16"/>
  <c r="J3" i="49" s="1"/>
  <c r="U75" i="16"/>
  <c r="I3" i="49" s="1"/>
  <c r="S76" i="16"/>
  <c r="S77" i="16"/>
  <c r="S78" i="16"/>
  <c r="S79" i="16"/>
  <c r="S80" i="16"/>
  <c r="S81" i="16"/>
  <c r="S82" i="16"/>
  <c r="S83" i="16"/>
  <c r="S84" i="16"/>
  <c r="S85" i="16"/>
  <c r="S86" i="16"/>
  <c r="S87" i="16"/>
  <c r="S88" i="16"/>
  <c r="S89" i="16"/>
  <c r="S90" i="16"/>
  <c r="S91" i="16"/>
  <c r="S92" i="16"/>
  <c r="S93" i="16"/>
  <c r="S94" i="16"/>
  <c r="S95" i="16"/>
  <c r="S96" i="16"/>
  <c r="S97" i="16"/>
  <c r="S98" i="16"/>
  <c r="S99" i="16"/>
  <c r="S100" i="16"/>
  <c r="S101" i="16"/>
  <c r="S102" i="16"/>
  <c r="S103" i="16"/>
  <c r="S104" i="16"/>
  <c r="S105" i="16"/>
  <c r="S106" i="16"/>
  <c r="S107" i="16"/>
  <c r="S108" i="16"/>
  <c r="S109" i="16"/>
  <c r="S110" i="16"/>
  <c r="S111" i="16"/>
  <c r="S112" i="16"/>
  <c r="S113" i="16"/>
  <c r="S114" i="16"/>
  <c r="S115" i="16"/>
  <c r="S116" i="16"/>
  <c r="S117" i="16"/>
  <c r="S118" i="16"/>
  <c r="S119" i="16"/>
  <c r="S120" i="16"/>
  <c r="S121" i="16"/>
  <c r="S122" i="16"/>
  <c r="S123" i="16"/>
  <c r="S124" i="16"/>
  <c r="S125" i="16"/>
  <c r="S126" i="16"/>
  <c r="S127" i="16"/>
  <c r="S128" i="16"/>
  <c r="S129" i="16"/>
  <c r="S130" i="16"/>
  <c r="S131" i="16"/>
  <c r="S132" i="16"/>
  <c r="S133" i="16"/>
  <c r="S134" i="16"/>
  <c r="S135" i="16"/>
  <c r="S136" i="16"/>
  <c r="S137" i="16"/>
  <c r="S138" i="16"/>
  <c r="S139" i="16"/>
  <c r="S140" i="16"/>
  <c r="S141" i="16"/>
  <c r="S142" i="16"/>
  <c r="S143" i="16"/>
  <c r="S144" i="16"/>
  <c r="S145" i="16"/>
  <c r="S146" i="16"/>
  <c r="S147" i="16"/>
  <c r="S148" i="16"/>
  <c r="S149" i="16"/>
  <c r="S150" i="16"/>
  <c r="S151" i="16"/>
  <c r="S152" i="16"/>
  <c r="S153" i="16"/>
  <c r="S154" i="16"/>
  <c r="S155" i="16"/>
  <c r="S156" i="16"/>
  <c r="S157" i="16"/>
  <c r="S158" i="16"/>
  <c r="S159" i="16"/>
  <c r="S160" i="16"/>
  <c r="S161" i="16"/>
  <c r="S162" i="16"/>
  <c r="S163" i="16"/>
  <c r="S164" i="16"/>
  <c r="S165" i="16"/>
  <c r="S166" i="16"/>
  <c r="S167" i="16"/>
  <c r="S168" i="16"/>
  <c r="S169" i="16"/>
  <c r="S170" i="16"/>
  <c r="S171" i="16"/>
  <c r="S172" i="16"/>
  <c r="S173" i="16"/>
  <c r="S174" i="16"/>
  <c r="S175" i="16"/>
  <c r="S176" i="16"/>
  <c r="S177" i="16"/>
  <c r="S178" i="16"/>
  <c r="S179" i="16"/>
  <c r="S180" i="16"/>
  <c r="S181" i="16"/>
  <c r="S182" i="16"/>
  <c r="S183" i="16"/>
  <c r="S184" i="16"/>
  <c r="S185" i="16"/>
  <c r="S186" i="16"/>
  <c r="S187" i="16"/>
  <c r="S188" i="16"/>
  <c r="S189" i="16"/>
  <c r="S190" i="16"/>
  <c r="S191" i="16"/>
  <c r="S192" i="16"/>
  <c r="S193" i="16"/>
  <c r="S194" i="16"/>
  <c r="S195" i="16"/>
  <c r="S196" i="16"/>
  <c r="S197" i="16"/>
  <c r="S198" i="16"/>
  <c r="S199" i="16"/>
  <c r="S200" i="16"/>
  <c r="S201" i="16"/>
  <c r="S202" i="16"/>
  <c r="S203" i="16"/>
  <c r="S204" i="16"/>
  <c r="S205" i="16"/>
  <c r="S206" i="16"/>
  <c r="S207" i="16"/>
  <c r="S208" i="16"/>
  <c r="S209" i="16"/>
  <c r="S210" i="16"/>
  <c r="S211" i="16"/>
  <c r="S212" i="16"/>
  <c r="S213" i="16"/>
  <c r="S214" i="16"/>
  <c r="S215" i="16"/>
  <c r="S216" i="16"/>
  <c r="S217" i="16"/>
  <c r="S218" i="16"/>
  <c r="S219" i="16"/>
  <c r="S220" i="16"/>
  <c r="S221" i="16"/>
  <c r="S222" i="16"/>
  <c r="S223" i="16"/>
  <c r="S224" i="16"/>
  <c r="S225" i="16"/>
  <c r="S226" i="16"/>
  <c r="S227" i="16"/>
  <c r="S228" i="16"/>
  <c r="S229" i="16"/>
  <c r="S230" i="16"/>
  <c r="S231" i="16"/>
  <c r="S232" i="16"/>
  <c r="S233" i="16"/>
  <c r="S234" i="16"/>
  <c r="S235" i="16"/>
  <c r="S236" i="16"/>
  <c r="S237" i="16"/>
  <c r="S238" i="16"/>
  <c r="S239" i="16"/>
  <c r="S240" i="16"/>
  <c r="S241" i="16"/>
  <c r="S242" i="16"/>
  <c r="S243" i="16"/>
  <c r="S244" i="16"/>
  <c r="S245" i="16"/>
  <c r="S246" i="16"/>
  <c r="S247" i="16"/>
  <c r="S248" i="16"/>
  <c r="S249" i="16"/>
  <c r="S250" i="16"/>
  <c r="S251" i="16"/>
  <c r="S252" i="16"/>
  <c r="S253" i="16"/>
  <c r="S254" i="16"/>
  <c r="S255" i="16"/>
  <c r="S256" i="16"/>
  <c r="S257" i="16"/>
  <c r="S258" i="16"/>
  <c r="S259" i="16"/>
  <c r="S260" i="16"/>
  <c r="S261" i="16"/>
  <c r="S262" i="16"/>
  <c r="S263" i="16"/>
  <c r="S264" i="16"/>
  <c r="S265" i="16"/>
  <c r="S266" i="16"/>
  <c r="S267" i="16"/>
  <c r="S268" i="16"/>
  <c r="S269" i="16"/>
  <c r="S270" i="16"/>
  <c r="S271" i="16"/>
  <c r="S272" i="16"/>
  <c r="S273" i="16"/>
  <c r="S274" i="16"/>
  <c r="S275" i="16"/>
  <c r="S276" i="16"/>
  <c r="S277" i="16"/>
  <c r="S278" i="16"/>
  <c r="S279" i="16"/>
  <c r="S280" i="16"/>
  <c r="S281" i="16"/>
  <c r="S282" i="16"/>
  <c r="S283" i="16"/>
  <c r="S284" i="16"/>
  <c r="S285" i="16"/>
  <c r="S286" i="16"/>
  <c r="S287" i="16"/>
  <c r="S288" i="16"/>
  <c r="S289" i="16"/>
  <c r="S290" i="16"/>
  <c r="S291" i="16"/>
  <c r="S292" i="16"/>
  <c r="S293" i="16"/>
  <c r="S294" i="16"/>
  <c r="S295" i="16"/>
  <c r="S296" i="16"/>
  <c r="S297" i="16"/>
  <c r="S298" i="16"/>
  <c r="S299" i="16"/>
  <c r="S75" i="16"/>
  <c r="R76" i="16"/>
  <c r="F4" i="49" s="1"/>
  <c r="R77" i="16"/>
  <c r="F5" i="49" s="1"/>
  <c r="R78" i="16"/>
  <c r="F6" i="49" s="1"/>
  <c r="R79" i="16"/>
  <c r="F7" i="49" s="1"/>
  <c r="R80" i="16"/>
  <c r="F8" i="49" s="1"/>
  <c r="R81" i="16"/>
  <c r="F9" i="49" s="1"/>
  <c r="R82" i="16"/>
  <c r="F10" i="49" s="1"/>
  <c r="R83" i="16"/>
  <c r="F11" i="49" s="1"/>
  <c r="R84" i="16"/>
  <c r="F12" i="49" s="1"/>
  <c r="R85" i="16"/>
  <c r="F13" i="49" s="1"/>
  <c r="R86" i="16"/>
  <c r="F14" i="49" s="1"/>
  <c r="R87" i="16"/>
  <c r="F15" i="49" s="1"/>
  <c r="R88" i="16"/>
  <c r="F16" i="49" s="1"/>
  <c r="R89" i="16"/>
  <c r="F17" i="49" s="1"/>
  <c r="R90" i="16"/>
  <c r="F18" i="49" s="1"/>
  <c r="R91" i="16"/>
  <c r="F19" i="49" s="1"/>
  <c r="R92" i="16"/>
  <c r="F20" i="49" s="1"/>
  <c r="R93" i="16"/>
  <c r="F21" i="49" s="1"/>
  <c r="R94" i="16"/>
  <c r="F22" i="49" s="1"/>
  <c r="R95" i="16"/>
  <c r="F23" i="49" s="1"/>
  <c r="R96" i="16"/>
  <c r="F24" i="49" s="1"/>
  <c r="R97" i="16"/>
  <c r="F25" i="49" s="1"/>
  <c r="R98" i="16"/>
  <c r="F26" i="49" s="1"/>
  <c r="R99" i="16"/>
  <c r="F27" i="49" s="1"/>
  <c r="R100" i="16"/>
  <c r="F28" i="49" s="1"/>
  <c r="R101" i="16"/>
  <c r="F29" i="49" s="1"/>
  <c r="R102" i="16"/>
  <c r="F30" i="49" s="1"/>
  <c r="R103" i="16"/>
  <c r="F31" i="49" s="1"/>
  <c r="R104" i="16"/>
  <c r="F32" i="49" s="1"/>
  <c r="R105" i="16"/>
  <c r="F33" i="49" s="1"/>
  <c r="R106" i="16"/>
  <c r="F34" i="49" s="1"/>
  <c r="R107" i="16"/>
  <c r="F35" i="49" s="1"/>
  <c r="R108" i="16"/>
  <c r="F36" i="49" s="1"/>
  <c r="R109" i="16"/>
  <c r="F37" i="49" s="1"/>
  <c r="R110" i="16"/>
  <c r="F38" i="49" s="1"/>
  <c r="R111" i="16"/>
  <c r="F39" i="49" s="1"/>
  <c r="R112" i="16"/>
  <c r="F40" i="49" s="1"/>
  <c r="R113" i="16"/>
  <c r="F41" i="49" s="1"/>
  <c r="R114" i="16"/>
  <c r="F42" i="49" s="1"/>
  <c r="R115" i="16"/>
  <c r="F43" i="49" s="1"/>
  <c r="R116" i="16"/>
  <c r="F44" i="49" s="1"/>
  <c r="R117" i="16"/>
  <c r="F45" i="49" s="1"/>
  <c r="R118" i="16"/>
  <c r="F46" i="49" s="1"/>
  <c r="R119" i="16"/>
  <c r="F47" i="49" s="1"/>
  <c r="R120" i="16"/>
  <c r="F48" i="49" s="1"/>
  <c r="R121" i="16"/>
  <c r="F49" i="49" s="1"/>
  <c r="R122" i="16"/>
  <c r="F50" i="49" s="1"/>
  <c r="R123" i="16"/>
  <c r="F51" i="49" s="1"/>
  <c r="R124" i="16"/>
  <c r="F52" i="49" s="1"/>
  <c r="R125" i="16"/>
  <c r="F53" i="49" s="1"/>
  <c r="R126" i="16"/>
  <c r="F54" i="49" s="1"/>
  <c r="R127" i="16"/>
  <c r="F55" i="49" s="1"/>
  <c r="R128" i="16"/>
  <c r="F56" i="49" s="1"/>
  <c r="R129" i="16"/>
  <c r="F57" i="49" s="1"/>
  <c r="R130" i="16"/>
  <c r="F58" i="49" s="1"/>
  <c r="R131" i="16"/>
  <c r="F59" i="49" s="1"/>
  <c r="R132" i="16"/>
  <c r="F60" i="49" s="1"/>
  <c r="R133" i="16"/>
  <c r="F61" i="49" s="1"/>
  <c r="R134" i="16"/>
  <c r="F62" i="49" s="1"/>
  <c r="R135" i="16"/>
  <c r="F63" i="49" s="1"/>
  <c r="R136" i="16"/>
  <c r="F64" i="49" s="1"/>
  <c r="R137" i="16"/>
  <c r="F65" i="49" s="1"/>
  <c r="R138" i="16"/>
  <c r="F66" i="49" s="1"/>
  <c r="R139" i="16"/>
  <c r="F67" i="49" s="1"/>
  <c r="R140" i="16"/>
  <c r="F68" i="49" s="1"/>
  <c r="R141" i="16"/>
  <c r="F69" i="49" s="1"/>
  <c r="R142" i="16"/>
  <c r="F70" i="49" s="1"/>
  <c r="R143" i="16"/>
  <c r="F71" i="49" s="1"/>
  <c r="R144" i="16"/>
  <c r="F72" i="49" s="1"/>
  <c r="R145" i="16"/>
  <c r="F73" i="49" s="1"/>
  <c r="R146" i="16"/>
  <c r="F74" i="49" s="1"/>
  <c r="R147" i="16"/>
  <c r="F75" i="49" s="1"/>
  <c r="R148" i="16"/>
  <c r="F76" i="49" s="1"/>
  <c r="R149" i="16"/>
  <c r="F77" i="49" s="1"/>
  <c r="R150" i="16"/>
  <c r="F78" i="49" s="1"/>
  <c r="R151" i="16"/>
  <c r="F79" i="49" s="1"/>
  <c r="R152" i="16"/>
  <c r="F80" i="49" s="1"/>
  <c r="R153" i="16"/>
  <c r="F81" i="49" s="1"/>
  <c r="R154" i="16"/>
  <c r="F82" i="49" s="1"/>
  <c r="R155" i="16"/>
  <c r="F83" i="49" s="1"/>
  <c r="R156" i="16"/>
  <c r="F84" i="49" s="1"/>
  <c r="R157" i="16"/>
  <c r="F85" i="49" s="1"/>
  <c r="R158" i="16"/>
  <c r="F86" i="49" s="1"/>
  <c r="R159" i="16"/>
  <c r="F87" i="49" s="1"/>
  <c r="R160" i="16"/>
  <c r="F88" i="49" s="1"/>
  <c r="R161" i="16"/>
  <c r="F89" i="49" s="1"/>
  <c r="R162" i="16"/>
  <c r="F90" i="49" s="1"/>
  <c r="R163" i="16"/>
  <c r="F91" i="49" s="1"/>
  <c r="R164" i="16"/>
  <c r="F92" i="49" s="1"/>
  <c r="R165" i="16"/>
  <c r="F93" i="49" s="1"/>
  <c r="R166" i="16"/>
  <c r="F94" i="49" s="1"/>
  <c r="R167" i="16"/>
  <c r="F95" i="49" s="1"/>
  <c r="R168" i="16"/>
  <c r="F96" i="49" s="1"/>
  <c r="R169" i="16"/>
  <c r="F97" i="49" s="1"/>
  <c r="R170" i="16"/>
  <c r="F98" i="49" s="1"/>
  <c r="R171" i="16"/>
  <c r="F99" i="49" s="1"/>
  <c r="R172" i="16"/>
  <c r="F100" i="49" s="1"/>
  <c r="R173" i="16"/>
  <c r="F101" i="49" s="1"/>
  <c r="R174" i="16"/>
  <c r="F102" i="49" s="1"/>
  <c r="R175" i="16"/>
  <c r="F103" i="49" s="1"/>
  <c r="R176" i="16"/>
  <c r="F104" i="49" s="1"/>
  <c r="R177" i="16"/>
  <c r="F105" i="49" s="1"/>
  <c r="R178" i="16"/>
  <c r="F106" i="49" s="1"/>
  <c r="R179" i="16"/>
  <c r="F107" i="49" s="1"/>
  <c r="R180" i="16"/>
  <c r="F108" i="49" s="1"/>
  <c r="R181" i="16"/>
  <c r="F109" i="49" s="1"/>
  <c r="R182" i="16"/>
  <c r="F110" i="49" s="1"/>
  <c r="R183" i="16"/>
  <c r="F111" i="49" s="1"/>
  <c r="R184" i="16"/>
  <c r="F112" i="49" s="1"/>
  <c r="R185" i="16"/>
  <c r="F113" i="49" s="1"/>
  <c r="R186" i="16"/>
  <c r="F114" i="49" s="1"/>
  <c r="R187" i="16"/>
  <c r="F115" i="49" s="1"/>
  <c r="R188" i="16"/>
  <c r="F116" i="49" s="1"/>
  <c r="R189" i="16"/>
  <c r="F117" i="49" s="1"/>
  <c r="R190" i="16"/>
  <c r="F118" i="49" s="1"/>
  <c r="R191" i="16"/>
  <c r="F119" i="49" s="1"/>
  <c r="R192" i="16"/>
  <c r="F120" i="49" s="1"/>
  <c r="R193" i="16"/>
  <c r="F121" i="49" s="1"/>
  <c r="R194" i="16"/>
  <c r="F122" i="49" s="1"/>
  <c r="R195" i="16"/>
  <c r="F123" i="49" s="1"/>
  <c r="R196" i="16"/>
  <c r="F124" i="49" s="1"/>
  <c r="R197" i="16"/>
  <c r="F125" i="49" s="1"/>
  <c r="R198" i="16"/>
  <c r="F126" i="49" s="1"/>
  <c r="R199" i="16"/>
  <c r="F127" i="49" s="1"/>
  <c r="R200" i="16"/>
  <c r="F128" i="49" s="1"/>
  <c r="R201" i="16"/>
  <c r="F129" i="49" s="1"/>
  <c r="R202" i="16"/>
  <c r="F130" i="49" s="1"/>
  <c r="R203" i="16"/>
  <c r="F131" i="49" s="1"/>
  <c r="R204" i="16"/>
  <c r="F132" i="49" s="1"/>
  <c r="R205" i="16"/>
  <c r="F133" i="49" s="1"/>
  <c r="R206" i="16"/>
  <c r="F134" i="49" s="1"/>
  <c r="R207" i="16"/>
  <c r="F135" i="49" s="1"/>
  <c r="R208" i="16"/>
  <c r="F136" i="49" s="1"/>
  <c r="R209" i="16"/>
  <c r="F137" i="49" s="1"/>
  <c r="R210" i="16"/>
  <c r="F138" i="49" s="1"/>
  <c r="R211" i="16"/>
  <c r="F139" i="49" s="1"/>
  <c r="R212" i="16"/>
  <c r="F140" i="49" s="1"/>
  <c r="R213" i="16"/>
  <c r="F141" i="49" s="1"/>
  <c r="R214" i="16"/>
  <c r="F142" i="49" s="1"/>
  <c r="R215" i="16"/>
  <c r="F143" i="49" s="1"/>
  <c r="R216" i="16"/>
  <c r="F144" i="49" s="1"/>
  <c r="R217" i="16"/>
  <c r="F145" i="49" s="1"/>
  <c r="R218" i="16"/>
  <c r="F146" i="49" s="1"/>
  <c r="R219" i="16"/>
  <c r="F147" i="49" s="1"/>
  <c r="R220" i="16"/>
  <c r="F148" i="49" s="1"/>
  <c r="R221" i="16"/>
  <c r="F149" i="49" s="1"/>
  <c r="R222" i="16"/>
  <c r="F150" i="49" s="1"/>
  <c r="R223" i="16"/>
  <c r="F151" i="49" s="1"/>
  <c r="R224" i="16"/>
  <c r="F152" i="49" s="1"/>
  <c r="R225" i="16"/>
  <c r="F153" i="49" s="1"/>
  <c r="R226" i="16"/>
  <c r="F154" i="49" s="1"/>
  <c r="R227" i="16"/>
  <c r="F155" i="49" s="1"/>
  <c r="R228" i="16"/>
  <c r="F156" i="49" s="1"/>
  <c r="R229" i="16"/>
  <c r="F157" i="49" s="1"/>
  <c r="R230" i="16"/>
  <c r="F158" i="49" s="1"/>
  <c r="R231" i="16"/>
  <c r="F159" i="49" s="1"/>
  <c r="R232" i="16"/>
  <c r="F160" i="49" s="1"/>
  <c r="R233" i="16"/>
  <c r="F161" i="49" s="1"/>
  <c r="R234" i="16"/>
  <c r="F162" i="49" s="1"/>
  <c r="R235" i="16"/>
  <c r="F163" i="49" s="1"/>
  <c r="R236" i="16"/>
  <c r="F164" i="49" s="1"/>
  <c r="R237" i="16"/>
  <c r="F165" i="49" s="1"/>
  <c r="R238" i="16"/>
  <c r="F166" i="49" s="1"/>
  <c r="R239" i="16"/>
  <c r="F167" i="49" s="1"/>
  <c r="R240" i="16"/>
  <c r="F168" i="49" s="1"/>
  <c r="R241" i="16"/>
  <c r="F169" i="49" s="1"/>
  <c r="R242" i="16"/>
  <c r="F170" i="49" s="1"/>
  <c r="R243" i="16"/>
  <c r="F171" i="49" s="1"/>
  <c r="R244" i="16"/>
  <c r="F172" i="49" s="1"/>
  <c r="R245" i="16"/>
  <c r="F173" i="49" s="1"/>
  <c r="R246" i="16"/>
  <c r="F174" i="49" s="1"/>
  <c r="R247" i="16"/>
  <c r="F175" i="49" s="1"/>
  <c r="R248" i="16"/>
  <c r="F176" i="49" s="1"/>
  <c r="R249" i="16"/>
  <c r="F177" i="49" s="1"/>
  <c r="R250" i="16"/>
  <c r="F178" i="49" s="1"/>
  <c r="R251" i="16"/>
  <c r="F179" i="49" s="1"/>
  <c r="R252" i="16"/>
  <c r="F180" i="49" s="1"/>
  <c r="R253" i="16"/>
  <c r="F181" i="49" s="1"/>
  <c r="R254" i="16"/>
  <c r="F182" i="49" s="1"/>
  <c r="R255" i="16"/>
  <c r="F183" i="49" s="1"/>
  <c r="R256" i="16"/>
  <c r="F184" i="49" s="1"/>
  <c r="R257" i="16"/>
  <c r="F185" i="49" s="1"/>
  <c r="R258" i="16"/>
  <c r="F186" i="49" s="1"/>
  <c r="R259" i="16"/>
  <c r="F187" i="49" s="1"/>
  <c r="R260" i="16"/>
  <c r="F188" i="49" s="1"/>
  <c r="R261" i="16"/>
  <c r="F189" i="49" s="1"/>
  <c r="R262" i="16"/>
  <c r="F190" i="49" s="1"/>
  <c r="R263" i="16"/>
  <c r="F191" i="49" s="1"/>
  <c r="R264" i="16"/>
  <c r="F192" i="49" s="1"/>
  <c r="R265" i="16"/>
  <c r="F193" i="49" s="1"/>
  <c r="R266" i="16"/>
  <c r="F194" i="49" s="1"/>
  <c r="R267" i="16"/>
  <c r="F195" i="49" s="1"/>
  <c r="R268" i="16"/>
  <c r="F196" i="49" s="1"/>
  <c r="R269" i="16"/>
  <c r="F197" i="49" s="1"/>
  <c r="R270" i="16"/>
  <c r="F198" i="49" s="1"/>
  <c r="R271" i="16"/>
  <c r="F199" i="49" s="1"/>
  <c r="R272" i="16"/>
  <c r="F200" i="49" s="1"/>
  <c r="R273" i="16"/>
  <c r="F201" i="49" s="1"/>
  <c r="R274" i="16"/>
  <c r="F202" i="49" s="1"/>
  <c r="R275" i="16"/>
  <c r="F203" i="49" s="1"/>
  <c r="R276" i="16"/>
  <c r="F204" i="49" s="1"/>
  <c r="R277" i="16"/>
  <c r="F205" i="49" s="1"/>
  <c r="R278" i="16"/>
  <c r="F206" i="49" s="1"/>
  <c r="R279" i="16"/>
  <c r="F207" i="49" s="1"/>
  <c r="R280" i="16"/>
  <c r="F208" i="49" s="1"/>
  <c r="R281" i="16"/>
  <c r="F209" i="49" s="1"/>
  <c r="R282" i="16"/>
  <c r="F210" i="49" s="1"/>
  <c r="R283" i="16"/>
  <c r="F211" i="49" s="1"/>
  <c r="R284" i="16"/>
  <c r="F212" i="49" s="1"/>
  <c r="R285" i="16"/>
  <c r="F213" i="49" s="1"/>
  <c r="R286" i="16"/>
  <c r="F214" i="49" s="1"/>
  <c r="R287" i="16"/>
  <c r="F215" i="49" s="1"/>
  <c r="R288" i="16"/>
  <c r="F216" i="49" s="1"/>
  <c r="R289" i="16"/>
  <c r="F217" i="49" s="1"/>
  <c r="R290" i="16"/>
  <c r="F218" i="49" s="1"/>
  <c r="R291" i="16"/>
  <c r="F219" i="49" s="1"/>
  <c r="R292" i="16"/>
  <c r="F220" i="49" s="1"/>
  <c r="R293" i="16"/>
  <c r="F221" i="49" s="1"/>
  <c r="R294" i="16"/>
  <c r="F222" i="49" s="1"/>
  <c r="R295" i="16"/>
  <c r="F223" i="49" s="1"/>
  <c r="R296" i="16"/>
  <c r="F224" i="49" s="1"/>
  <c r="R297" i="16"/>
  <c r="F225" i="49" s="1"/>
  <c r="R298" i="16"/>
  <c r="F226" i="49" s="1"/>
  <c r="R299" i="16"/>
  <c r="F227" i="49" s="1"/>
  <c r="R75" i="16"/>
  <c r="F3" i="49" s="1"/>
  <c r="P76" i="16"/>
  <c r="K4" i="49" s="1"/>
  <c r="P77" i="16"/>
  <c r="K5" i="49" s="1"/>
  <c r="P78" i="16"/>
  <c r="K6" i="49" s="1"/>
  <c r="P79" i="16"/>
  <c r="K7" i="49" s="1"/>
  <c r="P80" i="16"/>
  <c r="K8" i="49" s="1"/>
  <c r="P81" i="16"/>
  <c r="K9" i="49" s="1"/>
  <c r="P82" i="16"/>
  <c r="K10" i="49" s="1"/>
  <c r="P83" i="16"/>
  <c r="K11" i="49" s="1"/>
  <c r="P84" i="16"/>
  <c r="K12" i="49" s="1"/>
  <c r="P85" i="16"/>
  <c r="K13" i="49" s="1"/>
  <c r="P86" i="16"/>
  <c r="K14" i="49" s="1"/>
  <c r="P87" i="16"/>
  <c r="K15" i="49" s="1"/>
  <c r="P88" i="16"/>
  <c r="K16" i="49" s="1"/>
  <c r="P89" i="16"/>
  <c r="K17" i="49" s="1"/>
  <c r="P90" i="16"/>
  <c r="K18" i="49" s="1"/>
  <c r="P91" i="16"/>
  <c r="K19" i="49" s="1"/>
  <c r="P92" i="16"/>
  <c r="K20" i="49" s="1"/>
  <c r="P93" i="16"/>
  <c r="K21" i="49" s="1"/>
  <c r="P94" i="16"/>
  <c r="K22" i="49" s="1"/>
  <c r="P95" i="16"/>
  <c r="K23" i="49" s="1"/>
  <c r="P96" i="16"/>
  <c r="K24" i="49" s="1"/>
  <c r="P97" i="16"/>
  <c r="K25" i="49" s="1"/>
  <c r="P98" i="16"/>
  <c r="K26" i="49" s="1"/>
  <c r="P99" i="16"/>
  <c r="K27" i="49" s="1"/>
  <c r="P100" i="16"/>
  <c r="K28" i="49" s="1"/>
  <c r="P101" i="16"/>
  <c r="K29" i="49" s="1"/>
  <c r="P102" i="16"/>
  <c r="K30" i="49" s="1"/>
  <c r="P103" i="16"/>
  <c r="K31" i="49" s="1"/>
  <c r="P104" i="16"/>
  <c r="K32" i="49" s="1"/>
  <c r="P105" i="16"/>
  <c r="K33" i="49" s="1"/>
  <c r="P106" i="16"/>
  <c r="K34" i="49" s="1"/>
  <c r="P107" i="16"/>
  <c r="K35" i="49" s="1"/>
  <c r="P108" i="16"/>
  <c r="K36" i="49" s="1"/>
  <c r="P109" i="16"/>
  <c r="K37" i="49" s="1"/>
  <c r="P110" i="16"/>
  <c r="K38" i="49" s="1"/>
  <c r="P111" i="16"/>
  <c r="K39" i="49" s="1"/>
  <c r="P112" i="16"/>
  <c r="K40" i="49" s="1"/>
  <c r="P113" i="16"/>
  <c r="K41" i="49" s="1"/>
  <c r="P114" i="16"/>
  <c r="K42" i="49" s="1"/>
  <c r="P115" i="16"/>
  <c r="K43" i="49" s="1"/>
  <c r="P116" i="16"/>
  <c r="K44" i="49" s="1"/>
  <c r="P117" i="16"/>
  <c r="K45" i="49" s="1"/>
  <c r="P118" i="16"/>
  <c r="K46" i="49" s="1"/>
  <c r="P119" i="16"/>
  <c r="K47" i="49" s="1"/>
  <c r="P120" i="16"/>
  <c r="K48" i="49" s="1"/>
  <c r="P121" i="16"/>
  <c r="K49" i="49" s="1"/>
  <c r="P122" i="16"/>
  <c r="K50" i="49" s="1"/>
  <c r="P123" i="16"/>
  <c r="K51" i="49" s="1"/>
  <c r="P124" i="16"/>
  <c r="K52" i="49" s="1"/>
  <c r="P125" i="16"/>
  <c r="K53" i="49" s="1"/>
  <c r="P126" i="16"/>
  <c r="K54" i="49" s="1"/>
  <c r="P127" i="16"/>
  <c r="K55" i="49" s="1"/>
  <c r="P128" i="16"/>
  <c r="K56" i="49" s="1"/>
  <c r="P129" i="16"/>
  <c r="K57" i="49" s="1"/>
  <c r="P130" i="16"/>
  <c r="K58" i="49" s="1"/>
  <c r="P131" i="16"/>
  <c r="K59" i="49" s="1"/>
  <c r="P132" i="16"/>
  <c r="K60" i="49" s="1"/>
  <c r="P133" i="16"/>
  <c r="K61" i="49" s="1"/>
  <c r="P134" i="16"/>
  <c r="K62" i="49" s="1"/>
  <c r="P135" i="16"/>
  <c r="K63" i="49" s="1"/>
  <c r="P136" i="16"/>
  <c r="K64" i="49" s="1"/>
  <c r="P137" i="16"/>
  <c r="K65" i="49" s="1"/>
  <c r="P138" i="16"/>
  <c r="K66" i="49" s="1"/>
  <c r="P139" i="16"/>
  <c r="K67" i="49" s="1"/>
  <c r="P140" i="16"/>
  <c r="K68" i="49" s="1"/>
  <c r="P141" i="16"/>
  <c r="K69" i="49" s="1"/>
  <c r="P142" i="16"/>
  <c r="K70" i="49" s="1"/>
  <c r="P143" i="16"/>
  <c r="K71" i="49" s="1"/>
  <c r="P144" i="16"/>
  <c r="K72" i="49" s="1"/>
  <c r="P145" i="16"/>
  <c r="K73" i="49" s="1"/>
  <c r="P146" i="16"/>
  <c r="K74" i="49" s="1"/>
  <c r="P147" i="16"/>
  <c r="K75" i="49" s="1"/>
  <c r="P148" i="16"/>
  <c r="K76" i="49" s="1"/>
  <c r="P149" i="16"/>
  <c r="K77" i="49" s="1"/>
  <c r="P150" i="16"/>
  <c r="K78" i="49" s="1"/>
  <c r="P151" i="16"/>
  <c r="K79" i="49" s="1"/>
  <c r="P152" i="16"/>
  <c r="K80" i="49" s="1"/>
  <c r="P153" i="16"/>
  <c r="K81" i="49" s="1"/>
  <c r="P154" i="16"/>
  <c r="K82" i="49" s="1"/>
  <c r="P155" i="16"/>
  <c r="K83" i="49" s="1"/>
  <c r="P156" i="16"/>
  <c r="K84" i="49" s="1"/>
  <c r="P157" i="16"/>
  <c r="K85" i="49" s="1"/>
  <c r="P158" i="16"/>
  <c r="K86" i="49" s="1"/>
  <c r="P159" i="16"/>
  <c r="K87" i="49" s="1"/>
  <c r="P160" i="16"/>
  <c r="K88" i="49" s="1"/>
  <c r="P161" i="16"/>
  <c r="K89" i="49" s="1"/>
  <c r="P162" i="16"/>
  <c r="K90" i="49" s="1"/>
  <c r="P163" i="16"/>
  <c r="K91" i="49" s="1"/>
  <c r="P164" i="16"/>
  <c r="K92" i="49" s="1"/>
  <c r="P165" i="16"/>
  <c r="K93" i="49" s="1"/>
  <c r="P166" i="16"/>
  <c r="K94" i="49" s="1"/>
  <c r="P167" i="16"/>
  <c r="K95" i="49" s="1"/>
  <c r="P168" i="16"/>
  <c r="K96" i="49" s="1"/>
  <c r="P169" i="16"/>
  <c r="K97" i="49" s="1"/>
  <c r="P170" i="16"/>
  <c r="K98" i="49" s="1"/>
  <c r="P171" i="16"/>
  <c r="K99" i="49" s="1"/>
  <c r="P172" i="16"/>
  <c r="K100" i="49" s="1"/>
  <c r="P173" i="16"/>
  <c r="K101" i="49" s="1"/>
  <c r="P174" i="16"/>
  <c r="K102" i="49" s="1"/>
  <c r="P175" i="16"/>
  <c r="K103" i="49" s="1"/>
  <c r="P176" i="16"/>
  <c r="K104" i="49" s="1"/>
  <c r="P177" i="16"/>
  <c r="K105" i="49" s="1"/>
  <c r="P178" i="16"/>
  <c r="K106" i="49" s="1"/>
  <c r="P179" i="16"/>
  <c r="K107" i="49" s="1"/>
  <c r="P180" i="16"/>
  <c r="K108" i="49" s="1"/>
  <c r="P181" i="16"/>
  <c r="K109" i="49" s="1"/>
  <c r="P182" i="16"/>
  <c r="K110" i="49" s="1"/>
  <c r="P183" i="16"/>
  <c r="K111" i="49" s="1"/>
  <c r="P184" i="16"/>
  <c r="K112" i="49" s="1"/>
  <c r="P185" i="16"/>
  <c r="K113" i="49" s="1"/>
  <c r="P186" i="16"/>
  <c r="K114" i="49" s="1"/>
  <c r="P187" i="16"/>
  <c r="K115" i="49" s="1"/>
  <c r="P188" i="16"/>
  <c r="K116" i="49" s="1"/>
  <c r="P189" i="16"/>
  <c r="K117" i="49" s="1"/>
  <c r="P190" i="16"/>
  <c r="K118" i="49" s="1"/>
  <c r="P191" i="16"/>
  <c r="K119" i="49" s="1"/>
  <c r="P192" i="16"/>
  <c r="K120" i="49" s="1"/>
  <c r="P193" i="16"/>
  <c r="K121" i="49" s="1"/>
  <c r="P194" i="16"/>
  <c r="K122" i="49" s="1"/>
  <c r="P195" i="16"/>
  <c r="K123" i="49" s="1"/>
  <c r="P196" i="16"/>
  <c r="K124" i="49" s="1"/>
  <c r="P197" i="16"/>
  <c r="K125" i="49" s="1"/>
  <c r="P198" i="16"/>
  <c r="K126" i="49" s="1"/>
  <c r="P199" i="16"/>
  <c r="K127" i="49" s="1"/>
  <c r="P200" i="16"/>
  <c r="K128" i="49" s="1"/>
  <c r="P201" i="16"/>
  <c r="K129" i="49" s="1"/>
  <c r="P202" i="16"/>
  <c r="K130" i="49" s="1"/>
  <c r="P203" i="16"/>
  <c r="K131" i="49" s="1"/>
  <c r="P204" i="16"/>
  <c r="K132" i="49" s="1"/>
  <c r="P205" i="16"/>
  <c r="K133" i="49" s="1"/>
  <c r="P206" i="16"/>
  <c r="K134" i="49" s="1"/>
  <c r="P207" i="16"/>
  <c r="K135" i="49" s="1"/>
  <c r="P208" i="16"/>
  <c r="K136" i="49" s="1"/>
  <c r="P209" i="16"/>
  <c r="K137" i="49" s="1"/>
  <c r="P210" i="16"/>
  <c r="K138" i="49" s="1"/>
  <c r="P211" i="16"/>
  <c r="K139" i="49" s="1"/>
  <c r="P212" i="16"/>
  <c r="K140" i="49" s="1"/>
  <c r="P213" i="16"/>
  <c r="K141" i="49" s="1"/>
  <c r="P214" i="16"/>
  <c r="K142" i="49" s="1"/>
  <c r="P215" i="16"/>
  <c r="K143" i="49" s="1"/>
  <c r="P216" i="16"/>
  <c r="K144" i="49" s="1"/>
  <c r="P217" i="16"/>
  <c r="K145" i="49" s="1"/>
  <c r="P218" i="16"/>
  <c r="K146" i="49" s="1"/>
  <c r="P219" i="16"/>
  <c r="K147" i="49" s="1"/>
  <c r="P220" i="16"/>
  <c r="K148" i="49" s="1"/>
  <c r="P221" i="16"/>
  <c r="K149" i="49" s="1"/>
  <c r="P222" i="16"/>
  <c r="K150" i="49" s="1"/>
  <c r="P223" i="16"/>
  <c r="K151" i="49" s="1"/>
  <c r="P224" i="16"/>
  <c r="K152" i="49" s="1"/>
  <c r="P225" i="16"/>
  <c r="K153" i="49" s="1"/>
  <c r="P226" i="16"/>
  <c r="K154" i="49" s="1"/>
  <c r="P227" i="16"/>
  <c r="K155" i="49" s="1"/>
  <c r="P228" i="16"/>
  <c r="K156" i="49" s="1"/>
  <c r="P229" i="16"/>
  <c r="K157" i="49" s="1"/>
  <c r="P230" i="16"/>
  <c r="K158" i="49" s="1"/>
  <c r="P231" i="16"/>
  <c r="K159" i="49" s="1"/>
  <c r="P232" i="16"/>
  <c r="K160" i="49" s="1"/>
  <c r="P233" i="16"/>
  <c r="K161" i="49" s="1"/>
  <c r="P234" i="16"/>
  <c r="K162" i="49" s="1"/>
  <c r="P235" i="16"/>
  <c r="K163" i="49" s="1"/>
  <c r="P236" i="16"/>
  <c r="K164" i="49" s="1"/>
  <c r="P237" i="16"/>
  <c r="K165" i="49" s="1"/>
  <c r="P238" i="16"/>
  <c r="K166" i="49" s="1"/>
  <c r="P239" i="16"/>
  <c r="K167" i="49" s="1"/>
  <c r="P240" i="16"/>
  <c r="K168" i="49" s="1"/>
  <c r="P241" i="16"/>
  <c r="K169" i="49" s="1"/>
  <c r="P242" i="16"/>
  <c r="K170" i="49" s="1"/>
  <c r="P243" i="16"/>
  <c r="K171" i="49" s="1"/>
  <c r="P244" i="16"/>
  <c r="K172" i="49" s="1"/>
  <c r="P245" i="16"/>
  <c r="K173" i="49" s="1"/>
  <c r="P246" i="16"/>
  <c r="K174" i="49" s="1"/>
  <c r="P247" i="16"/>
  <c r="K175" i="49" s="1"/>
  <c r="P248" i="16"/>
  <c r="K176" i="49" s="1"/>
  <c r="P249" i="16"/>
  <c r="K177" i="49" s="1"/>
  <c r="P250" i="16"/>
  <c r="K178" i="49" s="1"/>
  <c r="P251" i="16"/>
  <c r="K179" i="49" s="1"/>
  <c r="P252" i="16"/>
  <c r="K180" i="49" s="1"/>
  <c r="P253" i="16"/>
  <c r="K181" i="49" s="1"/>
  <c r="P254" i="16"/>
  <c r="K182" i="49" s="1"/>
  <c r="P255" i="16"/>
  <c r="K183" i="49" s="1"/>
  <c r="P256" i="16"/>
  <c r="K184" i="49" s="1"/>
  <c r="P257" i="16"/>
  <c r="K185" i="49" s="1"/>
  <c r="P258" i="16"/>
  <c r="K186" i="49" s="1"/>
  <c r="P259" i="16"/>
  <c r="K187" i="49" s="1"/>
  <c r="P260" i="16"/>
  <c r="K188" i="49" s="1"/>
  <c r="P261" i="16"/>
  <c r="K189" i="49" s="1"/>
  <c r="P262" i="16"/>
  <c r="K190" i="49" s="1"/>
  <c r="P263" i="16"/>
  <c r="K191" i="49" s="1"/>
  <c r="P264" i="16"/>
  <c r="K192" i="49" s="1"/>
  <c r="P265" i="16"/>
  <c r="K193" i="49" s="1"/>
  <c r="P266" i="16"/>
  <c r="K194" i="49" s="1"/>
  <c r="P267" i="16"/>
  <c r="K195" i="49" s="1"/>
  <c r="P268" i="16"/>
  <c r="K196" i="49" s="1"/>
  <c r="P269" i="16"/>
  <c r="K197" i="49" s="1"/>
  <c r="P270" i="16"/>
  <c r="K198" i="49" s="1"/>
  <c r="P271" i="16"/>
  <c r="K199" i="49" s="1"/>
  <c r="P272" i="16"/>
  <c r="K200" i="49" s="1"/>
  <c r="P273" i="16"/>
  <c r="K201" i="49" s="1"/>
  <c r="P274" i="16"/>
  <c r="K202" i="49" s="1"/>
  <c r="P275" i="16"/>
  <c r="K203" i="49" s="1"/>
  <c r="P276" i="16"/>
  <c r="K204" i="49" s="1"/>
  <c r="P277" i="16"/>
  <c r="K205" i="49" s="1"/>
  <c r="P278" i="16"/>
  <c r="K206" i="49" s="1"/>
  <c r="P279" i="16"/>
  <c r="K207" i="49" s="1"/>
  <c r="P280" i="16"/>
  <c r="K208" i="49" s="1"/>
  <c r="P281" i="16"/>
  <c r="K209" i="49" s="1"/>
  <c r="P282" i="16"/>
  <c r="K210" i="49" s="1"/>
  <c r="P283" i="16"/>
  <c r="K211" i="49" s="1"/>
  <c r="P284" i="16"/>
  <c r="K212" i="49" s="1"/>
  <c r="P285" i="16"/>
  <c r="K213" i="49" s="1"/>
  <c r="P286" i="16"/>
  <c r="K214" i="49" s="1"/>
  <c r="P287" i="16"/>
  <c r="K215" i="49" s="1"/>
  <c r="P288" i="16"/>
  <c r="K216" i="49" s="1"/>
  <c r="P289" i="16"/>
  <c r="K217" i="49" s="1"/>
  <c r="P290" i="16"/>
  <c r="K218" i="49" s="1"/>
  <c r="P291" i="16"/>
  <c r="K219" i="49" s="1"/>
  <c r="P292" i="16"/>
  <c r="K220" i="49" s="1"/>
  <c r="P293" i="16"/>
  <c r="K221" i="49" s="1"/>
  <c r="P294" i="16"/>
  <c r="K222" i="49" s="1"/>
  <c r="P295" i="16"/>
  <c r="K223" i="49" s="1"/>
  <c r="P296" i="16"/>
  <c r="K224" i="49" s="1"/>
  <c r="P297" i="16"/>
  <c r="K225" i="49" s="1"/>
  <c r="P298" i="16"/>
  <c r="K226" i="49" s="1"/>
  <c r="P299" i="16"/>
  <c r="K227" i="49" s="1"/>
  <c r="P75" i="16"/>
  <c r="K3" i="49" s="1"/>
  <c r="B39" i="3" l="1"/>
  <c r="B22" i="3" l="1"/>
  <c r="B21" i="3"/>
  <c r="B20" i="3"/>
  <c r="B19" i="3"/>
  <c r="B32" i="48"/>
  <c r="E32" i="48" s="1"/>
  <c r="B26" i="48"/>
  <c r="E26" i="48" s="1"/>
  <c r="B20" i="48"/>
  <c r="D20" i="48" s="1"/>
  <c r="G34" i="48"/>
  <c r="F34" i="48"/>
  <c r="E34" i="48"/>
  <c r="C32" i="48"/>
  <c r="F32" i="48" s="1"/>
  <c r="F31" i="48"/>
  <c r="E31" i="48"/>
  <c r="D31" i="48"/>
  <c r="F30" i="48"/>
  <c r="E30" i="48"/>
  <c r="D30" i="48"/>
  <c r="F29" i="48"/>
  <c r="E29" i="48"/>
  <c r="D29" i="48"/>
  <c r="C26" i="48"/>
  <c r="F26" i="48" s="1"/>
  <c r="F25" i="48"/>
  <c r="E25" i="48"/>
  <c r="D25" i="48"/>
  <c r="F24" i="48"/>
  <c r="E24" i="48"/>
  <c r="D24" i="48"/>
  <c r="F23" i="48"/>
  <c r="E23" i="48"/>
  <c r="D23" i="48"/>
  <c r="C20" i="48"/>
  <c r="F20" i="48" s="1"/>
  <c r="F19" i="48"/>
  <c r="E19" i="48"/>
  <c r="D19" i="48"/>
  <c r="F18" i="48"/>
  <c r="E18" i="48"/>
  <c r="D18" i="48"/>
  <c r="F17" i="48"/>
  <c r="E17" i="48"/>
  <c r="D17" i="48"/>
  <c r="B13" i="48"/>
  <c r="D32" i="48" l="1"/>
  <c r="H32" i="48" s="1"/>
  <c r="C11" i="48" s="1"/>
  <c r="H25" i="48"/>
  <c r="I34" i="48"/>
  <c r="C12" i="48" s="1"/>
  <c r="H24" i="48"/>
  <c r="H29" i="48"/>
  <c r="H30" i="48"/>
  <c r="H19" i="48"/>
  <c r="H23" i="48"/>
  <c r="H17" i="48"/>
  <c r="H31" i="48"/>
  <c r="E20" i="48"/>
  <c r="H20" i="48" s="1"/>
  <c r="C9" i="48" s="1"/>
  <c r="H18" i="48"/>
  <c r="D26" i="48"/>
  <c r="H26" i="48" s="1"/>
  <c r="C10" i="48" s="1"/>
  <c r="C13" i="48" l="1"/>
  <c r="C14" i="48" s="1"/>
  <c r="R19" i="17" l="1"/>
  <c r="L19" i="17"/>
  <c r="Q18" i="17"/>
  <c r="R18" i="17" s="1"/>
  <c r="R20" i="17" s="1"/>
  <c r="R21" i="17" s="1"/>
  <c r="K18" i="17"/>
  <c r="L18" i="17" s="1"/>
  <c r="L20" i="17" s="1"/>
  <c r="L21" i="17" s="1"/>
  <c r="C30" i="45" l="1"/>
  <c r="C29" i="45"/>
  <c r="C28" i="45"/>
  <c r="C27" i="45"/>
  <c r="E54" i="16" l="1"/>
  <c r="C4" i="50" s="1"/>
  <c r="CT41" i="46"/>
  <c r="CT43" i="46" s="1"/>
  <c r="CT37" i="46"/>
  <c r="CT26" i="46"/>
  <c r="CT28" i="46" s="1"/>
  <c r="CT22" i="46"/>
  <c r="G38" i="50" l="1"/>
  <c r="G26" i="50"/>
  <c r="G8" i="50"/>
  <c r="G21" i="50"/>
  <c r="G25" i="50"/>
  <c r="M11" i="50" s="1"/>
  <c r="G6" i="50"/>
  <c r="G36" i="50"/>
  <c r="G33" i="50"/>
  <c r="G34" i="50"/>
  <c r="G19" i="50"/>
  <c r="G29" i="50"/>
  <c r="G11" i="50"/>
  <c r="G15" i="50"/>
  <c r="G9" i="50"/>
  <c r="G32" i="50"/>
  <c r="G7" i="50"/>
  <c r="G17" i="50"/>
  <c r="G35" i="50"/>
  <c r="G37" i="50"/>
  <c r="G27" i="50"/>
  <c r="G12" i="50"/>
  <c r="G22" i="50"/>
  <c r="M10" i="50" s="1"/>
  <c r="G30" i="50"/>
  <c r="G18" i="50"/>
  <c r="G23" i="50"/>
  <c r="G20" i="50"/>
  <c r="M6" i="50" s="1"/>
  <c r="G31" i="50"/>
  <c r="G14" i="50"/>
  <c r="G16" i="50"/>
  <c r="G28" i="50"/>
  <c r="G10" i="50"/>
  <c r="G24" i="50"/>
  <c r="G13" i="50"/>
  <c r="F13" i="31"/>
  <c r="E12" i="31"/>
  <c r="D12" i="31"/>
  <c r="M7" i="50" l="1"/>
  <c r="M9" i="50"/>
  <c r="F12" i="31"/>
  <c r="F10" i="31"/>
  <c r="F5" i="31"/>
  <c r="F4" i="31"/>
  <c r="C32" i="34"/>
  <c r="C26" i="34"/>
  <c r="C20" i="34"/>
  <c r="B54" i="16" l="1"/>
  <c r="C21" i="16"/>
  <c r="C15" i="16"/>
  <c r="H54" i="45"/>
  <c r="H53" i="45"/>
  <c r="H52" i="45"/>
  <c r="H47" i="45"/>
  <c r="H46" i="45"/>
  <c r="C34" i="45"/>
  <c r="C48" i="45" s="1"/>
  <c r="H48" i="45" s="1"/>
  <c r="D33" i="45"/>
  <c r="H33" i="45" s="1"/>
  <c r="C33" i="45"/>
  <c r="G33" i="45" s="1"/>
  <c r="C32" i="45"/>
  <c r="G32" i="45" s="1"/>
  <c r="D31" i="45"/>
  <c r="D32" i="45" s="1"/>
  <c r="C31" i="45"/>
  <c r="I31" i="45" s="1"/>
  <c r="I30" i="45"/>
  <c r="I29" i="45"/>
  <c r="D29" i="45"/>
  <c r="H29" i="45" s="1"/>
  <c r="G29" i="45"/>
  <c r="I28" i="45"/>
  <c r="C16" i="16"/>
  <c r="D27" i="45"/>
  <c r="D28" i="45" s="1"/>
  <c r="I27" i="45"/>
  <c r="C26" i="45"/>
  <c r="I26" i="45" s="1"/>
  <c r="D25" i="45"/>
  <c r="H25" i="45" s="1"/>
  <c r="C25" i="45"/>
  <c r="G25" i="45" s="1"/>
  <c r="C24" i="45"/>
  <c r="C18" i="16" s="1"/>
  <c r="D23" i="45"/>
  <c r="D24" i="45" s="1"/>
  <c r="C23" i="45"/>
  <c r="I23" i="45" s="1"/>
  <c r="C22" i="45"/>
  <c r="I22" i="45" s="1"/>
  <c r="D21" i="45"/>
  <c r="H21" i="45" s="1"/>
  <c r="C21" i="45"/>
  <c r="G21" i="45" s="1"/>
  <c r="C20" i="45"/>
  <c r="C19" i="16" s="1"/>
  <c r="D19" i="45"/>
  <c r="D20" i="45" s="1"/>
  <c r="C19" i="45"/>
  <c r="I19" i="45" s="1"/>
  <c r="C18" i="45"/>
  <c r="I18" i="45" s="1"/>
  <c r="D17" i="45"/>
  <c r="H17" i="45" s="1"/>
  <c r="C17" i="45"/>
  <c r="G17" i="45" s="1"/>
  <c r="C16" i="45"/>
  <c r="G16" i="45" s="1"/>
  <c r="D15" i="45"/>
  <c r="D16" i="45" s="1"/>
  <c r="C15" i="45"/>
  <c r="I15" i="45" s="1"/>
  <c r="C14" i="45"/>
  <c r="I14" i="45" s="1"/>
  <c r="D13" i="45"/>
  <c r="H13" i="45" s="1"/>
  <c r="C13" i="45"/>
  <c r="G13" i="45" s="1"/>
  <c r="C12" i="45"/>
  <c r="C7" i="16" s="1"/>
  <c r="D11" i="45"/>
  <c r="D12" i="45" s="1"/>
  <c r="C11" i="45"/>
  <c r="I11" i="45" s="1"/>
  <c r="C10" i="45"/>
  <c r="I10" i="45" s="1"/>
  <c r="D9" i="45"/>
  <c r="H9" i="45" s="1"/>
  <c r="C9" i="45"/>
  <c r="G9" i="45" s="1"/>
  <c r="C8" i="45"/>
  <c r="C51" i="45" s="1"/>
  <c r="H51" i="45" s="1"/>
  <c r="D7" i="45"/>
  <c r="D8" i="45" s="1"/>
  <c r="C7" i="45"/>
  <c r="I7" i="45" s="1"/>
  <c r="C6" i="45"/>
  <c r="C49" i="45" s="1"/>
  <c r="H49" i="45" s="1"/>
  <c r="D5" i="45"/>
  <c r="H5" i="45" s="1"/>
  <c r="C5" i="45"/>
  <c r="G5" i="45" s="1"/>
  <c r="G28" i="45" l="1"/>
  <c r="C11" i="16"/>
  <c r="D10" i="45"/>
  <c r="J10" i="45" s="1"/>
  <c r="G20" i="45"/>
  <c r="H7" i="45"/>
  <c r="G27" i="45"/>
  <c r="G24" i="45"/>
  <c r="H19" i="45"/>
  <c r="C8" i="16"/>
  <c r="G12" i="45"/>
  <c r="I5" i="45"/>
  <c r="J17" i="45"/>
  <c r="I20" i="45"/>
  <c r="I24" i="45"/>
  <c r="H27" i="45"/>
  <c r="D30" i="45"/>
  <c r="J30" i="45" s="1"/>
  <c r="D18" i="45"/>
  <c r="J18" i="45" s="1"/>
  <c r="G7" i="45"/>
  <c r="G15" i="45"/>
  <c r="I25" i="45"/>
  <c r="H15" i="45"/>
  <c r="I32" i="45"/>
  <c r="C10" i="16"/>
  <c r="G23" i="45"/>
  <c r="J25" i="45"/>
  <c r="C9" i="16"/>
  <c r="D6" i="45"/>
  <c r="J6" i="45" s="1"/>
  <c r="J13" i="45"/>
  <c r="H23" i="45"/>
  <c r="I33" i="45"/>
  <c r="J5" i="45"/>
  <c r="I8" i="45"/>
  <c r="H11" i="45"/>
  <c r="I16" i="45"/>
  <c r="I21" i="45"/>
  <c r="D26" i="45"/>
  <c r="J26" i="45" s="1"/>
  <c r="G31" i="45"/>
  <c r="J33" i="45"/>
  <c r="C4" i="16"/>
  <c r="C12" i="16"/>
  <c r="C20" i="16"/>
  <c r="I13" i="45"/>
  <c r="G11" i="45"/>
  <c r="I9" i="45"/>
  <c r="D14" i="45"/>
  <c r="J14" i="45" s="1"/>
  <c r="G19" i="45"/>
  <c r="J21" i="45"/>
  <c r="H31" i="45"/>
  <c r="C5" i="16"/>
  <c r="C13" i="16"/>
  <c r="G8" i="45"/>
  <c r="J9" i="45"/>
  <c r="D34" i="45"/>
  <c r="J34" i="45" s="1"/>
  <c r="C6" i="16"/>
  <c r="C14" i="16"/>
  <c r="I12" i="45"/>
  <c r="I17" i="45"/>
  <c r="D22" i="45"/>
  <c r="J22" i="45" s="1"/>
  <c r="J29" i="45"/>
  <c r="H20" i="45"/>
  <c r="J20" i="45"/>
  <c r="H16" i="45"/>
  <c r="J16" i="45"/>
  <c r="H28" i="45"/>
  <c r="J28" i="45"/>
  <c r="H12" i="45"/>
  <c r="J12" i="45"/>
  <c r="H8" i="45"/>
  <c r="J8" i="45"/>
  <c r="H24" i="45"/>
  <c r="J24" i="45"/>
  <c r="H32" i="45"/>
  <c r="J32" i="45"/>
  <c r="G6" i="45"/>
  <c r="G10" i="45"/>
  <c r="G14" i="45"/>
  <c r="G18" i="45"/>
  <c r="G22" i="45"/>
  <c r="G26" i="45"/>
  <c r="G30" i="45"/>
  <c r="G34" i="45"/>
  <c r="C38" i="45"/>
  <c r="J7" i="45"/>
  <c r="J11" i="45"/>
  <c r="J15" i="45"/>
  <c r="J19" i="45"/>
  <c r="J23" i="45"/>
  <c r="J27" i="45"/>
  <c r="J31" i="45"/>
  <c r="C50" i="45"/>
  <c r="H50" i="45" s="1"/>
  <c r="I6" i="45"/>
  <c r="I34" i="45"/>
  <c r="H14" i="45" l="1"/>
  <c r="H10" i="45"/>
  <c r="H30" i="45"/>
  <c r="H26" i="45"/>
  <c r="H22" i="45"/>
  <c r="H18" i="45"/>
  <c r="H35" i="45"/>
  <c r="H34" i="45"/>
  <c r="G35" i="45"/>
  <c r="I35" i="45"/>
  <c r="H6" i="45"/>
  <c r="J35" i="45"/>
  <c r="D22" i="31" l="1"/>
  <c r="D20" i="31" l="1"/>
  <c r="D39" i="37" l="1"/>
  <c r="D38" i="37"/>
  <c r="D17" i="37"/>
  <c r="D22" i="37"/>
  <c r="E15" i="37"/>
  <c r="E24" i="37" s="1"/>
  <c r="D23" i="37"/>
  <c r="D24" i="37"/>
  <c r="D25" i="37"/>
  <c r="F25" i="37" s="1"/>
  <c r="D26" i="37"/>
  <c r="F26" i="37" s="1"/>
  <c r="D6" i="37"/>
  <c r="D27" i="37"/>
  <c r="F27" i="37" s="1"/>
  <c r="E22" i="37" l="1"/>
  <c r="F22" i="37" s="1"/>
  <c r="E23" i="37"/>
  <c r="F23" i="37"/>
  <c r="F24" i="37"/>
  <c r="F35" i="37" l="1"/>
  <c r="F6" i="37" l="1"/>
  <c r="D7" i="37"/>
  <c r="F7" i="37" s="1"/>
  <c r="D8" i="37"/>
  <c r="F8" i="37" s="1"/>
  <c r="D9" i="37"/>
  <c r="F9" i="37" s="1"/>
  <c r="D10" i="37"/>
  <c r="F10" i="37" s="1"/>
  <c r="D11" i="37"/>
  <c r="F11" i="37" s="1"/>
  <c r="D12" i="37"/>
  <c r="F12" i="37" s="1"/>
  <c r="D13" i="37"/>
  <c r="F13" i="37" s="1"/>
  <c r="D14" i="37"/>
  <c r="D5" i="37"/>
  <c r="F5" i="37" s="1"/>
  <c r="F15" i="37" l="1"/>
  <c r="C41" i="16"/>
  <c r="F17" i="37" l="1"/>
  <c r="F18" i="37" s="1"/>
  <c r="F37" i="37" s="1"/>
  <c r="K5" i="16"/>
  <c r="F38" i="37" l="1"/>
  <c r="F39" i="37" s="1" a="1"/>
  <c r="F39" i="37" s="1"/>
  <c r="F40" i="37" s="1"/>
  <c r="E88" i="11"/>
  <c r="K12" i="16"/>
  <c r="J12" i="16"/>
  <c r="I12" i="16"/>
  <c r="H12" i="16"/>
  <c r="G12" i="16"/>
  <c r="F12" i="16"/>
  <c r="AD222" i="19"/>
  <c r="AE222" i="19" s="1"/>
  <c r="AD90" i="19"/>
  <c r="AE90" i="19" s="1"/>
  <c r="AF90" i="19"/>
  <c r="AC90" i="19" s="1"/>
  <c r="AD91" i="19"/>
  <c r="AE91" i="19" s="1"/>
  <c r="AF91" i="19"/>
  <c r="AC91" i="19" s="1"/>
  <c r="AD92" i="19"/>
  <c r="AE92" i="19" s="1"/>
  <c r="AF92" i="19"/>
  <c r="AC92" i="19" s="1"/>
  <c r="AD93" i="19"/>
  <c r="AE93" i="19" s="1"/>
  <c r="AF93" i="19"/>
  <c r="AD94" i="19"/>
  <c r="AE94" i="19"/>
  <c r="AF94" i="19"/>
  <c r="AC94" i="19" s="1"/>
  <c r="AD95" i="19"/>
  <c r="AE95" i="19" s="1"/>
  <c r="AF95" i="19"/>
  <c r="AC95" i="19" s="1"/>
  <c r="AD96" i="19"/>
  <c r="AE96" i="19" s="1"/>
  <c r="AF96" i="19"/>
  <c r="AD97" i="19"/>
  <c r="AE97" i="19"/>
  <c r="AF97" i="19"/>
  <c r="AD98" i="19"/>
  <c r="AE98" i="19" s="1"/>
  <c r="AF98" i="19"/>
  <c r="AC98" i="19" s="1"/>
  <c r="AD99" i="19"/>
  <c r="AE99" i="19" s="1"/>
  <c r="AF99" i="19"/>
  <c r="AC99" i="19" s="1"/>
  <c r="AD100" i="19"/>
  <c r="AE100" i="19" s="1"/>
  <c r="AF100" i="19"/>
  <c r="AC100" i="19" s="1"/>
  <c r="AD101" i="19"/>
  <c r="AE101" i="19" s="1"/>
  <c r="AF101" i="19"/>
  <c r="AC101" i="19" s="1"/>
  <c r="AD102" i="19"/>
  <c r="AE102" i="19"/>
  <c r="AF102" i="19"/>
  <c r="AC102" i="19" s="1"/>
  <c r="AD103" i="19"/>
  <c r="AE103" i="19" s="1"/>
  <c r="AF103" i="19"/>
  <c r="AD104" i="19"/>
  <c r="AE104" i="19" s="1"/>
  <c r="AF104" i="19"/>
  <c r="AC104" i="19" s="1"/>
  <c r="AD105" i="19"/>
  <c r="AE105" i="19"/>
  <c r="AF105" i="19"/>
  <c r="AB209" i="19"/>
  <c r="AD209" i="19"/>
  <c r="AE209" i="19" s="1"/>
  <c r="AF209" i="19"/>
  <c r="AC209" i="19" s="1"/>
  <c r="AB210" i="19"/>
  <c r="AD210" i="19"/>
  <c r="AE210" i="19" s="1"/>
  <c r="AF210" i="19"/>
  <c r="AC210" i="19" s="1"/>
  <c r="AB211" i="19"/>
  <c r="AD211" i="19"/>
  <c r="AE211" i="19" s="1"/>
  <c r="AF211" i="19"/>
  <c r="AC211" i="19" s="1"/>
  <c r="AB212" i="19"/>
  <c r="AD212" i="19"/>
  <c r="AE212" i="19" s="1"/>
  <c r="AF212" i="19"/>
  <c r="AC212" i="19" s="1"/>
  <c r="AB213" i="19"/>
  <c r="AD213" i="19"/>
  <c r="AE213" i="19" s="1"/>
  <c r="AF213" i="19"/>
  <c r="AC213" i="19" s="1"/>
  <c r="AB214" i="19"/>
  <c r="AD214" i="19"/>
  <c r="AE214" i="19" s="1"/>
  <c r="AF214" i="19"/>
  <c r="AC214" i="19" s="1"/>
  <c r="AB215" i="19"/>
  <c r="AD215" i="19"/>
  <c r="AE215" i="19" s="1"/>
  <c r="AF215" i="19"/>
  <c r="AC215" i="19" s="1"/>
  <c r="AB216" i="19"/>
  <c r="AD216" i="19"/>
  <c r="AE216" i="19" s="1"/>
  <c r="AF216" i="19"/>
  <c r="AC216" i="19" s="1"/>
  <c r="AB217" i="19"/>
  <c r="AD217" i="19"/>
  <c r="AE217" i="19" s="1"/>
  <c r="AF217" i="19"/>
  <c r="AC217" i="19" s="1"/>
  <c r="AB218" i="19"/>
  <c r="AC218" i="19"/>
  <c r="AD218" i="19"/>
  <c r="AE218" i="19" s="1"/>
  <c r="AF218" i="19"/>
  <c r="AB219" i="19"/>
  <c r="AD219" i="19"/>
  <c r="AE219" i="19"/>
  <c r="AF219" i="19"/>
  <c r="AC219" i="19" s="1"/>
  <c r="AB220" i="19"/>
  <c r="AC220" i="19"/>
  <c r="AD220" i="19"/>
  <c r="AE220" i="19" s="1"/>
  <c r="AF220" i="19"/>
  <c r="AB221" i="19"/>
  <c r="AD221" i="19"/>
  <c r="AE221" i="19"/>
  <c r="AF221" i="19"/>
  <c r="AC221" i="19" s="1"/>
  <c r="AB222" i="19"/>
  <c r="AF222" i="19"/>
  <c r="AC222" i="19" s="1"/>
  <c r="AB223" i="19"/>
  <c r="AD223" i="19"/>
  <c r="AE223" i="19"/>
  <c r="AF223" i="19"/>
  <c r="AC223" i="19" s="1"/>
  <c r="AB224" i="19"/>
  <c r="AD224" i="19"/>
  <c r="AE224" i="19" s="1"/>
  <c r="AF224" i="19"/>
  <c r="AC224" i="19" s="1"/>
  <c r="AB225" i="19"/>
  <c r="AD225" i="19"/>
  <c r="AE225" i="19" s="1"/>
  <c r="AF225" i="19"/>
  <c r="AC225" i="19" s="1"/>
  <c r="AB226" i="19"/>
  <c r="AD226" i="19"/>
  <c r="AE226" i="19" s="1"/>
  <c r="AF226" i="19"/>
  <c r="AC226" i="19" s="1"/>
  <c r="AB227" i="19"/>
  <c r="AD227" i="19"/>
  <c r="AE227" i="19" s="1"/>
  <c r="AF227" i="19"/>
  <c r="AC227" i="19" s="1"/>
  <c r="AB228" i="19"/>
  <c r="AD228" i="19"/>
  <c r="AE228" i="19" s="1"/>
  <c r="AF228" i="19"/>
  <c r="AC228" i="19" s="1"/>
  <c r="AC93" i="19"/>
  <c r="AC96" i="19"/>
  <c r="AC97" i="19"/>
  <c r="AC103" i="19"/>
  <c r="AC105" i="19"/>
  <c r="AB90" i="19"/>
  <c r="AB91" i="19"/>
  <c r="AB92" i="19"/>
  <c r="AB93" i="19"/>
  <c r="AB94" i="19"/>
  <c r="AB95" i="19"/>
  <c r="AB96" i="19"/>
  <c r="AB97" i="19"/>
  <c r="AB98" i="19"/>
  <c r="AB99" i="19"/>
  <c r="AB100" i="19"/>
  <c r="AB101" i="19"/>
  <c r="AB102" i="19"/>
  <c r="AB103" i="19"/>
  <c r="AB104" i="19"/>
  <c r="AB105" i="19"/>
  <c r="S2" i="11"/>
  <c r="U2" i="11"/>
  <c r="S3" i="11"/>
  <c r="U3" i="11"/>
  <c r="S4" i="11"/>
  <c r="U4" i="11"/>
  <c r="S5" i="11"/>
  <c r="U5" i="11"/>
  <c r="S6" i="11"/>
  <c r="U6" i="11"/>
  <c r="S7" i="11"/>
  <c r="U7" i="11"/>
  <c r="S8" i="11"/>
  <c r="U8" i="11"/>
  <c r="S9" i="11"/>
  <c r="U9" i="11"/>
  <c r="S10" i="11"/>
  <c r="U10" i="11"/>
  <c r="S11" i="11"/>
  <c r="U11" i="11"/>
  <c r="S12" i="11"/>
  <c r="U12" i="11"/>
  <c r="S13" i="11"/>
  <c r="U13" i="11"/>
  <c r="S14" i="11"/>
  <c r="U14" i="11"/>
  <c r="S15" i="11"/>
  <c r="U15" i="11"/>
  <c r="S16" i="11"/>
  <c r="U16" i="11"/>
  <c r="S17" i="11"/>
  <c r="U17" i="11"/>
  <c r="S18" i="11"/>
  <c r="U18" i="11"/>
  <c r="S19" i="11"/>
  <c r="U19" i="11"/>
  <c r="S20" i="11"/>
  <c r="U20" i="11"/>
  <c r="S21" i="11"/>
  <c r="U21" i="11"/>
  <c r="S22" i="11"/>
  <c r="U22" i="11"/>
  <c r="S23" i="11"/>
  <c r="U23" i="11"/>
  <c r="S24" i="11"/>
  <c r="U24" i="11"/>
  <c r="S25" i="11"/>
  <c r="U25" i="11"/>
  <c r="S26" i="11"/>
  <c r="U26" i="11"/>
  <c r="S27" i="11"/>
  <c r="U27" i="11"/>
  <c r="S28" i="11"/>
  <c r="U28" i="11"/>
  <c r="S29" i="11"/>
  <c r="U29" i="11"/>
  <c r="S30" i="11"/>
  <c r="U30" i="11"/>
  <c r="S31" i="11"/>
  <c r="U31" i="11"/>
  <c r="S32" i="11"/>
  <c r="U32" i="11"/>
  <c r="S33" i="11"/>
  <c r="U33" i="11"/>
  <c r="S34" i="11"/>
  <c r="U34" i="11"/>
  <c r="S35" i="11"/>
  <c r="U35" i="11"/>
  <c r="S36" i="11"/>
  <c r="U36" i="11"/>
  <c r="S37" i="11"/>
  <c r="U37" i="11"/>
  <c r="S38" i="11"/>
  <c r="U38" i="11"/>
  <c r="S39" i="11"/>
  <c r="U39" i="11"/>
  <c r="S40" i="11"/>
  <c r="U40" i="11"/>
  <c r="S41" i="11"/>
  <c r="U41" i="11"/>
  <c r="S42" i="11"/>
  <c r="U42" i="11"/>
  <c r="S43" i="11"/>
  <c r="U43" i="11"/>
  <c r="S44" i="11"/>
  <c r="U44" i="11"/>
  <c r="S45" i="11"/>
  <c r="U45" i="11"/>
  <c r="S46" i="11"/>
  <c r="U46" i="11"/>
  <c r="S47" i="11"/>
  <c r="U47" i="11"/>
  <c r="S48" i="11"/>
  <c r="U48" i="11"/>
  <c r="S49" i="11"/>
  <c r="U49" i="11"/>
  <c r="S50" i="11"/>
  <c r="U50" i="11"/>
  <c r="S51" i="11"/>
  <c r="U51" i="11"/>
  <c r="S52" i="11"/>
  <c r="U52" i="11"/>
  <c r="S53" i="11"/>
  <c r="U53" i="11"/>
  <c r="S54" i="11"/>
  <c r="U54" i="11"/>
  <c r="S55" i="11"/>
  <c r="U55" i="11"/>
  <c r="S56" i="11"/>
  <c r="U56" i="11"/>
  <c r="S57" i="11"/>
  <c r="U57" i="11"/>
  <c r="S58" i="11"/>
  <c r="U58" i="11"/>
  <c r="S59" i="11"/>
  <c r="U59" i="11"/>
  <c r="S60" i="11"/>
  <c r="U60" i="11"/>
  <c r="S61" i="11"/>
  <c r="U61" i="11"/>
  <c r="S62" i="11"/>
  <c r="U62" i="11"/>
  <c r="S63" i="11"/>
  <c r="U63" i="11"/>
  <c r="S64" i="11"/>
  <c r="U64" i="11"/>
  <c r="S65" i="11"/>
  <c r="U65" i="11"/>
  <c r="S66" i="11"/>
  <c r="U66" i="11"/>
  <c r="S67" i="11"/>
  <c r="U67" i="11"/>
  <c r="S68" i="11"/>
  <c r="U68" i="11"/>
  <c r="S69" i="11"/>
  <c r="U69" i="11"/>
  <c r="S70" i="11"/>
  <c r="U70" i="11"/>
  <c r="S71" i="11"/>
  <c r="U71" i="11"/>
  <c r="S72" i="11"/>
  <c r="U72" i="11"/>
  <c r="S73" i="11"/>
  <c r="U73" i="11"/>
  <c r="S74" i="11"/>
  <c r="U74" i="11"/>
  <c r="S75" i="11"/>
  <c r="U75" i="11"/>
  <c r="S76" i="11"/>
  <c r="U76" i="11"/>
  <c r="S77" i="11"/>
  <c r="U77" i="11"/>
  <c r="S78" i="11"/>
  <c r="U78" i="11"/>
  <c r="S79" i="11"/>
  <c r="U79" i="11"/>
  <c r="S80" i="11"/>
  <c r="U80" i="11"/>
  <c r="S81" i="11"/>
  <c r="U81" i="11"/>
  <c r="S82" i="11"/>
  <c r="U82" i="11"/>
  <c r="S83" i="11"/>
  <c r="U83" i="11"/>
  <c r="S84" i="11"/>
  <c r="U84" i="11"/>
  <c r="S85" i="11"/>
  <c r="U85" i="11"/>
  <c r="S86" i="11"/>
  <c r="U86" i="11"/>
  <c r="S87" i="11"/>
  <c r="U87" i="11"/>
  <c r="S88" i="11"/>
  <c r="U88" i="11"/>
  <c r="S89" i="11"/>
  <c r="U89" i="11"/>
  <c r="S90" i="11"/>
  <c r="U90" i="11"/>
  <c r="S91" i="11"/>
  <c r="U91" i="11"/>
  <c r="S92" i="11"/>
  <c r="U92" i="11"/>
  <c r="S93" i="11"/>
  <c r="U93" i="11"/>
  <c r="S94" i="11"/>
  <c r="U94" i="11"/>
  <c r="S95" i="11"/>
  <c r="U95" i="11"/>
  <c r="S96" i="11"/>
  <c r="U96" i="11"/>
  <c r="S97" i="11"/>
  <c r="U97" i="11"/>
  <c r="S98" i="11"/>
  <c r="U98" i="11"/>
  <c r="S99" i="11"/>
  <c r="U99" i="11"/>
  <c r="S100" i="11"/>
  <c r="U100" i="11"/>
  <c r="S101" i="11"/>
  <c r="U101" i="11"/>
  <c r="S102" i="11"/>
  <c r="U102" i="11"/>
  <c r="S103" i="11"/>
  <c r="U103" i="11"/>
  <c r="S104" i="11"/>
  <c r="U104" i="11"/>
  <c r="S105" i="11"/>
  <c r="U105" i="11"/>
  <c r="S106" i="11"/>
  <c r="U106" i="11"/>
  <c r="S107" i="11"/>
  <c r="U107" i="11"/>
  <c r="S108" i="11"/>
  <c r="U108" i="11"/>
  <c r="S109" i="11"/>
  <c r="U109" i="11"/>
  <c r="S110" i="11"/>
  <c r="U110" i="11"/>
  <c r="S111" i="11"/>
  <c r="U111" i="11"/>
  <c r="S112" i="11"/>
  <c r="U112" i="11"/>
  <c r="S113" i="11"/>
  <c r="U113" i="11"/>
  <c r="S114" i="11"/>
  <c r="U114" i="11"/>
  <c r="S115" i="11"/>
  <c r="U115" i="11"/>
  <c r="S116" i="11"/>
  <c r="U116" i="11"/>
  <c r="S117" i="11"/>
  <c r="U117" i="11"/>
  <c r="S118" i="11"/>
  <c r="U118" i="11"/>
  <c r="S119" i="11"/>
  <c r="U119" i="11"/>
  <c r="S120" i="11"/>
  <c r="U120" i="11"/>
  <c r="S121" i="11"/>
  <c r="U121" i="11"/>
  <c r="S122" i="11"/>
  <c r="U122" i="11"/>
  <c r="S123" i="11"/>
  <c r="U123" i="11"/>
  <c r="S124" i="11"/>
  <c r="U124" i="11"/>
  <c r="S125" i="11"/>
  <c r="U125" i="11"/>
  <c r="S126" i="11"/>
  <c r="U126" i="11"/>
  <c r="S127" i="11"/>
  <c r="U127" i="11"/>
  <c r="S128" i="11"/>
  <c r="U128" i="11"/>
  <c r="S129" i="11"/>
  <c r="U129" i="11"/>
  <c r="S130" i="11"/>
  <c r="U130" i="11"/>
  <c r="S131" i="11"/>
  <c r="U131" i="11"/>
  <c r="S132" i="11"/>
  <c r="U132" i="11"/>
  <c r="S133" i="11"/>
  <c r="U133" i="11"/>
  <c r="S134" i="11"/>
  <c r="U134" i="11"/>
  <c r="S135" i="11"/>
  <c r="U135" i="11"/>
  <c r="S136" i="11"/>
  <c r="U136" i="11"/>
  <c r="S137" i="11"/>
  <c r="U137" i="11"/>
  <c r="S138" i="11"/>
  <c r="U138" i="11"/>
  <c r="S139" i="11"/>
  <c r="U139" i="11"/>
  <c r="S140" i="11"/>
  <c r="U140" i="11"/>
  <c r="S141" i="11"/>
  <c r="U141" i="11"/>
  <c r="S142" i="11"/>
  <c r="U142" i="11"/>
  <c r="S143" i="11"/>
  <c r="U143" i="11"/>
  <c r="S144" i="11"/>
  <c r="U144" i="11"/>
  <c r="S145" i="11"/>
  <c r="U145" i="11"/>
  <c r="S146" i="11"/>
  <c r="U146" i="11"/>
  <c r="S147" i="11"/>
  <c r="U147" i="11"/>
  <c r="S148" i="11"/>
  <c r="U148" i="11"/>
  <c r="S149" i="11"/>
  <c r="U149" i="11"/>
  <c r="S150" i="11"/>
  <c r="U150" i="11"/>
  <c r="S151" i="11"/>
  <c r="U151" i="11"/>
  <c r="S152" i="11"/>
  <c r="U152" i="11"/>
  <c r="S153" i="11"/>
  <c r="U153" i="11"/>
  <c r="S154" i="11"/>
  <c r="U154" i="11"/>
  <c r="S155" i="11"/>
  <c r="U155" i="11"/>
  <c r="S156" i="11"/>
  <c r="U156" i="11"/>
  <c r="S157" i="11"/>
  <c r="U157" i="11"/>
  <c r="S158" i="11"/>
  <c r="U158" i="11"/>
  <c r="S159" i="11"/>
  <c r="U159" i="11"/>
  <c r="S160" i="11"/>
  <c r="U160" i="11"/>
  <c r="S161" i="11"/>
  <c r="U161" i="11"/>
  <c r="S162" i="11"/>
  <c r="U162" i="11"/>
  <c r="S163" i="11"/>
  <c r="U163" i="11"/>
  <c r="S164" i="11"/>
  <c r="U164" i="11"/>
  <c r="S165" i="11"/>
  <c r="U165" i="11"/>
  <c r="S166" i="11"/>
  <c r="U166" i="11"/>
  <c r="S167" i="11"/>
  <c r="U167" i="11"/>
  <c r="S168" i="11"/>
  <c r="U168" i="11"/>
  <c r="S169" i="11"/>
  <c r="U169" i="11"/>
  <c r="S170" i="11"/>
  <c r="U170" i="11"/>
  <c r="S171" i="11"/>
  <c r="U171" i="11"/>
  <c r="S172" i="11"/>
  <c r="U172" i="11"/>
  <c r="S173" i="11"/>
  <c r="U173" i="11"/>
  <c r="S174" i="11"/>
  <c r="U174" i="11"/>
  <c r="S175" i="11"/>
  <c r="U175" i="11"/>
  <c r="S176" i="11"/>
  <c r="U176" i="11"/>
  <c r="S177" i="11"/>
  <c r="U177" i="11"/>
  <c r="S178" i="11"/>
  <c r="U178" i="11"/>
  <c r="S179" i="11"/>
  <c r="U179" i="11"/>
  <c r="S180" i="11"/>
  <c r="U180" i="11"/>
  <c r="S181" i="11"/>
  <c r="U181" i="11"/>
  <c r="S182" i="11"/>
  <c r="U182" i="11"/>
  <c r="S183" i="11"/>
  <c r="U183" i="11"/>
  <c r="S184" i="11"/>
  <c r="U184" i="11"/>
  <c r="S185" i="11"/>
  <c r="U185" i="11"/>
  <c r="S186" i="11"/>
  <c r="U186" i="11"/>
  <c r="S187" i="11"/>
  <c r="U187" i="11"/>
  <c r="S188" i="11"/>
  <c r="U188" i="11"/>
  <c r="S189" i="11"/>
  <c r="U189" i="11"/>
  <c r="S190" i="11"/>
  <c r="U190" i="11"/>
  <c r="S191" i="11"/>
  <c r="U191" i="11"/>
  <c r="S192" i="11"/>
  <c r="U192" i="11"/>
  <c r="S193" i="11"/>
  <c r="U193" i="11"/>
  <c r="S194" i="11"/>
  <c r="U194" i="11"/>
  <c r="S195" i="11"/>
  <c r="U195" i="11"/>
  <c r="S196" i="11"/>
  <c r="U196" i="11"/>
  <c r="S197" i="11"/>
  <c r="U197" i="11"/>
  <c r="S198" i="11"/>
  <c r="U198" i="11"/>
  <c r="S199" i="11"/>
  <c r="U199" i="11"/>
  <c r="S200" i="11"/>
  <c r="U200" i="11"/>
  <c r="S201" i="11"/>
  <c r="U201" i="11"/>
  <c r="S202" i="11"/>
  <c r="U202" i="11"/>
  <c r="S203" i="11"/>
  <c r="U203" i="11"/>
  <c r="S204" i="11"/>
  <c r="U204" i="11"/>
  <c r="S205" i="11"/>
  <c r="U205" i="11"/>
  <c r="S206" i="11"/>
  <c r="U206" i="11"/>
  <c r="S207" i="11"/>
  <c r="U207" i="11"/>
  <c r="S208" i="11"/>
  <c r="U208" i="11"/>
  <c r="S209" i="11"/>
  <c r="U209" i="11"/>
  <c r="S210" i="11"/>
  <c r="U210" i="11"/>
  <c r="S211" i="11"/>
  <c r="U211" i="11"/>
  <c r="S212" i="11"/>
  <c r="U212" i="11"/>
  <c r="S213" i="11"/>
  <c r="U213" i="11"/>
  <c r="S214" i="11"/>
  <c r="U214" i="11"/>
  <c r="S215" i="11"/>
  <c r="U215" i="11"/>
  <c r="S216" i="11"/>
  <c r="U216" i="11"/>
  <c r="S217" i="11"/>
  <c r="U217" i="11"/>
  <c r="S218" i="11"/>
  <c r="U218" i="11"/>
  <c r="S220" i="11"/>
  <c r="S221" i="11"/>
  <c r="S222" i="11"/>
  <c r="S223" i="11"/>
  <c r="S224" i="11"/>
  <c r="S225" i="11"/>
  <c r="S226" i="11"/>
  <c r="S219" i="11"/>
  <c r="Q219" i="11"/>
  <c r="F34" i="16"/>
  <c r="F33" i="16"/>
  <c r="F32" i="16"/>
  <c r="F31" i="16"/>
  <c r="F35" i="16"/>
  <c r="K207" i="11"/>
  <c r="Q207" i="11"/>
  <c r="Z207" i="11"/>
  <c r="AB207" i="11"/>
  <c r="K208" i="11"/>
  <c r="Q208" i="11"/>
  <c r="Z208" i="11"/>
  <c r="AB208" i="11"/>
  <c r="K209" i="11"/>
  <c r="Q209" i="11"/>
  <c r="Z209" i="11"/>
  <c r="AB209" i="11"/>
  <c r="K210" i="11"/>
  <c r="Q210" i="11"/>
  <c r="Z210" i="11"/>
  <c r="AB210" i="11"/>
  <c r="K211" i="11"/>
  <c r="Q211" i="11"/>
  <c r="Z211" i="11"/>
  <c r="AB211" i="11"/>
  <c r="K212" i="11"/>
  <c r="Q212" i="11"/>
  <c r="Z212" i="11"/>
  <c r="AB212" i="11"/>
  <c r="K213" i="11"/>
  <c r="Q213" i="11"/>
  <c r="Z213" i="11"/>
  <c r="AB213" i="11"/>
  <c r="K214" i="11"/>
  <c r="Q214" i="11"/>
  <c r="Z214" i="11"/>
  <c r="AB214" i="11"/>
  <c r="K215" i="11"/>
  <c r="Q215" i="11"/>
  <c r="Z215" i="11"/>
  <c r="AB215" i="11"/>
  <c r="K216" i="11"/>
  <c r="Q216" i="11"/>
  <c r="Z216" i="11"/>
  <c r="AB216" i="11"/>
  <c r="K217" i="11"/>
  <c r="Q217" i="11"/>
  <c r="Z217" i="11"/>
  <c r="AB217" i="11"/>
  <c r="K218" i="11"/>
  <c r="Q218" i="11"/>
  <c r="Z218" i="11"/>
  <c r="AB218" i="11"/>
  <c r="K219" i="11"/>
  <c r="U219" i="11"/>
  <c r="Z219" i="11"/>
  <c r="AB219" i="11"/>
  <c r="K220" i="11"/>
  <c r="Q220" i="11"/>
  <c r="U220" i="11"/>
  <c r="Z220" i="11"/>
  <c r="AB220" i="11"/>
  <c r="K221" i="11"/>
  <c r="Q221" i="11"/>
  <c r="U221" i="11"/>
  <c r="Z221" i="11"/>
  <c r="AB221" i="11"/>
  <c r="K222" i="11"/>
  <c r="Q222" i="11"/>
  <c r="U222" i="11"/>
  <c r="Z222" i="11"/>
  <c r="AB222" i="11"/>
  <c r="K223" i="11"/>
  <c r="Q223" i="11"/>
  <c r="U223" i="11"/>
  <c r="Z223" i="11"/>
  <c r="AB223" i="11"/>
  <c r="K224" i="11"/>
  <c r="Q224" i="11"/>
  <c r="U224" i="11"/>
  <c r="Z224" i="11"/>
  <c r="AB224" i="11"/>
  <c r="K225" i="11"/>
  <c r="Q225" i="11"/>
  <c r="U225" i="11"/>
  <c r="Z225" i="11"/>
  <c r="AB225" i="11"/>
  <c r="K226" i="11"/>
  <c r="Q226" i="11"/>
  <c r="U226" i="11"/>
  <c r="Z226" i="11"/>
  <c r="AB226" i="11"/>
  <c r="G207" i="11"/>
  <c r="G208" i="11"/>
  <c r="G209" i="11"/>
  <c r="G210" i="11"/>
  <c r="G211" i="11"/>
  <c r="G212" i="11"/>
  <c r="H212" i="11" s="1"/>
  <c r="G213" i="11"/>
  <c r="G214" i="11"/>
  <c r="G215" i="11"/>
  <c r="G216" i="11"/>
  <c r="G217" i="11"/>
  <c r="G218" i="11"/>
  <c r="G219" i="11"/>
  <c r="G220" i="11"/>
  <c r="H220" i="11" s="1"/>
  <c r="G221" i="11"/>
  <c r="G222" i="11"/>
  <c r="G223" i="11"/>
  <c r="G224" i="11"/>
  <c r="G225" i="11"/>
  <c r="G226"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AF88" i="11" s="1"/>
  <c r="D89" i="11"/>
  <c r="AG89" i="11" s="1"/>
  <c r="D90" i="11"/>
  <c r="D91" i="11"/>
  <c r="AG91" i="11" s="1"/>
  <c r="D92" i="11"/>
  <c r="AG92" i="11" s="1"/>
  <c r="D93" i="11"/>
  <c r="AF93" i="11" s="1"/>
  <c r="D94" i="11"/>
  <c r="AG94" i="11" s="1"/>
  <c r="D95" i="11"/>
  <c r="AG95" i="11" s="1"/>
  <c r="D96" i="11"/>
  <c r="AG96" i="11" s="1"/>
  <c r="D97" i="11"/>
  <c r="AG97" i="11" s="1"/>
  <c r="D98" i="11"/>
  <c r="D99" i="11"/>
  <c r="AG99" i="11" s="1"/>
  <c r="D100" i="11"/>
  <c r="AF100" i="11" s="1"/>
  <c r="D101" i="11"/>
  <c r="AG101" i="11" s="1"/>
  <c r="D102" i="11"/>
  <c r="AG102" i="11" s="1"/>
  <c r="D103" i="11"/>
  <c r="AG103" i="11" s="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AF213" i="11" s="1"/>
  <c r="D214" i="11"/>
  <c r="D215" i="11"/>
  <c r="D216" i="11"/>
  <c r="D217" i="11"/>
  <c r="D218" i="11"/>
  <c r="AF218" i="11" s="1"/>
  <c r="D219" i="11"/>
  <c r="AG219" i="11" s="1"/>
  <c r="D220" i="11"/>
  <c r="D221" i="11"/>
  <c r="D222" i="11"/>
  <c r="D223" i="11"/>
  <c r="D224" i="11"/>
  <c r="AG224" i="11" s="1"/>
  <c r="D225" i="11"/>
  <c r="AG225" i="11" s="1"/>
  <c r="D226" i="11"/>
  <c r="AF226" i="11" s="1"/>
  <c r="D3" i="11"/>
  <c r="B207" i="11"/>
  <c r="C207" i="11" s="1"/>
  <c r="B208" i="11"/>
  <c r="C208" i="11" s="1"/>
  <c r="B209" i="11"/>
  <c r="C209" i="11" s="1"/>
  <c r="B210" i="11"/>
  <c r="C210" i="11" s="1"/>
  <c r="B211" i="11"/>
  <c r="C211" i="11" s="1"/>
  <c r="B212" i="11"/>
  <c r="C212" i="11" s="1"/>
  <c r="B213" i="11"/>
  <c r="C213" i="11" s="1"/>
  <c r="B214" i="11"/>
  <c r="C214" i="11" s="1"/>
  <c r="B215" i="11"/>
  <c r="C215" i="11" s="1"/>
  <c r="B216" i="11"/>
  <c r="C216" i="11" s="1"/>
  <c r="B217" i="11"/>
  <c r="C217" i="11" s="1"/>
  <c r="B218" i="11"/>
  <c r="C218" i="11" s="1"/>
  <c r="B219" i="11"/>
  <c r="C219" i="11" s="1"/>
  <c r="B220" i="11"/>
  <c r="C220" i="11" s="1"/>
  <c r="B221" i="11"/>
  <c r="C221" i="11" s="1"/>
  <c r="B222" i="11"/>
  <c r="C222" i="11" s="1"/>
  <c r="B223" i="11"/>
  <c r="C223" i="11" s="1"/>
  <c r="B224" i="11"/>
  <c r="C224" i="11" s="1"/>
  <c r="B225" i="11"/>
  <c r="C225" i="11" s="1"/>
  <c r="B226" i="11"/>
  <c r="C226" i="11" s="1"/>
  <c r="AG88" i="11"/>
  <c r="AB3" i="11"/>
  <c r="AB4" i="11"/>
  <c r="AB5" i="11"/>
  <c r="AB6" i="11"/>
  <c r="AB7" i="11"/>
  <c r="AB8" i="11"/>
  <c r="AB9" i="11"/>
  <c r="AB10" i="11"/>
  <c r="AB11" i="11"/>
  <c r="AB12" i="11"/>
  <c r="AB13" i="11"/>
  <c r="AB14" i="11"/>
  <c r="AB15" i="11"/>
  <c r="AB16" i="11"/>
  <c r="AB17" i="11"/>
  <c r="AB18" i="11"/>
  <c r="AB19" i="11"/>
  <c r="AB20" i="11"/>
  <c r="AB21" i="11"/>
  <c r="AB22" i="11"/>
  <c r="AB23" i="11"/>
  <c r="AB24" i="11"/>
  <c r="AB25" i="11"/>
  <c r="AB26" i="11"/>
  <c r="AB27" i="11"/>
  <c r="AB28" i="11"/>
  <c r="AB29" i="11"/>
  <c r="AB30" i="11"/>
  <c r="AB31" i="11"/>
  <c r="AB32" i="11"/>
  <c r="AB33" i="11"/>
  <c r="AB34" i="11"/>
  <c r="AB35" i="11"/>
  <c r="AB36" i="11"/>
  <c r="AB37" i="11"/>
  <c r="AB38" i="11"/>
  <c r="AB39" i="11"/>
  <c r="AB40" i="11"/>
  <c r="AB41" i="11"/>
  <c r="AB42" i="11"/>
  <c r="AB43" i="11"/>
  <c r="AB44" i="11"/>
  <c r="AB45" i="11"/>
  <c r="AB46" i="11"/>
  <c r="AB47" i="11"/>
  <c r="AB48" i="11"/>
  <c r="AB49" i="11"/>
  <c r="AB50" i="11"/>
  <c r="AB51" i="11"/>
  <c r="AB52" i="11"/>
  <c r="AB53" i="11"/>
  <c r="AB54" i="11"/>
  <c r="AB55" i="11"/>
  <c r="AB56" i="11"/>
  <c r="AB57" i="11"/>
  <c r="AB58" i="11"/>
  <c r="AB59" i="11"/>
  <c r="AB60" i="11"/>
  <c r="AB61" i="11"/>
  <c r="AB62" i="11"/>
  <c r="AB63" i="11"/>
  <c r="AB64" i="11"/>
  <c r="AB65" i="11"/>
  <c r="AB66" i="11"/>
  <c r="AB67" i="11"/>
  <c r="AB68" i="11"/>
  <c r="AB69" i="11"/>
  <c r="AB70" i="11"/>
  <c r="AB71" i="11"/>
  <c r="AB72" i="11"/>
  <c r="AB73" i="11"/>
  <c r="AB74" i="11"/>
  <c r="AB75" i="11"/>
  <c r="AB76" i="11"/>
  <c r="AB77" i="11"/>
  <c r="AB78" i="11"/>
  <c r="AB79" i="11"/>
  <c r="AB80" i="11"/>
  <c r="AB81" i="11"/>
  <c r="AB82" i="11"/>
  <c r="AB83" i="11"/>
  <c r="AB84" i="11"/>
  <c r="AB85" i="11"/>
  <c r="AB86" i="11"/>
  <c r="AB87" i="11"/>
  <c r="AB88" i="11"/>
  <c r="AB89" i="11"/>
  <c r="AB90" i="11"/>
  <c r="AB91" i="11"/>
  <c r="AB92" i="11"/>
  <c r="AB93" i="11"/>
  <c r="AB94" i="11"/>
  <c r="AB95" i="11"/>
  <c r="AB96" i="11"/>
  <c r="AB97" i="11"/>
  <c r="AB98" i="11"/>
  <c r="AB99" i="11"/>
  <c r="AB100" i="11"/>
  <c r="AB101" i="11"/>
  <c r="AB102" i="11"/>
  <c r="AB103" i="11"/>
  <c r="AB104" i="11"/>
  <c r="AB105" i="11"/>
  <c r="AB106" i="11"/>
  <c r="AB107" i="11"/>
  <c r="AB108" i="11"/>
  <c r="AB109" i="11"/>
  <c r="AB110" i="11"/>
  <c r="AB111" i="11"/>
  <c r="AB112" i="11"/>
  <c r="AB113" i="11"/>
  <c r="AB114" i="11"/>
  <c r="AB115" i="11"/>
  <c r="AB116" i="11"/>
  <c r="AB117" i="11"/>
  <c r="AB118" i="11"/>
  <c r="AB119" i="11"/>
  <c r="AB120" i="11"/>
  <c r="AB121" i="11"/>
  <c r="AB122" i="11"/>
  <c r="AB123" i="11"/>
  <c r="AB124" i="11"/>
  <c r="AB125" i="11"/>
  <c r="AB126" i="11"/>
  <c r="AB127" i="11"/>
  <c r="AB128" i="11"/>
  <c r="AB129" i="11"/>
  <c r="AB130" i="11"/>
  <c r="AB131" i="11"/>
  <c r="AB132" i="11"/>
  <c r="AB133" i="11"/>
  <c r="AB134" i="11"/>
  <c r="AB135" i="11"/>
  <c r="AB136" i="11"/>
  <c r="AB137" i="11"/>
  <c r="AB138" i="11"/>
  <c r="AB139" i="11"/>
  <c r="AB140" i="11"/>
  <c r="AB141" i="11"/>
  <c r="AB142" i="11"/>
  <c r="AB143" i="11"/>
  <c r="AB144" i="11"/>
  <c r="AB145" i="11"/>
  <c r="AB146" i="11"/>
  <c r="AB147" i="11"/>
  <c r="AB148" i="11"/>
  <c r="AB149" i="11"/>
  <c r="AB150" i="11"/>
  <c r="AB151" i="11"/>
  <c r="AB152" i="11"/>
  <c r="AB153" i="11"/>
  <c r="AB154" i="11"/>
  <c r="AB155" i="11"/>
  <c r="AB156" i="11"/>
  <c r="AB157" i="11"/>
  <c r="AB158" i="11"/>
  <c r="AB159" i="11"/>
  <c r="AB160" i="11"/>
  <c r="AB161" i="11"/>
  <c r="AB162" i="11"/>
  <c r="AB163" i="11"/>
  <c r="AB164" i="11"/>
  <c r="AB165" i="11"/>
  <c r="AB166" i="11"/>
  <c r="AB167" i="11"/>
  <c r="AB168" i="11"/>
  <c r="AB169" i="11"/>
  <c r="AB170" i="11"/>
  <c r="AB171" i="11"/>
  <c r="AB172" i="11"/>
  <c r="AB173" i="11"/>
  <c r="AB174" i="11"/>
  <c r="AB175" i="11"/>
  <c r="AB176" i="11"/>
  <c r="AB177" i="11"/>
  <c r="AB178" i="11"/>
  <c r="AB179" i="11"/>
  <c r="AB180" i="11"/>
  <c r="AB181" i="11"/>
  <c r="AB182" i="11"/>
  <c r="AB183" i="11"/>
  <c r="AB184" i="11"/>
  <c r="AB185" i="11"/>
  <c r="AB186" i="11"/>
  <c r="AB187" i="11"/>
  <c r="AB188" i="11"/>
  <c r="AB189" i="11"/>
  <c r="AB190" i="11"/>
  <c r="AB191" i="11"/>
  <c r="AB192" i="11"/>
  <c r="AB193" i="11"/>
  <c r="AB194" i="11"/>
  <c r="AB195" i="11"/>
  <c r="AB196" i="11"/>
  <c r="AB197" i="11"/>
  <c r="AB198" i="11"/>
  <c r="AB199" i="11"/>
  <c r="AB200" i="11"/>
  <c r="AB201" i="11"/>
  <c r="AB202" i="11"/>
  <c r="AB203" i="11"/>
  <c r="AB204" i="11"/>
  <c r="AB205" i="11"/>
  <c r="AB206" i="11"/>
  <c r="AB2" i="11"/>
  <c r="Z88" i="11"/>
  <c r="Z89" i="11"/>
  <c r="Z90" i="11"/>
  <c r="Z91" i="11"/>
  <c r="Z92" i="11"/>
  <c r="Z93" i="11"/>
  <c r="Z94" i="11"/>
  <c r="Z95" i="11"/>
  <c r="Z96" i="11"/>
  <c r="Z97" i="11"/>
  <c r="Z98" i="11"/>
  <c r="Z99" i="11"/>
  <c r="Z100" i="11"/>
  <c r="Z101" i="11"/>
  <c r="Z102" i="11"/>
  <c r="Z103" i="11"/>
  <c r="Z104" i="11"/>
  <c r="Z105" i="11"/>
  <c r="Z106" i="11"/>
  <c r="Z107" i="11"/>
  <c r="Z108" i="11"/>
  <c r="Z109" i="11"/>
  <c r="Z110" i="11"/>
  <c r="Z111" i="11"/>
  <c r="Z112" i="11"/>
  <c r="Z113" i="11"/>
  <c r="Z114" i="11"/>
  <c r="Z115" i="11"/>
  <c r="Z116" i="11"/>
  <c r="Z117" i="11"/>
  <c r="Z118" i="11"/>
  <c r="Z119" i="11"/>
  <c r="Z120" i="11"/>
  <c r="Z121" i="11"/>
  <c r="Z122" i="11"/>
  <c r="Z123" i="11"/>
  <c r="Z124" i="11"/>
  <c r="Z125" i="11"/>
  <c r="Z126" i="11"/>
  <c r="Z127" i="11"/>
  <c r="Z128" i="11"/>
  <c r="Z129" i="11"/>
  <c r="Z130" i="11"/>
  <c r="Z131" i="11"/>
  <c r="Z132" i="11"/>
  <c r="Z133" i="11"/>
  <c r="Z134" i="11"/>
  <c r="Z135" i="11"/>
  <c r="Z136" i="11"/>
  <c r="Z137" i="11"/>
  <c r="Z138" i="11"/>
  <c r="Z139" i="11"/>
  <c r="Z140" i="11"/>
  <c r="Z141" i="11"/>
  <c r="Z142" i="11"/>
  <c r="Z143" i="11"/>
  <c r="Z144" i="11"/>
  <c r="Z145" i="11"/>
  <c r="Z146" i="11"/>
  <c r="Z147" i="11"/>
  <c r="Z148" i="11"/>
  <c r="Z149" i="11"/>
  <c r="Z150" i="11"/>
  <c r="Z151" i="11"/>
  <c r="Z152" i="11"/>
  <c r="Z153" i="11"/>
  <c r="Z154" i="11"/>
  <c r="Z155" i="11"/>
  <c r="Z156" i="11"/>
  <c r="Z157" i="11"/>
  <c r="Z158" i="11"/>
  <c r="Z159" i="11"/>
  <c r="Z160" i="11"/>
  <c r="Z161" i="11"/>
  <c r="Z162" i="11"/>
  <c r="Z163" i="11"/>
  <c r="Z164" i="11"/>
  <c r="Z165" i="11"/>
  <c r="Z166" i="11"/>
  <c r="Z167" i="11"/>
  <c r="Z168" i="11"/>
  <c r="Z169" i="11"/>
  <c r="Z170" i="11"/>
  <c r="Z171" i="11"/>
  <c r="Z172" i="11"/>
  <c r="Z173" i="11"/>
  <c r="Z174" i="11"/>
  <c r="Z175" i="11"/>
  <c r="Z176" i="11"/>
  <c r="Z177" i="11"/>
  <c r="Z178" i="11"/>
  <c r="Z179" i="11"/>
  <c r="Z180" i="11"/>
  <c r="Z181" i="11"/>
  <c r="Z182" i="11"/>
  <c r="Z183" i="11"/>
  <c r="Z184" i="11"/>
  <c r="Z185" i="11"/>
  <c r="Z186" i="11"/>
  <c r="Z187" i="11"/>
  <c r="Z188" i="11"/>
  <c r="Z189" i="11"/>
  <c r="Z190" i="11"/>
  <c r="Z191" i="11"/>
  <c r="Z192" i="11"/>
  <c r="Z193" i="11"/>
  <c r="Z194" i="11"/>
  <c r="Z195" i="11"/>
  <c r="Z196" i="11"/>
  <c r="Z197" i="11"/>
  <c r="Z198" i="11"/>
  <c r="Z199" i="11"/>
  <c r="Z200" i="11"/>
  <c r="Z201" i="11"/>
  <c r="Z202" i="11"/>
  <c r="Z203" i="11"/>
  <c r="Z204" i="11"/>
  <c r="Z205" i="11"/>
  <c r="Z206" i="11"/>
  <c r="Z3" i="11"/>
  <c r="Z4" i="11"/>
  <c r="Z5" i="11"/>
  <c r="Z6" i="11"/>
  <c r="Z7" i="11"/>
  <c r="Z8" i="11"/>
  <c r="Z9" i="11"/>
  <c r="Z10" i="11"/>
  <c r="Z11" i="11"/>
  <c r="Z12" i="11"/>
  <c r="Z13" i="11"/>
  <c r="Z14" i="11"/>
  <c r="Z15" i="11"/>
  <c r="Z16" i="11"/>
  <c r="Z17" i="11"/>
  <c r="Z18" i="11"/>
  <c r="Z19" i="11"/>
  <c r="Z20" i="11"/>
  <c r="Z21" i="11"/>
  <c r="Z22" i="11"/>
  <c r="Z23" i="11"/>
  <c r="Z24" i="11"/>
  <c r="Z25" i="11"/>
  <c r="Z26" i="11"/>
  <c r="Z27" i="11"/>
  <c r="Z28" i="11"/>
  <c r="Z29" i="11"/>
  <c r="Z30" i="11"/>
  <c r="Z31" i="11"/>
  <c r="Z32" i="11"/>
  <c r="Z33" i="11"/>
  <c r="Z34" i="11"/>
  <c r="Z35" i="11"/>
  <c r="Z36" i="11"/>
  <c r="Z37" i="11"/>
  <c r="Z38" i="11"/>
  <c r="Z39" i="11"/>
  <c r="Z40" i="11"/>
  <c r="Z41" i="11"/>
  <c r="Z42" i="11"/>
  <c r="Z43" i="11"/>
  <c r="Z44" i="11"/>
  <c r="Z45" i="11"/>
  <c r="Z46" i="11"/>
  <c r="Z47" i="11"/>
  <c r="Z48" i="11"/>
  <c r="Z49" i="11"/>
  <c r="Z50" i="11"/>
  <c r="Z51" i="11"/>
  <c r="Z52" i="11"/>
  <c r="Z53" i="11"/>
  <c r="Z54" i="11"/>
  <c r="Z55" i="11"/>
  <c r="Z56" i="11"/>
  <c r="Z57" i="11"/>
  <c r="Z58" i="11"/>
  <c r="Z59" i="11"/>
  <c r="Z60" i="11"/>
  <c r="Z61" i="11"/>
  <c r="Z62" i="11"/>
  <c r="Z63" i="11"/>
  <c r="Z64" i="11"/>
  <c r="Z65" i="11"/>
  <c r="Z66" i="11"/>
  <c r="Z67" i="11"/>
  <c r="Z68" i="11"/>
  <c r="Z69" i="11"/>
  <c r="Z70" i="11"/>
  <c r="Z71" i="11"/>
  <c r="Z72" i="11"/>
  <c r="Z73" i="11"/>
  <c r="Z74" i="11"/>
  <c r="Z75" i="11"/>
  <c r="Z76" i="11"/>
  <c r="Z77" i="11"/>
  <c r="Z78" i="11"/>
  <c r="Z79" i="11"/>
  <c r="Z80" i="11"/>
  <c r="Z81" i="11"/>
  <c r="Z82" i="11"/>
  <c r="Z83" i="11"/>
  <c r="Z84" i="11"/>
  <c r="Z85" i="11"/>
  <c r="Z86" i="11"/>
  <c r="Z87" i="11"/>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Q190" i="11"/>
  <c r="Q191" i="11"/>
  <c r="Q192" i="11"/>
  <c r="Q193" i="11"/>
  <c r="Q194" i="11"/>
  <c r="Q195" i="11"/>
  <c r="Q196" i="11"/>
  <c r="Q197" i="11"/>
  <c r="Q198" i="11"/>
  <c r="Q199" i="11"/>
  <c r="Q200" i="11"/>
  <c r="Q201" i="11"/>
  <c r="Q202" i="11"/>
  <c r="Q203" i="11"/>
  <c r="Q204" i="11"/>
  <c r="Q205" i="11"/>
  <c r="Q206" i="11"/>
  <c r="Q2" i="11"/>
  <c r="K3" i="11"/>
  <c r="K4"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 i="11"/>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 i="11"/>
  <c r="H221" i="11" l="1"/>
  <c r="H213" i="11"/>
  <c r="H219" i="11"/>
  <c r="H211" i="11"/>
  <c r="H226" i="11"/>
  <c r="H218" i="11"/>
  <c r="H210" i="11"/>
  <c r="H225" i="11"/>
  <c r="H217" i="11"/>
  <c r="H209" i="11"/>
  <c r="H224" i="11"/>
  <c r="H216" i="11"/>
  <c r="H208" i="11"/>
  <c r="H223" i="11"/>
  <c r="H215" i="11"/>
  <c r="H207" i="11"/>
  <c r="H222" i="11"/>
  <c r="H214" i="11"/>
  <c r="F42" i="37"/>
  <c r="F44" i="37" s="1"/>
  <c r="F41" i="37"/>
  <c r="AF94" i="11"/>
  <c r="T225" i="11"/>
  <c r="T222" i="11"/>
  <c r="T212" i="11"/>
  <c r="T224" i="11"/>
  <c r="T217" i="11"/>
  <c r="T213" i="11"/>
  <c r="T209" i="11"/>
  <c r="T223" i="11"/>
  <c r="T221" i="11"/>
  <c r="T208" i="11"/>
  <c r="T219" i="11"/>
  <c r="T220" i="11"/>
  <c r="T215" i="11"/>
  <c r="T211" i="11"/>
  <c r="T207" i="11"/>
  <c r="T216" i="11"/>
  <c r="T226" i="11"/>
  <c r="T218" i="11"/>
  <c r="T214" i="11"/>
  <c r="T210" i="11"/>
  <c r="AG93" i="11"/>
  <c r="AF96" i="11"/>
  <c r="AF103" i="11"/>
  <c r="AF101" i="11"/>
  <c r="AF89" i="11"/>
  <c r="AF97" i="11"/>
  <c r="AG100" i="11"/>
  <c r="AF92" i="11"/>
  <c r="AF95" i="11"/>
  <c r="AF102" i="11"/>
  <c r="AG98" i="11"/>
  <c r="AF98" i="11"/>
  <c r="AF90" i="11"/>
  <c r="AG90" i="11"/>
  <c r="G31" i="16"/>
  <c r="AG222" i="11"/>
  <c r="AF222" i="11"/>
  <c r="AF214" i="11"/>
  <c r="AG214" i="11"/>
  <c r="AG220" i="11"/>
  <c r="AF220" i="11"/>
  <c r="AF212" i="11"/>
  <c r="AG212" i="11"/>
  <c r="AF225" i="11"/>
  <c r="AF224" i="11"/>
  <c r="AF219" i="11"/>
  <c r="AG223" i="11"/>
  <c r="AG221" i="11"/>
  <c r="AF223" i="11"/>
  <c r="AF221" i="11"/>
  <c r="AG209" i="11"/>
  <c r="AG208" i="11"/>
  <c r="AG207" i="11"/>
  <c r="AF209" i="11"/>
  <c r="AF208" i="11"/>
  <c r="AF207" i="11"/>
  <c r="AG217" i="11"/>
  <c r="AG216" i="11"/>
  <c r="AG210" i="11"/>
  <c r="AF217" i="11"/>
  <c r="AF216" i="11"/>
  <c r="AG215" i="11"/>
  <c r="AG211" i="11"/>
  <c r="AF210" i="11"/>
  <c r="AG226" i="11"/>
  <c r="AG218" i="11"/>
  <c r="AF215" i="11"/>
  <c r="AG213" i="11"/>
  <c r="AF211" i="11"/>
  <c r="AF99" i="11"/>
  <c r="AF91" i="11"/>
  <c r="C15" i="17" l="1"/>
  <c r="X27" i="19"/>
  <c r="Y27" i="19" s="1"/>
  <c r="F11" i="16"/>
  <c r="J11" i="16"/>
  <c r="I11" i="16"/>
  <c r="H11" i="16"/>
  <c r="G11" i="16"/>
  <c r="K11" i="16"/>
  <c r="V216" i="11" l="1"/>
  <c r="V213" i="11"/>
  <c r="V223" i="11"/>
  <c r="V212" i="11"/>
  <c r="V221" i="11"/>
  <c r="V209" i="11"/>
  <c r="V220" i="11"/>
  <c r="V226" i="11"/>
  <c r="V208" i="11"/>
  <c r="V215" i="11"/>
  <c r="V211" i="11"/>
  <c r="V224" i="11"/>
  <c r="V210" i="11"/>
  <c r="V207" i="11"/>
  <c r="V218" i="11"/>
  <c r="V225" i="11"/>
  <c r="V217" i="11"/>
  <c r="V219" i="11"/>
  <c r="V214" i="11"/>
  <c r="V222" i="11"/>
  <c r="K10" i="16"/>
  <c r="D27" i="16"/>
  <c r="D26" i="16"/>
  <c r="G26" i="16"/>
  <c r="J5" i="16"/>
  <c r="K4" i="16"/>
  <c r="J4" i="16"/>
  <c r="R215" i="11" l="1"/>
  <c r="R213" i="11"/>
  <c r="R225" i="11"/>
  <c r="R214" i="11"/>
  <c r="R220" i="11"/>
  <c r="R211" i="11"/>
  <c r="R223" i="11"/>
  <c r="R218" i="11"/>
  <c r="R209" i="11"/>
  <c r="R216" i="11"/>
  <c r="R221" i="11"/>
  <c r="R224" i="11"/>
  <c r="R207" i="11"/>
  <c r="R217" i="11"/>
  <c r="R212" i="11"/>
  <c r="R219" i="11"/>
  <c r="R226" i="11"/>
  <c r="R210" i="11"/>
  <c r="R222" i="11"/>
  <c r="R208" i="11"/>
  <c r="F221" i="11"/>
  <c r="F210" i="11"/>
  <c r="F225" i="11"/>
  <c r="F216" i="11"/>
  <c r="F213" i="11"/>
  <c r="F222" i="11"/>
  <c r="F217" i="11"/>
  <c r="F208" i="11"/>
  <c r="F218" i="11"/>
  <c r="F209" i="11"/>
  <c r="F223" i="11"/>
  <c r="F224" i="11"/>
  <c r="F214" i="11"/>
  <c r="F220" i="11"/>
  <c r="F215" i="11"/>
  <c r="F212" i="11"/>
  <c r="F207" i="11"/>
  <c r="F219" i="11"/>
  <c r="F211" i="11"/>
  <c r="F226" i="11"/>
  <c r="H26" i="16"/>
  <c r="K6" i="16" s="1"/>
  <c r="K7" i="16" l="1"/>
  <c r="K8" i="16"/>
  <c r="K9" i="16"/>
  <c r="L210" i="11" l="1"/>
  <c r="L225" i="11"/>
  <c r="L223" i="11"/>
  <c r="L219" i="11"/>
  <c r="L222" i="11"/>
  <c r="L217" i="11"/>
  <c r="L226" i="11"/>
  <c r="L215" i="11"/>
  <c r="L213" i="11"/>
  <c r="L212" i="11"/>
  <c r="L220" i="11"/>
  <c r="L216" i="11"/>
  <c r="L211" i="11"/>
  <c r="L218" i="11"/>
  <c r="L208" i="11"/>
  <c r="L221" i="11"/>
  <c r="L209" i="11"/>
  <c r="L214" i="11"/>
  <c r="L224" i="11"/>
  <c r="L207" i="11"/>
  <c r="B88" i="11"/>
  <c r="C88" i="11" s="1"/>
  <c r="B89" i="11"/>
  <c r="C89" i="11" s="1"/>
  <c r="B90" i="11"/>
  <c r="C90" i="11" s="1"/>
  <c r="B91" i="11"/>
  <c r="C91" i="11" s="1"/>
  <c r="B92" i="11"/>
  <c r="C92" i="11" s="1"/>
  <c r="B93" i="11"/>
  <c r="C93" i="11" s="1"/>
  <c r="B94" i="11"/>
  <c r="C94" i="11" s="1"/>
  <c r="B95" i="11"/>
  <c r="C95" i="11" s="1"/>
  <c r="B96" i="11"/>
  <c r="C96" i="11" s="1"/>
  <c r="B97" i="11"/>
  <c r="C97" i="11" s="1"/>
  <c r="B98" i="11"/>
  <c r="C98" i="11" s="1"/>
  <c r="B99" i="11"/>
  <c r="C99" i="11" s="1"/>
  <c r="B100" i="11"/>
  <c r="C100" i="11" s="1"/>
  <c r="B101" i="11"/>
  <c r="C101" i="11" s="1"/>
  <c r="B102" i="11"/>
  <c r="C102" i="11" s="1"/>
  <c r="B103" i="11"/>
  <c r="C103" i="11" s="1"/>
  <c r="F162" i="16"/>
  <c r="F163" i="16"/>
  <c r="F164" i="16"/>
  <c r="F165" i="16"/>
  <c r="F166" i="16"/>
  <c r="F167" i="16"/>
  <c r="F168" i="16"/>
  <c r="F169" i="16"/>
  <c r="F170" i="16"/>
  <c r="F171" i="16"/>
  <c r="F172" i="16"/>
  <c r="F173" i="16"/>
  <c r="F174" i="16"/>
  <c r="F175" i="16"/>
  <c r="F176" i="16"/>
  <c r="F161" i="16"/>
  <c r="F159" i="16"/>
  <c r="F292" i="16"/>
  <c r="Q292" i="16" s="1"/>
  <c r="F278" i="16"/>
  <c r="F280" i="16"/>
  <c r="F281" i="16"/>
  <c r="F282" i="16"/>
  <c r="F283" i="16"/>
  <c r="F284" i="16"/>
  <c r="F285" i="16"/>
  <c r="F286" i="16"/>
  <c r="F287" i="16"/>
  <c r="F288" i="16"/>
  <c r="F289" i="16"/>
  <c r="F290" i="16"/>
  <c r="F291" i="16"/>
  <c r="F293" i="16"/>
  <c r="F294" i="16"/>
  <c r="F295" i="16"/>
  <c r="F296" i="16"/>
  <c r="F297" i="16"/>
  <c r="F298" i="16"/>
  <c r="F299" i="16"/>
  <c r="L49" i="16"/>
  <c r="L48" i="16"/>
  <c r="L47" i="16"/>
  <c r="F279" i="16"/>
  <c r="I215" i="11" l="1"/>
  <c r="J215" i="11" s="1"/>
  <c r="Q288" i="16"/>
  <c r="I207" i="11"/>
  <c r="J207" i="11" s="1"/>
  <c r="Q280" i="16"/>
  <c r="I92" i="11"/>
  <c r="J92" i="11" s="1"/>
  <c r="Q165" i="16"/>
  <c r="I214" i="11"/>
  <c r="J214" i="11" s="1"/>
  <c r="Q287" i="16"/>
  <c r="I91" i="11"/>
  <c r="J91" i="11" s="1"/>
  <c r="Q164" i="16"/>
  <c r="I90" i="11"/>
  <c r="J90" i="11" s="1"/>
  <c r="Q163" i="16"/>
  <c r="I224" i="11"/>
  <c r="J224" i="11" s="1"/>
  <c r="Q297" i="16"/>
  <c r="I100" i="11"/>
  <c r="Q173" i="16"/>
  <c r="I89" i="11"/>
  <c r="J89" i="11" s="1"/>
  <c r="Q162" i="16"/>
  <c r="I222" i="11"/>
  <c r="J222" i="11" s="1"/>
  <c r="Q295" i="16"/>
  <c r="I98" i="11"/>
  <c r="J98" i="11" s="1"/>
  <c r="Q171" i="16"/>
  <c r="I86" i="11"/>
  <c r="Q159" i="16"/>
  <c r="I220" i="11"/>
  <c r="J220" i="11" s="1"/>
  <c r="Q293" i="16"/>
  <c r="I211" i="11"/>
  <c r="J211" i="11" s="1"/>
  <c r="Q284" i="16"/>
  <c r="I88" i="11"/>
  <c r="J88" i="11" s="1"/>
  <c r="Q161" i="16"/>
  <c r="I96" i="11"/>
  <c r="J96" i="11" s="1"/>
  <c r="Q169" i="16"/>
  <c r="I213" i="11"/>
  <c r="J213" i="11" s="1"/>
  <c r="Q286" i="16"/>
  <c r="I221" i="11"/>
  <c r="J221" i="11" s="1"/>
  <c r="Q294" i="16"/>
  <c r="I218" i="11"/>
  <c r="J218" i="11" s="1"/>
  <c r="Q291" i="16"/>
  <c r="I103" i="11"/>
  <c r="J103" i="11" s="1"/>
  <c r="Q176" i="16"/>
  <c r="I95" i="11"/>
  <c r="J95" i="11" s="1"/>
  <c r="Q168" i="16"/>
  <c r="I205" i="11"/>
  <c r="Q278" i="16"/>
  <c r="I99" i="11"/>
  <c r="J99" i="11" s="1"/>
  <c r="Q172" i="16"/>
  <c r="I206" i="11"/>
  <c r="Q279" i="16"/>
  <c r="I94" i="11"/>
  <c r="J94" i="11" s="1"/>
  <c r="Q167" i="16"/>
  <c r="I223" i="11"/>
  <c r="J223" i="11" s="1"/>
  <c r="Q296" i="16"/>
  <c r="E220" i="49"/>
  <c r="H220" i="49" s="1"/>
  <c r="T292" i="16"/>
  <c r="I212" i="11"/>
  <c r="J212" i="11" s="1"/>
  <c r="Q285" i="16"/>
  <c r="I97" i="11"/>
  <c r="J97" i="11" s="1"/>
  <c r="Q170" i="16"/>
  <c r="I210" i="11"/>
  <c r="J210" i="11" s="1"/>
  <c r="Q283" i="16"/>
  <c r="I226" i="11"/>
  <c r="J226" i="11" s="1"/>
  <c r="Q299" i="16"/>
  <c r="I217" i="11"/>
  <c r="J217" i="11" s="1"/>
  <c r="Q290" i="16"/>
  <c r="I209" i="11"/>
  <c r="J209" i="11" s="1"/>
  <c r="Q282" i="16"/>
  <c r="I102" i="11"/>
  <c r="J102" i="11" s="1"/>
  <c r="Q175" i="16"/>
  <c r="I225" i="11"/>
  <c r="J225" i="11" s="1"/>
  <c r="Q298" i="16"/>
  <c r="I216" i="11"/>
  <c r="J216" i="11" s="1"/>
  <c r="Q289" i="16"/>
  <c r="I208" i="11"/>
  <c r="J208" i="11" s="1"/>
  <c r="Q281" i="16"/>
  <c r="I101" i="11"/>
  <c r="J101" i="11" s="1"/>
  <c r="Q174" i="16"/>
  <c r="I93" i="11"/>
  <c r="J93" i="11" s="1"/>
  <c r="Q166" i="16"/>
  <c r="J100" i="11"/>
  <c r="H95" i="11"/>
  <c r="R95" i="11"/>
  <c r="L95" i="11"/>
  <c r="V95" i="11"/>
  <c r="F95" i="11"/>
  <c r="H102" i="11"/>
  <c r="L102" i="11"/>
  <c r="R102" i="11"/>
  <c r="F102" i="11"/>
  <c r="V102" i="11"/>
  <c r="F94" i="11"/>
  <c r="H94" i="11"/>
  <c r="R94" i="11"/>
  <c r="L94" i="11"/>
  <c r="V94" i="11"/>
  <c r="R101" i="11"/>
  <c r="L101" i="11"/>
  <c r="F101" i="11"/>
  <c r="H101" i="11"/>
  <c r="V101" i="11"/>
  <c r="R93" i="11"/>
  <c r="H93" i="11"/>
  <c r="L93" i="11"/>
  <c r="F93" i="11"/>
  <c r="V93" i="11"/>
  <c r="L100" i="11"/>
  <c r="H100" i="11"/>
  <c r="V100" i="11"/>
  <c r="R100" i="11"/>
  <c r="F100" i="11"/>
  <c r="R92" i="11"/>
  <c r="L92" i="11"/>
  <c r="H92" i="11"/>
  <c r="F92" i="11"/>
  <c r="V92" i="11"/>
  <c r="L99" i="11"/>
  <c r="R99" i="11"/>
  <c r="H99" i="11"/>
  <c r="V99" i="11"/>
  <c r="F99" i="11"/>
  <c r="H91" i="11"/>
  <c r="L91" i="11"/>
  <c r="R91" i="11"/>
  <c r="V91" i="11"/>
  <c r="F91" i="11"/>
  <c r="L98" i="11"/>
  <c r="H98" i="11"/>
  <c r="R98" i="11"/>
  <c r="F98" i="11"/>
  <c r="V98" i="11"/>
  <c r="L90" i="11"/>
  <c r="R90" i="11"/>
  <c r="H90" i="11"/>
  <c r="V90" i="11"/>
  <c r="F90" i="11"/>
  <c r="R103" i="11"/>
  <c r="L103" i="11"/>
  <c r="V103" i="11"/>
  <c r="F103" i="11"/>
  <c r="H103" i="11"/>
  <c r="H97" i="11"/>
  <c r="R97" i="11"/>
  <c r="L97" i="11"/>
  <c r="V97" i="11"/>
  <c r="F97" i="11"/>
  <c r="L89" i="11"/>
  <c r="H89" i="11"/>
  <c r="R89" i="11"/>
  <c r="F89" i="11"/>
  <c r="V89" i="11"/>
  <c r="H96" i="11"/>
  <c r="L96" i="11"/>
  <c r="R96" i="11"/>
  <c r="V96" i="11"/>
  <c r="F96" i="11"/>
  <c r="H88" i="11"/>
  <c r="R88" i="11"/>
  <c r="L88" i="11"/>
  <c r="V88" i="11"/>
  <c r="F88" i="11"/>
  <c r="I219" i="11"/>
  <c r="J219" i="11" s="1"/>
  <c r="T98" i="11"/>
  <c r="T89" i="11"/>
  <c r="T88" i="11"/>
  <c r="T103" i="11"/>
  <c r="T95" i="11"/>
  <c r="T97" i="11"/>
  <c r="T96" i="11"/>
  <c r="T102" i="11"/>
  <c r="T94" i="11"/>
  <c r="T101" i="11"/>
  <c r="T93" i="11"/>
  <c r="T100" i="11"/>
  <c r="T92" i="11"/>
  <c r="T90" i="11"/>
  <c r="T99" i="11"/>
  <c r="T91" i="11"/>
  <c r="L50" i="16"/>
  <c r="L51" i="16" s="1"/>
  <c r="H286" i="16" s="1"/>
  <c r="M213" i="11" s="1"/>
  <c r="N213" i="11" s="1"/>
  <c r="E101" i="49" l="1"/>
  <c r="H101" i="49" s="1"/>
  <c r="T173" i="16"/>
  <c r="E104" i="49"/>
  <c r="H104" i="49" s="1"/>
  <c r="T176" i="16"/>
  <c r="E94" i="49"/>
  <c r="H94" i="49" s="1"/>
  <c r="T166" i="16"/>
  <c r="E226" i="49"/>
  <c r="H226" i="49" s="1"/>
  <c r="T298" i="16"/>
  <c r="E227" i="49"/>
  <c r="H227" i="49" s="1"/>
  <c r="T299" i="16"/>
  <c r="E100" i="49"/>
  <c r="H100" i="49" s="1"/>
  <c r="T172" i="16"/>
  <c r="E219" i="49"/>
  <c r="H219" i="49" s="1"/>
  <c r="T291" i="16"/>
  <c r="E89" i="49"/>
  <c r="H89" i="49" s="1"/>
  <c r="T161" i="16"/>
  <c r="E99" i="49"/>
  <c r="H99" i="49" s="1"/>
  <c r="T171" i="16"/>
  <c r="E225" i="49"/>
  <c r="H225" i="49" s="1"/>
  <c r="T297" i="16"/>
  <c r="E93" i="49"/>
  <c r="H93" i="49" s="1"/>
  <c r="T165" i="16"/>
  <c r="E217" i="49"/>
  <c r="H217" i="49" s="1"/>
  <c r="T289" i="16"/>
  <c r="E218" i="49"/>
  <c r="H218" i="49" s="1"/>
  <c r="T290" i="16"/>
  <c r="E213" i="49"/>
  <c r="H213" i="49" s="1"/>
  <c r="T285" i="16"/>
  <c r="E207" i="49"/>
  <c r="H207" i="49" s="1"/>
  <c r="T279" i="16"/>
  <c r="E215" i="49"/>
  <c r="H215" i="49" s="1"/>
  <c r="T287" i="16"/>
  <c r="E102" i="49"/>
  <c r="H102" i="49" s="1"/>
  <c r="T174" i="16"/>
  <c r="E103" i="49"/>
  <c r="H103" i="49" s="1"/>
  <c r="T175" i="16"/>
  <c r="E211" i="49"/>
  <c r="H211" i="49" s="1"/>
  <c r="T283" i="16"/>
  <c r="E224" i="49"/>
  <c r="H224" i="49" s="1"/>
  <c r="T296" i="16"/>
  <c r="E206" i="49"/>
  <c r="H206" i="49" s="1"/>
  <c r="T278" i="16"/>
  <c r="E222" i="49"/>
  <c r="H222" i="49" s="1"/>
  <c r="T294" i="16"/>
  <c r="E212" i="49"/>
  <c r="H212" i="49" s="1"/>
  <c r="T284" i="16"/>
  <c r="E223" i="49"/>
  <c r="H223" i="49" s="1"/>
  <c r="T295" i="16"/>
  <c r="E91" i="49"/>
  <c r="H91" i="49" s="1"/>
  <c r="T163" i="16"/>
  <c r="E208" i="49"/>
  <c r="H208" i="49" s="1"/>
  <c r="T280" i="16"/>
  <c r="E87" i="49"/>
  <c r="H87" i="49" s="1"/>
  <c r="T159" i="16"/>
  <c r="E97" i="49"/>
  <c r="H97" i="49" s="1"/>
  <c r="T169" i="16"/>
  <c r="E209" i="49"/>
  <c r="H209" i="49" s="1"/>
  <c r="T281" i="16"/>
  <c r="E210" i="49"/>
  <c r="H210" i="49" s="1"/>
  <c r="T282" i="16"/>
  <c r="E98" i="49"/>
  <c r="H98" i="49" s="1"/>
  <c r="T170" i="16"/>
  <c r="E95" i="49"/>
  <c r="H95" i="49" s="1"/>
  <c r="T167" i="16"/>
  <c r="E96" i="49"/>
  <c r="H96" i="49" s="1"/>
  <c r="T168" i="16"/>
  <c r="E214" i="49"/>
  <c r="H214" i="49" s="1"/>
  <c r="T286" i="16"/>
  <c r="E221" i="49"/>
  <c r="H221" i="49" s="1"/>
  <c r="T293" i="16"/>
  <c r="E90" i="49"/>
  <c r="H90" i="49" s="1"/>
  <c r="T162" i="16"/>
  <c r="E92" i="49"/>
  <c r="H92" i="49" s="1"/>
  <c r="T164" i="16"/>
  <c r="E216" i="49"/>
  <c r="H216" i="49" s="1"/>
  <c r="T288" i="16"/>
  <c r="H292" i="16"/>
  <c r="H283" i="16"/>
  <c r="M210" i="11" s="1"/>
  <c r="N210" i="11" s="1"/>
  <c r="I163" i="16"/>
  <c r="I167" i="16"/>
  <c r="I171" i="16"/>
  <c r="I175" i="16"/>
  <c r="I280" i="16"/>
  <c r="O207" i="11" s="1"/>
  <c r="P207" i="11" s="1"/>
  <c r="I288" i="16"/>
  <c r="O215" i="11" s="1"/>
  <c r="P215" i="11" s="1"/>
  <c r="I297" i="16"/>
  <c r="O224" i="11" s="1"/>
  <c r="P224" i="11" s="1"/>
  <c r="I166" i="16"/>
  <c r="I174" i="16"/>
  <c r="H293" i="16"/>
  <c r="M220" i="11" s="1"/>
  <c r="N220" i="11" s="1"/>
  <c r="H172" i="16"/>
  <c r="I281" i="16"/>
  <c r="O208" i="11" s="1"/>
  <c r="P208" i="11" s="1"/>
  <c r="I289" i="16"/>
  <c r="O216" i="11" s="1"/>
  <c r="P216" i="11" s="1"/>
  <c r="I298" i="16"/>
  <c r="O225" i="11" s="1"/>
  <c r="P225" i="11" s="1"/>
  <c r="H284" i="16"/>
  <c r="M211" i="11" s="1"/>
  <c r="N211" i="11" s="1"/>
  <c r="I170" i="16"/>
  <c r="I295" i="16"/>
  <c r="O222" i="11" s="1"/>
  <c r="P222" i="11" s="1"/>
  <c r="H289" i="16"/>
  <c r="M216" i="11" s="1"/>
  <c r="N216" i="11" s="1"/>
  <c r="I164" i="16"/>
  <c r="I168" i="16"/>
  <c r="I172" i="16"/>
  <c r="I176" i="16"/>
  <c r="I282" i="16"/>
  <c r="O209" i="11" s="1"/>
  <c r="P209" i="11" s="1"/>
  <c r="I290" i="16"/>
  <c r="O217" i="11" s="1"/>
  <c r="P217" i="11" s="1"/>
  <c r="I299" i="16"/>
  <c r="O226" i="11" s="1"/>
  <c r="P226" i="11" s="1"/>
  <c r="I283" i="16"/>
  <c r="O210" i="11" s="1"/>
  <c r="P210" i="11" s="1"/>
  <c r="I291" i="16"/>
  <c r="O218" i="11" s="1"/>
  <c r="P218" i="11" s="1"/>
  <c r="I292" i="16"/>
  <c r="O219" i="11" s="1"/>
  <c r="P219" i="11" s="1"/>
  <c r="I165" i="16"/>
  <c r="I169" i="16"/>
  <c r="I173" i="16"/>
  <c r="I284" i="16"/>
  <c r="O211" i="11" s="1"/>
  <c r="P211" i="11" s="1"/>
  <c r="I293" i="16"/>
  <c r="O220" i="11" s="1"/>
  <c r="P220" i="11" s="1"/>
  <c r="I161" i="16"/>
  <c r="I285" i="16"/>
  <c r="O212" i="11" s="1"/>
  <c r="P212" i="11" s="1"/>
  <c r="I294" i="16"/>
  <c r="O221" i="11" s="1"/>
  <c r="P221" i="11" s="1"/>
  <c r="I287" i="16"/>
  <c r="O214" i="11" s="1"/>
  <c r="P214" i="11" s="1"/>
  <c r="I296" i="16"/>
  <c r="O223" i="11" s="1"/>
  <c r="P223" i="11" s="1"/>
  <c r="I162" i="16"/>
  <c r="I286" i="16"/>
  <c r="O213" i="11" s="1"/>
  <c r="H281" i="16"/>
  <c r="M208" i="11" s="1"/>
  <c r="N208" i="11" s="1"/>
  <c r="H161" i="16"/>
  <c r="H294" i="16"/>
  <c r="M221" i="11" s="1"/>
  <c r="N221" i="11" s="1"/>
  <c r="H291" i="16"/>
  <c r="M218" i="11" s="1"/>
  <c r="N218" i="11" s="1"/>
  <c r="H280" i="16"/>
  <c r="M207" i="11" s="1"/>
  <c r="N207" i="11" s="1"/>
  <c r="H298" i="16"/>
  <c r="M225" i="11" s="1"/>
  <c r="N225" i="11" s="1"/>
  <c r="H169" i="16"/>
  <c r="H175" i="16"/>
  <c r="H167" i="16"/>
  <c r="H299" i="16"/>
  <c r="M226" i="11" s="1"/>
  <c r="N226" i="11" s="1"/>
  <c r="H168" i="16"/>
  <c r="H164" i="16"/>
  <c r="H297" i="16"/>
  <c r="M224" i="11" s="1"/>
  <c r="N224" i="11" s="1"/>
  <c r="H171" i="16"/>
  <c r="H166" i="16"/>
  <c r="H282" i="16"/>
  <c r="M209" i="11" s="1"/>
  <c r="N209" i="11" s="1"/>
  <c r="H174" i="16"/>
  <c r="H287" i="16"/>
  <c r="M214" i="11" s="1"/>
  <c r="N214" i="11" s="1"/>
  <c r="H290" i="16"/>
  <c r="M217" i="11" s="1"/>
  <c r="N217" i="11" s="1"/>
  <c r="H170" i="16"/>
  <c r="H296" i="16"/>
  <c r="M223" i="11" s="1"/>
  <c r="N223" i="11" s="1"/>
  <c r="H162" i="16"/>
  <c r="M219" i="11"/>
  <c r="N219" i="11" s="1"/>
  <c r="H165" i="16"/>
  <c r="H163" i="16"/>
  <c r="H176" i="16"/>
  <c r="H285" i="16"/>
  <c r="M212" i="11" s="1"/>
  <c r="H288" i="16"/>
  <c r="M215" i="11" s="1"/>
  <c r="N215" i="11" s="1"/>
  <c r="H295" i="16"/>
  <c r="M222" i="11" s="1"/>
  <c r="H173" i="16"/>
  <c r="N212" i="11" l="1"/>
  <c r="W212" i="11" s="1"/>
  <c r="N222" i="11"/>
  <c r="W222" i="11" s="1"/>
  <c r="P213" i="11"/>
  <c r="W213" i="11" s="1"/>
  <c r="W221" i="11"/>
  <c r="X221" i="11" s="1"/>
  <c r="Y221" i="11" s="1"/>
  <c r="W223" i="11"/>
  <c r="X223" i="11" s="1"/>
  <c r="Y223" i="11" s="1"/>
  <c r="W207" i="11"/>
  <c r="W218" i="11"/>
  <c r="X218" i="11" s="1"/>
  <c r="Y218" i="11" s="1"/>
  <c r="W226" i="11"/>
  <c r="AK226" i="11" s="1"/>
  <c r="W219" i="11"/>
  <c r="X219" i="11" s="1"/>
  <c r="Y219" i="11" s="1"/>
  <c r="W208" i="11"/>
  <c r="X208" i="11" s="1"/>
  <c r="Y208" i="11" s="1"/>
  <c r="W217" i="11"/>
  <c r="AK217" i="11" s="1"/>
  <c r="W224" i="11"/>
  <c r="X224" i="11" s="1"/>
  <c r="Y224" i="11" s="1"/>
  <c r="W214" i="11"/>
  <c r="W209" i="11"/>
  <c r="AK209" i="11" s="1"/>
  <c r="W225" i="11"/>
  <c r="AK225" i="11" s="1"/>
  <c r="W215" i="11"/>
  <c r="AK215" i="11" s="1"/>
  <c r="W216" i="11"/>
  <c r="W220" i="11"/>
  <c r="W210" i="11"/>
  <c r="W211" i="11"/>
  <c r="O96" i="11"/>
  <c r="P96" i="11" s="1"/>
  <c r="O103" i="11"/>
  <c r="P103" i="11" s="1"/>
  <c r="M95" i="11"/>
  <c r="N95" i="11" s="1"/>
  <c r="O95" i="11"/>
  <c r="P95" i="11" s="1"/>
  <c r="O102" i="11"/>
  <c r="P102" i="11" s="1"/>
  <c r="M97" i="11"/>
  <c r="N97" i="11" s="1"/>
  <c r="O92" i="11"/>
  <c r="P92" i="11" s="1"/>
  <c r="O99" i="11"/>
  <c r="P99" i="11" s="1"/>
  <c r="M88" i="11"/>
  <c r="N88" i="11" s="1"/>
  <c r="O91" i="11"/>
  <c r="P91" i="11" s="1"/>
  <c r="M99" i="11"/>
  <c r="N99" i="11" s="1"/>
  <c r="O98" i="11"/>
  <c r="P98" i="11" s="1"/>
  <c r="M91" i="11"/>
  <c r="N91" i="11" s="1"/>
  <c r="M94" i="11"/>
  <c r="N94" i="11" s="1"/>
  <c r="O88" i="11"/>
  <c r="P88" i="11" s="1"/>
  <c r="O94" i="11"/>
  <c r="P94" i="11" s="1"/>
  <c r="M102" i="11"/>
  <c r="N102" i="11" s="1"/>
  <c r="O101" i="11"/>
  <c r="P101" i="11" s="1"/>
  <c r="O90" i="11"/>
  <c r="P90" i="11" s="1"/>
  <c r="M101" i="11"/>
  <c r="N101" i="11" s="1"/>
  <c r="M93" i="11"/>
  <c r="N93" i="11" s="1"/>
  <c r="M96" i="11"/>
  <c r="N96" i="11" s="1"/>
  <c r="O89" i="11"/>
  <c r="P89" i="11" s="1"/>
  <c r="O97" i="11"/>
  <c r="P97" i="11" s="1"/>
  <c r="O93" i="11"/>
  <c r="P93" i="11" s="1"/>
  <c r="M103" i="11"/>
  <c r="N103" i="11" s="1"/>
  <c r="M90" i="11"/>
  <c r="N90" i="11" s="1"/>
  <c r="M92" i="11"/>
  <c r="N92" i="11" s="1"/>
  <c r="M100" i="11"/>
  <c r="N100" i="11" s="1"/>
  <c r="M89" i="11"/>
  <c r="N89" i="11" s="1"/>
  <c r="M98" i="11"/>
  <c r="N98" i="11" s="1"/>
  <c r="O100" i="11"/>
  <c r="P100" i="11" s="1"/>
  <c r="F75" i="16"/>
  <c r="I2" i="11" l="1"/>
  <c r="Q75" i="16"/>
  <c r="X213" i="11"/>
  <c r="Y213" i="11" s="1"/>
  <c r="AK213" i="11"/>
  <c r="X222" i="11"/>
  <c r="Y222" i="11" s="1"/>
  <c r="AK222" i="11"/>
  <c r="X212" i="11"/>
  <c r="Y212" i="11" s="1"/>
  <c r="AK212" i="11"/>
  <c r="AK223" i="11"/>
  <c r="AK221" i="11"/>
  <c r="W92" i="11"/>
  <c r="X226" i="11"/>
  <c r="Y226" i="11" s="1"/>
  <c r="X209" i="11"/>
  <c r="Y209" i="11" s="1"/>
  <c r="W102" i="11"/>
  <c r="AK218" i="11"/>
  <c r="W96" i="11"/>
  <c r="X215" i="11"/>
  <c r="Y215" i="11" s="1"/>
  <c r="X225" i="11"/>
  <c r="Y225" i="11" s="1"/>
  <c r="W99" i="11"/>
  <c r="AK99" i="11" s="1"/>
  <c r="W90" i="11"/>
  <c r="X90" i="11" s="1"/>
  <c r="Y90" i="11" s="1"/>
  <c r="W94" i="11"/>
  <c r="X94" i="11" s="1"/>
  <c r="Y94" i="11" s="1"/>
  <c r="W91" i="11"/>
  <c r="AK91" i="11" s="1"/>
  <c r="W100" i="11"/>
  <c r="W103" i="11"/>
  <c r="AK103" i="11" s="1"/>
  <c r="W95" i="11"/>
  <c r="W89" i="11"/>
  <c r="X89" i="11" s="1"/>
  <c r="Y89" i="11" s="1"/>
  <c r="W97" i="11"/>
  <c r="X97" i="11" s="1"/>
  <c r="Y97" i="11" s="1"/>
  <c r="W93" i="11"/>
  <c r="AK93" i="11" s="1"/>
  <c r="W101" i="11"/>
  <c r="X101" i="11" s="1"/>
  <c r="Y101" i="11" s="1"/>
  <c r="W88" i="11"/>
  <c r="W98" i="11"/>
  <c r="X98" i="11" s="1"/>
  <c r="Y98" i="11" s="1"/>
  <c r="AK208" i="11"/>
  <c r="AK219" i="11"/>
  <c r="AK224" i="11"/>
  <c r="X217" i="11"/>
  <c r="Y217" i="11" s="1"/>
  <c r="AK207" i="11"/>
  <c r="X207" i="11"/>
  <c r="Y207" i="11" s="1"/>
  <c r="X211" i="11"/>
  <c r="Y211" i="11" s="1"/>
  <c r="AK211" i="11"/>
  <c r="X214" i="11"/>
  <c r="Y214" i="11" s="1"/>
  <c r="AK214" i="11"/>
  <c r="AK210" i="11"/>
  <c r="X210" i="11"/>
  <c r="Y210" i="11" s="1"/>
  <c r="X220" i="11"/>
  <c r="Y220" i="11" s="1"/>
  <c r="AK220" i="11"/>
  <c r="X216" i="11"/>
  <c r="Y216" i="11" s="1"/>
  <c r="AK216" i="11"/>
  <c r="E3" i="49" l="1"/>
  <c r="H3" i="49" s="1"/>
  <c r="T75" i="16"/>
  <c r="X99" i="11"/>
  <c r="Y99" i="11" s="1"/>
  <c r="X91" i="11"/>
  <c r="Y91" i="11" s="1"/>
  <c r="X103" i="11"/>
  <c r="Y103" i="11" s="1"/>
  <c r="AK97" i="11"/>
  <c r="X96" i="11"/>
  <c r="Y96" i="11" s="1"/>
  <c r="AK89" i="11"/>
  <c r="AK96" i="11"/>
  <c r="AK98" i="11"/>
  <c r="X93" i="11"/>
  <c r="Y93" i="11" s="1"/>
  <c r="AK94" i="11"/>
  <c r="AK101" i="11"/>
  <c r="AK90" i="11"/>
  <c r="AK102" i="11"/>
  <c r="X102" i="11"/>
  <c r="Y102" i="11" s="1"/>
  <c r="AK88" i="11"/>
  <c r="X88" i="11"/>
  <c r="Y88" i="11" s="1"/>
  <c r="AK100" i="11"/>
  <c r="X100" i="11"/>
  <c r="Y100" i="11" s="1"/>
  <c r="X92" i="11"/>
  <c r="Y92" i="11" s="1"/>
  <c r="AK92" i="11"/>
  <c r="X95" i="11"/>
  <c r="Y95" i="11" s="1"/>
  <c r="AK95" i="11"/>
  <c r="G34" i="34" l="1"/>
  <c r="F34" i="34"/>
  <c r="E34" i="34"/>
  <c r="F32" i="34"/>
  <c r="D32" i="34"/>
  <c r="G32" i="34" s="1"/>
  <c r="B32" i="34"/>
  <c r="E32" i="34" s="1"/>
  <c r="G31" i="34"/>
  <c r="F31" i="34"/>
  <c r="E31" i="34"/>
  <c r="G30" i="34"/>
  <c r="F30" i="34"/>
  <c r="E30" i="34"/>
  <c r="G29" i="34"/>
  <c r="F29" i="34"/>
  <c r="E29" i="34"/>
  <c r="D26" i="34"/>
  <c r="G26" i="34" s="1"/>
  <c r="B26" i="34"/>
  <c r="F26" i="34" s="1"/>
  <c r="G25" i="34"/>
  <c r="F25" i="34"/>
  <c r="E25" i="34"/>
  <c r="G24" i="34"/>
  <c r="F24" i="34"/>
  <c r="E24" i="34"/>
  <c r="G23" i="34"/>
  <c r="F23" i="34"/>
  <c r="E23" i="34"/>
  <c r="D20" i="34"/>
  <c r="G20" i="34" s="1"/>
  <c r="B20" i="34"/>
  <c r="F20" i="34" s="1"/>
  <c r="G19" i="34"/>
  <c r="F19" i="34"/>
  <c r="E19" i="34"/>
  <c r="G18" i="34"/>
  <c r="F18" i="34"/>
  <c r="E18" i="34"/>
  <c r="G17" i="34"/>
  <c r="F17" i="34"/>
  <c r="E17" i="34"/>
  <c r="B13" i="34"/>
  <c r="I23" i="34" l="1"/>
  <c r="I25" i="34"/>
  <c r="I24" i="34"/>
  <c r="I31" i="34"/>
  <c r="I17" i="34"/>
  <c r="I29" i="34"/>
  <c r="B24" i="3"/>
  <c r="C24" i="3" s="1"/>
  <c r="I18" i="34"/>
  <c r="I30" i="34"/>
  <c r="I32" i="34"/>
  <c r="C11" i="34" s="1"/>
  <c r="I19" i="34"/>
  <c r="I34" i="34"/>
  <c r="C12" i="34" s="1"/>
  <c r="E26" i="34"/>
  <c r="I26" i="34" s="1"/>
  <c r="C10" i="34" s="1"/>
  <c r="E20" i="34"/>
  <c r="I20" i="34" s="1"/>
  <c r="C9" i="34" s="1"/>
  <c r="C13" i="34" l="1"/>
  <c r="C14" i="34" s="1"/>
  <c r="C9" i="17" l="1"/>
  <c r="H12" i="17"/>
  <c r="F12" i="17"/>
  <c r="D12" i="17"/>
  <c r="C12" i="17"/>
  <c r="C10" i="17"/>
  <c r="G12" i="17" l="1"/>
  <c r="E12" i="17"/>
  <c r="K12" i="17" s="1"/>
  <c r="F16" i="16" s="1"/>
  <c r="AC9" i="11" l="1"/>
  <c r="AC25" i="11"/>
  <c r="AC41" i="11"/>
  <c r="AC10" i="11"/>
  <c r="AC26" i="11"/>
  <c r="AC42" i="11"/>
  <c r="AC58" i="11"/>
  <c r="AC74" i="11"/>
  <c r="AC90" i="11"/>
  <c r="AC106" i="11"/>
  <c r="AC122" i="11"/>
  <c r="AC177" i="11"/>
  <c r="AC17" i="11"/>
  <c r="AC33" i="11"/>
  <c r="AC49" i="11"/>
  <c r="AC65" i="11"/>
  <c r="AC81" i="11"/>
  <c r="AC97" i="11"/>
  <c r="AC18" i="11"/>
  <c r="AC34" i="11"/>
  <c r="AC50" i="11"/>
  <c r="AC66" i="11"/>
  <c r="AC82" i="11"/>
  <c r="AC98" i="11"/>
  <c r="AC114" i="11"/>
  <c r="AC130" i="11"/>
  <c r="AC115" i="11"/>
  <c r="AC3" i="11"/>
  <c r="AC131" i="11"/>
  <c r="AC19" i="11"/>
  <c r="AC147" i="11"/>
  <c r="AC217" i="11"/>
  <c r="AC35" i="11"/>
  <c r="AC169" i="11"/>
  <c r="AC51" i="11"/>
  <c r="AC67" i="11"/>
  <c r="AC99" i="11"/>
  <c r="AC83" i="11"/>
  <c r="AC156" i="11"/>
  <c r="AC92" i="11"/>
  <c r="AC28" i="11"/>
  <c r="AC59" i="11"/>
  <c r="AC178" i="11"/>
  <c r="AC210" i="11"/>
  <c r="AC161" i="11"/>
  <c r="AC89" i="11"/>
  <c r="AC165" i="11"/>
  <c r="AC101" i="11"/>
  <c r="AC37" i="11"/>
  <c r="AC216" i="11"/>
  <c r="AC192" i="11"/>
  <c r="AC128" i="11"/>
  <c r="AC64" i="11"/>
  <c r="AC199" i="11"/>
  <c r="AC135" i="11"/>
  <c r="AC71" i="11"/>
  <c r="AC7" i="11"/>
  <c r="AC190" i="11"/>
  <c r="AC126" i="11"/>
  <c r="AC62" i="11"/>
  <c r="AC212" i="11"/>
  <c r="AC148" i="11"/>
  <c r="AC84" i="11"/>
  <c r="AC20" i="11"/>
  <c r="AC43" i="11"/>
  <c r="AC170" i="11"/>
  <c r="AC153" i="11"/>
  <c r="AC73" i="11"/>
  <c r="AC157" i="11"/>
  <c r="AC93" i="11"/>
  <c r="AC29" i="11"/>
  <c r="AC203" i="11"/>
  <c r="AC184" i="11"/>
  <c r="AC120" i="11"/>
  <c r="AC56" i="11"/>
  <c r="AC226" i="11"/>
  <c r="AC191" i="11"/>
  <c r="AC127" i="11"/>
  <c r="AC63" i="11"/>
  <c r="AC182" i="11"/>
  <c r="AC118" i="11"/>
  <c r="AC54" i="11"/>
  <c r="AC204" i="11"/>
  <c r="AC140" i="11"/>
  <c r="AC76" i="11"/>
  <c r="AC12" i="11"/>
  <c r="AC27" i="11"/>
  <c r="AC162" i="11"/>
  <c r="AC145" i="11"/>
  <c r="AC57" i="11"/>
  <c r="AC211" i="11"/>
  <c r="AC149" i="11"/>
  <c r="AC85" i="11"/>
  <c r="AC21" i="11"/>
  <c r="AC195" i="11"/>
  <c r="AC176" i="11"/>
  <c r="AC112" i="11"/>
  <c r="AC48" i="11"/>
  <c r="AC183" i="11"/>
  <c r="AC119" i="11"/>
  <c r="AC55" i="11"/>
  <c r="AC174" i="11"/>
  <c r="AC110" i="11"/>
  <c r="AC46" i="11"/>
  <c r="AC196" i="11"/>
  <c r="AC132" i="11"/>
  <c r="AC68" i="11"/>
  <c r="AC4" i="11"/>
  <c r="AC139" i="11"/>
  <c r="AC11" i="11"/>
  <c r="AC154" i="11"/>
  <c r="AC137" i="11"/>
  <c r="AC205" i="11"/>
  <c r="AC141" i="11"/>
  <c r="AC77" i="11"/>
  <c r="AC13" i="11"/>
  <c r="AC187" i="11"/>
  <c r="AC214" i="11"/>
  <c r="AC168" i="11"/>
  <c r="AC104" i="11"/>
  <c r="AC40" i="11"/>
  <c r="AC175" i="11"/>
  <c r="AC111" i="11"/>
  <c r="AC47" i="11"/>
  <c r="AC166" i="11"/>
  <c r="AC102" i="11"/>
  <c r="AC38" i="11"/>
  <c r="AC188" i="11"/>
  <c r="AC124" i="11"/>
  <c r="AC60" i="11"/>
  <c r="AC123" i="11"/>
  <c r="AC219" i="11"/>
  <c r="AC146" i="11"/>
  <c r="AC129" i="11"/>
  <c r="AC213" i="11"/>
  <c r="AC197" i="11"/>
  <c r="AC133" i="11"/>
  <c r="AC69" i="11"/>
  <c r="AC5" i="11"/>
  <c r="AC179" i="11"/>
  <c r="AC208" i="11"/>
  <c r="AC160" i="11"/>
  <c r="AC96" i="11"/>
  <c r="AC32" i="11"/>
  <c r="AC167" i="11"/>
  <c r="AC103" i="11"/>
  <c r="AC39" i="11"/>
  <c r="AC224" i="11"/>
  <c r="AC158" i="11"/>
  <c r="AC94" i="11"/>
  <c r="AC30" i="11"/>
  <c r="AC223" i="11"/>
  <c r="AC180" i="11"/>
  <c r="AC116" i="11"/>
  <c r="AC52" i="11"/>
  <c r="AC215" i="11"/>
  <c r="AC107" i="11"/>
  <c r="AC202" i="11"/>
  <c r="AC138" i="11"/>
  <c r="AC201" i="11"/>
  <c r="AC121" i="11"/>
  <c r="AC218" i="11"/>
  <c r="AC189" i="11"/>
  <c r="AC125" i="11"/>
  <c r="AC61" i="11"/>
  <c r="AC171" i="11"/>
  <c r="AC207" i="11"/>
  <c r="AC152" i="11"/>
  <c r="AC88" i="11"/>
  <c r="AC24" i="11"/>
  <c r="AC159" i="11"/>
  <c r="AC95" i="11"/>
  <c r="AC31" i="11"/>
  <c r="AC150" i="11"/>
  <c r="AC86" i="11"/>
  <c r="AC22" i="11"/>
  <c r="AC172" i="11"/>
  <c r="AC108" i="11"/>
  <c r="AC44" i="11"/>
  <c r="AC209" i="11"/>
  <c r="AC91" i="11"/>
  <c r="AC194" i="11"/>
  <c r="AC225" i="11"/>
  <c r="AC193" i="11"/>
  <c r="AC113" i="11"/>
  <c r="AC220" i="11"/>
  <c r="AC181" i="11"/>
  <c r="AC117" i="11"/>
  <c r="AC53" i="11"/>
  <c r="AC222" i="11"/>
  <c r="AC163" i="11"/>
  <c r="AC144" i="11"/>
  <c r="AC80" i="11"/>
  <c r="AC16" i="11"/>
  <c r="AC151" i="11"/>
  <c r="AC87" i="11"/>
  <c r="AC23" i="11"/>
  <c r="AC206" i="11"/>
  <c r="AC142" i="11"/>
  <c r="AC78" i="11"/>
  <c r="AC14" i="11"/>
  <c r="AC164" i="11"/>
  <c r="AC100" i="11"/>
  <c r="AC36" i="11"/>
  <c r="AC75" i="11"/>
  <c r="AC186" i="11"/>
  <c r="AC185" i="11"/>
  <c r="AC105" i="11"/>
  <c r="AC173" i="11"/>
  <c r="AC109" i="11"/>
  <c r="AC45" i="11"/>
  <c r="AC221" i="11"/>
  <c r="AC155" i="11"/>
  <c r="AC200" i="11"/>
  <c r="AC136" i="11"/>
  <c r="AC72" i="11"/>
  <c r="AC8" i="11"/>
  <c r="AC143" i="11"/>
  <c r="AC79" i="11"/>
  <c r="AC15" i="11"/>
  <c r="AC198" i="11"/>
  <c r="AC134" i="11"/>
  <c r="AC70" i="11"/>
  <c r="AC6" i="11"/>
  <c r="I12" i="17"/>
  <c r="G6" i="16"/>
  <c r="G8" i="16" s="1"/>
  <c r="F6" i="16"/>
  <c r="F8" i="16" s="1"/>
  <c r="H9" i="16"/>
  <c r="H7" i="16"/>
  <c r="H10" i="16" s="1"/>
  <c r="H5" i="16"/>
  <c r="I13" i="31" l="1"/>
  <c r="J13" i="31" s="1"/>
  <c r="I11" i="31"/>
  <c r="J11" i="31" s="1"/>
  <c r="I7" i="31"/>
  <c r="J7" i="31" s="1"/>
  <c r="I6" i="31"/>
  <c r="J6" i="31" s="1"/>
  <c r="H6" i="17"/>
  <c r="F6" i="17"/>
  <c r="D6" i="17"/>
  <c r="C6" i="17"/>
  <c r="G6" i="17" l="1"/>
  <c r="E6" i="17"/>
  <c r="I6" i="17" s="1"/>
  <c r="J9" i="16"/>
  <c r="I9" i="16"/>
  <c r="G9" i="16"/>
  <c r="F9" i="16"/>
  <c r="L6" i="17" l="1"/>
  <c r="C5" i="17"/>
  <c r="B62" i="3"/>
  <c r="B61" i="3"/>
  <c r="B63" i="3" s="1"/>
  <c r="L63" i="3" s="1"/>
  <c r="B56" i="3"/>
  <c r="B55" i="3"/>
  <c r="B57" i="3" s="1"/>
  <c r="B50" i="3"/>
  <c r="B49" i="3"/>
  <c r="B51" i="3" s="1"/>
  <c r="E51" i="3" s="1"/>
  <c r="B44" i="3"/>
  <c r="B43" i="3"/>
  <c r="B32" i="3"/>
  <c r="M32" i="3" s="1"/>
  <c r="B31" i="3"/>
  <c r="H31" i="3" s="1"/>
  <c r="B30" i="3"/>
  <c r="E30" i="3" s="1"/>
  <c r="B29" i="3"/>
  <c r="C29" i="3" s="1"/>
  <c r="B27" i="3"/>
  <c r="M27" i="3" s="1"/>
  <c r="B26" i="3"/>
  <c r="F26" i="3" s="1"/>
  <c r="B25" i="3"/>
  <c r="D25" i="3" s="1"/>
  <c r="C40" i="16"/>
  <c r="AB4" i="19"/>
  <c r="AD4" i="19"/>
  <c r="AE4" i="19" s="1"/>
  <c r="AF4" i="19"/>
  <c r="AC4" i="19" s="1"/>
  <c r="AB5" i="19"/>
  <c r="AD5" i="19"/>
  <c r="AE5" i="19" s="1"/>
  <c r="AF5" i="19"/>
  <c r="AC5" i="19" s="1"/>
  <c r="AB6" i="19"/>
  <c r="AD6" i="19"/>
  <c r="AE6" i="19" s="1"/>
  <c r="AF6" i="19"/>
  <c r="AC6" i="19" s="1"/>
  <c r="AB7" i="19"/>
  <c r="AD7" i="19"/>
  <c r="AE7" i="19" s="1"/>
  <c r="AF7" i="19"/>
  <c r="AC7" i="19" s="1"/>
  <c r="AB8" i="19"/>
  <c r="AD8" i="19"/>
  <c r="AE8" i="19" s="1"/>
  <c r="AF8" i="19"/>
  <c r="AC8" i="19" s="1"/>
  <c r="AB9" i="19"/>
  <c r="AD9" i="19"/>
  <c r="AE9" i="19" s="1"/>
  <c r="AF9" i="19"/>
  <c r="AC9" i="19" s="1"/>
  <c r="AB10" i="19"/>
  <c r="AD10" i="19"/>
  <c r="AE10" i="19" s="1"/>
  <c r="AF10" i="19"/>
  <c r="AC10" i="19" s="1"/>
  <c r="AB11" i="19"/>
  <c r="AD11" i="19"/>
  <c r="AE11" i="19" s="1"/>
  <c r="AF11" i="19"/>
  <c r="AC11" i="19" s="1"/>
  <c r="AB12" i="19"/>
  <c r="AD12" i="19"/>
  <c r="AE12" i="19" s="1"/>
  <c r="AF12" i="19"/>
  <c r="AC12" i="19" s="1"/>
  <c r="AB13" i="19"/>
  <c r="AD13" i="19"/>
  <c r="AE13" i="19" s="1"/>
  <c r="AF13" i="19"/>
  <c r="AC13" i="19" s="1"/>
  <c r="AB14" i="19"/>
  <c r="AD14" i="19"/>
  <c r="AE14" i="19" s="1"/>
  <c r="AF14" i="19"/>
  <c r="AC14" i="19" s="1"/>
  <c r="AB15" i="19"/>
  <c r="AD15" i="19"/>
  <c r="AE15" i="19" s="1"/>
  <c r="AF15" i="19"/>
  <c r="AC15" i="19" s="1"/>
  <c r="AB16" i="19"/>
  <c r="AD16" i="19"/>
  <c r="AE16" i="19" s="1"/>
  <c r="AF16" i="19"/>
  <c r="AC16" i="19" s="1"/>
  <c r="AB17" i="19"/>
  <c r="AD17" i="19"/>
  <c r="AE17" i="19" s="1"/>
  <c r="AF17" i="19"/>
  <c r="AC17" i="19" s="1"/>
  <c r="AB18" i="19"/>
  <c r="AD18" i="19"/>
  <c r="AE18" i="19" s="1"/>
  <c r="AF18" i="19"/>
  <c r="AC18" i="19" s="1"/>
  <c r="AB19" i="19"/>
  <c r="AD19" i="19"/>
  <c r="AE19" i="19" s="1"/>
  <c r="AF19" i="19"/>
  <c r="AC19" i="19" s="1"/>
  <c r="AB20" i="19"/>
  <c r="AD20" i="19"/>
  <c r="AE20" i="19" s="1"/>
  <c r="AF20" i="19"/>
  <c r="AC20" i="19" s="1"/>
  <c r="AB21" i="19"/>
  <c r="AD21" i="19"/>
  <c r="AE21" i="19" s="1"/>
  <c r="AF21" i="19"/>
  <c r="AC21" i="19" s="1"/>
  <c r="AB22" i="19"/>
  <c r="AD22" i="19"/>
  <c r="AE22" i="19" s="1"/>
  <c r="AF22" i="19"/>
  <c r="AC22" i="19" s="1"/>
  <c r="AB23" i="19"/>
  <c r="AD23" i="19"/>
  <c r="AE23" i="19" s="1"/>
  <c r="AF23" i="19"/>
  <c r="AC23" i="19" s="1"/>
  <c r="AB24" i="19"/>
  <c r="AD24" i="19"/>
  <c r="AE24" i="19" s="1"/>
  <c r="AF24" i="19"/>
  <c r="AC24" i="19" s="1"/>
  <c r="AB25" i="19"/>
  <c r="AD25" i="19"/>
  <c r="AE25" i="19" s="1"/>
  <c r="AF25" i="19"/>
  <c r="AC25" i="19" s="1"/>
  <c r="AB26" i="19"/>
  <c r="AD26" i="19"/>
  <c r="AE26" i="19" s="1"/>
  <c r="AF26" i="19"/>
  <c r="AC26" i="19" s="1"/>
  <c r="AB27" i="19"/>
  <c r="AD27" i="19"/>
  <c r="AE27" i="19" s="1"/>
  <c r="AF27" i="19"/>
  <c r="AC27" i="19" s="1"/>
  <c r="AB28" i="19"/>
  <c r="AD28" i="19"/>
  <c r="AE28" i="19" s="1"/>
  <c r="AF28" i="19"/>
  <c r="AC28" i="19" s="1"/>
  <c r="AB29" i="19"/>
  <c r="AD29" i="19"/>
  <c r="AE29" i="19" s="1"/>
  <c r="AF29" i="19"/>
  <c r="AC29" i="19" s="1"/>
  <c r="AB30" i="19"/>
  <c r="AD30" i="19"/>
  <c r="AE30" i="19" s="1"/>
  <c r="AF30" i="19"/>
  <c r="AC30" i="19" s="1"/>
  <c r="AB31" i="19"/>
  <c r="AD31" i="19"/>
  <c r="AE31" i="19" s="1"/>
  <c r="AF31" i="19"/>
  <c r="AC31" i="19" s="1"/>
  <c r="AB32" i="19"/>
  <c r="AD32" i="19"/>
  <c r="AE32" i="19" s="1"/>
  <c r="AF32" i="19"/>
  <c r="AC32" i="19" s="1"/>
  <c r="AB33" i="19"/>
  <c r="AD33" i="19"/>
  <c r="AE33" i="19" s="1"/>
  <c r="AF33" i="19"/>
  <c r="AC33" i="19" s="1"/>
  <c r="AB34" i="19"/>
  <c r="AD34" i="19"/>
  <c r="AE34" i="19" s="1"/>
  <c r="AF34" i="19"/>
  <c r="AC34" i="19" s="1"/>
  <c r="AB35" i="19"/>
  <c r="AD35" i="19"/>
  <c r="AE35" i="19" s="1"/>
  <c r="AF35" i="19"/>
  <c r="AC35" i="19" s="1"/>
  <c r="AB36" i="19"/>
  <c r="AD36" i="19"/>
  <c r="AE36" i="19" s="1"/>
  <c r="AF36" i="19"/>
  <c r="AC36" i="19" s="1"/>
  <c r="AB37" i="19"/>
  <c r="AD37" i="19"/>
  <c r="AE37" i="19" s="1"/>
  <c r="AF37" i="19"/>
  <c r="AC37" i="19" s="1"/>
  <c r="AB38" i="19"/>
  <c r="AD38" i="19"/>
  <c r="AE38" i="19" s="1"/>
  <c r="AF38" i="19"/>
  <c r="AC38" i="19" s="1"/>
  <c r="AB39" i="19"/>
  <c r="AD39" i="19"/>
  <c r="AE39" i="19" s="1"/>
  <c r="AF39" i="19"/>
  <c r="AC39" i="19" s="1"/>
  <c r="AB40" i="19"/>
  <c r="AD40" i="19"/>
  <c r="AE40" i="19" s="1"/>
  <c r="AF40" i="19"/>
  <c r="AC40" i="19" s="1"/>
  <c r="AB41" i="19"/>
  <c r="AD41" i="19"/>
  <c r="AE41" i="19" s="1"/>
  <c r="AF41" i="19"/>
  <c r="AC41" i="19" s="1"/>
  <c r="AB42" i="19"/>
  <c r="AD42" i="19"/>
  <c r="AE42" i="19" s="1"/>
  <c r="AF42" i="19"/>
  <c r="AC42" i="19" s="1"/>
  <c r="AB43" i="19"/>
  <c r="AD43" i="19"/>
  <c r="AE43" i="19" s="1"/>
  <c r="AF43" i="19"/>
  <c r="AC43" i="19" s="1"/>
  <c r="AB44" i="19"/>
  <c r="AD44" i="19"/>
  <c r="AE44" i="19" s="1"/>
  <c r="AF44" i="19"/>
  <c r="AC44" i="19" s="1"/>
  <c r="AB45" i="19"/>
  <c r="AD45" i="19"/>
  <c r="AE45" i="19" s="1"/>
  <c r="AF45" i="19"/>
  <c r="AC45" i="19" s="1"/>
  <c r="AB46" i="19"/>
  <c r="AD46" i="19"/>
  <c r="AE46" i="19" s="1"/>
  <c r="AF46" i="19"/>
  <c r="AC46" i="19" s="1"/>
  <c r="AB47" i="19"/>
  <c r="AD47" i="19"/>
  <c r="AE47" i="19" s="1"/>
  <c r="AF47" i="19"/>
  <c r="AC47" i="19" s="1"/>
  <c r="AB48" i="19"/>
  <c r="AD48" i="19"/>
  <c r="AE48" i="19" s="1"/>
  <c r="AF48" i="19"/>
  <c r="AC48" i="19" s="1"/>
  <c r="AB49" i="19"/>
  <c r="AD49" i="19"/>
  <c r="AE49" i="19" s="1"/>
  <c r="AF49" i="19"/>
  <c r="AC49" i="19" s="1"/>
  <c r="AB50" i="19"/>
  <c r="AD50" i="19"/>
  <c r="AE50" i="19" s="1"/>
  <c r="AF50" i="19"/>
  <c r="AC50" i="19" s="1"/>
  <c r="AB51" i="19"/>
  <c r="AD51" i="19"/>
  <c r="AE51" i="19" s="1"/>
  <c r="AF51" i="19"/>
  <c r="AC51" i="19" s="1"/>
  <c r="AB52" i="19"/>
  <c r="AD52" i="19"/>
  <c r="AE52" i="19" s="1"/>
  <c r="AF52" i="19"/>
  <c r="AC52" i="19" s="1"/>
  <c r="AB53" i="19"/>
  <c r="AD53" i="19"/>
  <c r="AE53" i="19" s="1"/>
  <c r="AF53" i="19"/>
  <c r="AC53" i="19" s="1"/>
  <c r="AB54" i="19"/>
  <c r="AD54" i="19"/>
  <c r="AE54" i="19" s="1"/>
  <c r="AF54" i="19"/>
  <c r="AC54" i="19" s="1"/>
  <c r="AB55" i="19"/>
  <c r="AD55" i="19"/>
  <c r="AE55" i="19" s="1"/>
  <c r="AF55" i="19"/>
  <c r="AC55" i="19" s="1"/>
  <c r="AB56" i="19"/>
  <c r="AD56" i="19"/>
  <c r="AE56" i="19" s="1"/>
  <c r="AF56" i="19"/>
  <c r="AC56" i="19" s="1"/>
  <c r="AB57" i="19"/>
  <c r="AD57" i="19"/>
  <c r="AE57" i="19" s="1"/>
  <c r="AF57" i="19"/>
  <c r="AC57" i="19" s="1"/>
  <c r="AB58" i="19"/>
  <c r="AD58" i="19"/>
  <c r="AE58" i="19" s="1"/>
  <c r="AF58" i="19"/>
  <c r="AC58" i="19" s="1"/>
  <c r="AB59" i="19"/>
  <c r="AD59" i="19"/>
  <c r="AE59" i="19" s="1"/>
  <c r="AF59" i="19"/>
  <c r="AC59" i="19" s="1"/>
  <c r="AB60" i="19"/>
  <c r="AD60" i="19"/>
  <c r="AE60" i="19" s="1"/>
  <c r="AF60" i="19"/>
  <c r="AC60" i="19" s="1"/>
  <c r="AB61" i="19"/>
  <c r="AD61" i="19"/>
  <c r="AE61" i="19" s="1"/>
  <c r="AF61" i="19"/>
  <c r="AC61" i="19" s="1"/>
  <c r="AB62" i="19"/>
  <c r="AD62" i="19"/>
  <c r="AE62" i="19" s="1"/>
  <c r="AF62" i="19"/>
  <c r="AC62" i="19" s="1"/>
  <c r="AB63" i="19"/>
  <c r="AD63" i="19"/>
  <c r="AE63" i="19" s="1"/>
  <c r="AF63" i="19"/>
  <c r="AC63" i="19" s="1"/>
  <c r="AB64" i="19"/>
  <c r="AD64" i="19"/>
  <c r="AE64" i="19" s="1"/>
  <c r="AF64" i="19"/>
  <c r="AC64" i="19" s="1"/>
  <c r="AB65" i="19"/>
  <c r="AD65" i="19"/>
  <c r="AE65" i="19" s="1"/>
  <c r="AF65" i="19"/>
  <c r="AC65" i="19" s="1"/>
  <c r="AB66" i="19"/>
  <c r="AD66" i="19"/>
  <c r="AE66" i="19" s="1"/>
  <c r="AF66" i="19"/>
  <c r="AC66" i="19" s="1"/>
  <c r="AB67" i="19"/>
  <c r="AD67" i="19"/>
  <c r="AE67" i="19" s="1"/>
  <c r="AF67" i="19"/>
  <c r="AC67" i="19" s="1"/>
  <c r="AB68" i="19"/>
  <c r="AD68" i="19"/>
  <c r="AE68" i="19" s="1"/>
  <c r="AF68" i="19"/>
  <c r="AC68" i="19" s="1"/>
  <c r="AB69" i="19"/>
  <c r="AD69" i="19"/>
  <c r="AE69" i="19" s="1"/>
  <c r="AF69" i="19"/>
  <c r="AC69" i="19" s="1"/>
  <c r="AB70" i="19"/>
  <c r="AD70" i="19"/>
  <c r="AE70" i="19" s="1"/>
  <c r="AF70" i="19"/>
  <c r="AC70" i="19" s="1"/>
  <c r="AB71" i="19"/>
  <c r="AD71" i="19"/>
  <c r="AE71" i="19" s="1"/>
  <c r="AF71" i="19"/>
  <c r="AC71" i="19" s="1"/>
  <c r="AB72" i="19"/>
  <c r="AD72" i="19"/>
  <c r="AE72" i="19" s="1"/>
  <c r="AF72" i="19"/>
  <c r="AC72" i="19" s="1"/>
  <c r="AB73" i="19"/>
  <c r="AD73" i="19"/>
  <c r="AE73" i="19" s="1"/>
  <c r="AF73" i="19"/>
  <c r="AC73" i="19" s="1"/>
  <c r="AB74" i="19"/>
  <c r="AD74" i="19"/>
  <c r="AE74" i="19" s="1"/>
  <c r="AF74" i="19"/>
  <c r="AC74" i="19" s="1"/>
  <c r="AB75" i="19"/>
  <c r="AD75" i="19"/>
  <c r="AE75" i="19" s="1"/>
  <c r="AF75" i="19"/>
  <c r="AC75" i="19" s="1"/>
  <c r="AB76" i="19"/>
  <c r="AD76" i="19"/>
  <c r="AE76" i="19" s="1"/>
  <c r="AF76" i="19"/>
  <c r="AC76" i="19" s="1"/>
  <c r="AB77" i="19"/>
  <c r="AD77" i="19"/>
  <c r="AE77" i="19" s="1"/>
  <c r="AF77" i="19"/>
  <c r="AC77" i="19" s="1"/>
  <c r="AB78" i="19"/>
  <c r="AD78" i="19"/>
  <c r="AE78" i="19" s="1"/>
  <c r="AF78" i="19"/>
  <c r="AC78" i="19" s="1"/>
  <c r="AB79" i="19"/>
  <c r="AD79" i="19"/>
  <c r="AE79" i="19" s="1"/>
  <c r="AF79" i="19"/>
  <c r="AC79" i="19" s="1"/>
  <c r="AB80" i="19"/>
  <c r="AD80" i="19"/>
  <c r="AE80" i="19" s="1"/>
  <c r="AF80" i="19"/>
  <c r="AC80" i="19" s="1"/>
  <c r="AB81" i="19"/>
  <c r="AD81" i="19"/>
  <c r="AE81" i="19" s="1"/>
  <c r="AF81" i="19"/>
  <c r="AC81" i="19" s="1"/>
  <c r="AB82" i="19"/>
  <c r="AD82" i="19"/>
  <c r="AE82" i="19" s="1"/>
  <c r="AF82" i="19"/>
  <c r="AC82" i="19" s="1"/>
  <c r="AB83" i="19"/>
  <c r="AD83" i="19"/>
  <c r="AE83" i="19" s="1"/>
  <c r="AF83" i="19"/>
  <c r="AC83" i="19" s="1"/>
  <c r="AB84" i="19"/>
  <c r="AD84" i="19"/>
  <c r="AE84" i="19" s="1"/>
  <c r="AF84" i="19"/>
  <c r="AC84" i="19" s="1"/>
  <c r="AB85" i="19"/>
  <c r="AD85" i="19"/>
  <c r="AE85" i="19" s="1"/>
  <c r="AF85" i="19"/>
  <c r="AC85" i="19" s="1"/>
  <c r="AB86" i="19"/>
  <c r="AD86" i="19"/>
  <c r="AE86" i="19" s="1"/>
  <c r="AF86" i="19"/>
  <c r="AC86" i="19" s="1"/>
  <c r="AB87" i="19"/>
  <c r="AD87" i="19"/>
  <c r="AE87" i="19" s="1"/>
  <c r="AF87" i="19"/>
  <c r="AC87" i="19" s="1"/>
  <c r="AB88" i="19"/>
  <c r="AD88" i="19"/>
  <c r="AE88" i="19" s="1"/>
  <c r="AF88" i="19"/>
  <c r="AC88" i="19" s="1"/>
  <c r="AB89" i="19"/>
  <c r="AD89" i="19"/>
  <c r="AE89" i="19" s="1"/>
  <c r="AF89" i="19"/>
  <c r="AC89" i="19" s="1"/>
  <c r="AB106" i="19"/>
  <c r="AD106" i="19"/>
  <c r="AE106" i="19" s="1"/>
  <c r="AF106" i="19"/>
  <c r="AC106" i="19" s="1"/>
  <c r="AB107" i="19"/>
  <c r="AD107" i="19"/>
  <c r="AE107" i="19" s="1"/>
  <c r="AF107" i="19"/>
  <c r="AC107" i="19" s="1"/>
  <c r="AB108" i="19"/>
  <c r="AD108" i="19"/>
  <c r="AE108" i="19" s="1"/>
  <c r="AF108" i="19"/>
  <c r="AC108" i="19" s="1"/>
  <c r="AB109" i="19"/>
  <c r="AD109" i="19"/>
  <c r="AE109" i="19" s="1"/>
  <c r="AF109" i="19"/>
  <c r="AC109" i="19" s="1"/>
  <c r="AB110" i="19"/>
  <c r="AD110" i="19"/>
  <c r="AE110" i="19" s="1"/>
  <c r="AF110" i="19"/>
  <c r="AC110" i="19" s="1"/>
  <c r="AB111" i="19"/>
  <c r="AD111" i="19"/>
  <c r="AE111" i="19" s="1"/>
  <c r="AF111" i="19"/>
  <c r="AC111" i="19" s="1"/>
  <c r="AB112" i="19"/>
  <c r="AD112" i="19"/>
  <c r="AE112" i="19" s="1"/>
  <c r="AF112" i="19"/>
  <c r="AC112" i="19" s="1"/>
  <c r="AB113" i="19"/>
  <c r="AD113" i="19"/>
  <c r="AE113" i="19" s="1"/>
  <c r="AF113" i="19"/>
  <c r="AC113" i="19" s="1"/>
  <c r="AB114" i="19"/>
  <c r="AD114" i="19"/>
  <c r="AE114" i="19" s="1"/>
  <c r="AF114" i="19"/>
  <c r="AC114" i="19" s="1"/>
  <c r="AB115" i="19"/>
  <c r="AD115" i="19"/>
  <c r="AE115" i="19" s="1"/>
  <c r="AF115" i="19"/>
  <c r="AC115" i="19" s="1"/>
  <c r="AB116" i="19"/>
  <c r="AD116" i="19"/>
  <c r="AE116" i="19" s="1"/>
  <c r="AF116" i="19"/>
  <c r="AC116" i="19" s="1"/>
  <c r="AB117" i="19"/>
  <c r="AD117" i="19"/>
  <c r="AE117" i="19" s="1"/>
  <c r="AF117" i="19"/>
  <c r="AC117" i="19" s="1"/>
  <c r="AB118" i="19"/>
  <c r="AD118" i="19"/>
  <c r="AE118" i="19" s="1"/>
  <c r="AF118" i="19"/>
  <c r="AC118" i="19" s="1"/>
  <c r="AB119" i="19"/>
  <c r="AD119" i="19"/>
  <c r="AE119" i="19" s="1"/>
  <c r="AF119" i="19"/>
  <c r="AC119" i="19" s="1"/>
  <c r="AB120" i="19"/>
  <c r="AD120" i="19"/>
  <c r="AE120" i="19" s="1"/>
  <c r="AF120" i="19"/>
  <c r="AC120" i="19" s="1"/>
  <c r="AB121" i="19"/>
  <c r="AD121" i="19"/>
  <c r="AE121" i="19" s="1"/>
  <c r="AF121" i="19"/>
  <c r="AC121" i="19" s="1"/>
  <c r="AB122" i="19"/>
  <c r="AD122" i="19"/>
  <c r="AE122" i="19" s="1"/>
  <c r="AF122" i="19"/>
  <c r="AC122" i="19" s="1"/>
  <c r="AB123" i="19"/>
  <c r="AD123" i="19"/>
  <c r="AE123" i="19" s="1"/>
  <c r="AF123" i="19"/>
  <c r="AC123" i="19" s="1"/>
  <c r="AB124" i="19"/>
  <c r="AD124" i="19"/>
  <c r="AE124" i="19" s="1"/>
  <c r="AF124" i="19"/>
  <c r="AC124" i="19" s="1"/>
  <c r="AB125" i="19"/>
  <c r="AD125" i="19"/>
  <c r="AE125" i="19" s="1"/>
  <c r="AF125" i="19"/>
  <c r="AC125" i="19" s="1"/>
  <c r="AB126" i="19"/>
  <c r="AD126" i="19"/>
  <c r="AE126" i="19" s="1"/>
  <c r="AF126" i="19"/>
  <c r="AC126" i="19" s="1"/>
  <c r="AB127" i="19"/>
  <c r="AD127" i="19"/>
  <c r="AE127" i="19" s="1"/>
  <c r="AF127" i="19"/>
  <c r="AC127" i="19" s="1"/>
  <c r="AB128" i="19"/>
  <c r="AD128" i="19"/>
  <c r="AE128" i="19" s="1"/>
  <c r="AF128" i="19"/>
  <c r="AC128" i="19" s="1"/>
  <c r="AB129" i="19"/>
  <c r="AD129" i="19"/>
  <c r="AE129" i="19" s="1"/>
  <c r="AF129" i="19"/>
  <c r="AC129" i="19" s="1"/>
  <c r="AB130" i="19"/>
  <c r="AD130" i="19"/>
  <c r="AE130" i="19" s="1"/>
  <c r="AF130" i="19"/>
  <c r="AC130" i="19" s="1"/>
  <c r="AB131" i="19"/>
  <c r="AD131" i="19"/>
  <c r="AE131" i="19" s="1"/>
  <c r="AF131" i="19"/>
  <c r="AC131" i="19" s="1"/>
  <c r="AB132" i="19"/>
  <c r="AD132" i="19"/>
  <c r="AE132" i="19" s="1"/>
  <c r="AF132" i="19"/>
  <c r="AC132" i="19" s="1"/>
  <c r="AB133" i="19"/>
  <c r="AD133" i="19"/>
  <c r="AE133" i="19" s="1"/>
  <c r="AF133" i="19"/>
  <c r="AC133" i="19" s="1"/>
  <c r="AB134" i="19"/>
  <c r="AD134" i="19"/>
  <c r="AE134" i="19" s="1"/>
  <c r="AF134" i="19"/>
  <c r="AC134" i="19" s="1"/>
  <c r="AB135" i="19"/>
  <c r="AD135" i="19"/>
  <c r="AE135" i="19" s="1"/>
  <c r="AF135" i="19"/>
  <c r="AC135" i="19" s="1"/>
  <c r="AB136" i="19"/>
  <c r="AD136" i="19"/>
  <c r="AE136" i="19" s="1"/>
  <c r="AF136" i="19"/>
  <c r="AC136" i="19" s="1"/>
  <c r="AB137" i="19"/>
  <c r="AD137" i="19"/>
  <c r="AE137" i="19" s="1"/>
  <c r="AF137" i="19"/>
  <c r="AC137" i="19" s="1"/>
  <c r="AB138" i="19"/>
  <c r="AD138" i="19"/>
  <c r="AE138" i="19" s="1"/>
  <c r="AF138" i="19"/>
  <c r="AC138" i="19" s="1"/>
  <c r="AB139" i="19"/>
  <c r="AD139" i="19"/>
  <c r="AE139" i="19" s="1"/>
  <c r="AF139" i="19"/>
  <c r="AC139" i="19" s="1"/>
  <c r="AB140" i="19"/>
  <c r="AD140" i="19"/>
  <c r="AE140" i="19" s="1"/>
  <c r="AF140" i="19"/>
  <c r="AC140" i="19" s="1"/>
  <c r="AB141" i="19"/>
  <c r="AD141" i="19"/>
  <c r="AE141" i="19" s="1"/>
  <c r="AF141" i="19"/>
  <c r="AC141" i="19" s="1"/>
  <c r="AB142" i="19"/>
  <c r="AD142" i="19"/>
  <c r="AE142" i="19" s="1"/>
  <c r="AF142" i="19"/>
  <c r="AC142" i="19" s="1"/>
  <c r="AB143" i="19"/>
  <c r="AD143" i="19"/>
  <c r="AE143" i="19" s="1"/>
  <c r="AF143" i="19"/>
  <c r="AC143" i="19" s="1"/>
  <c r="AB144" i="19"/>
  <c r="AD144" i="19"/>
  <c r="AE144" i="19" s="1"/>
  <c r="AF144" i="19"/>
  <c r="AC144" i="19" s="1"/>
  <c r="AB145" i="19"/>
  <c r="AD145" i="19"/>
  <c r="AE145" i="19" s="1"/>
  <c r="AF145" i="19"/>
  <c r="AC145" i="19" s="1"/>
  <c r="AB146" i="19"/>
  <c r="AD146" i="19"/>
  <c r="AE146" i="19" s="1"/>
  <c r="AF146" i="19"/>
  <c r="AC146" i="19" s="1"/>
  <c r="AB147" i="19"/>
  <c r="AD147" i="19"/>
  <c r="AE147" i="19" s="1"/>
  <c r="AF147" i="19"/>
  <c r="AC147" i="19" s="1"/>
  <c r="AB148" i="19"/>
  <c r="AD148" i="19"/>
  <c r="AE148" i="19" s="1"/>
  <c r="AF148" i="19"/>
  <c r="AC148" i="19" s="1"/>
  <c r="AB149" i="19"/>
  <c r="AD149" i="19"/>
  <c r="AE149" i="19" s="1"/>
  <c r="AF149" i="19"/>
  <c r="AC149" i="19" s="1"/>
  <c r="AB150" i="19"/>
  <c r="AD150" i="19"/>
  <c r="AE150" i="19" s="1"/>
  <c r="AF150" i="19"/>
  <c r="AC150" i="19" s="1"/>
  <c r="AB151" i="19"/>
  <c r="AD151" i="19"/>
  <c r="AE151" i="19" s="1"/>
  <c r="AF151" i="19"/>
  <c r="AC151" i="19" s="1"/>
  <c r="AB152" i="19"/>
  <c r="AD152" i="19"/>
  <c r="AE152" i="19" s="1"/>
  <c r="AF152" i="19"/>
  <c r="AC152" i="19" s="1"/>
  <c r="AB153" i="19"/>
  <c r="AD153" i="19"/>
  <c r="AE153" i="19" s="1"/>
  <c r="AF153" i="19"/>
  <c r="AC153" i="19" s="1"/>
  <c r="AB154" i="19"/>
  <c r="AD154" i="19"/>
  <c r="AE154" i="19" s="1"/>
  <c r="AF154" i="19"/>
  <c r="AC154" i="19" s="1"/>
  <c r="AB155" i="19"/>
  <c r="AD155" i="19"/>
  <c r="AE155" i="19" s="1"/>
  <c r="AF155" i="19"/>
  <c r="AC155" i="19" s="1"/>
  <c r="AB156" i="19"/>
  <c r="AD156" i="19"/>
  <c r="AE156" i="19" s="1"/>
  <c r="AF156" i="19"/>
  <c r="AC156" i="19" s="1"/>
  <c r="AB157" i="19"/>
  <c r="AD157" i="19"/>
  <c r="AE157" i="19" s="1"/>
  <c r="AF157" i="19"/>
  <c r="AC157" i="19" s="1"/>
  <c r="AB158" i="19"/>
  <c r="AD158" i="19"/>
  <c r="AE158" i="19" s="1"/>
  <c r="AF158" i="19"/>
  <c r="AC158" i="19" s="1"/>
  <c r="AB159" i="19"/>
  <c r="AD159" i="19"/>
  <c r="AE159" i="19" s="1"/>
  <c r="AF159" i="19"/>
  <c r="AC159" i="19" s="1"/>
  <c r="AB160" i="19"/>
  <c r="AD160" i="19"/>
  <c r="AE160" i="19" s="1"/>
  <c r="AF160" i="19"/>
  <c r="AC160" i="19" s="1"/>
  <c r="AB161" i="19"/>
  <c r="AD161" i="19"/>
  <c r="AE161" i="19" s="1"/>
  <c r="AF161" i="19"/>
  <c r="AC161" i="19" s="1"/>
  <c r="AB162" i="19"/>
  <c r="AD162" i="19"/>
  <c r="AE162" i="19" s="1"/>
  <c r="AF162" i="19"/>
  <c r="AC162" i="19" s="1"/>
  <c r="AB163" i="19"/>
  <c r="AD163" i="19"/>
  <c r="AE163" i="19" s="1"/>
  <c r="AF163" i="19"/>
  <c r="AC163" i="19" s="1"/>
  <c r="AB164" i="19"/>
  <c r="AD164" i="19"/>
  <c r="AE164" i="19" s="1"/>
  <c r="AF164" i="19"/>
  <c r="AC164" i="19" s="1"/>
  <c r="AB165" i="19"/>
  <c r="AD165" i="19"/>
  <c r="AE165" i="19" s="1"/>
  <c r="AF165" i="19"/>
  <c r="AC165" i="19" s="1"/>
  <c r="AB166" i="19"/>
  <c r="AD166" i="19"/>
  <c r="AE166" i="19" s="1"/>
  <c r="AF166" i="19"/>
  <c r="AC166" i="19" s="1"/>
  <c r="AB167" i="19"/>
  <c r="AD167" i="19"/>
  <c r="AE167" i="19" s="1"/>
  <c r="AF167" i="19"/>
  <c r="AC167" i="19" s="1"/>
  <c r="AB168" i="19"/>
  <c r="AD168" i="19"/>
  <c r="AE168" i="19" s="1"/>
  <c r="AF168" i="19"/>
  <c r="AC168" i="19" s="1"/>
  <c r="AB169" i="19"/>
  <c r="AD169" i="19"/>
  <c r="AE169" i="19" s="1"/>
  <c r="AF169" i="19"/>
  <c r="AC169" i="19" s="1"/>
  <c r="AB170" i="19"/>
  <c r="AD170" i="19"/>
  <c r="AE170" i="19" s="1"/>
  <c r="AF170" i="19"/>
  <c r="AC170" i="19" s="1"/>
  <c r="AB171" i="19"/>
  <c r="AD171" i="19"/>
  <c r="AE171" i="19" s="1"/>
  <c r="AF171" i="19"/>
  <c r="AC171" i="19" s="1"/>
  <c r="AB172" i="19"/>
  <c r="AD172" i="19"/>
  <c r="AE172" i="19" s="1"/>
  <c r="AF172" i="19"/>
  <c r="AC172" i="19" s="1"/>
  <c r="AB173" i="19"/>
  <c r="AD173" i="19"/>
  <c r="AE173" i="19" s="1"/>
  <c r="AF173" i="19"/>
  <c r="AC173" i="19" s="1"/>
  <c r="AB174" i="19"/>
  <c r="AD174" i="19"/>
  <c r="AE174" i="19" s="1"/>
  <c r="AF174" i="19"/>
  <c r="AC174" i="19" s="1"/>
  <c r="AB175" i="19"/>
  <c r="AD175" i="19"/>
  <c r="AE175" i="19" s="1"/>
  <c r="AF175" i="19"/>
  <c r="AC175" i="19" s="1"/>
  <c r="AB176" i="19"/>
  <c r="AD176" i="19"/>
  <c r="AE176" i="19" s="1"/>
  <c r="AF176" i="19"/>
  <c r="AC176" i="19" s="1"/>
  <c r="AB177" i="19"/>
  <c r="AD177" i="19"/>
  <c r="AE177" i="19" s="1"/>
  <c r="AF177" i="19"/>
  <c r="AC177" i="19" s="1"/>
  <c r="AB178" i="19"/>
  <c r="AD178" i="19"/>
  <c r="AE178" i="19" s="1"/>
  <c r="AF178" i="19"/>
  <c r="AC178" i="19" s="1"/>
  <c r="AB179" i="19"/>
  <c r="AD179" i="19"/>
  <c r="AE179" i="19" s="1"/>
  <c r="AF179" i="19"/>
  <c r="AC179" i="19" s="1"/>
  <c r="AB180" i="19"/>
  <c r="AD180" i="19"/>
  <c r="AE180" i="19" s="1"/>
  <c r="AF180" i="19"/>
  <c r="AC180" i="19" s="1"/>
  <c r="AB181" i="19"/>
  <c r="AD181" i="19"/>
  <c r="AE181" i="19" s="1"/>
  <c r="AF181" i="19"/>
  <c r="AC181" i="19" s="1"/>
  <c r="AB182" i="19"/>
  <c r="AD182" i="19"/>
  <c r="AE182" i="19" s="1"/>
  <c r="AF182" i="19"/>
  <c r="AC182" i="19" s="1"/>
  <c r="AB183" i="19"/>
  <c r="AD183" i="19"/>
  <c r="AE183" i="19" s="1"/>
  <c r="AF183" i="19"/>
  <c r="AC183" i="19" s="1"/>
  <c r="AB184" i="19"/>
  <c r="AD184" i="19"/>
  <c r="AE184" i="19" s="1"/>
  <c r="AF184" i="19"/>
  <c r="AC184" i="19" s="1"/>
  <c r="AB185" i="19"/>
  <c r="AD185" i="19"/>
  <c r="AE185" i="19" s="1"/>
  <c r="AF185" i="19"/>
  <c r="AC185" i="19" s="1"/>
  <c r="AB186" i="19"/>
  <c r="AD186" i="19"/>
  <c r="AE186" i="19" s="1"/>
  <c r="AF186" i="19"/>
  <c r="AC186" i="19" s="1"/>
  <c r="AB187" i="19"/>
  <c r="AD187" i="19"/>
  <c r="AE187" i="19" s="1"/>
  <c r="AF187" i="19"/>
  <c r="AC187" i="19" s="1"/>
  <c r="AB188" i="19"/>
  <c r="AD188" i="19"/>
  <c r="AE188" i="19" s="1"/>
  <c r="AF188" i="19"/>
  <c r="AC188" i="19" s="1"/>
  <c r="AB189" i="19"/>
  <c r="AD189" i="19"/>
  <c r="AE189" i="19" s="1"/>
  <c r="AF189" i="19"/>
  <c r="AC189" i="19" s="1"/>
  <c r="AB190" i="19"/>
  <c r="AD190" i="19"/>
  <c r="AE190" i="19" s="1"/>
  <c r="AF190" i="19"/>
  <c r="AC190" i="19" s="1"/>
  <c r="AB191" i="19"/>
  <c r="AD191" i="19"/>
  <c r="AE191" i="19" s="1"/>
  <c r="AF191" i="19"/>
  <c r="AC191" i="19" s="1"/>
  <c r="AB192" i="19"/>
  <c r="AD192" i="19"/>
  <c r="AE192" i="19" s="1"/>
  <c r="AF192" i="19"/>
  <c r="AC192" i="19" s="1"/>
  <c r="AB193" i="19"/>
  <c r="AD193" i="19"/>
  <c r="AE193" i="19" s="1"/>
  <c r="AF193" i="19"/>
  <c r="AC193" i="19" s="1"/>
  <c r="AB194" i="19"/>
  <c r="AD194" i="19"/>
  <c r="AE194" i="19" s="1"/>
  <c r="AF194" i="19"/>
  <c r="AC194" i="19" s="1"/>
  <c r="AB195" i="19"/>
  <c r="AD195" i="19"/>
  <c r="AE195" i="19" s="1"/>
  <c r="AF195" i="19"/>
  <c r="AC195" i="19" s="1"/>
  <c r="AB196" i="19"/>
  <c r="AD196" i="19"/>
  <c r="AE196" i="19" s="1"/>
  <c r="AF196" i="19"/>
  <c r="AC196" i="19" s="1"/>
  <c r="AB197" i="19"/>
  <c r="AD197" i="19"/>
  <c r="AE197" i="19" s="1"/>
  <c r="AF197" i="19"/>
  <c r="AC197" i="19" s="1"/>
  <c r="AB198" i="19"/>
  <c r="AD198" i="19"/>
  <c r="AE198" i="19" s="1"/>
  <c r="AF198" i="19"/>
  <c r="AC198" i="19" s="1"/>
  <c r="AB199" i="19"/>
  <c r="AD199" i="19"/>
  <c r="AE199" i="19" s="1"/>
  <c r="AF199" i="19"/>
  <c r="AC199" i="19" s="1"/>
  <c r="AB200" i="19"/>
  <c r="AD200" i="19"/>
  <c r="AE200" i="19" s="1"/>
  <c r="AF200" i="19"/>
  <c r="AC200" i="19" s="1"/>
  <c r="AB201" i="19"/>
  <c r="AD201" i="19"/>
  <c r="AE201" i="19" s="1"/>
  <c r="AF201" i="19"/>
  <c r="AC201" i="19" s="1"/>
  <c r="AB202" i="19"/>
  <c r="AD202" i="19"/>
  <c r="AE202" i="19" s="1"/>
  <c r="AF202" i="19"/>
  <c r="AC202" i="19" s="1"/>
  <c r="AB203" i="19"/>
  <c r="AD203" i="19"/>
  <c r="AE203" i="19" s="1"/>
  <c r="AF203" i="19"/>
  <c r="AC203" i="19" s="1"/>
  <c r="AB204" i="19"/>
  <c r="AD204" i="19"/>
  <c r="AE204" i="19" s="1"/>
  <c r="AF204" i="19"/>
  <c r="AC204" i="19" s="1"/>
  <c r="AB205" i="19"/>
  <c r="AD205" i="19"/>
  <c r="AE205" i="19" s="1"/>
  <c r="AF205" i="19"/>
  <c r="AC205" i="19" s="1"/>
  <c r="AB206" i="19"/>
  <c r="AD206" i="19"/>
  <c r="AE206" i="19" s="1"/>
  <c r="AF206" i="19"/>
  <c r="AC206" i="19" s="1"/>
  <c r="AB207" i="19"/>
  <c r="AD207" i="19"/>
  <c r="AE207" i="19" s="1"/>
  <c r="AF207" i="19"/>
  <c r="AC207" i="19" s="1"/>
  <c r="AB208" i="19"/>
  <c r="AD208" i="19"/>
  <c r="AE208" i="19" s="1"/>
  <c r="AF208" i="19"/>
  <c r="AC208" i="19" s="1"/>
  <c r="J7" i="16"/>
  <c r="J10" i="16" s="1"/>
  <c r="G49" i="16"/>
  <c r="G48" i="16"/>
  <c r="G47" i="16"/>
  <c r="F7" i="16"/>
  <c r="F4" i="16"/>
  <c r="C11" i="17"/>
  <c r="C4" i="17"/>
  <c r="C8" i="17"/>
  <c r="C7" i="17"/>
  <c r="D4" i="17"/>
  <c r="D2" i="11"/>
  <c r="AG2" i="11" s="1"/>
  <c r="G4" i="16"/>
  <c r="H4" i="16"/>
  <c r="I4" i="16"/>
  <c r="F5" i="16"/>
  <c r="G5" i="16"/>
  <c r="I5" i="16"/>
  <c r="G7" i="16"/>
  <c r="I7" i="16"/>
  <c r="I10" i="16" s="1"/>
  <c r="B3" i="11"/>
  <c r="C3" i="11" s="1"/>
  <c r="B4" i="11"/>
  <c r="C4" i="11" s="1"/>
  <c r="B5" i="11"/>
  <c r="C5" i="11" s="1"/>
  <c r="B6" i="11"/>
  <c r="C6" i="11" s="1"/>
  <c r="B7" i="11"/>
  <c r="C7" i="11" s="1"/>
  <c r="B8" i="11"/>
  <c r="C8" i="11" s="1"/>
  <c r="B9" i="11"/>
  <c r="C9" i="11" s="1"/>
  <c r="B10" i="11"/>
  <c r="C10" i="11" s="1"/>
  <c r="B11" i="11"/>
  <c r="C11" i="11" s="1"/>
  <c r="B12" i="11"/>
  <c r="C12" i="11" s="1"/>
  <c r="B13" i="11"/>
  <c r="C13" i="11" s="1"/>
  <c r="B14" i="11"/>
  <c r="C14" i="11" s="1"/>
  <c r="B15" i="11"/>
  <c r="C15" i="11" s="1"/>
  <c r="B16" i="11"/>
  <c r="C16" i="11" s="1"/>
  <c r="B17" i="11"/>
  <c r="C17" i="11" s="1"/>
  <c r="B18" i="11"/>
  <c r="C18" i="11" s="1"/>
  <c r="B19" i="11"/>
  <c r="C19" i="11" s="1"/>
  <c r="B20" i="11"/>
  <c r="C20" i="11" s="1"/>
  <c r="B21" i="11"/>
  <c r="C21" i="11" s="1"/>
  <c r="B22" i="11"/>
  <c r="C22" i="11" s="1"/>
  <c r="B23" i="11"/>
  <c r="C23" i="11" s="1"/>
  <c r="B24" i="11"/>
  <c r="C24" i="11" s="1"/>
  <c r="B25" i="11"/>
  <c r="C25" i="11" s="1"/>
  <c r="B26" i="11"/>
  <c r="C26" i="11" s="1"/>
  <c r="B27" i="11"/>
  <c r="C27" i="11" s="1"/>
  <c r="B28" i="11"/>
  <c r="C28" i="11" s="1"/>
  <c r="B29" i="11"/>
  <c r="C29" i="11" s="1"/>
  <c r="B30" i="11"/>
  <c r="C30" i="11" s="1"/>
  <c r="B31" i="11"/>
  <c r="C31" i="11" s="1"/>
  <c r="B32" i="11"/>
  <c r="C32" i="11" s="1"/>
  <c r="B33" i="11"/>
  <c r="C33" i="11" s="1"/>
  <c r="B34" i="11"/>
  <c r="C34" i="11" s="1"/>
  <c r="B35" i="11"/>
  <c r="C35" i="11" s="1"/>
  <c r="B36" i="11"/>
  <c r="C36" i="11" s="1"/>
  <c r="B37" i="11"/>
  <c r="C37" i="11" s="1"/>
  <c r="B38" i="11"/>
  <c r="C38" i="11" s="1"/>
  <c r="B39" i="11"/>
  <c r="C39" i="11" s="1"/>
  <c r="B40" i="11"/>
  <c r="C40" i="11" s="1"/>
  <c r="B41" i="11"/>
  <c r="C41" i="11" s="1"/>
  <c r="B42" i="11"/>
  <c r="C42" i="11" s="1"/>
  <c r="B43" i="11"/>
  <c r="C43" i="11" s="1"/>
  <c r="B44" i="11"/>
  <c r="C44" i="11" s="1"/>
  <c r="B45" i="11"/>
  <c r="C45" i="11" s="1"/>
  <c r="B46" i="11"/>
  <c r="C46" i="11" s="1"/>
  <c r="B47" i="11"/>
  <c r="C47" i="11" s="1"/>
  <c r="B48" i="11"/>
  <c r="C48" i="11" s="1"/>
  <c r="B49" i="11"/>
  <c r="C49" i="11" s="1"/>
  <c r="B50" i="11"/>
  <c r="C50" i="11" s="1"/>
  <c r="B51" i="11"/>
  <c r="C51" i="11" s="1"/>
  <c r="B52" i="11"/>
  <c r="C52" i="11" s="1"/>
  <c r="B53" i="11"/>
  <c r="C53" i="11" s="1"/>
  <c r="B54" i="11"/>
  <c r="C54" i="11" s="1"/>
  <c r="B55" i="11"/>
  <c r="C55" i="11" s="1"/>
  <c r="B56" i="11"/>
  <c r="C56" i="11" s="1"/>
  <c r="B57" i="11"/>
  <c r="C57" i="11" s="1"/>
  <c r="B58" i="11"/>
  <c r="C58" i="11" s="1"/>
  <c r="B59" i="11"/>
  <c r="C59" i="11" s="1"/>
  <c r="B60" i="11"/>
  <c r="C60" i="11" s="1"/>
  <c r="B61" i="11"/>
  <c r="C61" i="11" s="1"/>
  <c r="B62" i="11"/>
  <c r="C62" i="11" s="1"/>
  <c r="B63" i="11"/>
  <c r="C63" i="11" s="1"/>
  <c r="B64" i="11"/>
  <c r="C64" i="11" s="1"/>
  <c r="B65" i="11"/>
  <c r="C65" i="11" s="1"/>
  <c r="B66" i="11"/>
  <c r="C66" i="11" s="1"/>
  <c r="B67" i="11"/>
  <c r="C67" i="11" s="1"/>
  <c r="B68" i="11"/>
  <c r="C68" i="11" s="1"/>
  <c r="B69" i="11"/>
  <c r="C69" i="11" s="1"/>
  <c r="B70" i="11"/>
  <c r="C70" i="11" s="1"/>
  <c r="B71" i="11"/>
  <c r="C71" i="11" s="1"/>
  <c r="B72" i="11"/>
  <c r="C72" i="11" s="1"/>
  <c r="B73" i="11"/>
  <c r="C73" i="11" s="1"/>
  <c r="B74" i="11"/>
  <c r="C74" i="11" s="1"/>
  <c r="B75" i="11"/>
  <c r="C75" i="11" s="1"/>
  <c r="B76" i="11"/>
  <c r="C76" i="11" s="1"/>
  <c r="B77" i="11"/>
  <c r="C77" i="11" s="1"/>
  <c r="B78" i="11"/>
  <c r="C78" i="11" s="1"/>
  <c r="B79" i="11"/>
  <c r="C79" i="11" s="1"/>
  <c r="B80" i="11"/>
  <c r="C80" i="11" s="1"/>
  <c r="B81" i="11"/>
  <c r="C81" i="11" s="1"/>
  <c r="B82" i="11"/>
  <c r="C82" i="11" s="1"/>
  <c r="B83" i="11"/>
  <c r="C83" i="11" s="1"/>
  <c r="B84" i="11"/>
  <c r="C84" i="11" s="1"/>
  <c r="B85" i="11"/>
  <c r="C85" i="11" s="1"/>
  <c r="B86" i="11"/>
  <c r="C86" i="11" s="1"/>
  <c r="B87" i="11"/>
  <c r="C87" i="11" s="1"/>
  <c r="B104" i="11"/>
  <c r="C104" i="11" s="1"/>
  <c r="B105" i="11"/>
  <c r="C105" i="11" s="1"/>
  <c r="B106" i="11"/>
  <c r="C106" i="11" s="1"/>
  <c r="B107" i="11"/>
  <c r="C107" i="11" s="1"/>
  <c r="B108" i="11"/>
  <c r="C108" i="11" s="1"/>
  <c r="B109" i="11"/>
  <c r="C109" i="11" s="1"/>
  <c r="B110" i="11"/>
  <c r="C110" i="11" s="1"/>
  <c r="B111" i="11"/>
  <c r="C111" i="11" s="1"/>
  <c r="B112" i="11"/>
  <c r="C112" i="11" s="1"/>
  <c r="B113" i="11"/>
  <c r="C113" i="11" s="1"/>
  <c r="B114" i="11"/>
  <c r="C114" i="11" s="1"/>
  <c r="B115" i="11"/>
  <c r="C115" i="11" s="1"/>
  <c r="B116" i="11"/>
  <c r="C116" i="11" s="1"/>
  <c r="B117" i="11"/>
  <c r="C117" i="11" s="1"/>
  <c r="B118" i="11"/>
  <c r="C118" i="11" s="1"/>
  <c r="B119" i="11"/>
  <c r="C119" i="11" s="1"/>
  <c r="B120" i="11"/>
  <c r="C120" i="11" s="1"/>
  <c r="B121" i="11"/>
  <c r="C121" i="11" s="1"/>
  <c r="B122" i="11"/>
  <c r="C122" i="11" s="1"/>
  <c r="B123" i="11"/>
  <c r="C123" i="11" s="1"/>
  <c r="B124" i="11"/>
  <c r="C124" i="11" s="1"/>
  <c r="B125" i="11"/>
  <c r="C125" i="11" s="1"/>
  <c r="B126" i="11"/>
  <c r="C126" i="11" s="1"/>
  <c r="B127" i="11"/>
  <c r="C127" i="11" s="1"/>
  <c r="B128" i="11"/>
  <c r="C128" i="11" s="1"/>
  <c r="B129" i="11"/>
  <c r="C129" i="11" s="1"/>
  <c r="B130" i="11"/>
  <c r="C130" i="11" s="1"/>
  <c r="B131" i="11"/>
  <c r="C131" i="11" s="1"/>
  <c r="B132" i="11"/>
  <c r="C132" i="11" s="1"/>
  <c r="B133" i="11"/>
  <c r="C133" i="11" s="1"/>
  <c r="B134" i="11"/>
  <c r="C134" i="11" s="1"/>
  <c r="B135" i="11"/>
  <c r="C135" i="11" s="1"/>
  <c r="B136" i="11"/>
  <c r="C136" i="11" s="1"/>
  <c r="B137" i="11"/>
  <c r="C137" i="11" s="1"/>
  <c r="B138" i="11"/>
  <c r="C138" i="11" s="1"/>
  <c r="B139" i="11"/>
  <c r="C139" i="11" s="1"/>
  <c r="B140" i="11"/>
  <c r="C140" i="11" s="1"/>
  <c r="B141" i="11"/>
  <c r="C141" i="11" s="1"/>
  <c r="B142" i="11"/>
  <c r="C142" i="11" s="1"/>
  <c r="B143" i="11"/>
  <c r="C143" i="11" s="1"/>
  <c r="B144" i="11"/>
  <c r="C144" i="11" s="1"/>
  <c r="B145" i="11"/>
  <c r="C145" i="11" s="1"/>
  <c r="B146" i="11"/>
  <c r="C146" i="11" s="1"/>
  <c r="B147" i="11"/>
  <c r="C147" i="11" s="1"/>
  <c r="B148" i="11"/>
  <c r="C148" i="11" s="1"/>
  <c r="B149" i="11"/>
  <c r="C149" i="11" s="1"/>
  <c r="B150" i="11"/>
  <c r="C150" i="11" s="1"/>
  <c r="B151" i="11"/>
  <c r="C151" i="11" s="1"/>
  <c r="B152" i="11"/>
  <c r="C152" i="11" s="1"/>
  <c r="B153" i="11"/>
  <c r="C153" i="11" s="1"/>
  <c r="B154" i="11"/>
  <c r="C154" i="11" s="1"/>
  <c r="B155" i="11"/>
  <c r="C155" i="11" s="1"/>
  <c r="B156" i="11"/>
  <c r="C156" i="11" s="1"/>
  <c r="B157" i="11"/>
  <c r="C157" i="11" s="1"/>
  <c r="B158" i="11"/>
  <c r="C158" i="11" s="1"/>
  <c r="B159" i="11"/>
  <c r="C159" i="11" s="1"/>
  <c r="B160" i="11"/>
  <c r="C160" i="11" s="1"/>
  <c r="B161" i="11"/>
  <c r="C161" i="11" s="1"/>
  <c r="B162" i="11"/>
  <c r="C162" i="11" s="1"/>
  <c r="B163" i="11"/>
  <c r="C163" i="11" s="1"/>
  <c r="B164" i="11"/>
  <c r="C164" i="11" s="1"/>
  <c r="B165" i="11"/>
  <c r="C165" i="11" s="1"/>
  <c r="B166" i="11"/>
  <c r="C166" i="11" s="1"/>
  <c r="B167" i="11"/>
  <c r="C167" i="11" s="1"/>
  <c r="B168" i="11"/>
  <c r="C168" i="11" s="1"/>
  <c r="B169" i="11"/>
  <c r="C169" i="11" s="1"/>
  <c r="B170" i="11"/>
  <c r="C170" i="11" s="1"/>
  <c r="B171" i="11"/>
  <c r="C171" i="11" s="1"/>
  <c r="B172" i="11"/>
  <c r="C172" i="11" s="1"/>
  <c r="B173" i="11"/>
  <c r="C173" i="11" s="1"/>
  <c r="B174" i="11"/>
  <c r="C174" i="11" s="1"/>
  <c r="B175" i="11"/>
  <c r="C175" i="11" s="1"/>
  <c r="B176" i="11"/>
  <c r="C176" i="11" s="1"/>
  <c r="B177" i="11"/>
  <c r="C177" i="11" s="1"/>
  <c r="B178" i="11"/>
  <c r="C178" i="11" s="1"/>
  <c r="B179" i="11"/>
  <c r="C179" i="11" s="1"/>
  <c r="B180" i="11"/>
  <c r="C180" i="11" s="1"/>
  <c r="B181" i="11"/>
  <c r="C181" i="11" s="1"/>
  <c r="B182" i="11"/>
  <c r="C182" i="11" s="1"/>
  <c r="B183" i="11"/>
  <c r="C183" i="11" s="1"/>
  <c r="B184" i="11"/>
  <c r="C184" i="11" s="1"/>
  <c r="B185" i="11"/>
  <c r="C185" i="11" s="1"/>
  <c r="B186" i="11"/>
  <c r="C186" i="11" s="1"/>
  <c r="B187" i="11"/>
  <c r="C187" i="11" s="1"/>
  <c r="B188" i="11"/>
  <c r="C188" i="11" s="1"/>
  <c r="B189" i="11"/>
  <c r="C189" i="11" s="1"/>
  <c r="B190" i="11"/>
  <c r="C190" i="11" s="1"/>
  <c r="B191" i="11"/>
  <c r="C191" i="11" s="1"/>
  <c r="B192" i="11"/>
  <c r="C192" i="11" s="1"/>
  <c r="B193" i="11"/>
  <c r="C193" i="11" s="1"/>
  <c r="B194" i="11"/>
  <c r="C194" i="11" s="1"/>
  <c r="B195" i="11"/>
  <c r="C195" i="11" s="1"/>
  <c r="B196" i="11"/>
  <c r="C196" i="11" s="1"/>
  <c r="B197" i="11"/>
  <c r="C197" i="11" s="1"/>
  <c r="B198" i="11"/>
  <c r="C198" i="11" s="1"/>
  <c r="B199" i="11"/>
  <c r="C199" i="11" s="1"/>
  <c r="B200" i="11"/>
  <c r="C200" i="11" s="1"/>
  <c r="B201" i="11"/>
  <c r="C201" i="11" s="1"/>
  <c r="B202" i="11"/>
  <c r="C202" i="11" s="1"/>
  <c r="B203" i="11"/>
  <c r="C203" i="11" s="1"/>
  <c r="B204" i="11"/>
  <c r="C204" i="11" s="1"/>
  <c r="B205" i="11"/>
  <c r="C205" i="11" s="1"/>
  <c r="B206" i="11"/>
  <c r="C206" i="11" s="1"/>
  <c r="B2" i="11"/>
  <c r="C2" i="11" s="1"/>
  <c r="G10" i="16"/>
  <c r="F10" i="16"/>
  <c r="C43" i="16"/>
  <c r="C42" i="16"/>
  <c r="I43" i="16"/>
  <c r="F43" i="16"/>
  <c r="I42" i="16"/>
  <c r="F42" i="16"/>
  <c r="I41" i="16"/>
  <c r="F41" i="16"/>
  <c r="I40" i="16"/>
  <c r="F40" i="16"/>
  <c r="H8" i="17"/>
  <c r="H9" i="17"/>
  <c r="H4" i="17"/>
  <c r="H5" i="17"/>
  <c r="H10" i="17"/>
  <c r="H11" i="17"/>
  <c r="H7" i="17"/>
  <c r="F8" i="17"/>
  <c r="F9" i="17"/>
  <c r="G9" i="17" s="1"/>
  <c r="F4" i="17"/>
  <c r="F5" i="17"/>
  <c r="F10" i="17"/>
  <c r="G10" i="17" s="1"/>
  <c r="F11" i="17"/>
  <c r="F7" i="17"/>
  <c r="D8" i="17"/>
  <c r="D9" i="17"/>
  <c r="E9" i="17" s="1"/>
  <c r="D5" i="17"/>
  <c r="D10" i="17"/>
  <c r="E10" i="17" s="1"/>
  <c r="D11" i="17"/>
  <c r="D7" i="17"/>
  <c r="AG3" i="11"/>
  <c r="AG4" i="11"/>
  <c r="AG5" i="11"/>
  <c r="AG6" i="11"/>
  <c r="AG7" i="11"/>
  <c r="AG8" i="11"/>
  <c r="AF9" i="11"/>
  <c r="AF10" i="11"/>
  <c r="AG11" i="11"/>
  <c r="AG12" i="11"/>
  <c r="AG13" i="11"/>
  <c r="AG14" i="11"/>
  <c r="AF15" i="11"/>
  <c r="AF16" i="11"/>
  <c r="AG18" i="11"/>
  <c r="AF20" i="11"/>
  <c r="AG21" i="11"/>
  <c r="AG22" i="11"/>
  <c r="AF23" i="11"/>
  <c r="AF24" i="11"/>
  <c r="AG25" i="11"/>
  <c r="AF26" i="11"/>
  <c r="AF27" i="11"/>
  <c r="AG28" i="11"/>
  <c r="AG29" i="11"/>
  <c r="AF30" i="11"/>
  <c r="AF31" i="11"/>
  <c r="AG32" i="11"/>
  <c r="AF33" i="11"/>
  <c r="AF34" i="11"/>
  <c r="AG36" i="11"/>
  <c r="AG37" i="11"/>
  <c r="AG38" i="11"/>
  <c r="AF39" i="11"/>
  <c r="AG40" i="11"/>
  <c r="AF41" i="11"/>
  <c r="AF42" i="11"/>
  <c r="AF44" i="11"/>
  <c r="AG45" i="11"/>
  <c r="AG46" i="11"/>
  <c r="AG47" i="11"/>
  <c r="AF48" i="11"/>
  <c r="AF49" i="11"/>
  <c r="AG50" i="11"/>
  <c r="AF52" i="11"/>
  <c r="AG53" i="11"/>
  <c r="AG54" i="11"/>
  <c r="AG55" i="11"/>
  <c r="AG56" i="11"/>
  <c r="AG57" i="11"/>
  <c r="AF58" i="11"/>
  <c r="AG60" i="11"/>
  <c r="AF61" i="11"/>
  <c r="AF62" i="11"/>
  <c r="AF63" i="11"/>
  <c r="AF64" i="11"/>
  <c r="AG65" i="11"/>
  <c r="AG66" i="11"/>
  <c r="AF67" i="11"/>
  <c r="AG68" i="11"/>
  <c r="AF69" i="11"/>
  <c r="AG70" i="11"/>
  <c r="AG71" i="11"/>
  <c r="AG72" i="11"/>
  <c r="AF73" i="11"/>
  <c r="AG74" i="11"/>
  <c r="AF76" i="11"/>
  <c r="AG77" i="11"/>
  <c r="AG78" i="11"/>
  <c r="AF79" i="11"/>
  <c r="AG80" i="11"/>
  <c r="AF81" i="11"/>
  <c r="AF82" i="11"/>
  <c r="AF83" i="11"/>
  <c r="AG84" i="11"/>
  <c r="AG85" i="11"/>
  <c r="AG86" i="11"/>
  <c r="AG87" i="11"/>
  <c r="AF104" i="11"/>
  <c r="AF105" i="11"/>
  <c r="AF106" i="11"/>
  <c r="AF107" i="11"/>
  <c r="AF108" i="11"/>
  <c r="AF109" i="11"/>
  <c r="AF110" i="11"/>
  <c r="AF111" i="11"/>
  <c r="AF112" i="11"/>
  <c r="AF113" i="11"/>
  <c r="AF114" i="11"/>
  <c r="AG115" i="11"/>
  <c r="AG116" i="11"/>
  <c r="AG117" i="11"/>
  <c r="AG118" i="11"/>
  <c r="AF119" i="11"/>
  <c r="AG120" i="11"/>
  <c r="AG121" i="11"/>
  <c r="AF122" i="11"/>
  <c r="AF124" i="11"/>
  <c r="AG125" i="11"/>
  <c r="AG126" i="11"/>
  <c r="AF127" i="11"/>
  <c r="AF128" i="11"/>
  <c r="AF129" i="11"/>
  <c r="AF130" i="11"/>
  <c r="AG131" i="11"/>
  <c r="AG132" i="11"/>
  <c r="AG133" i="11"/>
  <c r="AG134" i="11"/>
  <c r="AF135" i="11"/>
  <c r="AG136" i="11"/>
  <c r="AF137" i="11"/>
  <c r="AF138" i="11"/>
  <c r="AG139" i="11"/>
  <c r="AF140" i="11"/>
  <c r="AG141" i="11"/>
  <c r="AF142" i="11"/>
  <c r="AF143" i="11"/>
  <c r="AG144" i="11"/>
  <c r="AF145" i="11"/>
  <c r="AF146" i="11"/>
  <c r="AG148" i="11"/>
  <c r="AG149" i="11"/>
  <c r="AG150" i="11"/>
  <c r="AF151" i="11"/>
  <c r="AG152" i="11"/>
  <c r="AF153" i="11"/>
  <c r="AF154" i="11"/>
  <c r="AF156" i="11"/>
  <c r="AG157" i="11"/>
  <c r="AG158" i="11"/>
  <c r="AG159" i="11"/>
  <c r="AG160" i="11"/>
  <c r="AF161" i="11"/>
  <c r="AF162" i="11"/>
  <c r="AF163" i="11"/>
  <c r="AG164" i="11"/>
  <c r="AG165" i="11"/>
  <c r="AG166" i="11"/>
  <c r="AF167" i="11"/>
  <c r="AG168" i="11"/>
  <c r="AF169" i="11"/>
  <c r="AF170" i="11"/>
  <c r="AG171" i="11"/>
  <c r="AG172" i="11"/>
  <c r="AF173" i="11"/>
  <c r="AF174" i="11"/>
  <c r="AF175" i="11"/>
  <c r="AF176" i="11"/>
  <c r="AG178" i="11"/>
  <c r="AF179" i="11"/>
  <c r="AF180" i="11"/>
  <c r="AG181" i="11"/>
  <c r="AG182" i="11"/>
  <c r="AF183" i="11"/>
  <c r="AG184" i="11"/>
  <c r="AF185" i="11"/>
  <c r="AF186" i="11"/>
  <c r="AF188" i="11"/>
  <c r="AF189" i="11"/>
  <c r="AG190" i="11"/>
  <c r="AF191" i="11"/>
  <c r="AF192" i="11"/>
  <c r="AF193" i="11"/>
  <c r="AF194" i="11"/>
  <c r="AG195" i="11"/>
  <c r="AG196" i="11"/>
  <c r="AG197" i="11"/>
  <c r="AG198" i="11"/>
  <c r="AF199" i="11"/>
  <c r="AG200" i="11"/>
  <c r="AF201" i="11"/>
  <c r="AF202" i="11"/>
  <c r="AG203" i="11"/>
  <c r="AF204" i="11"/>
  <c r="AG205" i="11"/>
  <c r="AF206" i="11"/>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Q202" i="16" s="1"/>
  <c r="F201" i="16"/>
  <c r="F200" i="16"/>
  <c r="Q200" i="16" s="1"/>
  <c r="F199" i="16"/>
  <c r="F198" i="16"/>
  <c r="F197" i="16"/>
  <c r="F196" i="16"/>
  <c r="F195" i="16"/>
  <c r="F194" i="16"/>
  <c r="F193" i="16"/>
  <c r="F192" i="16"/>
  <c r="F191" i="16"/>
  <c r="F190" i="16"/>
  <c r="F189" i="16"/>
  <c r="F188" i="16"/>
  <c r="F187" i="16"/>
  <c r="F186" i="16"/>
  <c r="F185" i="16"/>
  <c r="F184" i="16"/>
  <c r="Q184" i="16" s="1"/>
  <c r="F183" i="16"/>
  <c r="F182" i="16"/>
  <c r="F181" i="16"/>
  <c r="F180" i="16"/>
  <c r="F179" i="16"/>
  <c r="F178" i="16"/>
  <c r="F177" i="16"/>
  <c r="F160"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Q90" i="16" s="1"/>
  <c r="F89" i="16"/>
  <c r="F88" i="16"/>
  <c r="F87" i="16"/>
  <c r="F86" i="16"/>
  <c r="Q86" i="16" s="1"/>
  <c r="F85" i="16"/>
  <c r="F84" i="16"/>
  <c r="F83" i="16"/>
  <c r="F82" i="16"/>
  <c r="Q82" i="16" s="1"/>
  <c r="F81" i="16"/>
  <c r="F80" i="16"/>
  <c r="F79" i="16"/>
  <c r="F78" i="16"/>
  <c r="F77" i="16"/>
  <c r="F76" i="16"/>
  <c r="I57" i="3"/>
  <c r="H57" i="3"/>
  <c r="G57" i="3"/>
  <c r="F57" i="3"/>
  <c r="M37" i="3"/>
  <c r="L37" i="3"/>
  <c r="K37" i="3"/>
  <c r="J37" i="3"/>
  <c r="I36" i="3"/>
  <c r="H36" i="3"/>
  <c r="G36" i="3"/>
  <c r="F36" i="3"/>
  <c r="E35" i="3"/>
  <c r="D35" i="3"/>
  <c r="C34" i="3"/>
  <c r="I26" i="3"/>
  <c r="H26" i="3"/>
  <c r="G26" i="3"/>
  <c r="E25" i="3"/>
  <c r="M13" i="3"/>
  <c r="L13" i="3"/>
  <c r="K13" i="3"/>
  <c r="J13" i="3"/>
  <c r="I13" i="3"/>
  <c r="H13" i="3"/>
  <c r="G13" i="3"/>
  <c r="F13" i="3"/>
  <c r="E13" i="3"/>
  <c r="D13" i="3"/>
  <c r="C13" i="3"/>
  <c r="I48" i="11" l="1"/>
  <c r="Q121" i="16"/>
  <c r="I7" i="11"/>
  <c r="Q80" i="16"/>
  <c r="I15" i="11"/>
  <c r="J15" i="11" s="1"/>
  <c r="Q88" i="16"/>
  <c r="I23" i="11"/>
  <c r="J23" i="11" s="1"/>
  <c r="Q96" i="16"/>
  <c r="I31" i="11"/>
  <c r="Q104" i="16"/>
  <c r="I39" i="11"/>
  <c r="Q112" i="16"/>
  <c r="I47" i="11"/>
  <c r="Q120" i="16"/>
  <c r="I55" i="11"/>
  <c r="Q128" i="16"/>
  <c r="I63" i="11"/>
  <c r="Q136" i="16"/>
  <c r="I71" i="11"/>
  <c r="Q144" i="16"/>
  <c r="I79" i="11"/>
  <c r="Q152" i="16"/>
  <c r="I104" i="11"/>
  <c r="J104" i="11" s="1"/>
  <c r="Q177" i="16"/>
  <c r="I112" i="11"/>
  <c r="J112" i="11" s="1"/>
  <c r="Q185" i="16"/>
  <c r="I120" i="11"/>
  <c r="J120" i="11" s="1"/>
  <c r="Q193" i="16"/>
  <c r="I128" i="11"/>
  <c r="J128" i="11" s="1"/>
  <c r="Q201" i="16"/>
  <c r="I136" i="11"/>
  <c r="J136" i="11" s="1"/>
  <c r="Q209" i="16"/>
  <c r="I144" i="11"/>
  <c r="J144" i="11" s="1"/>
  <c r="Q217" i="16"/>
  <c r="I152" i="11"/>
  <c r="Q225" i="16"/>
  <c r="I160" i="11"/>
  <c r="Q233" i="16"/>
  <c r="I168" i="11"/>
  <c r="Q241" i="16"/>
  <c r="I176" i="11"/>
  <c r="Q249" i="16"/>
  <c r="I184" i="11"/>
  <c r="Q257" i="16"/>
  <c r="I192" i="11"/>
  <c r="Q265" i="16"/>
  <c r="I200" i="11"/>
  <c r="Q273" i="16"/>
  <c r="I40" i="11"/>
  <c r="Q113" i="16"/>
  <c r="I72" i="11"/>
  <c r="Q145" i="16"/>
  <c r="E130" i="49"/>
  <c r="H130" i="49" s="1"/>
  <c r="T202" i="16"/>
  <c r="I145" i="11"/>
  <c r="J145" i="11" s="1"/>
  <c r="Q218" i="16"/>
  <c r="I161" i="11"/>
  <c r="Q234" i="16"/>
  <c r="I177" i="11"/>
  <c r="Q250" i="16"/>
  <c r="E18" i="49"/>
  <c r="H18" i="49" s="1"/>
  <c r="T90" i="16"/>
  <c r="I25" i="11"/>
  <c r="J25" i="11" s="1"/>
  <c r="Q98" i="16"/>
  <c r="I33" i="11"/>
  <c r="J33" i="11" s="1"/>
  <c r="Q106" i="16"/>
  <c r="I41" i="11"/>
  <c r="Q114" i="16"/>
  <c r="I49" i="11"/>
  <c r="Q122" i="16"/>
  <c r="I57" i="11"/>
  <c r="Q130" i="16"/>
  <c r="I65" i="11"/>
  <c r="Q138" i="16"/>
  <c r="I73" i="11"/>
  <c r="Q146" i="16"/>
  <c r="I81" i="11"/>
  <c r="Q154" i="16"/>
  <c r="I106" i="11"/>
  <c r="J106" i="11" s="1"/>
  <c r="Q179" i="16"/>
  <c r="I114" i="11"/>
  <c r="J114" i="11" s="1"/>
  <c r="Q187" i="16"/>
  <c r="I122" i="11"/>
  <c r="J122" i="11" s="1"/>
  <c r="Q195" i="16"/>
  <c r="I130" i="11"/>
  <c r="J130" i="11" s="1"/>
  <c r="Q203" i="16"/>
  <c r="I138" i="11"/>
  <c r="J138" i="11" s="1"/>
  <c r="Q211" i="16"/>
  <c r="I146" i="11"/>
  <c r="J146" i="11" s="1"/>
  <c r="Q219" i="16"/>
  <c r="I154" i="11"/>
  <c r="Q227" i="16"/>
  <c r="I162" i="11"/>
  <c r="Q235" i="16"/>
  <c r="I170" i="11"/>
  <c r="Q243" i="16"/>
  <c r="I178" i="11"/>
  <c r="Q251" i="16"/>
  <c r="I186" i="11"/>
  <c r="Q259" i="16"/>
  <c r="I194" i="11"/>
  <c r="Q267" i="16"/>
  <c r="I202" i="11"/>
  <c r="Q275" i="16"/>
  <c r="I8" i="11"/>
  <c r="J8" i="11" s="1"/>
  <c r="Q81" i="16"/>
  <c r="I64" i="11"/>
  <c r="Q137" i="16"/>
  <c r="I193" i="11"/>
  <c r="Q266" i="16"/>
  <c r="I10" i="11"/>
  <c r="J10" i="11" s="1"/>
  <c r="Q83" i="16"/>
  <c r="I18" i="11"/>
  <c r="J18" i="11" s="1"/>
  <c r="Q91" i="16"/>
  <c r="I26" i="11"/>
  <c r="J26" i="11" s="1"/>
  <c r="Q99" i="16"/>
  <c r="I34" i="11"/>
  <c r="J34" i="11" s="1"/>
  <c r="Q107" i="16"/>
  <c r="I42" i="11"/>
  <c r="Q115" i="16"/>
  <c r="I50" i="11"/>
  <c r="Q123" i="16"/>
  <c r="I58" i="11"/>
  <c r="Q131" i="16"/>
  <c r="I66" i="11"/>
  <c r="Q139" i="16"/>
  <c r="I74" i="11"/>
  <c r="Q147" i="16"/>
  <c r="I82" i="11"/>
  <c r="Q155" i="16"/>
  <c r="I107" i="11"/>
  <c r="J107" i="11" s="1"/>
  <c r="Q180" i="16"/>
  <c r="I115" i="11"/>
  <c r="J115" i="11" s="1"/>
  <c r="Q188" i="16"/>
  <c r="I123" i="11"/>
  <c r="J123" i="11" s="1"/>
  <c r="Q196" i="16"/>
  <c r="I131" i="11"/>
  <c r="J131" i="11" s="1"/>
  <c r="Q204" i="16"/>
  <c r="I139" i="11"/>
  <c r="J139" i="11" s="1"/>
  <c r="Q212" i="16"/>
  <c r="I147" i="11"/>
  <c r="Q220" i="16"/>
  <c r="I155" i="11"/>
  <c r="Q228" i="16"/>
  <c r="I163" i="11"/>
  <c r="Q236" i="16"/>
  <c r="I171" i="11"/>
  <c r="Q244" i="16"/>
  <c r="I179" i="11"/>
  <c r="Q252" i="16"/>
  <c r="I187" i="11"/>
  <c r="Q260" i="16"/>
  <c r="I195" i="11"/>
  <c r="Q268" i="16"/>
  <c r="I203" i="11"/>
  <c r="Q276" i="16"/>
  <c r="I24" i="11"/>
  <c r="J24" i="11" s="1"/>
  <c r="Q97" i="16"/>
  <c r="I80" i="11"/>
  <c r="Q153" i="16"/>
  <c r="I185" i="11"/>
  <c r="Q258" i="16"/>
  <c r="I3" i="11"/>
  <c r="J3" i="11" s="1"/>
  <c r="Q76" i="16"/>
  <c r="I11" i="11"/>
  <c r="J11" i="11" s="1"/>
  <c r="Q84" i="16"/>
  <c r="I19" i="11"/>
  <c r="J19" i="11" s="1"/>
  <c r="Q92" i="16"/>
  <c r="I27" i="11"/>
  <c r="J27" i="11" s="1"/>
  <c r="Q100" i="16"/>
  <c r="I35" i="11"/>
  <c r="J35" i="11" s="1"/>
  <c r="Q108" i="16"/>
  <c r="I43" i="11"/>
  <c r="Q116" i="16"/>
  <c r="I51" i="11"/>
  <c r="Q124" i="16"/>
  <c r="I59" i="11"/>
  <c r="Q132" i="16"/>
  <c r="I67" i="11"/>
  <c r="Q140" i="16"/>
  <c r="I75" i="11"/>
  <c r="Q148" i="16"/>
  <c r="I83" i="11"/>
  <c r="Q156" i="16"/>
  <c r="I108" i="11"/>
  <c r="Q181" i="16"/>
  <c r="I116" i="11"/>
  <c r="Q189" i="16"/>
  <c r="I124" i="11"/>
  <c r="J124" i="11" s="1"/>
  <c r="Q197" i="16"/>
  <c r="I132" i="11"/>
  <c r="J132" i="11" s="1"/>
  <c r="Q205" i="16"/>
  <c r="I140" i="11"/>
  <c r="Q213" i="16"/>
  <c r="I148" i="11"/>
  <c r="Q221" i="16"/>
  <c r="I156" i="11"/>
  <c r="Q229" i="16"/>
  <c r="I164" i="11"/>
  <c r="Q237" i="16"/>
  <c r="I172" i="11"/>
  <c r="Q245" i="16"/>
  <c r="I180" i="11"/>
  <c r="Q253" i="16"/>
  <c r="I188" i="11"/>
  <c r="Q261" i="16"/>
  <c r="I196" i="11"/>
  <c r="Q269" i="16"/>
  <c r="I204" i="11"/>
  <c r="Q277" i="16"/>
  <c r="I16" i="11"/>
  <c r="J16" i="11" s="1"/>
  <c r="Q89" i="16"/>
  <c r="I4" i="11"/>
  <c r="J4" i="11" s="1"/>
  <c r="Q77" i="16"/>
  <c r="I12" i="11"/>
  <c r="J12" i="11" s="1"/>
  <c r="Q85" i="16"/>
  <c r="I20" i="11"/>
  <c r="J20" i="11" s="1"/>
  <c r="Q93" i="16"/>
  <c r="I28" i="11"/>
  <c r="J28" i="11" s="1"/>
  <c r="Q101" i="16"/>
  <c r="I36" i="11"/>
  <c r="J36" i="11" s="1"/>
  <c r="Q109" i="16"/>
  <c r="I44" i="11"/>
  <c r="Q117" i="16"/>
  <c r="I52" i="11"/>
  <c r="Q125" i="16"/>
  <c r="I60" i="11"/>
  <c r="Q133" i="16"/>
  <c r="I68" i="11"/>
  <c r="Q141" i="16"/>
  <c r="I76" i="11"/>
  <c r="Q149" i="16"/>
  <c r="I84" i="11"/>
  <c r="Q157" i="16"/>
  <c r="I109" i="11"/>
  <c r="J109" i="11" s="1"/>
  <c r="Q182" i="16"/>
  <c r="I117" i="11"/>
  <c r="J117" i="11" s="1"/>
  <c r="Q190" i="16"/>
  <c r="I125" i="11"/>
  <c r="J125" i="11" s="1"/>
  <c r="Q198" i="16"/>
  <c r="I133" i="11"/>
  <c r="J133" i="11" s="1"/>
  <c r="Q206" i="16"/>
  <c r="I141" i="11"/>
  <c r="J141" i="11" s="1"/>
  <c r="Q214" i="16"/>
  <c r="I149" i="11"/>
  <c r="Q222" i="16"/>
  <c r="I157" i="11"/>
  <c r="Q230" i="16"/>
  <c r="I165" i="11"/>
  <c r="Q238" i="16"/>
  <c r="I173" i="11"/>
  <c r="Q246" i="16"/>
  <c r="I181" i="11"/>
  <c r="Q254" i="16"/>
  <c r="I189" i="11"/>
  <c r="Q262" i="16"/>
  <c r="I197" i="11"/>
  <c r="Q270" i="16"/>
  <c r="I121" i="11"/>
  <c r="J121" i="11" s="1"/>
  <c r="Q194" i="16"/>
  <c r="I5" i="11"/>
  <c r="J5" i="11" s="1"/>
  <c r="Q78" i="16"/>
  <c r="E14" i="49"/>
  <c r="H14" i="49" s="1"/>
  <c r="T86" i="16"/>
  <c r="I21" i="11"/>
  <c r="J21" i="11" s="1"/>
  <c r="Q94" i="16"/>
  <c r="I29" i="11"/>
  <c r="J29" i="11" s="1"/>
  <c r="Q102" i="16"/>
  <c r="I37" i="11"/>
  <c r="J37" i="11" s="1"/>
  <c r="Q110" i="16"/>
  <c r="I45" i="11"/>
  <c r="Q118" i="16"/>
  <c r="I53" i="11"/>
  <c r="Q126" i="16"/>
  <c r="I61" i="11"/>
  <c r="Q134" i="16"/>
  <c r="I69" i="11"/>
  <c r="Q142" i="16"/>
  <c r="I77" i="11"/>
  <c r="Q150" i="16"/>
  <c r="I85" i="11"/>
  <c r="Q158" i="16"/>
  <c r="I110" i="11"/>
  <c r="J110" i="11" s="1"/>
  <c r="Q183" i="16"/>
  <c r="I118" i="11"/>
  <c r="J118" i="11" s="1"/>
  <c r="Q191" i="16"/>
  <c r="I126" i="11"/>
  <c r="J126" i="11" s="1"/>
  <c r="Q199" i="16"/>
  <c r="I134" i="11"/>
  <c r="J134" i="11" s="1"/>
  <c r="Q207" i="16"/>
  <c r="I142" i="11"/>
  <c r="J142" i="11" s="1"/>
  <c r="Q215" i="16"/>
  <c r="I150" i="11"/>
  <c r="Q223" i="16"/>
  <c r="I158" i="11"/>
  <c r="Q231" i="16"/>
  <c r="I166" i="11"/>
  <c r="Q239" i="16"/>
  <c r="I174" i="11"/>
  <c r="Q247" i="16"/>
  <c r="I182" i="11"/>
  <c r="Q255" i="16"/>
  <c r="I190" i="11"/>
  <c r="Q263" i="16"/>
  <c r="I198" i="11"/>
  <c r="Q271" i="16"/>
  <c r="I32" i="11"/>
  <c r="J32" i="11" s="1"/>
  <c r="Q105" i="16"/>
  <c r="I56" i="11"/>
  <c r="Q129" i="16"/>
  <c r="I105" i="11"/>
  <c r="J105" i="11" s="1"/>
  <c r="Q178" i="16"/>
  <c r="I113" i="11"/>
  <c r="J113" i="11" s="1"/>
  <c r="Q186" i="16"/>
  <c r="I137" i="11"/>
  <c r="J137" i="11" s="1"/>
  <c r="Q210" i="16"/>
  <c r="I153" i="11"/>
  <c r="Q226" i="16"/>
  <c r="I169" i="11"/>
  <c r="Q242" i="16"/>
  <c r="I201" i="11"/>
  <c r="Q274" i="16"/>
  <c r="E10" i="49"/>
  <c r="H10" i="49" s="1"/>
  <c r="T82" i="16"/>
  <c r="I6" i="11"/>
  <c r="Q79" i="16"/>
  <c r="I14" i="11"/>
  <c r="J14" i="11" s="1"/>
  <c r="Q87" i="16"/>
  <c r="I22" i="11"/>
  <c r="Q95" i="16"/>
  <c r="I30" i="11"/>
  <c r="Q103" i="16"/>
  <c r="I38" i="11"/>
  <c r="J38" i="11" s="1"/>
  <c r="Q111" i="16"/>
  <c r="I46" i="11"/>
  <c r="Q119" i="16"/>
  <c r="I54" i="11"/>
  <c r="Q127" i="16"/>
  <c r="I62" i="11"/>
  <c r="Q135" i="16"/>
  <c r="I70" i="11"/>
  <c r="Q143" i="16"/>
  <c r="I78" i="11"/>
  <c r="Q151" i="16"/>
  <c r="I87" i="11"/>
  <c r="Q160" i="16"/>
  <c r="E112" i="49"/>
  <c r="H112" i="49" s="1"/>
  <c r="T184" i="16"/>
  <c r="I119" i="11"/>
  <c r="J119" i="11" s="1"/>
  <c r="Q192" i="16"/>
  <c r="E128" i="49"/>
  <c r="H128" i="49" s="1"/>
  <c r="T200" i="16"/>
  <c r="I135" i="11"/>
  <c r="Q208" i="16"/>
  <c r="I143" i="11"/>
  <c r="Q216" i="16"/>
  <c r="I151" i="11"/>
  <c r="Q224" i="16"/>
  <c r="I159" i="11"/>
  <c r="Q232" i="16"/>
  <c r="I167" i="11"/>
  <c r="Q240" i="16"/>
  <c r="I175" i="11"/>
  <c r="Q248" i="16"/>
  <c r="I183" i="11"/>
  <c r="Q256" i="16"/>
  <c r="I191" i="11"/>
  <c r="Q264" i="16"/>
  <c r="I199" i="11"/>
  <c r="Q272" i="16"/>
  <c r="J6" i="11"/>
  <c r="J22" i="11"/>
  <c r="J30" i="11"/>
  <c r="J7" i="11"/>
  <c r="J31" i="11"/>
  <c r="J39" i="11"/>
  <c r="H199" i="11"/>
  <c r="L199" i="11"/>
  <c r="R199" i="11"/>
  <c r="F199" i="11"/>
  <c r="V199" i="11"/>
  <c r="T199" i="11"/>
  <c r="R183" i="11"/>
  <c r="L183" i="11"/>
  <c r="H183" i="11"/>
  <c r="F183" i="11"/>
  <c r="T183" i="11"/>
  <c r="V183" i="11"/>
  <c r="R167" i="11"/>
  <c r="L167" i="11"/>
  <c r="V167" i="11"/>
  <c r="H167" i="11"/>
  <c r="F167" i="11"/>
  <c r="T167" i="11"/>
  <c r="H151" i="11"/>
  <c r="R151" i="11"/>
  <c r="L151" i="11"/>
  <c r="T151" i="11"/>
  <c r="V151" i="11"/>
  <c r="F151" i="11"/>
  <c r="L135" i="11"/>
  <c r="H135" i="11"/>
  <c r="R135" i="11"/>
  <c r="F135" i="11"/>
  <c r="V135" i="11"/>
  <c r="T135" i="11"/>
  <c r="R119" i="11"/>
  <c r="L119" i="11"/>
  <c r="H119" i="11"/>
  <c r="F119" i="11"/>
  <c r="T119" i="11"/>
  <c r="V119" i="11"/>
  <c r="H87" i="11"/>
  <c r="R87" i="11"/>
  <c r="T87" i="11"/>
  <c r="L87" i="11"/>
  <c r="V87" i="11"/>
  <c r="F87" i="11"/>
  <c r="L71" i="11"/>
  <c r="H71" i="11"/>
  <c r="R71" i="11"/>
  <c r="F71" i="11"/>
  <c r="V71" i="11"/>
  <c r="T71" i="11"/>
  <c r="R55" i="11"/>
  <c r="L55" i="11"/>
  <c r="H55" i="11"/>
  <c r="F55" i="11"/>
  <c r="V55" i="11"/>
  <c r="T55" i="11"/>
  <c r="R39" i="11"/>
  <c r="L39" i="11"/>
  <c r="V39" i="11"/>
  <c r="T39" i="11"/>
  <c r="F39" i="11"/>
  <c r="H39" i="11"/>
  <c r="H31" i="11"/>
  <c r="R31" i="11"/>
  <c r="L31" i="11"/>
  <c r="V31" i="11"/>
  <c r="F31" i="11"/>
  <c r="T31" i="11"/>
  <c r="H23" i="11"/>
  <c r="R23" i="11"/>
  <c r="L23" i="11"/>
  <c r="T23" i="11"/>
  <c r="V23" i="11"/>
  <c r="F23" i="11"/>
  <c r="L7" i="11"/>
  <c r="H7" i="11"/>
  <c r="R7" i="11"/>
  <c r="F7" i="11"/>
  <c r="T7" i="11"/>
  <c r="V7" i="11"/>
  <c r="R206" i="11"/>
  <c r="H206" i="11"/>
  <c r="L206" i="11"/>
  <c r="F206" i="11"/>
  <c r="V206" i="11"/>
  <c r="T206" i="11"/>
  <c r="R198" i="11"/>
  <c r="H198" i="11"/>
  <c r="F198" i="11"/>
  <c r="T198" i="11"/>
  <c r="L198" i="11"/>
  <c r="V198" i="11"/>
  <c r="R190" i="11"/>
  <c r="F190" i="11"/>
  <c r="L190" i="11"/>
  <c r="H190" i="11"/>
  <c r="T190" i="11"/>
  <c r="V190" i="11"/>
  <c r="R182" i="11"/>
  <c r="L182" i="11"/>
  <c r="F182" i="11"/>
  <c r="H182" i="11"/>
  <c r="V182" i="11"/>
  <c r="T182" i="11"/>
  <c r="F174" i="11"/>
  <c r="L174" i="11"/>
  <c r="R174" i="11"/>
  <c r="T174" i="11"/>
  <c r="V174" i="11"/>
  <c r="H174" i="11"/>
  <c r="H166" i="11"/>
  <c r="R166" i="11"/>
  <c r="L166" i="11"/>
  <c r="F166" i="11"/>
  <c r="T166" i="11"/>
  <c r="V166" i="11"/>
  <c r="F158" i="11"/>
  <c r="H158" i="11"/>
  <c r="L158" i="11"/>
  <c r="R158" i="11"/>
  <c r="V158" i="11"/>
  <c r="T158" i="11"/>
  <c r="F150" i="11"/>
  <c r="R150" i="11"/>
  <c r="H150" i="11"/>
  <c r="L150" i="11"/>
  <c r="V150" i="11"/>
  <c r="T150" i="11"/>
  <c r="F142" i="11"/>
  <c r="H142" i="11"/>
  <c r="R142" i="11"/>
  <c r="L142" i="11"/>
  <c r="V142" i="11"/>
  <c r="T142" i="11"/>
  <c r="R134" i="11"/>
  <c r="F134" i="11"/>
  <c r="H134" i="11"/>
  <c r="T134" i="11"/>
  <c r="L134" i="11"/>
  <c r="V134" i="11"/>
  <c r="L126" i="11"/>
  <c r="R126" i="11"/>
  <c r="F126" i="11"/>
  <c r="H126" i="11"/>
  <c r="T126" i="11"/>
  <c r="V126" i="11"/>
  <c r="L118" i="11"/>
  <c r="R118" i="11"/>
  <c r="F118" i="11"/>
  <c r="H118" i="11"/>
  <c r="V118" i="11"/>
  <c r="T118" i="11"/>
  <c r="L110" i="11"/>
  <c r="R110" i="11"/>
  <c r="F110" i="11"/>
  <c r="T110" i="11"/>
  <c r="H110" i="11"/>
  <c r="V110" i="11"/>
  <c r="H86" i="11"/>
  <c r="R86" i="11"/>
  <c r="L86" i="11"/>
  <c r="V86" i="11"/>
  <c r="T86" i="11"/>
  <c r="F86" i="11"/>
  <c r="R78" i="11"/>
  <c r="H78" i="11"/>
  <c r="L78" i="11"/>
  <c r="F78" i="11"/>
  <c r="V78" i="11"/>
  <c r="T78" i="11"/>
  <c r="R70" i="11"/>
  <c r="H70" i="11"/>
  <c r="F70" i="11"/>
  <c r="T70" i="11"/>
  <c r="V70" i="11"/>
  <c r="L70" i="11"/>
  <c r="L62" i="11"/>
  <c r="R62" i="11"/>
  <c r="H62" i="11"/>
  <c r="V62" i="11"/>
  <c r="F62" i="11"/>
  <c r="T62" i="11"/>
  <c r="L54" i="11"/>
  <c r="R54" i="11"/>
  <c r="H54" i="11"/>
  <c r="V54" i="11"/>
  <c r="F54" i="11"/>
  <c r="T54" i="11"/>
  <c r="L46" i="11"/>
  <c r="H46" i="11"/>
  <c r="V46" i="11"/>
  <c r="F46" i="11"/>
  <c r="R46" i="11"/>
  <c r="T46" i="11"/>
  <c r="H38" i="11"/>
  <c r="L38" i="11"/>
  <c r="R38" i="11"/>
  <c r="F38" i="11"/>
  <c r="V38" i="11"/>
  <c r="T38" i="11"/>
  <c r="H30" i="11"/>
  <c r="R30" i="11"/>
  <c r="L30" i="11"/>
  <c r="T30" i="11"/>
  <c r="V30" i="11"/>
  <c r="F30" i="11"/>
  <c r="H22" i="11"/>
  <c r="L22" i="11"/>
  <c r="R22" i="11"/>
  <c r="V22" i="11"/>
  <c r="T22" i="11"/>
  <c r="F22" i="11"/>
  <c r="R14" i="11"/>
  <c r="H14" i="11"/>
  <c r="L14" i="11"/>
  <c r="F14" i="11"/>
  <c r="V14" i="11"/>
  <c r="T14" i="11"/>
  <c r="H6" i="11"/>
  <c r="R6" i="11"/>
  <c r="F6" i="11"/>
  <c r="T6" i="11"/>
  <c r="V6" i="11"/>
  <c r="L6" i="11"/>
  <c r="L2" i="11"/>
  <c r="H2" i="11"/>
  <c r="R2" i="11"/>
  <c r="T2" i="11"/>
  <c r="F2" i="11"/>
  <c r="V2" i="11"/>
  <c r="J2" i="11"/>
  <c r="L191" i="11"/>
  <c r="H191" i="11"/>
  <c r="F191" i="11"/>
  <c r="T191" i="11"/>
  <c r="V191" i="11"/>
  <c r="R191" i="11"/>
  <c r="R175" i="11"/>
  <c r="L175" i="11"/>
  <c r="H175" i="11"/>
  <c r="V175" i="11"/>
  <c r="F175" i="11"/>
  <c r="T175" i="11"/>
  <c r="H159" i="11"/>
  <c r="R159" i="11"/>
  <c r="L159" i="11"/>
  <c r="T159" i="11"/>
  <c r="V159" i="11"/>
  <c r="F159" i="11"/>
  <c r="L143" i="11"/>
  <c r="H143" i="11"/>
  <c r="R143" i="11"/>
  <c r="V143" i="11"/>
  <c r="F143" i="11"/>
  <c r="T143" i="11"/>
  <c r="L127" i="11"/>
  <c r="H127" i="11"/>
  <c r="F127" i="11"/>
  <c r="T127" i="11"/>
  <c r="R127" i="11"/>
  <c r="V127" i="11"/>
  <c r="R111" i="11"/>
  <c r="L111" i="11"/>
  <c r="H111" i="11"/>
  <c r="V111" i="11"/>
  <c r="T111" i="11"/>
  <c r="F111" i="11"/>
  <c r="L79" i="11"/>
  <c r="H79" i="11"/>
  <c r="R79" i="11"/>
  <c r="V79" i="11"/>
  <c r="F79" i="11"/>
  <c r="T79" i="11"/>
  <c r="L63" i="11"/>
  <c r="H63" i="11"/>
  <c r="R63" i="11"/>
  <c r="F63" i="11"/>
  <c r="T63" i="11"/>
  <c r="V63" i="11"/>
  <c r="R47" i="11"/>
  <c r="L47" i="11"/>
  <c r="H47" i="11"/>
  <c r="V47" i="11"/>
  <c r="T47" i="11"/>
  <c r="F47" i="11"/>
  <c r="L15" i="11"/>
  <c r="H15" i="11"/>
  <c r="R15" i="11"/>
  <c r="V15" i="11"/>
  <c r="F15" i="11"/>
  <c r="T15" i="11"/>
  <c r="J135" i="11"/>
  <c r="J143" i="11"/>
  <c r="F205" i="11"/>
  <c r="H205" i="11"/>
  <c r="R205" i="11"/>
  <c r="L205" i="11"/>
  <c r="V205" i="11"/>
  <c r="T205" i="11"/>
  <c r="H197" i="11"/>
  <c r="R197" i="11"/>
  <c r="F197" i="11"/>
  <c r="L197" i="11"/>
  <c r="V197" i="11"/>
  <c r="T197" i="11"/>
  <c r="R189" i="11"/>
  <c r="H189" i="11"/>
  <c r="F189" i="11"/>
  <c r="L189" i="11"/>
  <c r="V189" i="11"/>
  <c r="T189" i="11"/>
  <c r="L181" i="11"/>
  <c r="F181" i="11"/>
  <c r="H181" i="11"/>
  <c r="R181" i="11"/>
  <c r="T181" i="11"/>
  <c r="V181" i="11"/>
  <c r="L173" i="11"/>
  <c r="F173" i="11"/>
  <c r="R173" i="11"/>
  <c r="H173" i="11"/>
  <c r="V173" i="11"/>
  <c r="T173" i="11"/>
  <c r="R165" i="11"/>
  <c r="L165" i="11"/>
  <c r="F165" i="11"/>
  <c r="H165" i="11"/>
  <c r="V165" i="11"/>
  <c r="T165" i="11"/>
  <c r="H157" i="11"/>
  <c r="L157" i="11"/>
  <c r="R157" i="11"/>
  <c r="F157" i="11"/>
  <c r="T157" i="11"/>
  <c r="V157" i="11"/>
  <c r="H149" i="11"/>
  <c r="L149" i="11"/>
  <c r="R149" i="11"/>
  <c r="F149" i="11"/>
  <c r="V149" i="11"/>
  <c r="T149" i="11"/>
  <c r="H141" i="11"/>
  <c r="R141" i="11"/>
  <c r="L141" i="11"/>
  <c r="F141" i="11"/>
  <c r="V141" i="11"/>
  <c r="T141" i="11"/>
  <c r="H133" i="11"/>
  <c r="L133" i="11"/>
  <c r="F133" i="11"/>
  <c r="V133" i="11"/>
  <c r="R133" i="11"/>
  <c r="T133" i="11"/>
  <c r="F125" i="11"/>
  <c r="R125" i="11"/>
  <c r="H125" i="11"/>
  <c r="T125" i="11"/>
  <c r="V125" i="11"/>
  <c r="L125" i="11"/>
  <c r="L117" i="11"/>
  <c r="F117" i="11"/>
  <c r="R117" i="11"/>
  <c r="H117" i="11"/>
  <c r="T117" i="11"/>
  <c r="V117" i="11"/>
  <c r="L109" i="11"/>
  <c r="F109" i="11"/>
  <c r="R109" i="11"/>
  <c r="H109" i="11"/>
  <c r="V109" i="11"/>
  <c r="T109" i="11"/>
  <c r="H85" i="11"/>
  <c r="F85" i="11"/>
  <c r="L85" i="11"/>
  <c r="R85" i="11"/>
  <c r="T85" i="11"/>
  <c r="V85" i="11"/>
  <c r="R77" i="11"/>
  <c r="H77" i="11"/>
  <c r="F77" i="11"/>
  <c r="L77" i="11"/>
  <c r="V77" i="11"/>
  <c r="T77" i="11"/>
  <c r="R69" i="11"/>
  <c r="H69" i="11"/>
  <c r="F69" i="11"/>
  <c r="L69" i="11"/>
  <c r="T69" i="11"/>
  <c r="V69" i="11"/>
  <c r="R61" i="11"/>
  <c r="H61" i="11"/>
  <c r="F61" i="11"/>
  <c r="L61" i="11"/>
  <c r="T61" i="11"/>
  <c r="V61" i="11"/>
  <c r="L53" i="11"/>
  <c r="R53" i="11"/>
  <c r="H53" i="11"/>
  <c r="F53" i="11"/>
  <c r="T53" i="11"/>
  <c r="V53" i="11"/>
  <c r="L45" i="11"/>
  <c r="R45" i="11"/>
  <c r="H45" i="11"/>
  <c r="F45" i="11"/>
  <c r="V45" i="11"/>
  <c r="T45" i="11"/>
  <c r="R37" i="11"/>
  <c r="L37" i="11"/>
  <c r="T37" i="11"/>
  <c r="H37" i="11"/>
  <c r="F37" i="11"/>
  <c r="V37" i="11"/>
  <c r="H29" i="11"/>
  <c r="F29" i="11"/>
  <c r="R29" i="11"/>
  <c r="L29" i="11"/>
  <c r="T29" i="11"/>
  <c r="V29" i="11"/>
  <c r="H21" i="11"/>
  <c r="F21" i="11"/>
  <c r="L21" i="11"/>
  <c r="R21" i="11"/>
  <c r="T21" i="11"/>
  <c r="V21" i="11"/>
  <c r="R13" i="11"/>
  <c r="H13" i="11"/>
  <c r="F13" i="11"/>
  <c r="L13" i="11"/>
  <c r="V13" i="11"/>
  <c r="T13" i="11"/>
  <c r="R5" i="11"/>
  <c r="H5" i="11"/>
  <c r="F5" i="11"/>
  <c r="L5" i="11"/>
  <c r="T5" i="11"/>
  <c r="V5" i="11"/>
  <c r="H196" i="11"/>
  <c r="R196" i="11"/>
  <c r="V196" i="11"/>
  <c r="L196" i="11"/>
  <c r="F196" i="11"/>
  <c r="T196" i="11"/>
  <c r="L164" i="11"/>
  <c r="V164" i="11"/>
  <c r="H164" i="11"/>
  <c r="T164" i="11"/>
  <c r="R164" i="11"/>
  <c r="F164" i="11"/>
  <c r="R20" i="11"/>
  <c r="L20" i="11"/>
  <c r="H20" i="11"/>
  <c r="F20" i="11"/>
  <c r="V20" i="11"/>
  <c r="T20" i="11"/>
  <c r="R203" i="11"/>
  <c r="H203" i="11"/>
  <c r="L203" i="11"/>
  <c r="F203" i="11"/>
  <c r="T203" i="11"/>
  <c r="V203" i="11"/>
  <c r="R195" i="11"/>
  <c r="H195" i="11"/>
  <c r="L195" i="11"/>
  <c r="T195" i="11"/>
  <c r="F195" i="11"/>
  <c r="V195" i="11"/>
  <c r="H187" i="11"/>
  <c r="R187" i="11"/>
  <c r="L187" i="11"/>
  <c r="F187" i="11"/>
  <c r="T187" i="11"/>
  <c r="V187" i="11"/>
  <c r="H179" i="11"/>
  <c r="L179" i="11"/>
  <c r="R179" i="11"/>
  <c r="F179" i="11"/>
  <c r="T179" i="11"/>
  <c r="V179" i="11"/>
  <c r="H171" i="11"/>
  <c r="L171" i="11"/>
  <c r="R171" i="11"/>
  <c r="V171" i="11"/>
  <c r="F171" i="11"/>
  <c r="T171" i="11"/>
  <c r="L163" i="11"/>
  <c r="H163" i="11"/>
  <c r="R163" i="11"/>
  <c r="T163" i="11"/>
  <c r="V163" i="11"/>
  <c r="F163" i="11"/>
  <c r="L155" i="11"/>
  <c r="H155" i="11"/>
  <c r="R155" i="11"/>
  <c r="T155" i="11"/>
  <c r="V155" i="11"/>
  <c r="F155" i="11"/>
  <c r="L147" i="11"/>
  <c r="H147" i="11"/>
  <c r="R147" i="11"/>
  <c r="V147" i="11"/>
  <c r="T147" i="11"/>
  <c r="F147" i="11"/>
  <c r="R139" i="11"/>
  <c r="H139" i="11"/>
  <c r="L139" i="11"/>
  <c r="F139" i="11"/>
  <c r="V139" i="11"/>
  <c r="T139" i="11"/>
  <c r="H131" i="11"/>
  <c r="R131" i="11"/>
  <c r="L131" i="11"/>
  <c r="T131" i="11"/>
  <c r="F131" i="11"/>
  <c r="V131" i="11"/>
  <c r="H123" i="11"/>
  <c r="R123" i="11"/>
  <c r="L123" i="11"/>
  <c r="F123" i="11"/>
  <c r="T123" i="11"/>
  <c r="V123" i="11"/>
  <c r="L115" i="11"/>
  <c r="R115" i="11"/>
  <c r="H115" i="11"/>
  <c r="T115" i="11"/>
  <c r="F115" i="11"/>
  <c r="V115" i="11"/>
  <c r="L107" i="11"/>
  <c r="R107" i="11"/>
  <c r="V107" i="11"/>
  <c r="T107" i="11"/>
  <c r="F107" i="11"/>
  <c r="H107" i="11"/>
  <c r="H83" i="11"/>
  <c r="L83" i="11"/>
  <c r="F83" i="11"/>
  <c r="R83" i="11"/>
  <c r="T83" i="11"/>
  <c r="V83" i="11"/>
  <c r="R75" i="11"/>
  <c r="H75" i="11"/>
  <c r="L75" i="11"/>
  <c r="F75" i="11"/>
  <c r="V75" i="11"/>
  <c r="T75" i="11"/>
  <c r="H67" i="11"/>
  <c r="L67" i="11"/>
  <c r="F67" i="11"/>
  <c r="V67" i="11"/>
  <c r="R67" i="11"/>
  <c r="T67" i="11"/>
  <c r="H59" i="11"/>
  <c r="T59" i="11"/>
  <c r="F59" i="11"/>
  <c r="L59" i="11"/>
  <c r="V59" i="11"/>
  <c r="R59" i="11"/>
  <c r="L51" i="11"/>
  <c r="H51" i="11"/>
  <c r="V51" i="11"/>
  <c r="T51" i="11"/>
  <c r="F51" i="11"/>
  <c r="R51" i="11"/>
  <c r="L43" i="11"/>
  <c r="V43" i="11"/>
  <c r="T43" i="11"/>
  <c r="H43" i="11"/>
  <c r="F43" i="11"/>
  <c r="R43" i="11"/>
  <c r="L35" i="11"/>
  <c r="H35" i="11"/>
  <c r="R35" i="11"/>
  <c r="V35" i="11"/>
  <c r="T35" i="11"/>
  <c r="F35" i="11"/>
  <c r="L27" i="11"/>
  <c r="F27" i="11"/>
  <c r="H27" i="11"/>
  <c r="R27" i="11"/>
  <c r="V27" i="11"/>
  <c r="T27" i="11"/>
  <c r="H19" i="11"/>
  <c r="L19" i="11"/>
  <c r="R19" i="11"/>
  <c r="V19" i="11"/>
  <c r="T19" i="11"/>
  <c r="F19" i="11"/>
  <c r="L11" i="11"/>
  <c r="H11" i="11"/>
  <c r="V11" i="11"/>
  <c r="F11" i="11"/>
  <c r="R11" i="11"/>
  <c r="T11" i="11"/>
  <c r="H3" i="11"/>
  <c r="L3" i="11"/>
  <c r="F3" i="11"/>
  <c r="T3" i="11"/>
  <c r="V3" i="11"/>
  <c r="R3" i="11"/>
  <c r="H180" i="11"/>
  <c r="R180" i="11"/>
  <c r="L180" i="11"/>
  <c r="T180" i="11"/>
  <c r="V180" i="11"/>
  <c r="F180" i="11"/>
  <c r="R156" i="11"/>
  <c r="L156" i="11"/>
  <c r="F156" i="11"/>
  <c r="H156" i="11"/>
  <c r="T156" i="11"/>
  <c r="V156" i="11"/>
  <c r="H140" i="11"/>
  <c r="R140" i="11"/>
  <c r="L140" i="11"/>
  <c r="F140" i="11"/>
  <c r="V140" i="11"/>
  <c r="T140" i="11"/>
  <c r="H124" i="11"/>
  <c r="R124" i="11"/>
  <c r="L124" i="11"/>
  <c r="F124" i="11"/>
  <c r="V124" i="11"/>
  <c r="T124" i="11"/>
  <c r="R84" i="11"/>
  <c r="H84" i="11"/>
  <c r="L84" i="11"/>
  <c r="F84" i="11"/>
  <c r="V84" i="11"/>
  <c r="T84" i="11"/>
  <c r="R68" i="11"/>
  <c r="L68" i="11"/>
  <c r="V68" i="11"/>
  <c r="T68" i="11"/>
  <c r="F68" i="11"/>
  <c r="H68" i="11"/>
  <c r="F52" i="11"/>
  <c r="R52" i="11"/>
  <c r="L52" i="11"/>
  <c r="H52" i="11"/>
  <c r="V52" i="11"/>
  <c r="T52" i="11"/>
  <c r="L36" i="11"/>
  <c r="F36" i="11"/>
  <c r="H36" i="11"/>
  <c r="V36" i="11"/>
  <c r="R36" i="11"/>
  <c r="T36" i="11"/>
  <c r="H12" i="11"/>
  <c r="R12" i="11"/>
  <c r="L12" i="11"/>
  <c r="F12" i="11"/>
  <c r="T12" i="11"/>
  <c r="V12" i="11"/>
  <c r="L202" i="11"/>
  <c r="H202" i="11"/>
  <c r="R202" i="11"/>
  <c r="T202" i="11"/>
  <c r="F202" i="11"/>
  <c r="V202" i="11"/>
  <c r="R194" i="11"/>
  <c r="L194" i="11"/>
  <c r="T194" i="11"/>
  <c r="F194" i="11"/>
  <c r="H194" i="11"/>
  <c r="V194" i="11"/>
  <c r="R186" i="11"/>
  <c r="H186" i="11"/>
  <c r="L186" i="11"/>
  <c r="V186" i="11"/>
  <c r="F186" i="11"/>
  <c r="T186" i="11"/>
  <c r="H178" i="11"/>
  <c r="R178" i="11"/>
  <c r="V178" i="11"/>
  <c r="L178" i="11"/>
  <c r="F178" i="11"/>
  <c r="T178" i="11"/>
  <c r="L170" i="11"/>
  <c r="R170" i="11"/>
  <c r="T170" i="11"/>
  <c r="H170" i="11"/>
  <c r="F170" i="11"/>
  <c r="V170" i="11"/>
  <c r="H162" i="11"/>
  <c r="L162" i="11"/>
  <c r="R162" i="11"/>
  <c r="F162" i="11"/>
  <c r="T162" i="11"/>
  <c r="V162" i="11"/>
  <c r="H154" i="11"/>
  <c r="L154" i="11"/>
  <c r="R154" i="11"/>
  <c r="V154" i="11"/>
  <c r="F154" i="11"/>
  <c r="T154" i="11"/>
  <c r="H146" i="11"/>
  <c r="L146" i="11"/>
  <c r="R146" i="11"/>
  <c r="F146" i="11"/>
  <c r="V146" i="11"/>
  <c r="T146" i="11"/>
  <c r="H138" i="11"/>
  <c r="L138" i="11"/>
  <c r="R138" i="11"/>
  <c r="F138" i="11"/>
  <c r="V138" i="11"/>
  <c r="T138" i="11"/>
  <c r="R130" i="11"/>
  <c r="H130" i="11"/>
  <c r="L130" i="11"/>
  <c r="T130" i="11"/>
  <c r="F130" i="11"/>
  <c r="V130" i="11"/>
  <c r="R122" i="11"/>
  <c r="H122" i="11"/>
  <c r="L122" i="11"/>
  <c r="V122" i="11"/>
  <c r="T122" i="11"/>
  <c r="F122" i="11"/>
  <c r="H114" i="11"/>
  <c r="R114" i="11"/>
  <c r="V114" i="11"/>
  <c r="T114" i="11"/>
  <c r="L114" i="11"/>
  <c r="F114" i="11"/>
  <c r="L106" i="11"/>
  <c r="R106" i="11"/>
  <c r="H106" i="11"/>
  <c r="F106" i="11"/>
  <c r="T106" i="11"/>
  <c r="V106" i="11"/>
  <c r="L82" i="11"/>
  <c r="H82" i="11"/>
  <c r="R82" i="11"/>
  <c r="V82" i="11"/>
  <c r="T82" i="11"/>
  <c r="F82" i="11"/>
  <c r="L74" i="11"/>
  <c r="H74" i="11"/>
  <c r="F74" i="11"/>
  <c r="R74" i="11"/>
  <c r="V74" i="11"/>
  <c r="T74" i="11"/>
  <c r="R66" i="11"/>
  <c r="H66" i="11"/>
  <c r="L66" i="11"/>
  <c r="T66" i="11"/>
  <c r="F66" i="11"/>
  <c r="V66" i="11"/>
  <c r="H58" i="11"/>
  <c r="R58" i="11"/>
  <c r="L58" i="11"/>
  <c r="V58" i="11"/>
  <c r="F58" i="11"/>
  <c r="T58" i="11"/>
  <c r="R50" i="11"/>
  <c r="H50" i="11"/>
  <c r="V50" i="11"/>
  <c r="F50" i="11"/>
  <c r="T50" i="11"/>
  <c r="L50" i="11"/>
  <c r="L42" i="11"/>
  <c r="H42" i="11"/>
  <c r="R42" i="11"/>
  <c r="F42" i="11"/>
  <c r="V42" i="11"/>
  <c r="T42" i="11"/>
  <c r="L34" i="11"/>
  <c r="R34" i="11"/>
  <c r="H34" i="11"/>
  <c r="T34" i="11"/>
  <c r="F34" i="11"/>
  <c r="V34" i="11"/>
  <c r="H26" i="11"/>
  <c r="L26" i="11"/>
  <c r="R26" i="11"/>
  <c r="V26" i="11"/>
  <c r="T26" i="11"/>
  <c r="F26" i="11"/>
  <c r="H18" i="11"/>
  <c r="L18" i="11"/>
  <c r="R18" i="11"/>
  <c r="V18" i="11"/>
  <c r="T18" i="11"/>
  <c r="F18" i="11"/>
  <c r="H10" i="11"/>
  <c r="L10" i="11"/>
  <c r="F10" i="11"/>
  <c r="T10" i="11"/>
  <c r="R10" i="11"/>
  <c r="V10" i="11"/>
  <c r="R188" i="11"/>
  <c r="H188" i="11"/>
  <c r="L188" i="11"/>
  <c r="T188" i="11"/>
  <c r="V188" i="11"/>
  <c r="F188" i="11"/>
  <c r="R28" i="11"/>
  <c r="L28" i="11"/>
  <c r="H28" i="11"/>
  <c r="F28" i="11"/>
  <c r="V28" i="11"/>
  <c r="T28" i="11"/>
  <c r="H201" i="11"/>
  <c r="R201" i="11"/>
  <c r="L201" i="11"/>
  <c r="F201" i="11"/>
  <c r="V201" i="11"/>
  <c r="T201" i="11"/>
  <c r="L193" i="11"/>
  <c r="H193" i="11"/>
  <c r="R193" i="11"/>
  <c r="F193" i="11"/>
  <c r="V193" i="11"/>
  <c r="T193" i="11"/>
  <c r="R185" i="11"/>
  <c r="L185" i="11"/>
  <c r="T185" i="11"/>
  <c r="H185" i="11"/>
  <c r="F185" i="11"/>
  <c r="V185" i="11"/>
  <c r="H177" i="11"/>
  <c r="R177" i="11"/>
  <c r="L177" i="11"/>
  <c r="V177" i="11"/>
  <c r="T177" i="11"/>
  <c r="F177" i="11"/>
  <c r="H169" i="11"/>
  <c r="R169" i="11"/>
  <c r="L169" i="11"/>
  <c r="V169" i="11"/>
  <c r="T169" i="11"/>
  <c r="F169" i="11"/>
  <c r="L161" i="11"/>
  <c r="H161" i="11"/>
  <c r="R161" i="11"/>
  <c r="F161" i="11"/>
  <c r="V161" i="11"/>
  <c r="T161" i="11"/>
  <c r="H153" i="11"/>
  <c r="R153" i="11"/>
  <c r="F153" i="11"/>
  <c r="T153" i="11"/>
  <c r="L153" i="11"/>
  <c r="V153" i="11"/>
  <c r="L145" i="11"/>
  <c r="H145" i="11"/>
  <c r="R145" i="11"/>
  <c r="V145" i="11"/>
  <c r="F145" i="11"/>
  <c r="T145" i="11"/>
  <c r="L137" i="11"/>
  <c r="H137" i="11"/>
  <c r="R137" i="11"/>
  <c r="F137" i="11"/>
  <c r="V137" i="11"/>
  <c r="T137" i="11"/>
  <c r="L129" i="11"/>
  <c r="H129" i="11"/>
  <c r="R129" i="11"/>
  <c r="F129" i="11"/>
  <c r="V129" i="11"/>
  <c r="T129" i="11"/>
  <c r="R121" i="11"/>
  <c r="L121" i="11"/>
  <c r="T121" i="11"/>
  <c r="H121" i="11"/>
  <c r="F121" i="11"/>
  <c r="V121" i="11"/>
  <c r="H113" i="11"/>
  <c r="R113" i="11"/>
  <c r="L113" i="11"/>
  <c r="V113" i="11"/>
  <c r="T113" i="11"/>
  <c r="F113" i="11"/>
  <c r="H105" i="11"/>
  <c r="L105" i="11"/>
  <c r="R105" i="11"/>
  <c r="V105" i="11"/>
  <c r="T105" i="11"/>
  <c r="F105" i="11"/>
  <c r="L81" i="11"/>
  <c r="H81" i="11"/>
  <c r="R81" i="11"/>
  <c r="V81" i="11"/>
  <c r="F81" i="11"/>
  <c r="T81" i="11"/>
  <c r="L73" i="11"/>
  <c r="H73" i="11"/>
  <c r="R73" i="11"/>
  <c r="V73" i="11"/>
  <c r="T73" i="11"/>
  <c r="F73" i="11"/>
  <c r="H65" i="11"/>
  <c r="T65" i="11"/>
  <c r="L65" i="11"/>
  <c r="R65" i="11"/>
  <c r="F65" i="11"/>
  <c r="V65" i="11"/>
  <c r="R57" i="11"/>
  <c r="L57" i="11"/>
  <c r="H57" i="11"/>
  <c r="T57" i="11"/>
  <c r="F57" i="11"/>
  <c r="V57" i="11"/>
  <c r="H49" i="11"/>
  <c r="R49" i="11"/>
  <c r="L49" i="11"/>
  <c r="V49" i="11"/>
  <c r="F49" i="11"/>
  <c r="T49" i="11"/>
  <c r="H41" i="11"/>
  <c r="R41" i="11"/>
  <c r="L41" i="11"/>
  <c r="V41" i="11"/>
  <c r="T41" i="11"/>
  <c r="F41" i="11"/>
  <c r="L33" i="11"/>
  <c r="H33" i="11"/>
  <c r="R33" i="11"/>
  <c r="F33" i="11"/>
  <c r="T33" i="11"/>
  <c r="V33" i="11"/>
  <c r="H25" i="11"/>
  <c r="R25" i="11"/>
  <c r="F25" i="11"/>
  <c r="T25" i="11"/>
  <c r="L25" i="11"/>
  <c r="V25" i="11"/>
  <c r="L17" i="11"/>
  <c r="H17" i="11"/>
  <c r="R17" i="11"/>
  <c r="V17" i="11"/>
  <c r="F17" i="11"/>
  <c r="T17" i="11"/>
  <c r="L9" i="11"/>
  <c r="H9" i="11"/>
  <c r="R9" i="11"/>
  <c r="V9" i="11"/>
  <c r="F9" i="11"/>
  <c r="T9" i="11"/>
  <c r="H204" i="11"/>
  <c r="R204" i="11"/>
  <c r="L204" i="11"/>
  <c r="V204" i="11"/>
  <c r="F204" i="11"/>
  <c r="T204" i="11"/>
  <c r="L172" i="11"/>
  <c r="R172" i="11"/>
  <c r="H172" i="11"/>
  <c r="T172" i="11"/>
  <c r="V172" i="11"/>
  <c r="F172" i="11"/>
  <c r="R148" i="11"/>
  <c r="H148" i="11"/>
  <c r="L148" i="11"/>
  <c r="V148" i="11"/>
  <c r="F148" i="11"/>
  <c r="T148" i="11"/>
  <c r="R132" i="11"/>
  <c r="V132" i="11"/>
  <c r="L132" i="11"/>
  <c r="H132" i="11"/>
  <c r="F132" i="11"/>
  <c r="T132" i="11"/>
  <c r="H116" i="11"/>
  <c r="R116" i="11"/>
  <c r="L116" i="11"/>
  <c r="T116" i="11"/>
  <c r="F116" i="11"/>
  <c r="V116" i="11"/>
  <c r="L108" i="11"/>
  <c r="H108" i="11"/>
  <c r="R108" i="11"/>
  <c r="V108" i="11"/>
  <c r="T108" i="11"/>
  <c r="F108" i="11"/>
  <c r="H76" i="11"/>
  <c r="R76" i="11"/>
  <c r="L76" i="11"/>
  <c r="F76" i="11"/>
  <c r="T76" i="11"/>
  <c r="V76" i="11"/>
  <c r="F60" i="11"/>
  <c r="H60" i="11"/>
  <c r="R60" i="11"/>
  <c r="L60" i="11"/>
  <c r="V60" i="11"/>
  <c r="T60" i="11"/>
  <c r="L44" i="11"/>
  <c r="H44" i="11"/>
  <c r="F44" i="11"/>
  <c r="R44" i="11"/>
  <c r="T44" i="11"/>
  <c r="V44" i="11"/>
  <c r="R4" i="11"/>
  <c r="L4" i="11"/>
  <c r="H4" i="11"/>
  <c r="V4" i="11"/>
  <c r="F4" i="11"/>
  <c r="T4" i="11"/>
  <c r="J108" i="11"/>
  <c r="J116" i="11"/>
  <c r="J140" i="11"/>
  <c r="V200" i="11"/>
  <c r="L200" i="11"/>
  <c r="H200" i="11"/>
  <c r="F200" i="11"/>
  <c r="R200" i="11"/>
  <c r="T200" i="11"/>
  <c r="R192" i="11"/>
  <c r="L192" i="11"/>
  <c r="V192" i="11"/>
  <c r="H192" i="11"/>
  <c r="F192" i="11"/>
  <c r="T192" i="11"/>
  <c r="L184" i="11"/>
  <c r="R184" i="11"/>
  <c r="H184" i="11"/>
  <c r="T184" i="11"/>
  <c r="F184" i="11"/>
  <c r="V184" i="11"/>
  <c r="V176" i="11"/>
  <c r="R176" i="11"/>
  <c r="L176" i="11"/>
  <c r="H176" i="11"/>
  <c r="F176" i="11"/>
  <c r="T176" i="11"/>
  <c r="H168" i="11"/>
  <c r="L168" i="11"/>
  <c r="V168" i="11"/>
  <c r="R168" i="11"/>
  <c r="F168" i="11"/>
  <c r="T168" i="11"/>
  <c r="H160" i="11"/>
  <c r="R160" i="11"/>
  <c r="V160" i="11"/>
  <c r="L160" i="11"/>
  <c r="T160" i="11"/>
  <c r="F160" i="11"/>
  <c r="L152" i="11"/>
  <c r="H152" i="11"/>
  <c r="R152" i="11"/>
  <c r="V152" i="11"/>
  <c r="T152" i="11"/>
  <c r="F152" i="11"/>
  <c r="H144" i="11"/>
  <c r="L144" i="11"/>
  <c r="R144" i="11"/>
  <c r="V144" i="11"/>
  <c r="T144" i="11"/>
  <c r="F144" i="11"/>
  <c r="H136" i="11"/>
  <c r="L136" i="11"/>
  <c r="F136" i="11"/>
  <c r="V136" i="11"/>
  <c r="T136" i="11"/>
  <c r="R136" i="11"/>
  <c r="R128" i="11"/>
  <c r="L128" i="11"/>
  <c r="V128" i="11"/>
  <c r="H128" i="11"/>
  <c r="F128" i="11"/>
  <c r="T128" i="11"/>
  <c r="R120" i="11"/>
  <c r="L120" i="11"/>
  <c r="H120" i="11"/>
  <c r="T120" i="11"/>
  <c r="F120" i="11"/>
  <c r="V120" i="11"/>
  <c r="L112" i="11"/>
  <c r="R112" i="11"/>
  <c r="H112" i="11"/>
  <c r="F112" i="11"/>
  <c r="T112" i="11"/>
  <c r="V112" i="11"/>
  <c r="H104" i="11"/>
  <c r="L104" i="11"/>
  <c r="R104" i="11"/>
  <c r="V104" i="11"/>
  <c r="T104" i="11"/>
  <c r="F104" i="11"/>
  <c r="H80" i="11"/>
  <c r="L80" i="11"/>
  <c r="R80" i="11"/>
  <c r="F80" i="11"/>
  <c r="T80" i="11"/>
  <c r="V80" i="11"/>
  <c r="L72" i="11"/>
  <c r="H72" i="11"/>
  <c r="V72" i="11"/>
  <c r="T72" i="11"/>
  <c r="F72" i="11"/>
  <c r="R72" i="11"/>
  <c r="R64" i="11"/>
  <c r="L64" i="11"/>
  <c r="V64" i="11"/>
  <c r="H64" i="11"/>
  <c r="F64" i="11"/>
  <c r="T64" i="11"/>
  <c r="R56" i="11"/>
  <c r="L56" i="11"/>
  <c r="H56" i="11"/>
  <c r="V56" i="11"/>
  <c r="F56" i="11"/>
  <c r="T56" i="11"/>
  <c r="R48" i="11"/>
  <c r="H48" i="11"/>
  <c r="V48" i="11"/>
  <c r="F48" i="11"/>
  <c r="L48" i="11"/>
  <c r="T48" i="11"/>
  <c r="H40" i="11"/>
  <c r="R40" i="11"/>
  <c r="L40" i="11"/>
  <c r="T40" i="11"/>
  <c r="V40" i="11"/>
  <c r="F40" i="11"/>
  <c r="H32" i="11"/>
  <c r="L32" i="11"/>
  <c r="R32" i="11"/>
  <c r="V32" i="11"/>
  <c r="T32" i="11"/>
  <c r="F32" i="11"/>
  <c r="L24" i="11"/>
  <c r="H24" i="11"/>
  <c r="R24" i="11"/>
  <c r="F24" i="11"/>
  <c r="V24" i="11"/>
  <c r="T24" i="11"/>
  <c r="H16" i="11"/>
  <c r="R16" i="11"/>
  <c r="L16" i="11"/>
  <c r="F16" i="11"/>
  <c r="V16" i="11"/>
  <c r="T16" i="11"/>
  <c r="L8" i="11"/>
  <c r="H8" i="11"/>
  <c r="F8" i="11"/>
  <c r="T8" i="11"/>
  <c r="V8" i="11"/>
  <c r="R8" i="11"/>
  <c r="G31" i="3"/>
  <c r="J32" i="3"/>
  <c r="F31" i="3"/>
  <c r="I31" i="3"/>
  <c r="I66" i="3" s="1"/>
  <c r="I67" i="3" s="1"/>
  <c r="K32" i="3"/>
  <c r="L32" i="3"/>
  <c r="D30" i="3"/>
  <c r="P4" i="19" a="1"/>
  <c r="P4" i="19" s="1"/>
  <c r="N5" i="19" a="1"/>
  <c r="N5" i="19" s="1"/>
  <c r="M7" i="19" a="1"/>
  <c r="M7" i="19" s="1"/>
  <c r="K27" i="19" a="1"/>
  <c r="K27" i="19" s="1"/>
  <c r="J25" i="19" a="1"/>
  <c r="J25" i="19" s="1"/>
  <c r="I21" i="19" a="1"/>
  <c r="I21" i="19" s="1"/>
  <c r="I29" i="19" a="1"/>
  <c r="I29" i="19" s="1"/>
  <c r="H28" i="19" a="1"/>
  <c r="H28" i="19" s="1"/>
  <c r="G26" i="19" a="1"/>
  <c r="G26" i="19" s="1"/>
  <c r="F24" i="19" a="1"/>
  <c r="F24" i="19" s="1"/>
  <c r="E19" i="19" a="1"/>
  <c r="E19" i="19" s="1"/>
  <c r="E27" i="19" a="1"/>
  <c r="E27" i="19" s="1"/>
  <c r="D17" i="19" a="1"/>
  <c r="D17" i="19" s="1"/>
  <c r="D25" i="19" a="1"/>
  <c r="D25" i="19" s="1"/>
  <c r="C8" i="19" a="1"/>
  <c r="C8" i="19" s="1"/>
  <c r="C24" i="19" a="1"/>
  <c r="C24" i="19" s="1"/>
  <c r="L4" i="19" a="1"/>
  <c r="L4" i="19" s="1"/>
  <c r="N6" i="19" a="1"/>
  <c r="N6" i="19" s="1"/>
  <c r="M8" i="19" a="1"/>
  <c r="M8" i="19" s="1"/>
  <c r="K28" i="19" a="1"/>
  <c r="K28" i="19" s="1"/>
  <c r="J26" i="19" a="1"/>
  <c r="J26" i="19" s="1"/>
  <c r="I22" i="19" a="1"/>
  <c r="I22" i="19" s="1"/>
  <c r="H21" i="19" a="1"/>
  <c r="H21" i="19" s="1"/>
  <c r="H29" i="19" a="1"/>
  <c r="H29" i="19" s="1"/>
  <c r="G27" i="19" a="1"/>
  <c r="G27" i="19" s="1"/>
  <c r="F25" i="19" a="1"/>
  <c r="F25" i="19" s="1"/>
  <c r="E20" i="19" a="1"/>
  <c r="E20" i="19" s="1"/>
  <c r="E28" i="19" a="1"/>
  <c r="E28" i="19" s="1"/>
  <c r="D18" i="19" a="1"/>
  <c r="D18" i="19" s="1"/>
  <c r="D26" i="19" a="1"/>
  <c r="D26" i="19" s="1"/>
  <c r="C9" i="19" a="1"/>
  <c r="C9" i="19" s="1"/>
  <c r="C17" i="19" a="1"/>
  <c r="C17" i="19" s="1"/>
  <c r="C25" i="19" a="1"/>
  <c r="C25" i="19" s="1"/>
  <c r="C20" i="19" a="1"/>
  <c r="C20" i="19" s="1"/>
  <c r="O5" i="19" a="1"/>
  <c r="O5" i="19" s="1"/>
  <c r="N7" i="19" a="1"/>
  <c r="N7" i="19" s="1"/>
  <c r="M9" i="19" a="1"/>
  <c r="M9" i="19" s="1"/>
  <c r="K29" i="19" a="1"/>
  <c r="K29" i="19" s="1"/>
  <c r="J27" i="19" a="1"/>
  <c r="J27" i="19" s="1"/>
  <c r="I23" i="19" a="1"/>
  <c r="I23" i="19" s="1"/>
  <c r="H22" i="19" a="1"/>
  <c r="H22" i="19" s="1"/>
  <c r="H4" i="19" a="1"/>
  <c r="H4" i="19" s="1"/>
  <c r="G28" i="19" a="1"/>
  <c r="G28" i="19" s="1"/>
  <c r="F26" i="19" a="1"/>
  <c r="F26" i="19" s="1"/>
  <c r="E21" i="19" a="1"/>
  <c r="E21" i="19" s="1"/>
  <c r="E29" i="19" a="1"/>
  <c r="E29" i="19" s="1"/>
  <c r="D19" i="19" a="1"/>
  <c r="D19" i="19" s="1"/>
  <c r="D27" i="19" a="1"/>
  <c r="D27" i="19" s="1"/>
  <c r="C10" i="19" a="1"/>
  <c r="C10" i="19" s="1"/>
  <c r="C18" i="19" a="1"/>
  <c r="C18" i="19" s="1"/>
  <c r="C26" i="19" a="1"/>
  <c r="C26" i="19" s="1"/>
  <c r="C28" i="19" a="1"/>
  <c r="C28" i="19" s="1"/>
  <c r="P5" i="19" a="1"/>
  <c r="P5" i="19" s="1"/>
  <c r="O6" i="19" a="1"/>
  <c r="O6" i="19" s="1"/>
  <c r="N8" i="19" a="1"/>
  <c r="N8" i="19" s="1"/>
  <c r="M4" i="19" a="1"/>
  <c r="M4" i="19" s="1"/>
  <c r="K4" i="19" a="1"/>
  <c r="K4" i="19" s="1"/>
  <c r="J28" i="19" a="1"/>
  <c r="J28" i="19" s="1"/>
  <c r="I24" i="19" a="1"/>
  <c r="I24" i="19" s="1"/>
  <c r="H23" i="19" a="1"/>
  <c r="H23" i="19" s="1"/>
  <c r="G21" i="19" a="1"/>
  <c r="G21" i="19" s="1"/>
  <c r="G29" i="19" a="1"/>
  <c r="G29" i="19" s="1"/>
  <c r="F27" i="19" a="1"/>
  <c r="F27" i="19" s="1"/>
  <c r="E22" i="19" a="1"/>
  <c r="E22" i="19" s="1"/>
  <c r="E4" i="19" a="1"/>
  <c r="E4" i="19" s="1"/>
  <c r="D20" i="19" a="1"/>
  <c r="D20" i="19" s="1"/>
  <c r="D28" i="19" a="1"/>
  <c r="D28" i="19" s="1"/>
  <c r="C11" i="19" a="1"/>
  <c r="C11" i="19" s="1"/>
  <c r="C19" i="19" a="1"/>
  <c r="C19" i="19" s="1"/>
  <c r="C27" i="19" a="1"/>
  <c r="C27" i="19" s="1"/>
  <c r="P6" i="19" a="1"/>
  <c r="P6" i="19" s="1"/>
  <c r="O7" i="19" a="1"/>
  <c r="O7" i="19" s="1"/>
  <c r="N9" i="19" a="1"/>
  <c r="N9" i="19" s="1"/>
  <c r="L5" i="19" a="1"/>
  <c r="L5" i="19" s="1"/>
  <c r="J21" i="19" a="1"/>
  <c r="J21" i="19" s="1"/>
  <c r="J29" i="19" a="1"/>
  <c r="J29" i="19" s="1"/>
  <c r="I25" i="19" a="1"/>
  <c r="I25" i="19" s="1"/>
  <c r="H24" i="19" a="1"/>
  <c r="H24" i="19" s="1"/>
  <c r="G22" i="19" a="1"/>
  <c r="G22" i="19" s="1"/>
  <c r="G4" i="19" a="1"/>
  <c r="G4" i="19" s="1"/>
  <c r="F28" i="19" a="1"/>
  <c r="F28" i="19" s="1"/>
  <c r="E23" i="19" a="1"/>
  <c r="E23" i="19" s="1"/>
  <c r="D13" i="19" a="1"/>
  <c r="D13" i="19" s="1"/>
  <c r="D21" i="19" a="1"/>
  <c r="D21" i="19" s="1"/>
  <c r="D29" i="19" a="1"/>
  <c r="D29" i="19" s="1"/>
  <c r="C12" i="19" a="1"/>
  <c r="C12" i="19" s="1"/>
  <c r="P7" i="19" a="1"/>
  <c r="P7" i="19" s="1"/>
  <c r="O8" i="19" a="1"/>
  <c r="O8" i="19" s="1"/>
  <c r="N4" i="19" a="1"/>
  <c r="N4" i="19" s="1"/>
  <c r="K24" i="19" a="1"/>
  <c r="K24" i="19" s="1"/>
  <c r="J22" i="19" a="1"/>
  <c r="J22" i="19" s="1"/>
  <c r="I4" i="19" a="1"/>
  <c r="I4" i="19" s="1"/>
  <c r="I26" i="19" a="1"/>
  <c r="I26" i="19" s="1"/>
  <c r="H25" i="19" a="1"/>
  <c r="H25" i="19" s="1"/>
  <c r="G23" i="19" a="1"/>
  <c r="G23" i="19" s="1"/>
  <c r="F21" i="19" a="1"/>
  <c r="F21" i="19" s="1"/>
  <c r="F29" i="19" a="1"/>
  <c r="F29" i="19" s="1"/>
  <c r="E24" i="19" a="1"/>
  <c r="E24" i="19" s="1"/>
  <c r="D14" i="19" a="1"/>
  <c r="D14" i="19" s="1"/>
  <c r="D22" i="19" a="1"/>
  <c r="D22" i="19" s="1"/>
  <c r="C5" i="19" a="1"/>
  <c r="C5" i="19" s="1"/>
  <c r="C13" i="19" a="1"/>
  <c r="C13" i="19" s="1"/>
  <c r="C21" i="19" a="1"/>
  <c r="C21" i="19" s="1"/>
  <c r="C29" i="19" a="1"/>
  <c r="C29" i="19" s="1"/>
  <c r="P8" i="19" a="1"/>
  <c r="P8" i="19" s="1"/>
  <c r="O9" i="19" a="1"/>
  <c r="O9" i="19" s="1"/>
  <c r="M5" i="19" a="1"/>
  <c r="M5" i="19" s="1"/>
  <c r="K25" i="19" a="1"/>
  <c r="K25" i="19" s="1"/>
  <c r="J23" i="19" a="1"/>
  <c r="J23" i="19" s="1"/>
  <c r="J4" i="19" a="1"/>
  <c r="J4" i="19" s="1"/>
  <c r="I27" i="19" a="1"/>
  <c r="I27" i="19" s="1"/>
  <c r="H26" i="19" a="1"/>
  <c r="H26" i="19" s="1"/>
  <c r="G24" i="19" a="1"/>
  <c r="G24" i="19" s="1"/>
  <c r="F22" i="19" a="1"/>
  <c r="F22" i="19" s="1"/>
  <c r="E17" i="19" a="1"/>
  <c r="E17" i="19" s="1"/>
  <c r="E25" i="19" a="1"/>
  <c r="E25" i="19" s="1"/>
  <c r="D15" i="19" a="1"/>
  <c r="D15" i="19" s="1"/>
  <c r="D23" i="19" a="1"/>
  <c r="D23" i="19" s="1"/>
  <c r="C6" i="19" a="1"/>
  <c r="C6" i="19" s="1"/>
  <c r="C14" i="19" a="1"/>
  <c r="C14" i="19" s="1"/>
  <c r="C22" i="19" a="1"/>
  <c r="C22" i="19" s="1"/>
  <c r="C16" i="19" a="1"/>
  <c r="C16" i="19" s="1"/>
  <c r="P9" i="19" a="1"/>
  <c r="P9" i="19" s="1"/>
  <c r="O4" i="19" a="1"/>
  <c r="O4" i="19" s="1"/>
  <c r="M6" i="19" a="1"/>
  <c r="M6" i="19" s="1"/>
  <c r="K26" i="19" a="1"/>
  <c r="K26" i="19" s="1"/>
  <c r="J24" i="19" a="1"/>
  <c r="J24" i="19" s="1"/>
  <c r="F4" i="19" a="1"/>
  <c r="F4" i="19" s="1"/>
  <c r="I28" i="19" a="1"/>
  <c r="I28" i="19" s="1"/>
  <c r="H27" i="19" a="1"/>
  <c r="H27" i="19" s="1"/>
  <c r="G25" i="19" a="1"/>
  <c r="G25" i="19" s="1"/>
  <c r="F23" i="19" a="1"/>
  <c r="F23" i="19" s="1"/>
  <c r="E18" i="19" a="1"/>
  <c r="E18" i="19" s="1"/>
  <c r="E26" i="19" a="1"/>
  <c r="E26" i="19" s="1"/>
  <c r="D16" i="19" a="1"/>
  <c r="D16" i="19" s="1"/>
  <c r="D24" i="19" a="1"/>
  <c r="D24" i="19" s="1"/>
  <c r="C7" i="19" a="1"/>
  <c r="C7" i="19" s="1"/>
  <c r="C15" i="19" a="1"/>
  <c r="C15" i="19" s="1"/>
  <c r="C23" i="19" a="1"/>
  <c r="C23" i="19" s="1"/>
  <c r="G5" i="17"/>
  <c r="E5" i="17"/>
  <c r="I5" i="17" s="1"/>
  <c r="G7" i="17"/>
  <c r="I129" i="11"/>
  <c r="J129" i="11" s="1"/>
  <c r="I9" i="11"/>
  <c r="J9" i="11" s="1"/>
  <c r="I17" i="11"/>
  <c r="J17" i="11" s="1"/>
  <c r="I13" i="11"/>
  <c r="J13" i="11" s="1"/>
  <c r="I111" i="11"/>
  <c r="J111" i="11" s="1"/>
  <c r="I127" i="11"/>
  <c r="J127" i="11" s="1"/>
  <c r="E7" i="17"/>
  <c r="K7" i="17" s="1"/>
  <c r="F15" i="16" s="1"/>
  <c r="AF80" i="11"/>
  <c r="AG176" i="11"/>
  <c r="G11" i="17"/>
  <c r="E11" i="17"/>
  <c r="I11" i="17" s="1"/>
  <c r="AF117" i="11"/>
  <c r="E8" i="17"/>
  <c r="I8" i="17" s="1"/>
  <c r="AG39" i="11"/>
  <c r="AG151" i="11"/>
  <c r="G8" i="17"/>
  <c r="AF60" i="11"/>
  <c r="AG174" i="11"/>
  <c r="AG183" i="11"/>
  <c r="AF47" i="11"/>
  <c r="AG191" i="11"/>
  <c r="AG79" i="11"/>
  <c r="AF2" i="11"/>
  <c r="AF87" i="11"/>
  <c r="AG135" i="11"/>
  <c r="AF7" i="11"/>
  <c r="AG110" i="11"/>
  <c r="AF198" i="11"/>
  <c r="AF22" i="11"/>
  <c r="AG30" i="11"/>
  <c r="AG175" i="11"/>
  <c r="AF54" i="11"/>
  <c r="AF86" i="11"/>
  <c r="AF28" i="11"/>
  <c r="AF196" i="11"/>
  <c r="AG108" i="11"/>
  <c r="AF116" i="11"/>
  <c r="AF148" i="11"/>
  <c r="AG20" i="11"/>
  <c r="AG188" i="11"/>
  <c r="AF74" i="11"/>
  <c r="AF157" i="11"/>
  <c r="AF8" i="11"/>
  <c r="AG154" i="11"/>
  <c r="AF197" i="11"/>
  <c r="AG16" i="11"/>
  <c r="AG104" i="11"/>
  <c r="AF29" i="11"/>
  <c r="AF184" i="11"/>
  <c r="AG61" i="11"/>
  <c r="AF18" i="11"/>
  <c r="AG52" i="11"/>
  <c r="AG140" i="11"/>
  <c r="AG180" i="11"/>
  <c r="AF21" i="11"/>
  <c r="AG109" i="11"/>
  <c r="AF149" i="11"/>
  <c r="AG189" i="11"/>
  <c r="AF68" i="11"/>
  <c r="AG156" i="11"/>
  <c r="AG204" i="11"/>
  <c r="AF37" i="11"/>
  <c r="AG69" i="11"/>
  <c r="AF125" i="11"/>
  <c r="AF165" i="11"/>
  <c r="AF205" i="11"/>
  <c r="AF4" i="11"/>
  <c r="AF36" i="11"/>
  <c r="AG124" i="11"/>
  <c r="AF164" i="11"/>
  <c r="AF5" i="11"/>
  <c r="AF77" i="11"/>
  <c r="AG76" i="11"/>
  <c r="AF132" i="11"/>
  <c r="AF45" i="11"/>
  <c r="AF133" i="11"/>
  <c r="AG173" i="11"/>
  <c r="AF12" i="11"/>
  <c r="AG44" i="11"/>
  <c r="AF84" i="11"/>
  <c r="AF172" i="11"/>
  <c r="AF13" i="11"/>
  <c r="AF85" i="11"/>
  <c r="AF141" i="11"/>
  <c r="AF181" i="11"/>
  <c r="AF53" i="11"/>
  <c r="AG67" i="11"/>
  <c r="AG24" i="11"/>
  <c r="AG112" i="11"/>
  <c r="AF200" i="11"/>
  <c r="AF32" i="11"/>
  <c r="AG128" i="11"/>
  <c r="AG48" i="11"/>
  <c r="AF136" i="11"/>
  <c r="AF144" i="11"/>
  <c r="AF56" i="11"/>
  <c r="AF160" i="11"/>
  <c r="AF72" i="11"/>
  <c r="AF168" i="11"/>
  <c r="AG82" i="11"/>
  <c r="AG162" i="11"/>
  <c r="AG62" i="11"/>
  <c r="AG143" i="11"/>
  <c r="AG34" i="11"/>
  <c r="AG106" i="11"/>
  <c r="AG122" i="11"/>
  <c r="AG170" i="11"/>
  <c r="AG15" i="11"/>
  <c r="AG199" i="11"/>
  <c r="AF134" i="11"/>
  <c r="AF55" i="11"/>
  <c r="AG119" i="11"/>
  <c r="AF159" i="11"/>
  <c r="AG49" i="11"/>
  <c r="AF50" i="11"/>
  <c r="AG130" i="11"/>
  <c r="AG194" i="11"/>
  <c r="AG42" i="11"/>
  <c r="AG111" i="11"/>
  <c r="AF178" i="11"/>
  <c r="AG142" i="11"/>
  <c r="AG23" i="11"/>
  <c r="AG63" i="11"/>
  <c r="AG127" i="11"/>
  <c r="AG167" i="11"/>
  <c r="AG10" i="11"/>
  <c r="AF66" i="11"/>
  <c r="AF166" i="11"/>
  <c r="AF71" i="11"/>
  <c r="AG146" i="11"/>
  <c r="I9" i="17"/>
  <c r="L9" i="17" s="1"/>
  <c r="J27" i="3"/>
  <c r="K27" i="3"/>
  <c r="L27" i="3"/>
  <c r="L66" i="3" s="1"/>
  <c r="L67" i="3" s="1"/>
  <c r="AG202" i="11"/>
  <c r="AF11" i="11"/>
  <c r="K40" i="16"/>
  <c r="AY30" i="19" a="1"/>
  <c r="AY30" i="19" s="1"/>
  <c r="AX30" i="19" a="1"/>
  <c r="AX30" i="19" s="1"/>
  <c r="BA30" i="19" a="1"/>
  <c r="BA30" i="19" s="1"/>
  <c r="AZ30" i="19" a="1"/>
  <c r="AZ30" i="19" s="1"/>
  <c r="AW30" i="19" a="1"/>
  <c r="AW30" i="19" s="1"/>
  <c r="M63" i="3"/>
  <c r="J63" i="3"/>
  <c r="J66" i="3" s="1"/>
  <c r="J67" i="3" s="1"/>
  <c r="K63" i="3"/>
  <c r="K66" i="3" s="1"/>
  <c r="K67" i="3" s="1"/>
  <c r="AF203" i="11"/>
  <c r="AF139" i="11"/>
  <c r="AF3" i="11"/>
  <c r="I10" i="17"/>
  <c r="L10" i="17" s="1"/>
  <c r="X8" i="19" s="1"/>
  <c r="AG83" i="11"/>
  <c r="AF195" i="11"/>
  <c r="AF131" i="11"/>
  <c r="AF115" i="11"/>
  <c r="AG179" i="11"/>
  <c r="AG163" i="11"/>
  <c r="AG187" i="11"/>
  <c r="AF187" i="11"/>
  <c r="AG155" i="11"/>
  <c r="AF155" i="11"/>
  <c r="AG147" i="11"/>
  <c r="AF147" i="11"/>
  <c r="AG123" i="11"/>
  <c r="AF123" i="11"/>
  <c r="AG75" i="11"/>
  <c r="AF75" i="11"/>
  <c r="AG59" i="11"/>
  <c r="AF59" i="11"/>
  <c r="AG51" i="11"/>
  <c r="AF51" i="11"/>
  <c r="AG43" i="11"/>
  <c r="AF43" i="11"/>
  <c r="AG35" i="11"/>
  <c r="AF35" i="11"/>
  <c r="AG19" i="11"/>
  <c r="AF19" i="11"/>
  <c r="AG107" i="11"/>
  <c r="AG206" i="11"/>
  <c r="AF171" i="11"/>
  <c r="AG27" i="11"/>
  <c r="AF6" i="11"/>
  <c r="AF38" i="11"/>
  <c r="AF70" i="11"/>
  <c r="AF118" i="11"/>
  <c r="AF150" i="11"/>
  <c r="AF182" i="11"/>
  <c r="AF40" i="11"/>
  <c r="AG9" i="11"/>
  <c r="AF14" i="11"/>
  <c r="AF46" i="11"/>
  <c r="AF78" i="11"/>
  <c r="AF126" i="11"/>
  <c r="AF158" i="11"/>
  <c r="AF190" i="11"/>
  <c r="AG113" i="11"/>
  <c r="AG138" i="11"/>
  <c r="AG64" i="11"/>
  <c r="AF152" i="11"/>
  <c r="AG192" i="11"/>
  <c r="AG58" i="11"/>
  <c r="AG114" i="11"/>
  <c r="AG186" i="11"/>
  <c r="AG31" i="11"/>
  <c r="AF120" i="11"/>
  <c r="AG26" i="11"/>
  <c r="F66" i="3"/>
  <c r="B8" i="3" s="1"/>
  <c r="D8" i="3" s="1"/>
  <c r="G66" i="3"/>
  <c r="G67" i="3" s="1"/>
  <c r="M66" i="3"/>
  <c r="M67" i="3" s="1"/>
  <c r="G50" i="16"/>
  <c r="G51" i="16" s="1"/>
  <c r="D51" i="3"/>
  <c r="C67" i="3"/>
  <c r="E66" i="3"/>
  <c r="E67" i="3" s="1"/>
  <c r="H66" i="3"/>
  <c r="H67" i="3" s="1"/>
  <c r="J42" i="16"/>
  <c r="J40" i="16"/>
  <c r="AF17" i="11"/>
  <c r="AG17" i="11"/>
  <c r="AF25" i="11"/>
  <c r="AF65" i="11"/>
  <c r="AF121" i="11"/>
  <c r="AG33" i="11"/>
  <c r="AG73" i="11"/>
  <c r="AG129" i="11"/>
  <c r="AG137" i="11"/>
  <c r="AG41" i="11"/>
  <c r="AG81" i="11"/>
  <c r="AG105" i="11"/>
  <c r="AF177" i="11"/>
  <c r="AG177" i="11"/>
  <c r="AF57" i="11"/>
  <c r="J43" i="16"/>
  <c r="L43" i="16"/>
  <c r="AC2" i="11"/>
  <c r="E4" i="17"/>
  <c r="I4" i="17" s="1"/>
  <c r="G4" i="17"/>
  <c r="K41" i="16"/>
  <c r="J41" i="16"/>
  <c r="AG145" i="11"/>
  <c r="AG185" i="11"/>
  <c r="AG153" i="11"/>
  <c r="AG193" i="11"/>
  <c r="AG161" i="11"/>
  <c r="AG201" i="11"/>
  <c r="L42" i="16"/>
  <c r="AG169" i="11"/>
  <c r="K43" i="16"/>
  <c r="K42" i="16"/>
  <c r="L41" i="16"/>
  <c r="L40" i="16"/>
  <c r="E106" i="49" l="1"/>
  <c r="H106" i="49" s="1"/>
  <c r="T178" i="16"/>
  <c r="E77" i="49"/>
  <c r="H77" i="49" s="1"/>
  <c r="T149" i="16"/>
  <c r="E84" i="49"/>
  <c r="H84" i="49" s="1"/>
  <c r="T156" i="16"/>
  <c r="E75" i="49"/>
  <c r="H75" i="49" s="1"/>
  <c r="T147" i="16"/>
  <c r="E171" i="49"/>
  <c r="H171" i="49" s="1"/>
  <c r="T243" i="16"/>
  <c r="E26" i="49"/>
  <c r="H26" i="49" s="1"/>
  <c r="T98" i="16"/>
  <c r="E24" i="49"/>
  <c r="H24" i="49" s="1"/>
  <c r="T96" i="16"/>
  <c r="E160" i="49"/>
  <c r="H160" i="49" s="1"/>
  <c r="T232" i="16"/>
  <c r="E15" i="49"/>
  <c r="H15" i="49" s="1"/>
  <c r="T87" i="16"/>
  <c r="E159" i="49"/>
  <c r="H159" i="49" s="1"/>
  <c r="T231" i="16"/>
  <c r="E190" i="49"/>
  <c r="H190" i="49" s="1"/>
  <c r="T262" i="16"/>
  <c r="E13" i="49"/>
  <c r="H13" i="49" s="1"/>
  <c r="T85" i="16"/>
  <c r="E133" i="49"/>
  <c r="H133" i="49" s="1"/>
  <c r="T205" i="16"/>
  <c r="E156" i="49"/>
  <c r="H156" i="49" s="1"/>
  <c r="T228" i="16"/>
  <c r="E43" i="49"/>
  <c r="H43" i="49" s="1"/>
  <c r="T115" i="16"/>
  <c r="E139" i="49"/>
  <c r="H139" i="49" s="1"/>
  <c r="T211" i="16"/>
  <c r="E146" i="49"/>
  <c r="H146" i="49" s="1"/>
  <c r="T218" i="16"/>
  <c r="E105" i="49"/>
  <c r="H105" i="49" s="1"/>
  <c r="T177" i="16"/>
  <c r="E184" i="49"/>
  <c r="H184" i="49" s="1"/>
  <c r="T256" i="16"/>
  <c r="E152" i="49"/>
  <c r="H152" i="49" s="1"/>
  <c r="T224" i="16"/>
  <c r="E120" i="49"/>
  <c r="H120" i="49" s="1"/>
  <c r="T192" i="16"/>
  <c r="E71" i="49"/>
  <c r="H71" i="49" s="1"/>
  <c r="T143" i="16"/>
  <c r="E39" i="49"/>
  <c r="H39" i="49" s="1"/>
  <c r="T111" i="16"/>
  <c r="E7" i="49"/>
  <c r="H7" i="49" s="1"/>
  <c r="T79" i="16"/>
  <c r="E154" i="49"/>
  <c r="H154" i="49" s="1"/>
  <c r="T226" i="16"/>
  <c r="E57" i="49"/>
  <c r="H57" i="49" s="1"/>
  <c r="T129" i="16"/>
  <c r="E183" i="49"/>
  <c r="H183" i="49" s="1"/>
  <c r="T255" i="16"/>
  <c r="E151" i="49"/>
  <c r="H151" i="49" s="1"/>
  <c r="T223" i="16"/>
  <c r="E119" i="49"/>
  <c r="H119" i="49" s="1"/>
  <c r="T191" i="16"/>
  <c r="E70" i="49"/>
  <c r="H70" i="49" s="1"/>
  <c r="T142" i="16"/>
  <c r="E38" i="49"/>
  <c r="H38" i="49" s="1"/>
  <c r="T110" i="16"/>
  <c r="E6" i="49"/>
  <c r="H6" i="49" s="1"/>
  <c r="T78" i="16"/>
  <c r="E182" i="49"/>
  <c r="H182" i="49" s="1"/>
  <c r="T254" i="16"/>
  <c r="E150" i="49"/>
  <c r="H150" i="49" s="1"/>
  <c r="T222" i="16"/>
  <c r="E118" i="49"/>
  <c r="H118" i="49" s="1"/>
  <c r="T190" i="16"/>
  <c r="E69" i="49"/>
  <c r="H69" i="49" s="1"/>
  <c r="T141" i="16"/>
  <c r="E37" i="49"/>
  <c r="H37" i="49" s="1"/>
  <c r="T109" i="16"/>
  <c r="E5" i="49"/>
  <c r="H5" i="49" s="1"/>
  <c r="T77" i="16"/>
  <c r="E189" i="49"/>
  <c r="H189" i="49" s="1"/>
  <c r="T261" i="16"/>
  <c r="E157" i="49"/>
  <c r="H157" i="49" s="1"/>
  <c r="T229" i="16"/>
  <c r="E125" i="49"/>
  <c r="H125" i="49" s="1"/>
  <c r="T197" i="16"/>
  <c r="E76" i="49"/>
  <c r="H76" i="49" s="1"/>
  <c r="T148" i="16"/>
  <c r="E44" i="49"/>
  <c r="H44" i="49" s="1"/>
  <c r="T116" i="16"/>
  <c r="E12" i="49"/>
  <c r="H12" i="49" s="1"/>
  <c r="T84" i="16"/>
  <c r="E25" i="49"/>
  <c r="H25" i="49" s="1"/>
  <c r="T97" i="16"/>
  <c r="E180" i="49"/>
  <c r="H180" i="49" s="1"/>
  <c r="T252" i="16"/>
  <c r="E148" i="49"/>
  <c r="H148" i="49" s="1"/>
  <c r="T220" i="16"/>
  <c r="E116" i="49"/>
  <c r="H116" i="49" s="1"/>
  <c r="T188" i="16"/>
  <c r="E67" i="49"/>
  <c r="H67" i="49" s="1"/>
  <c r="T139" i="16"/>
  <c r="E35" i="49"/>
  <c r="H35" i="49" s="1"/>
  <c r="T107" i="16"/>
  <c r="E194" i="49"/>
  <c r="H194" i="49" s="1"/>
  <c r="T266" i="16"/>
  <c r="E195" i="49"/>
  <c r="H195" i="49" s="1"/>
  <c r="T267" i="16"/>
  <c r="E163" i="49"/>
  <c r="H163" i="49" s="1"/>
  <c r="T235" i="16"/>
  <c r="E131" i="49"/>
  <c r="H131" i="49" s="1"/>
  <c r="T203" i="16"/>
  <c r="E82" i="49"/>
  <c r="H82" i="49" s="1"/>
  <c r="T154" i="16"/>
  <c r="E50" i="49"/>
  <c r="H50" i="49" s="1"/>
  <c r="T122" i="16"/>
  <c r="E193" i="49"/>
  <c r="H193" i="49" s="1"/>
  <c r="T265" i="16"/>
  <c r="E161" i="49"/>
  <c r="H161" i="49" s="1"/>
  <c r="T233" i="16"/>
  <c r="E129" i="49"/>
  <c r="H129" i="49" s="1"/>
  <c r="T201" i="16"/>
  <c r="E80" i="49"/>
  <c r="H80" i="49" s="1"/>
  <c r="T152" i="16"/>
  <c r="E48" i="49"/>
  <c r="H48" i="49" s="1"/>
  <c r="T120" i="16"/>
  <c r="E16" i="49"/>
  <c r="H16" i="49" s="1"/>
  <c r="T88" i="16"/>
  <c r="E192" i="49"/>
  <c r="H192" i="49" s="1"/>
  <c r="T264" i="16"/>
  <c r="E47" i="49"/>
  <c r="H47" i="49" s="1"/>
  <c r="T119" i="16"/>
  <c r="E191" i="49"/>
  <c r="H191" i="49" s="1"/>
  <c r="T263" i="16"/>
  <c r="E127" i="49"/>
  <c r="H127" i="49" s="1"/>
  <c r="T199" i="16"/>
  <c r="E46" i="49"/>
  <c r="H46" i="49" s="1"/>
  <c r="T118" i="16"/>
  <c r="E158" i="49"/>
  <c r="H158" i="49" s="1"/>
  <c r="T230" i="16"/>
  <c r="E45" i="49"/>
  <c r="H45" i="49" s="1"/>
  <c r="T117" i="16"/>
  <c r="E165" i="49"/>
  <c r="H165" i="49" s="1"/>
  <c r="T237" i="16"/>
  <c r="E20" i="49"/>
  <c r="H20" i="49" s="1"/>
  <c r="T92" i="16"/>
  <c r="E81" i="49"/>
  <c r="H81" i="49" s="1"/>
  <c r="T153" i="16"/>
  <c r="E124" i="49"/>
  <c r="H124" i="49" s="1"/>
  <c r="T196" i="16"/>
  <c r="E11" i="49"/>
  <c r="H11" i="49" s="1"/>
  <c r="T83" i="16"/>
  <c r="E107" i="49"/>
  <c r="H107" i="49" s="1"/>
  <c r="T179" i="16"/>
  <c r="E169" i="49"/>
  <c r="H169" i="49" s="1"/>
  <c r="T241" i="16"/>
  <c r="E137" i="49"/>
  <c r="H137" i="49" s="1"/>
  <c r="T209" i="16"/>
  <c r="E79" i="49"/>
  <c r="H79" i="49" s="1"/>
  <c r="T151" i="16"/>
  <c r="E170" i="49"/>
  <c r="H170" i="49" s="1"/>
  <c r="T242" i="16"/>
  <c r="E78" i="49"/>
  <c r="H78" i="49" s="1"/>
  <c r="T150" i="16"/>
  <c r="E126" i="49"/>
  <c r="H126" i="49" s="1"/>
  <c r="T198" i="16"/>
  <c r="E197" i="49"/>
  <c r="H197" i="49" s="1"/>
  <c r="T269" i="16"/>
  <c r="E52" i="49"/>
  <c r="H52" i="49" s="1"/>
  <c r="T124" i="16"/>
  <c r="E188" i="49"/>
  <c r="H188" i="49" s="1"/>
  <c r="T260" i="16"/>
  <c r="E203" i="49"/>
  <c r="H203" i="49" s="1"/>
  <c r="T275" i="16"/>
  <c r="E58" i="49"/>
  <c r="H58" i="49" s="1"/>
  <c r="T130" i="16"/>
  <c r="E201" i="49"/>
  <c r="H201" i="49" s="1"/>
  <c r="T273" i="16"/>
  <c r="E56" i="49"/>
  <c r="H56" i="49" s="1"/>
  <c r="T128" i="16"/>
  <c r="E176" i="49"/>
  <c r="H176" i="49" s="1"/>
  <c r="T248" i="16"/>
  <c r="E144" i="49"/>
  <c r="H144" i="49" s="1"/>
  <c r="T216" i="16"/>
  <c r="E63" i="49"/>
  <c r="H63" i="49" s="1"/>
  <c r="T135" i="16"/>
  <c r="E31" i="49"/>
  <c r="H31" i="49" s="1"/>
  <c r="T103" i="16"/>
  <c r="E138" i="49"/>
  <c r="H138" i="49" s="1"/>
  <c r="T210" i="16"/>
  <c r="E33" i="49"/>
  <c r="H33" i="49" s="1"/>
  <c r="T105" i="16"/>
  <c r="E175" i="49"/>
  <c r="H175" i="49" s="1"/>
  <c r="T247" i="16"/>
  <c r="E143" i="49"/>
  <c r="H143" i="49" s="1"/>
  <c r="T215" i="16"/>
  <c r="E111" i="49"/>
  <c r="H111" i="49" s="1"/>
  <c r="T183" i="16"/>
  <c r="E62" i="49"/>
  <c r="H62" i="49" s="1"/>
  <c r="T134" i="16"/>
  <c r="E30" i="49"/>
  <c r="H30" i="49" s="1"/>
  <c r="T102" i="16"/>
  <c r="E122" i="49"/>
  <c r="H122" i="49" s="1"/>
  <c r="T194" i="16"/>
  <c r="E174" i="49"/>
  <c r="H174" i="49" s="1"/>
  <c r="T246" i="16"/>
  <c r="E142" i="49"/>
  <c r="H142" i="49" s="1"/>
  <c r="T214" i="16"/>
  <c r="E110" i="49"/>
  <c r="H110" i="49" s="1"/>
  <c r="T182" i="16"/>
  <c r="E61" i="49"/>
  <c r="H61" i="49" s="1"/>
  <c r="T133" i="16"/>
  <c r="E29" i="49"/>
  <c r="H29" i="49" s="1"/>
  <c r="T101" i="16"/>
  <c r="E17" i="49"/>
  <c r="H17" i="49" s="1"/>
  <c r="T89" i="16"/>
  <c r="E181" i="49"/>
  <c r="H181" i="49" s="1"/>
  <c r="T253" i="16"/>
  <c r="E149" i="49"/>
  <c r="H149" i="49" s="1"/>
  <c r="T221" i="16"/>
  <c r="E117" i="49"/>
  <c r="H117" i="49" s="1"/>
  <c r="T189" i="16"/>
  <c r="E68" i="49"/>
  <c r="H68" i="49" s="1"/>
  <c r="T140" i="16"/>
  <c r="E36" i="49"/>
  <c r="H36" i="49" s="1"/>
  <c r="T108" i="16"/>
  <c r="E4" i="49"/>
  <c r="H4" i="49" s="1"/>
  <c r="T76" i="16"/>
  <c r="E204" i="49"/>
  <c r="H204" i="49" s="1"/>
  <c r="T276" i="16"/>
  <c r="E172" i="49"/>
  <c r="H172" i="49" s="1"/>
  <c r="T244" i="16"/>
  <c r="E140" i="49"/>
  <c r="H140" i="49" s="1"/>
  <c r="T212" i="16"/>
  <c r="E108" i="49"/>
  <c r="H108" i="49" s="1"/>
  <c r="T180" i="16"/>
  <c r="E59" i="49"/>
  <c r="H59" i="49" s="1"/>
  <c r="T131" i="16"/>
  <c r="E27" i="49"/>
  <c r="H27" i="49" s="1"/>
  <c r="T99" i="16"/>
  <c r="E65" i="49"/>
  <c r="H65" i="49" s="1"/>
  <c r="T137" i="16"/>
  <c r="E187" i="49"/>
  <c r="H187" i="49" s="1"/>
  <c r="T259" i="16"/>
  <c r="E155" i="49"/>
  <c r="H155" i="49" s="1"/>
  <c r="T227" i="16"/>
  <c r="E123" i="49"/>
  <c r="H123" i="49" s="1"/>
  <c r="T195" i="16"/>
  <c r="E74" i="49"/>
  <c r="H74" i="49" s="1"/>
  <c r="T146" i="16"/>
  <c r="E42" i="49"/>
  <c r="H42" i="49" s="1"/>
  <c r="T114" i="16"/>
  <c r="E178" i="49"/>
  <c r="H178" i="49" s="1"/>
  <c r="T250" i="16"/>
  <c r="E73" i="49"/>
  <c r="H73" i="49" s="1"/>
  <c r="T145" i="16"/>
  <c r="E185" i="49"/>
  <c r="H185" i="49" s="1"/>
  <c r="T257" i="16"/>
  <c r="E153" i="49"/>
  <c r="H153" i="49" s="1"/>
  <c r="T225" i="16"/>
  <c r="E121" i="49"/>
  <c r="H121" i="49" s="1"/>
  <c r="T193" i="16"/>
  <c r="E72" i="49"/>
  <c r="H72" i="49" s="1"/>
  <c r="T144" i="16"/>
  <c r="E40" i="49"/>
  <c r="H40" i="49" s="1"/>
  <c r="T112" i="16"/>
  <c r="E8" i="49"/>
  <c r="H8" i="49" s="1"/>
  <c r="T80" i="16"/>
  <c r="E200" i="49"/>
  <c r="H200" i="49" s="1"/>
  <c r="T272" i="16"/>
  <c r="E168" i="49"/>
  <c r="H168" i="49" s="1"/>
  <c r="T240" i="16"/>
  <c r="E136" i="49"/>
  <c r="H136" i="49" s="1"/>
  <c r="T208" i="16"/>
  <c r="E88" i="49"/>
  <c r="H88" i="49" s="1"/>
  <c r="T160" i="16"/>
  <c r="E55" i="49"/>
  <c r="H55" i="49" s="1"/>
  <c r="T127" i="16"/>
  <c r="E23" i="49"/>
  <c r="H23" i="49" s="1"/>
  <c r="T95" i="16"/>
  <c r="E202" i="49"/>
  <c r="H202" i="49" s="1"/>
  <c r="T274" i="16"/>
  <c r="E114" i="49"/>
  <c r="H114" i="49" s="1"/>
  <c r="T186" i="16"/>
  <c r="E199" i="49"/>
  <c r="H199" i="49" s="1"/>
  <c r="T271" i="16"/>
  <c r="E167" i="49"/>
  <c r="H167" i="49" s="1"/>
  <c r="T239" i="16"/>
  <c r="E135" i="49"/>
  <c r="H135" i="49" s="1"/>
  <c r="T207" i="16"/>
  <c r="E86" i="49"/>
  <c r="H86" i="49" s="1"/>
  <c r="T158" i="16"/>
  <c r="E54" i="49"/>
  <c r="H54" i="49" s="1"/>
  <c r="T126" i="16"/>
  <c r="E22" i="49"/>
  <c r="H22" i="49" s="1"/>
  <c r="T94" i="16"/>
  <c r="E198" i="49"/>
  <c r="H198" i="49" s="1"/>
  <c r="T270" i="16"/>
  <c r="E166" i="49"/>
  <c r="H166" i="49" s="1"/>
  <c r="T238" i="16"/>
  <c r="E134" i="49"/>
  <c r="H134" i="49" s="1"/>
  <c r="T206" i="16"/>
  <c r="E85" i="49"/>
  <c r="H85" i="49" s="1"/>
  <c r="T157" i="16"/>
  <c r="E53" i="49"/>
  <c r="H53" i="49" s="1"/>
  <c r="T125" i="16"/>
  <c r="E21" i="49"/>
  <c r="H21" i="49" s="1"/>
  <c r="T93" i="16"/>
  <c r="E205" i="49"/>
  <c r="H205" i="49" s="1"/>
  <c r="T277" i="16"/>
  <c r="E173" i="49"/>
  <c r="H173" i="49" s="1"/>
  <c r="T245" i="16"/>
  <c r="E141" i="49"/>
  <c r="H141" i="49" s="1"/>
  <c r="T213" i="16"/>
  <c r="E109" i="49"/>
  <c r="H109" i="49" s="1"/>
  <c r="T181" i="16"/>
  <c r="E60" i="49"/>
  <c r="H60" i="49" s="1"/>
  <c r="T132" i="16"/>
  <c r="E28" i="49"/>
  <c r="H28" i="49" s="1"/>
  <c r="T100" i="16"/>
  <c r="E186" i="49"/>
  <c r="H186" i="49" s="1"/>
  <c r="T258" i="16"/>
  <c r="E196" i="49"/>
  <c r="H196" i="49" s="1"/>
  <c r="T268" i="16"/>
  <c r="E164" i="49"/>
  <c r="H164" i="49" s="1"/>
  <c r="T236" i="16"/>
  <c r="E132" i="49"/>
  <c r="H132" i="49" s="1"/>
  <c r="T204" i="16"/>
  <c r="E83" i="49"/>
  <c r="H83" i="49" s="1"/>
  <c r="T155" i="16"/>
  <c r="E51" i="49"/>
  <c r="H51" i="49" s="1"/>
  <c r="T123" i="16"/>
  <c r="E19" i="49"/>
  <c r="H19" i="49" s="1"/>
  <c r="T91" i="16"/>
  <c r="E9" i="49"/>
  <c r="H9" i="49" s="1"/>
  <c r="T81" i="16"/>
  <c r="E179" i="49"/>
  <c r="H179" i="49" s="1"/>
  <c r="T251" i="16"/>
  <c r="E147" i="49"/>
  <c r="H147" i="49" s="1"/>
  <c r="T219" i="16"/>
  <c r="E115" i="49"/>
  <c r="H115" i="49" s="1"/>
  <c r="T187" i="16"/>
  <c r="E66" i="49"/>
  <c r="H66" i="49" s="1"/>
  <c r="T138" i="16"/>
  <c r="E34" i="49"/>
  <c r="H34" i="49" s="1"/>
  <c r="T106" i="16"/>
  <c r="E162" i="49"/>
  <c r="H162" i="49" s="1"/>
  <c r="T234" i="16"/>
  <c r="E41" i="49"/>
  <c r="H41" i="49" s="1"/>
  <c r="T113" i="16"/>
  <c r="E177" i="49"/>
  <c r="H177" i="49" s="1"/>
  <c r="T249" i="16"/>
  <c r="E145" i="49"/>
  <c r="H145" i="49" s="1"/>
  <c r="T217" i="16"/>
  <c r="E113" i="49"/>
  <c r="H113" i="49" s="1"/>
  <c r="T185" i="16"/>
  <c r="E64" i="49"/>
  <c r="H64" i="49" s="1"/>
  <c r="T136" i="16"/>
  <c r="E32" i="49"/>
  <c r="H32" i="49" s="1"/>
  <c r="T104" i="16"/>
  <c r="E49" i="49"/>
  <c r="H49" i="49" s="1"/>
  <c r="T121" i="16"/>
  <c r="L4" i="17"/>
  <c r="X4" i="19" s="1"/>
  <c r="Z4" i="19" s="1"/>
  <c r="D66" i="3"/>
  <c r="D67" i="3" s="1"/>
  <c r="Y8" i="19"/>
  <c r="Z8" i="19"/>
  <c r="L5" i="17"/>
  <c r="AA107" i="11"/>
  <c r="AD107" i="11" s="1"/>
  <c r="AA209" i="11"/>
  <c r="AD209" i="11" s="1"/>
  <c r="AA26" i="11"/>
  <c r="AD26" i="11" s="1"/>
  <c r="AA75" i="11"/>
  <c r="AD75" i="11" s="1"/>
  <c r="AA152" i="11"/>
  <c r="AD152" i="11" s="1"/>
  <c r="AA221" i="11"/>
  <c r="AD221" i="11" s="1"/>
  <c r="AA161" i="11"/>
  <c r="AD161" i="11" s="1"/>
  <c r="AA224" i="11"/>
  <c r="AD224" i="11" s="1"/>
  <c r="AA128" i="11"/>
  <c r="AD128" i="11" s="1"/>
  <c r="AA35" i="11"/>
  <c r="AD35" i="11" s="1"/>
  <c r="AA57" i="11"/>
  <c r="AD57" i="11" s="1"/>
  <c r="AA197" i="11"/>
  <c r="AD197" i="11" s="1"/>
  <c r="AA133" i="11"/>
  <c r="AD133" i="11" s="1"/>
  <c r="AA148" i="11"/>
  <c r="AD148" i="11" s="1"/>
  <c r="AA66" i="11"/>
  <c r="AD66" i="11" s="1"/>
  <c r="AA174" i="11"/>
  <c r="AD174" i="11" s="1"/>
  <c r="AA110" i="11"/>
  <c r="AD110" i="11" s="1"/>
  <c r="AA2" i="11"/>
  <c r="AD2" i="11" s="1"/>
  <c r="AA24" i="11"/>
  <c r="AD24" i="11" s="1"/>
  <c r="AA164" i="11"/>
  <c r="AD164" i="11" s="1"/>
  <c r="AA92" i="11"/>
  <c r="AD92" i="11" s="1"/>
  <c r="AA71" i="11"/>
  <c r="AD71" i="11" s="1"/>
  <c r="AA7" i="11"/>
  <c r="AD7" i="11" s="1"/>
  <c r="AA147" i="11"/>
  <c r="AD147" i="11" s="1"/>
  <c r="AA217" i="11"/>
  <c r="AD217" i="11" s="1"/>
  <c r="AA62" i="11"/>
  <c r="AD62" i="11" s="1"/>
  <c r="AA202" i="11"/>
  <c r="AD202" i="11" s="1"/>
  <c r="AA138" i="11"/>
  <c r="AD138" i="11" s="1"/>
  <c r="AA69" i="11"/>
  <c r="AD69" i="11" s="1"/>
  <c r="AA5" i="11"/>
  <c r="AD5" i="11" s="1"/>
  <c r="AA137" i="11"/>
  <c r="AD137" i="11" s="1"/>
  <c r="AA44" i="11"/>
  <c r="AD44" i="11" s="1"/>
  <c r="AA184" i="11"/>
  <c r="AD184" i="11" s="1"/>
  <c r="AA199" i="11"/>
  <c r="AD199" i="11" s="1"/>
  <c r="AA135" i="11"/>
  <c r="AD135" i="11" s="1"/>
  <c r="AA112" i="11"/>
  <c r="AD112" i="11" s="1"/>
  <c r="AA27" i="11"/>
  <c r="AD27" i="11" s="1"/>
  <c r="AA74" i="11"/>
  <c r="AD74" i="11" s="1"/>
  <c r="AA49" i="11"/>
  <c r="AD49" i="11" s="1"/>
  <c r="AA189" i="11"/>
  <c r="AD189" i="11" s="1"/>
  <c r="AA125" i="11"/>
  <c r="AD125" i="11" s="1"/>
  <c r="AA223" i="11"/>
  <c r="AD223" i="11" s="1"/>
  <c r="AA50" i="11"/>
  <c r="AD50" i="11" s="1"/>
  <c r="AA166" i="11"/>
  <c r="AD166" i="11" s="1"/>
  <c r="AA102" i="11"/>
  <c r="AD102" i="11" s="1"/>
  <c r="AA80" i="11"/>
  <c r="AD80" i="11" s="1"/>
  <c r="AA16" i="11"/>
  <c r="AD16" i="11" s="1"/>
  <c r="AA156" i="11"/>
  <c r="AD156" i="11" s="1"/>
  <c r="AA63" i="11"/>
  <c r="AD63" i="11" s="1"/>
  <c r="AA203" i="11"/>
  <c r="AD203" i="11" s="1"/>
  <c r="AA139" i="11"/>
  <c r="AD139" i="11" s="1"/>
  <c r="AA54" i="11"/>
  <c r="AD54" i="11" s="1"/>
  <c r="AA194" i="11"/>
  <c r="AD194" i="11" s="1"/>
  <c r="AA130" i="11"/>
  <c r="AD130" i="11" s="1"/>
  <c r="AA61" i="11"/>
  <c r="AD61" i="11" s="1"/>
  <c r="AA201" i="11"/>
  <c r="AD201" i="11" s="1"/>
  <c r="AA129" i="11"/>
  <c r="AD129" i="11" s="1"/>
  <c r="AA36" i="11"/>
  <c r="AD36" i="11" s="1"/>
  <c r="AA176" i="11"/>
  <c r="AD176" i="11" s="1"/>
  <c r="AA191" i="11"/>
  <c r="AD191" i="11" s="1"/>
  <c r="AA127" i="11"/>
  <c r="AD127" i="11" s="1"/>
  <c r="AA96" i="11"/>
  <c r="AD96" i="11" s="1"/>
  <c r="AA19" i="11"/>
  <c r="AD19" i="11" s="1"/>
  <c r="AA58" i="11"/>
  <c r="AD58" i="11" s="1"/>
  <c r="AA41" i="11"/>
  <c r="AD41" i="11" s="1"/>
  <c r="AA181" i="11"/>
  <c r="AD181" i="11" s="1"/>
  <c r="AA117" i="11"/>
  <c r="AD117" i="11" s="1"/>
  <c r="AA34" i="11"/>
  <c r="AD34" i="11" s="1"/>
  <c r="AA158" i="11"/>
  <c r="AD158" i="11" s="1"/>
  <c r="AA94" i="11"/>
  <c r="AD94" i="11" s="1"/>
  <c r="AA72" i="11"/>
  <c r="AD72" i="11" s="1"/>
  <c r="AA8" i="11"/>
  <c r="AD8" i="11" s="1"/>
  <c r="AA140" i="11"/>
  <c r="AD140" i="11" s="1"/>
  <c r="AA211" i="11"/>
  <c r="AD211" i="11" s="1"/>
  <c r="AA55" i="11"/>
  <c r="AD55" i="11" s="1"/>
  <c r="AA195" i="11"/>
  <c r="AD195" i="11" s="1"/>
  <c r="AA131" i="11"/>
  <c r="AD131" i="11" s="1"/>
  <c r="AA208" i="11"/>
  <c r="AD208" i="11" s="1"/>
  <c r="AA46" i="11"/>
  <c r="AD46" i="11" s="1"/>
  <c r="AA186" i="11"/>
  <c r="AD186" i="11" s="1"/>
  <c r="AA122" i="11"/>
  <c r="AD122" i="11" s="1"/>
  <c r="AA53" i="11"/>
  <c r="AD53" i="11" s="1"/>
  <c r="AA193" i="11"/>
  <c r="AD193" i="11" s="1"/>
  <c r="AA121" i="11"/>
  <c r="AD121" i="11" s="1"/>
  <c r="AA215" i="11"/>
  <c r="AD215" i="11" s="1"/>
  <c r="AA28" i="11"/>
  <c r="AD28" i="11" s="1"/>
  <c r="AA168" i="11"/>
  <c r="AD168" i="11" s="1"/>
  <c r="AA183" i="11"/>
  <c r="AD183" i="11" s="1"/>
  <c r="AA119" i="11"/>
  <c r="AD119" i="11" s="1"/>
  <c r="AA11" i="11"/>
  <c r="AD11" i="11" s="1"/>
  <c r="AA42" i="11"/>
  <c r="AD42" i="11" s="1"/>
  <c r="AA216" i="11"/>
  <c r="AD216" i="11" s="1"/>
  <c r="AA33" i="11"/>
  <c r="AD33" i="11" s="1"/>
  <c r="AA173" i="11"/>
  <c r="AD173" i="11" s="1"/>
  <c r="AA109" i="11"/>
  <c r="AD109" i="11" s="1"/>
  <c r="AA123" i="11"/>
  <c r="AD123" i="11" s="1"/>
  <c r="AA18" i="11"/>
  <c r="AD18" i="11" s="1"/>
  <c r="AA150" i="11"/>
  <c r="AD150" i="11" s="1"/>
  <c r="AA64" i="11"/>
  <c r="AD64" i="11" s="1"/>
  <c r="AA204" i="11"/>
  <c r="AD204" i="11" s="1"/>
  <c r="AA132" i="11"/>
  <c r="AD132" i="11" s="1"/>
  <c r="AA210" i="11"/>
  <c r="AD210" i="11" s="1"/>
  <c r="AA47" i="11"/>
  <c r="AD47" i="11" s="1"/>
  <c r="AA187" i="11"/>
  <c r="AD187" i="11" s="1"/>
  <c r="AA115" i="11"/>
  <c r="AD115" i="11" s="1"/>
  <c r="AA207" i="11"/>
  <c r="AD207" i="11" s="1"/>
  <c r="AA38" i="11"/>
  <c r="AD38" i="11" s="1"/>
  <c r="AA178" i="11"/>
  <c r="AD178" i="11" s="1"/>
  <c r="AA114" i="11"/>
  <c r="AD114" i="11" s="1"/>
  <c r="AA45" i="11"/>
  <c r="AD45" i="11" s="1"/>
  <c r="AA185" i="11"/>
  <c r="AD185" i="11" s="1"/>
  <c r="AA113" i="11"/>
  <c r="AD113" i="11" s="1"/>
  <c r="AA84" i="11"/>
  <c r="AD84" i="11" s="1"/>
  <c r="AA20" i="11"/>
  <c r="AD20" i="11" s="1"/>
  <c r="AA144" i="11"/>
  <c r="AD144" i="11" s="1"/>
  <c r="AA226" i="11"/>
  <c r="AD226" i="11" s="1"/>
  <c r="AA175" i="11"/>
  <c r="AD175" i="11" s="1"/>
  <c r="AA111" i="11"/>
  <c r="AD111" i="11" s="1"/>
  <c r="AA225" i="11"/>
  <c r="AD225" i="11" s="1"/>
  <c r="AA3" i="11"/>
  <c r="AD3" i="11" s="1"/>
  <c r="AA10" i="11"/>
  <c r="AD10" i="11" s="1"/>
  <c r="AA25" i="11"/>
  <c r="AD25" i="11" s="1"/>
  <c r="AA165" i="11"/>
  <c r="AD165" i="11" s="1"/>
  <c r="AA101" i="11"/>
  <c r="AD101" i="11" s="1"/>
  <c r="AA91" i="11"/>
  <c r="AD91" i="11" s="1"/>
  <c r="AA206" i="11"/>
  <c r="AD206" i="11" s="1"/>
  <c r="AA142" i="11"/>
  <c r="AD142" i="11" s="1"/>
  <c r="AA56" i="11"/>
  <c r="AD56" i="11" s="1"/>
  <c r="AA196" i="11"/>
  <c r="AD196" i="11" s="1"/>
  <c r="AA124" i="11"/>
  <c r="AD124" i="11" s="1"/>
  <c r="AA39" i="11"/>
  <c r="AD39" i="11" s="1"/>
  <c r="AA179" i="11"/>
  <c r="AD179" i="11" s="1"/>
  <c r="AA99" i="11"/>
  <c r="AD99" i="11" s="1"/>
  <c r="AA30" i="11"/>
  <c r="AD30" i="11" s="1"/>
  <c r="AA170" i="11"/>
  <c r="AD170" i="11" s="1"/>
  <c r="AA106" i="11"/>
  <c r="AD106" i="11" s="1"/>
  <c r="AA37" i="11"/>
  <c r="AD37" i="11" s="1"/>
  <c r="AA177" i="11"/>
  <c r="AD177" i="11" s="1"/>
  <c r="AA105" i="11"/>
  <c r="AD105" i="11" s="1"/>
  <c r="AA76" i="11"/>
  <c r="AD76" i="11" s="1"/>
  <c r="AA12" i="11"/>
  <c r="AD12" i="11" s="1"/>
  <c r="AA136" i="11"/>
  <c r="AD136" i="11" s="1"/>
  <c r="AA167" i="11"/>
  <c r="AD167" i="11" s="1"/>
  <c r="AA103" i="11"/>
  <c r="AD103" i="11" s="1"/>
  <c r="AA212" i="11"/>
  <c r="AD212" i="11" s="1"/>
  <c r="AA81" i="11"/>
  <c r="AD81" i="11" s="1"/>
  <c r="AA17" i="11"/>
  <c r="AD17" i="11" s="1"/>
  <c r="AA157" i="11"/>
  <c r="AD157" i="11" s="1"/>
  <c r="AA93" i="11"/>
  <c r="AD93" i="11" s="1"/>
  <c r="AA198" i="11"/>
  <c r="AD198" i="11" s="1"/>
  <c r="AA134" i="11"/>
  <c r="AD134" i="11" s="1"/>
  <c r="AA48" i="11"/>
  <c r="AD48" i="11" s="1"/>
  <c r="AA188" i="11"/>
  <c r="AD188" i="11" s="1"/>
  <c r="AA116" i="11"/>
  <c r="AD116" i="11" s="1"/>
  <c r="AA220" i="11"/>
  <c r="AD220" i="11" s="1"/>
  <c r="AA31" i="11"/>
  <c r="AD31" i="11" s="1"/>
  <c r="AA171" i="11"/>
  <c r="AD171" i="11" s="1"/>
  <c r="AA86" i="11"/>
  <c r="AD86" i="11" s="1"/>
  <c r="AA22" i="11"/>
  <c r="AD22" i="11" s="1"/>
  <c r="AA162" i="11"/>
  <c r="AD162" i="11" s="1"/>
  <c r="AA98" i="11"/>
  <c r="AD98" i="11" s="1"/>
  <c r="AA29" i="11"/>
  <c r="AD29" i="11" s="1"/>
  <c r="AA169" i="11"/>
  <c r="AD169" i="11" s="1"/>
  <c r="AA97" i="11"/>
  <c r="AD97" i="11" s="1"/>
  <c r="AA68" i="11"/>
  <c r="AD68" i="11" s="1"/>
  <c r="AA4" i="11"/>
  <c r="AD4" i="11" s="1"/>
  <c r="AA120" i="11"/>
  <c r="AD120" i="11" s="1"/>
  <c r="AA83" i="11"/>
  <c r="AD83" i="11" s="1"/>
  <c r="AA159" i="11"/>
  <c r="AD159" i="11" s="1"/>
  <c r="AA95" i="11"/>
  <c r="AD95" i="11" s="1"/>
  <c r="AA59" i="11"/>
  <c r="AD59" i="11" s="1"/>
  <c r="AA73" i="11"/>
  <c r="AD73" i="11" s="1"/>
  <c r="AA9" i="11"/>
  <c r="AD9" i="11" s="1"/>
  <c r="AA149" i="11"/>
  <c r="AD149" i="11" s="1"/>
  <c r="AA214" i="11"/>
  <c r="AD214" i="11" s="1"/>
  <c r="AA190" i="11"/>
  <c r="AD190" i="11" s="1"/>
  <c r="AA126" i="11"/>
  <c r="AD126" i="11" s="1"/>
  <c r="AA40" i="11"/>
  <c r="AD40" i="11" s="1"/>
  <c r="AA180" i="11"/>
  <c r="AD180" i="11" s="1"/>
  <c r="AA108" i="11"/>
  <c r="AD108" i="11" s="1"/>
  <c r="AA219" i="11"/>
  <c r="AD219" i="11" s="1"/>
  <c r="AA87" i="11"/>
  <c r="AD87" i="11" s="1"/>
  <c r="AA23" i="11"/>
  <c r="AD23" i="11" s="1"/>
  <c r="AA163" i="11"/>
  <c r="AD163" i="11" s="1"/>
  <c r="AA78" i="11"/>
  <c r="AD78" i="11" s="1"/>
  <c r="AA14" i="11"/>
  <c r="AD14" i="11" s="1"/>
  <c r="AA154" i="11"/>
  <c r="AD154" i="11" s="1"/>
  <c r="AA90" i="11"/>
  <c r="AD90" i="11" s="1"/>
  <c r="AA85" i="11"/>
  <c r="AD85" i="11" s="1"/>
  <c r="AA21" i="11"/>
  <c r="AD21" i="11" s="1"/>
  <c r="AA153" i="11"/>
  <c r="AD153" i="11" s="1"/>
  <c r="AA89" i="11"/>
  <c r="AD89" i="11" s="1"/>
  <c r="AA60" i="11"/>
  <c r="AD60" i="11" s="1"/>
  <c r="AA200" i="11"/>
  <c r="AD200" i="11" s="1"/>
  <c r="AA104" i="11"/>
  <c r="AD104" i="11" s="1"/>
  <c r="AA67" i="11"/>
  <c r="AD67" i="11" s="1"/>
  <c r="AA151" i="11"/>
  <c r="AD151" i="11" s="1"/>
  <c r="AA160" i="11"/>
  <c r="AD160" i="11" s="1"/>
  <c r="AA43" i="11"/>
  <c r="AD43" i="11" s="1"/>
  <c r="AA222" i="11"/>
  <c r="AD222" i="11" s="1"/>
  <c r="AA65" i="11"/>
  <c r="AD65" i="11" s="1"/>
  <c r="AA205" i="11"/>
  <c r="AD205" i="11" s="1"/>
  <c r="AA141" i="11"/>
  <c r="AD141" i="11" s="1"/>
  <c r="AA213" i="11"/>
  <c r="AD213" i="11" s="1"/>
  <c r="AA82" i="11"/>
  <c r="AD82" i="11" s="1"/>
  <c r="AA182" i="11"/>
  <c r="AD182" i="11" s="1"/>
  <c r="AA118" i="11"/>
  <c r="AD118" i="11" s="1"/>
  <c r="AA32" i="11"/>
  <c r="AD32" i="11" s="1"/>
  <c r="AA172" i="11"/>
  <c r="AD172" i="11" s="1"/>
  <c r="AA100" i="11"/>
  <c r="AD100" i="11" s="1"/>
  <c r="AA218" i="11"/>
  <c r="AD218" i="11" s="1"/>
  <c r="AA79" i="11"/>
  <c r="AD79" i="11" s="1"/>
  <c r="AA15" i="11"/>
  <c r="AD15" i="11" s="1"/>
  <c r="AA155" i="11"/>
  <c r="AD155" i="11" s="1"/>
  <c r="AA70" i="11"/>
  <c r="AD70" i="11" s="1"/>
  <c r="AA6" i="11"/>
  <c r="AD6" i="11" s="1"/>
  <c r="AA146" i="11"/>
  <c r="AD146" i="11" s="1"/>
  <c r="AA77" i="11"/>
  <c r="AD77" i="11" s="1"/>
  <c r="AA13" i="11"/>
  <c r="AD13" i="11" s="1"/>
  <c r="AA145" i="11"/>
  <c r="AD145" i="11" s="1"/>
  <c r="AA52" i="11"/>
  <c r="AD52" i="11" s="1"/>
  <c r="AA192" i="11"/>
  <c r="AD192" i="11" s="1"/>
  <c r="AA88" i="11"/>
  <c r="AD88" i="11" s="1"/>
  <c r="AA51" i="11"/>
  <c r="AD51" i="11" s="1"/>
  <c r="AA143" i="11"/>
  <c r="AD143" i="11" s="1"/>
  <c r="I7" i="17"/>
  <c r="L7" i="17" s="1"/>
  <c r="X7" i="19" s="1"/>
  <c r="C50" i="16"/>
  <c r="I135" i="16" s="1"/>
  <c r="L11" i="17"/>
  <c r="X9" i="19" s="1"/>
  <c r="L8" i="17"/>
  <c r="X6" i="19" s="1"/>
  <c r="B9" i="3"/>
  <c r="D9" i="3" s="1"/>
  <c r="J9" i="3" s="1"/>
  <c r="M43" i="16"/>
  <c r="N43" i="16" s="1"/>
  <c r="F67" i="3"/>
  <c r="D58" i="16"/>
  <c r="AE2" i="11" s="1"/>
  <c r="M42" i="16"/>
  <c r="M41" i="16"/>
  <c r="D60" i="16"/>
  <c r="C8" i="3"/>
  <c r="M40" i="16"/>
  <c r="X5" i="19" l="1"/>
  <c r="B7" i="3"/>
  <c r="D59" i="16" s="1"/>
  <c r="AE87" i="11" s="1"/>
  <c r="H262" i="16"/>
  <c r="M189" i="11" s="1"/>
  <c r="Z6" i="19"/>
  <c r="Y9" i="19"/>
  <c r="Z9" i="19"/>
  <c r="Z7" i="19"/>
  <c r="Y5" i="19"/>
  <c r="H228" i="16"/>
  <c r="M155" i="11" s="1"/>
  <c r="H248" i="16"/>
  <c r="M175" i="11" s="1"/>
  <c r="H105" i="16"/>
  <c r="M32" i="11" s="1"/>
  <c r="N32" i="11" s="1"/>
  <c r="H76" i="16"/>
  <c r="H215" i="16"/>
  <c r="H160" i="16"/>
  <c r="M87" i="11" s="1"/>
  <c r="H110" i="16"/>
  <c r="H93" i="16"/>
  <c r="M20" i="11" s="1"/>
  <c r="N20" i="11" s="1"/>
  <c r="H150" i="16"/>
  <c r="M77" i="11" s="1"/>
  <c r="H178" i="16"/>
  <c r="M105" i="11" s="1"/>
  <c r="N105" i="11" s="1"/>
  <c r="H272" i="16"/>
  <c r="M199" i="11" s="1"/>
  <c r="I210" i="16"/>
  <c r="H100" i="16"/>
  <c r="H144" i="16"/>
  <c r="M71" i="11" s="1"/>
  <c r="H94" i="16"/>
  <c r="H218" i="16"/>
  <c r="M145" i="11" s="1"/>
  <c r="N145" i="11" s="1"/>
  <c r="H90" i="16"/>
  <c r="M17" i="11" s="1"/>
  <c r="N17" i="11" s="1"/>
  <c r="H259" i="16"/>
  <c r="M186" i="11" s="1"/>
  <c r="H114" i="16"/>
  <c r="M41" i="11" s="1"/>
  <c r="H85" i="16"/>
  <c r="H238" i="16"/>
  <c r="M165" i="11" s="1"/>
  <c r="H194" i="16"/>
  <c r="M121" i="11" s="1"/>
  <c r="N121" i="11" s="1"/>
  <c r="H208" i="16"/>
  <c r="H97" i="16"/>
  <c r="M24" i="11" s="1"/>
  <c r="N24" i="11" s="1"/>
  <c r="H196" i="16"/>
  <c r="M123" i="11" s="1"/>
  <c r="N123" i="11" s="1"/>
  <c r="H106" i="16"/>
  <c r="M33" i="11" s="1"/>
  <c r="N33" i="11" s="1"/>
  <c r="H91" i="16"/>
  <c r="M18" i="11" s="1"/>
  <c r="N18" i="11" s="1"/>
  <c r="H234" i="16"/>
  <c r="M161" i="11" s="1"/>
  <c r="H184" i="16"/>
  <c r="H117" i="16"/>
  <c r="M44" i="11" s="1"/>
  <c r="C9" i="3"/>
  <c r="I9" i="3" s="1"/>
  <c r="H98" i="16"/>
  <c r="M25" i="11" s="1"/>
  <c r="N25" i="11" s="1"/>
  <c r="H204" i="16"/>
  <c r="M131" i="11" s="1"/>
  <c r="N131" i="11" s="1"/>
  <c r="H101" i="16"/>
  <c r="M28" i="11" s="1"/>
  <c r="N28" i="11" s="1"/>
  <c r="H190" i="16"/>
  <c r="M117" i="11" s="1"/>
  <c r="N117" i="11" s="1"/>
  <c r="H88" i="16"/>
  <c r="M15" i="11" s="1"/>
  <c r="N15" i="11" s="1"/>
  <c r="H137" i="16"/>
  <c r="M64" i="11" s="1"/>
  <c r="H231" i="16"/>
  <c r="M158" i="11" s="1"/>
  <c r="H222" i="16"/>
  <c r="M149" i="11" s="1"/>
  <c r="H78" i="16"/>
  <c r="M5" i="11" s="1"/>
  <c r="N5" i="11" s="1"/>
  <c r="H80" i="16"/>
  <c r="M7" i="11" s="1"/>
  <c r="N7" i="11" s="1"/>
  <c r="H140" i="16"/>
  <c r="M67" i="11" s="1"/>
  <c r="H104" i="16"/>
  <c r="M31" i="11" s="1"/>
  <c r="N31" i="11" s="1"/>
  <c r="H250" i="16"/>
  <c r="M177" i="11" s="1"/>
  <c r="H109" i="16"/>
  <c r="M36" i="11" s="1"/>
  <c r="N36" i="11" s="1"/>
  <c r="H136" i="16"/>
  <c r="M63" i="11" s="1"/>
  <c r="H260" i="16"/>
  <c r="M187" i="11" s="1"/>
  <c r="H255" i="16"/>
  <c r="M182" i="11" s="1"/>
  <c r="H133" i="16"/>
  <c r="M60" i="11" s="1"/>
  <c r="H158" i="16"/>
  <c r="M85" i="11" s="1"/>
  <c r="H128" i="16"/>
  <c r="M55" i="11" s="1"/>
  <c r="H192" i="16"/>
  <c r="M119" i="11" s="1"/>
  <c r="N119" i="11" s="1"/>
  <c r="I190" i="16"/>
  <c r="O117" i="11" s="1"/>
  <c r="P117" i="11" s="1"/>
  <c r="I235" i="16"/>
  <c r="O162" i="11" s="1"/>
  <c r="P162" i="11" s="1"/>
  <c r="H126" i="16"/>
  <c r="M53" i="11" s="1"/>
  <c r="H268" i="16"/>
  <c r="M195" i="11" s="1"/>
  <c r="H112" i="16"/>
  <c r="M39" i="11" s="1"/>
  <c r="N39" i="11" s="1"/>
  <c r="H266" i="16"/>
  <c r="M193" i="11" s="1"/>
  <c r="H186" i="16"/>
  <c r="M113" i="11" s="1"/>
  <c r="N113" i="11" s="1"/>
  <c r="H84" i="16"/>
  <c r="M11" i="11" s="1"/>
  <c r="N11" i="11" s="1"/>
  <c r="H113" i="16"/>
  <c r="M40" i="11" s="1"/>
  <c r="H143" i="16"/>
  <c r="M70" i="11" s="1"/>
  <c r="H271" i="16"/>
  <c r="M198" i="11" s="1"/>
  <c r="I91" i="16"/>
  <c r="O18" i="11" s="1"/>
  <c r="P18" i="11" s="1"/>
  <c r="H96" i="16"/>
  <c r="M23" i="11" s="1"/>
  <c r="N23" i="11" s="1"/>
  <c r="H138" i="16"/>
  <c r="M65" i="11" s="1"/>
  <c r="H224" i="16"/>
  <c r="M151" i="11" s="1"/>
  <c r="H241" i="16"/>
  <c r="M168" i="11" s="1"/>
  <c r="H210" i="16"/>
  <c r="M137" i="11" s="1"/>
  <c r="N137" i="11" s="1"/>
  <c r="I184" i="16"/>
  <c r="O111" i="11" s="1"/>
  <c r="P111" i="11" s="1"/>
  <c r="Y6" i="19"/>
  <c r="I117" i="16"/>
  <c r="O44" i="11" s="1"/>
  <c r="P44" i="11" s="1"/>
  <c r="O137" i="11"/>
  <c r="P137" i="11" s="1"/>
  <c r="M27" i="11"/>
  <c r="N27" i="11" s="1"/>
  <c r="M21" i="11"/>
  <c r="N21" i="11" s="1"/>
  <c r="M37" i="11"/>
  <c r="N37" i="11" s="1"/>
  <c r="M12" i="11"/>
  <c r="N12" i="11" s="1"/>
  <c r="O62" i="11"/>
  <c r="P62" i="11" s="1"/>
  <c r="M3" i="11"/>
  <c r="N3" i="11" s="1"/>
  <c r="M135" i="11"/>
  <c r="N135" i="11" s="1"/>
  <c r="AE217" i="11"/>
  <c r="AH217" i="11" s="1"/>
  <c r="AE215" i="11"/>
  <c r="AH215" i="11" s="1"/>
  <c r="AE222" i="11"/>
  <c r="AH222" i="11" s="1"/>
  <c r="AE220" i="11"/>
  <c r="AH220" i="11" s="1"/>
  <c r="AE213" i="11"/>
  <c r="AH213" i="11" s="1"/>
  <c r="AE210" i="11"/>
  <c r="AH210" i="11" s="1"/>
  <c r="AE209" i="11"/>
  <c r="AH209" i="11" s="1"/>
  <c r="AI209" i="11" s="1"/>
  <c r="AJ209" i="11" s="1"/>
  <c r="AL209" i="11" s="1"/>
  <c r="AM209" i="11" s="1"/>
  <c r="AI211" i="19" s="1"/>
  <c r="AE207" i="11"/>
  <c r="AH207" i="11" s="1"/>
  <c r="AI207" i="11" s="1"/>
  <c r="AJ207" i="11" s="1"/>
  <c r="AL207" i="11" s="1"/>
  <c r="AM207" i="11" s="1"/>
  <c r="AI209" i="19" s="1"/>
  <c r="AE226" i="11"/>
  <c r="AH226" i="11" s="1"/>
  <c r="AE221" i="11"/>
  <c r="AH221" i="11" s="1"/>
  <c r="AE214" i="11"/>
  <c r="AH214" i="11" s="1"/>
  <c r="AE212" i="11"/>
  <c r="AH212" i="11" s="1"/>
  <c r="AE219" i="11"/>
  <c r="AH219" i="11" s="1"/>
  <c r="AE211" i="11"/>
  <c r="AH211" i="11" s="1"/>
  <c r="AE225" i="11"/>
  <c r="AH225" i="11" s="1"/>
  <c r="AE216" i="11"/>
  <c r="AH216" i="11" s="1"/>
  <c r="AE208" i="11"/>
  <c r="AH208" i="11" s="1"/>
  <c r="AI208" i="11" s="1"/>
  <c r="AJ208" i="11" s="1"/>
  <c r="AL208" i="11" s="1"/>
  <c r="AM208" i="11" s="1"/>
  <c r="AI210" i="19" s="1"/>
  <c r="AE223" i="11"/>
  <c r="AH223" i="11" s="1"/>
  <c r="AE218" i="11"/>
  <c r="AH218" i="11" s="1"/>
  <c r="AE224" i="11"/>
  <c r="AH224" i="11" s="1"/>
  <c r="AE93" i="11"/>
  <c r="AH93" i="11" s="1"/>
  <c r="AE102" i="11"/>
  <c r="AH102" i="11" s="1"/>
  <c r="AI102" i="11" s="1"/>
  <c r="AJ102" i="11" s="1"/>
  <c r="AL102" i="11" s="1"/>
  <c r="AM102" i="11" s="1"/>
  <c r="AE94" i="11"/>
  <c r="AH94" i="11" s="1"/>
  <c r="AI94" i="11" s="1"/>
  <c r="AJ94" i="11" s="1"/>
  <c r="AL94" i="11" s="1"/>
  <c r="AM94" i="11" s="1"/>
  <c r="AE103" i="11"/>
  <c r="AH103" i="11" s="1"/>
  <c r="AE95" i="11"/>
  <c r="AH95" i="11" s="1"/>
  <c r="AE88" i="11"/>
  <c r="AH88" i="11" s="1"/>
  <c r="AE97" i="11"/>
  <c r="AH97" i="11" s="1"/>
  <c r="AE89" i="11"/>
  <c r="AH89" i="11" s="1"/>
  <c r="AE92" i="11"/>
  <c r="AH92" i="11" s="1"/>
  <c r="AI92" i="11" s="1"/>
  <c r="AJ92" i="11" s="1"/>
  <c r="AL92" i="11" s="1"/>
  <c r="AM92" i="11" s="1"/>
  <c r="AE101" i="11"/>
  <c r="AH101" i="11" s="1"/>
  <c r="AE100" i="11"/>
  <c r="AH100" i="11" s="1"/>
  <c r="AI100" i="11" s="1"/>
  <c r="AJ100" i="11" s="1"/>
  <c r="AL100" i="11" s="1"/>
  <c r="AM100" i="11" s="1"/>
  <c r="AE91" i="11"/>
  <c r="AH91" i="11" s="1"/>
  <c r="AE90" i="11"/>
  <c r="AH90" i="11" s="1"/>
  <c r="M111" i="11"/>
  <c r="N111" i="11" s="1"/>
  <c r="M142" i="11"/>
  <c r="N142" i="11" s="1"/>
  <c r="Y7" i="19"/>
  <c r="I99" i="16"/>
  <c r="I147" i="16"/>
  <c r="I202" i="16"/>
  <c r="I230" i="16"/>
  <c r="I249" i="16"/>
  <c r="I177" i="16"/>
  <c r="H103" i="16"/>
  <c r="H180" i="16"/>
  <c r="H116" i="16"/>
  <c r="M43" i="11" s="1"/>
  <c r="H214" i="16"/>
  <c r="H81" i="16"/>
  <c r="H118" i="16"/>
  <c r="M45" i="11" s="1"/>
  <c r="H124" i="16"/>
  <c r="M51" i="11" s="1"/>
  <c r="H102" i="16"/>
  <c r="H223" i="16"/>
  <c r="M150" i="11" s="1"/>
  <c r="H207" i="16"/>
  <c r="H131" i="16"/>
  <c r="M58" i="11" s="1"/>
  <c r="H134" i="16"/>
  <c r="M61" i="11" s="1"/>
  <c r="I189" i="16"/>
  <c r="I185" i="16"/>
  <c r="I197" i="16"/>
  <c r="I233" i="16"/>
  <c r="H252" i="16"/>
  <c r="M179" i="11" s="1"/>
  <c r="H203" i="16"/>
  <c r="H86" i="16"/>
  <c r="H181" i="16"/>
  <c r="I274" i="16"/>
  <c r="H240" i="16"/>
  <c r="M167" i="11" s="1"/>
  <c r="H195" i="16"/>
  <c r="I103" i="16"/>
  <c r="I272" i="16"/>
  <c r="I195" i="16"/>
  <c r="O122" i="11" s="1"/>
  <c r="P122" i="11" s="1"/>
  <c r="H274" i="16"/>
  <c r="M201" i="11" s="1"/>
  <c r="H125" i="16"/>
  <c r="M52" i="11" s="1"/>
  <c r="H249" i="16"/>
  <c r="M176" i="11" s="1"/>
  <c r="H107" i="16"/>
  <c r="H87" i="16"/>
  <c r="I248" i="16"/>
  <c r="I255" i="16"/>
  <c r="I198" i="16"/>
  <c r="I115" i="16"/>
  <c r="H205" i="16"/>
  <c r="I194" i="16"/>
  <c r="O121" i="11" s="1"/>
  <c r="P121" i="11" s="1"/>
  <c r="I85" i="16"/>
  <c r="O12" i="11" s="1"/>
  <c r="P12" i="11" s="1"/>
  <c r="I98" i="16"/>
  <c r="H219" i="16"/>
  <c r="H227" i="16"/>
  <c r="M154" i="11" s="1"/>
  <c r="H253" i="16"/>
  <c r="M180" i="11" s="1"/>
  <c r="H200" i="16"/>
  <c r="H275" i="16"/>
  <c r="M202" i="11" s="1"/>
  <c r="I257" i="16"/>
  <c r="I112" i="16"/>
  <c r="O39" i="11" s="1"/>
  <c r="P39" i="11" s="1"/>
  <c r="I263" i="16"/>
  <c r="H115" i="16"/>
  <c r="M42" i="11" s="1"/>
  <c r="I92" i="16"/>
  <c r="I76" i="16"/>
  <c r="O3" i="11" s="1"/>
  <c r="P3" i="11" s="1"/>
  <c r="I78" i="16"/>
  <c r="H119" i="16"/>
  <c r="M46" i="11" s="1"/>
  <c r="H258" i="16"/>
  <c r="M185" i="11" s="1"/>
  <c r="I90" i="16"/>
  <c r="O17" i="11" s="1"/>
  <c r="P17" i="11" s="1"/>
  <c r="I121" i="16"/>
  <c r="I120" i="16"/>
  <c r="I268" i="16"/>
  <c r="I93" i="16"/>
  <c r="I215" i="16"/>
  <c r="I225" i="16"/>
  <c r="H199" i="16"/>
  <c r="H187" i="16"/>
  <c r="H276" i="16"/>
  <c r="M203" i="11" s="1"/>
  <c r="H148" i="16"/>
  <c r="M75" i="11" s="1"/>
  <c r="I180" i="16"/>
  <c r="H75" i="16"/>
  <c r="I187" i="16"/>
  <c r="I129" i="16"/>
  <c r="I205" i="16"/>
  <c r="O132" i="11" s="1"/>
  <c r="P132" i="11" s="1"/>
  <c r="I158" i="16"/>
  <c r="I152" i="16"/>
  <c r="I140" i="16"/>
  <c r="H132" i="16"/>
  <c r="M59" i="11" s="1"/>
  <c r="H135" i="16"/>
  <c r="M62" i="11" s="1"/>
  <c r="H202" i="16"/>
  <c r="H261" i="16"/>
  <c r="M188" i="11" s="1"/>
  <c r="H235" i="16"/>
  <c r="M162" i="11" s="1"/>
  <c r="H79" i="16"/>
  <c r="I245" i="16"/>
  <c r="H157" i="16"/>
  <c r="M84" i="11" s="1"/>
  <c r="I258" i="16"/>
  <c r="I219" i="16"/>
  <c r="I270" i="16"/>
  <c r="I238" i="16"/>
  <c r="I227" i="16"/>
  <c r="I232" i="16"/>
  <c r="I148" i="16"/>
  <c r="H123" i="16"/>
  <c r="M50" i="11" s="1"/>
  <c r="I102" i="16"/>
  <c r="I109" i="16"/>
  <c r="H265" i="16"/>
  <c r="M192" i="11" s="1"/>
  <c r="I83" i="16"/>
  <c r="I208" i="16"/>
  <c r="O135" i="11" s="1"/>
  <c r="P135" i="11" s="1"/>
  <c r="I96" i="16"/>
  <c r="O23" i="11" s="1"/>
  <c r="P23" i="11" s="1"/>
  <c r="I228" i="16"/>
  <c r="I277" i="16"/>
  <c r="H247" i="16"/>
  <c r="M174" i="11" s="1"/>
  <c r="H185" i="16"/>
  <c r="H149" i="16"/>
  <c r="M76" i="11" s="1"/>
  <c r="H229" i="16"/>
  <c r="M156" i="11" s="1"/>
  <c r="H256" i="16"/>
  <c r="M183" i="11" s="1"/>
  <c r="I182" i="16"/>
  <c r="I113" i="16"/>
  <c r="I251" i="16"/>
  <c r="I253" i="16"/>
  <c r="I192" i="16"/>
  <c r="I122" i="16"/>
  <c r="I261" i="16"/>
  <c r="I200" i="16"/>
  <c r="O127" i="11" s="1"/>
  <c r="P127" i="11" s="1"/>
  <c r="I154" i="16"/>
  <c r="I130" i="16"/>
  <c r="I269" i="16"/>
  <c r="I217" i="16"/>
  <c r="I156" i="16"/>
  <c r="I95" i="16"/>
  <c r="I243" i="16"/>
  <c r="I153" i="16"/>
  <c r="I223" i="16"/>
  <c r="I75" i="16"/>
  <c r="I79" i="16"/>
  <c r="I141" i="16"/>
  <c r="I220" i="16"/>
  <c r="H270" i="16"/>
  <c r="M197" i="11" s="1"/>
  <c r="I131" i="16"/>
  <c r="H239" i="16"/>
  <c r="M166" i="11" s="1"/>
  <c r="H95" i="16"/>
  <c r="H254" i="16"/>
  <c r="M181" i="11" s="1"/>
  <c r="I100" i="16"/>
  <c r="O27" i="11" s="1"/>
  <c r="P27" i="11" s="1"/>
  <c r="I246" i="16"/>
  <c r="I193" i="16"/>
  <c r="H209" i="16"/>
  <c r="I110" i="16"/>
  <c r="O37" i="11" s="1"/>
  <c r="P37" i="11" s="1"/>
  <c r="I256" i="16"/>
  <c r="I206" i="16"/>
  <c r="I118" i="16"/>
  <c r="I264" i="16"/>
  <c r="I155" i="16"/>
  <c r="H242" i="16"/>
  <c r="M169" i="11" s="1"/>
  <c r="I126" i="16"/>
  <c r="I186" i="16"/>
  <c r="I236" i="16"/>
  <c r="I239" i="16"/>
  <c r="I107" i="16"/>
  <c r="H142" i="16"/>
  <c r="M69" i="11" s="1"/>
  <c r="I218" i="16"/>
  <c r="O145" i="11" s="1"/>
  <c r="P145" i="11" s="1"/>
  <c r="I216" i="16"/>
  <c r="I231" i="16"/>
  <c r="H263" i="16"/>
  <c r="M190" i="11" s="1"/>
  <c r="I134" i="16"/>
  <c r="I213" i="16"/>
  <c r="I221" i="16"/>
  <c r="I146" i="16"/>
  <c r="I87" i="16"/>
  <c r="O14" i="11" s="1"/>
  <c r="P14" i="11" s="1"/>
  <c r="I150" i="16"/>
  <c r="I211" i="16"/>
  <c r="I149" i="16"/>
  <c r="H154" i="16"/>
  <c r="M81" i="11" s="1"/>
  <c r="H83" i="16"/>
  <c r="H212" i="16"/>
  <c r="H99" i="16"/>
  <c r="M26" i="11" s="1"/>
  <c r="N26" i="11" s="1"/>
  <c r="H182" i="16"/>
  <c r="H120" i="16"/>
  <c r="M47" i="11" s="1"/>
  <c r="H146" i="16"/>
  <c r="M73" i="11" s="1"/>
  <c r="H198" i="16"/>
  <c r="M125" i="11" s="1"/>
  <c r="N125" i="11" s="1"/>
  <c r="H141" i="16"/>
  <c r="M68" i="11" s="1"/>
  <c r="H147" i="16"/>
  <c r="M74" i="11" s="1"/>
  <c r="H92" i="16"/>
  <c r="H179" i="16"/>
  <c r="H216" i="16"/>
  <c r="H264" i="16"/>
  <c r="M191" i="11" s="1"/>
  <c r="H121" i="16"/>
  <c r="M48" i="11" s="1"/>
  <c r="H206" i="16"/>
  <c r="H269" i="16"/>
  <c r="M196" i="11" s="1"/>
  <c r="H243" i="16"/>
  <c r="M170" i="11" s="1"/>
  <c r="H257" i="16"/>
  <c r="M184" i="11" s="1"/>
  <c r="H139" i="16"/>
  <c r="M66" i="11" s="1"/>
  <c r="H244" i="16"/>
  <c r="M171" i="11" s="1"/>
  <c r="I244" i="16"/>
  <c r="I183" i="16"/>
  <c r="I275" i="16"/>
  <c r="I108" i="16"/>
  <c r="I254" i="16"/>
  <c r="I201" i="16"/>
  <c r="I116" i="16"/>
  <c r="I262" i="16"/>
  <c r="I209" i="16"/>
  <c r="O136" i="11" s="1"/>
  <c r="P136" i="11" s="1"/>
  <c r="I125" i="16"/>
  <c r="H225" i="16"/>
  <c r="M152" i="11" s="1"/>
  <c r="I127" i="16"/>
  <c r="H177" i="16"/>
  <c r="M104" i="11" s="1"/>
  <c r="N104" i="11" s="1"/>
  <c r="I157" i="16"/>
  <c r="I160" i="16"/>
  <c r="I259" i="16"/>
  <c r="I214" i="16"/>
  <c r="I276" i="16"/>
  <c r="I267" i="16"/>
  <c r="I250" i="16"/>
  <c r="I278" i="16"/>
  <c r="I224" i="16"/>
  <c r="I80" i="16"/>
  <c r="O7" i="11" s="1"/>
  <c r="P7" i="11" s="1"/>
  <c r="I136" i="16"/>
  <c r="I142" i="16"/>
  <c r="H188" i="16"/>
  <c r="H82" i="16"/>
  <c r="H77" i="16"/>
  <c r="H129" i="16"/>
  <c r="M56" i="11" s="1"/>
  <c r="H230" i="16"/>
  <c r="M157" i="11" s="1"/>
  <c r="H277" i="16"/>
  <c r="M204" i="11" s="1"/>
  <c r="H130" i="16"/>
  <c r="M57" i="11" s="1"/>
  <c r="H211" i="16"/>
  <c r="H273" i="16"/>
  <c r="M200" i="11" s="1"/>
  <c r="H152" i="16"/>
  <c r="M79" i="11" s="1"/>
  <c r="H111" i="16"/>
  <c r="H127" i="16"/>
  <c r="M54" i="11" s="1"/>
  <c r="H201" i="16"/>
  <c r="H193" i="16"/>
  <c r="I101" i="16"/>
  <c r="O28" i="11" s="1"/>
  <c r="P28" i="11" s="1"/>
  <c r="I247" i="16"/>
  <c r="I139" i="16"/>
  <c r="I188" i="16"/>
  <c r="O115" i="11" s="1"/>
  <c r="P115" i="11" s="1"/>
  <c r="I111" i="16"/>
  <c r="I265" i="16"/>
  <c r="I196" i="16"/>
  <c r="I119" i="16"/>
  <c r="I273" i="16"/>
  <c r="I128" i="16"/>
  <c r="I124" i="16"/>
  <c r="I207" i="16"/>
  <c r="O134" i="11" s="1"/>
  <c r="P134" i="11" s="1"/>
  <c r="H237" i="16"/>
  <c r="M164" i="11" s="1"/>
  <c r="I237" i="16"/>
  <c r="I240" i="16"/>
  <c r="I123" i="16"/>
  <c r="I151" i="16"/>
  <c r="I229" i="16"/>
  <c r="I84" i="16"/>
  <c r="O11" i="11" s="1"/>
  <c r="P11" i="11" s="1"/>
  <c r="I234" i="16"/>
  <c r="I266" i="16"/>
  <c r="I86" i="16"/>
  <c r="O13" i="11" s="1"/>
  <c r="P13" i="11" s="1"/>
  <c r="H221" i="16"/>
  <c r="M148" i="11" s="1"/>
  <c r="I241" i="16"/>
  <c r="I97" i="16"/>
  <c r="I212" i="16"/>
  <c r="O139" i="11" s="1"/>
  <c r="P139" i="11" s="1"/>
  <c r="H151" i="16"/>
  <c r="M78" i="11" s="1"/>
  <c r="H183" i="16"/>
  <c r="H108" i="16"/>
  <c r="M35" i="11" s="1"/>
  <c r="N35" i="11" s="1"/>
  <c r="I203" i="16"/>
  <c r="O130" i="11" s="1"/>
  <c r="P130" i="11" s="1"/>
  <c r="H246" i="16"/>
  <c r="M173" i="11" s="1"/>
  <c r="H122" i="16"/>
  <c r="M49" i="11" s="1"/>
  <c r="H155" i="16"/>
  <c r="M82" i="11" s="1"/>
  <c r="H191" i="16"/>
  <c r="H236" i="16"/>
  <c r="M163" i="11" s="1"/>
  <c r="H232" i="16"/>
  <c r="M159" i="11" s="1"/>
  <c r="H156" i="16"/>
  <c r="M83" i="11" s="1"/>
  <c r="H220" i="16"/>
  <c r="M147" i="11" s="1"/>
  <c r="H226" i="16"/>
  <c r="M153" i="11" s="1"/>
  <c r="H245" i="16"/>
  <c r="M172" i="11" s="1"/>
  <c r="H217" i="16"/>
  <c r="H233" i="16"/>
  <c r="M160" i="11" s="1"/>
  <c r="H251" i="16"/>
  <c r="M178" i="11" s="1"/>
  <c r="I181" i="16"/>
  <c r="O108" i="11" s="1"/>
  <c r="P108" i="11" s="1"/>
  <c r="I104" i="16"/>
  <c r="O31" i="11" s="1"/>
  <c r="P31" i="11" s="1"/>
  <c r="I226" i="16"/>
  <c r="I252" i="16"/>
  <c r="I191" i="16"/>
  <c r="I106" i="16"/>
  <c r="O33" i="11" s="1"/>
  <c r="P33" i="11" s="1"/>
  <c r="I260" i="16"/>
  <c r="I199" i="16"/>
  <c r="I138" i="16"/>
  <c r="I137" i="16"/>
  <c r="I204" i="16"/>
  <c r="O131" i="11" s="1"/>
  <c r="P131" i="11" s="1"/>
  <c r="I271" i="16"/>
  <c r="H153" i="16"/>
  <c r="M80" i="11" s="1"/>
  <c r="I94" i="16"/>
  <c r="O21" i="11" s="1"/>
  <c r="P21" i="11" s="1"/>
  <c r="I105" i="16"/>
  <c r="O32" i="11" s="1"/>
  <c r="P32" i="11" s="1"/>
  <c r="H267" i="16"/>
  <c r="M194" i="11" s="1"/>
  <c r="I145" i="16"/>
  <c r="I222" i="16"/>
  <c r="I77" i="16"/>
  <c r="I132" i="16"/>
  <c r="I178" i="16"/>
  <c r="O105" i="11" s="1"/>
  <c r="P105" i="11" s="1"/>
  <c r="I82" i="16"/>
  <c r="H145" i="16"/>
  <c r="M72" i="11" s="1"/>
  <c r="H213" i="16"/>
  <c r="I114" i="16"/>
  <c r="I179" i="16"/>
  <c r="I242" i="16"/>
  <c r="I159" i="16"/>
  <c r="I279" i="16"/>
  <c r="H159" i="16"/>
  <c r="M86" i="11" s="1"/>
  <c r="H279" i="16"/>
  <c r="M206" i="11" s="1"/>
  <c r="H278" i="16"/>
  <c r="M205" i="11" s="1"/>
  <c r="I88" i="16"/>
  <c r="O15" i="11" s="1"/>
  <c r="P15" i="11" s="1"/>
  <c r="H189" i="16"/>
  <c r="M116" i="11" s="1"/>
  <c r="N116" i="11" s="1"/>
  <c r="I133" i="16"/>
  <c r="H197" i="16"/>
  <c r="I81" i="16"/>
  <c r="O8" i="11" s="1"/>
  <c r="P8" i="11" s="1"/>
  <c r="I143" i="16"/>
  <c r="I144" i="16"/>
  <c r="I89" i="16"/>
  <c r="H89" i="16"/>
  <c r="H6" i="16"/>
  <c r="N40" i="16"/>
  <c r="H8" i="16" s="1"/>
  <c r="C6" i="3"/>
  <c r="I6" i="3" s="1"/>
  <c r="D6" i="3"/>
  <c r="X13" i="19" s="1"/>
  <c r="C7" i="3"/>
  <c r="I8" i="3" s="1"/>
  <c r="D7" i="3"/>
  <c r="J7" i="3" s="1"/>
  <c r="X22" i="19" s="1"/>
  <c r="Y4" i="19"/>
  <c r="X15" i="19"/>
  <c r="X24" i="19"/>
  <c r="Y24" i="19" s="1"/>
  <c r="X16" i="19"/>
  <c r="AE114" i="11"/>
  <c r="AE151" i="11"/>
  <c r="AE165" i="11"/>
  <c r="AE200" i="11"/>
  <c r="AE182" i="11"/>
  <c r="AE155" i="11"/>
  <c r="AE194" i="11"/>
  <c r="AE121" i="11"/>
  <c r="AE167" i="11"/>
  <c r="AE164" i="11"/>
  <c r="AE152" i="11"/>
  <c r="AE157" i="11"/>
  <c r="AE201" i="11"/>
  <c r="AE171" i="11"/>
  <c r="AE110" i="11"/>
  <c r="AE180" i="11"/>
  <c r="AE139" i="11"/>
  <c r="AE104" i="11"/>
  <c r="AE173" i="11"/>
  <c r="AE153" i="11"/>
  <c r="AE190" i="11"/>
  <c r="AE196" i="11"/>
  <c r="AE138" i="11"/>
  <c r="AE184" i="11"/>
  <c r="AE111" i="11"/>
  <c r="AE172" i="11"/>
  <c r="AE169" i="11"/>
  <c r="AE206" i="11"/>
  <c r="AE148" i="11"/>
  <c r="AE136" i="11"/>
  <c r="AE118" i="11"/>
  <c r="AE188" i="11"/>
  <c r="AE130" i="11"/>
  <c r="AE115" i="11"/>
  <c r="AE158" i="11"/>
  <c r="AE170" i="11"/>
  <c r="AE143" i="11"/>
  <c r="AE204" i="11"/>
  <c r="AE137" i="11"/>
  <c r="AE183" i="11"/>
  <c r="AE197" i="11"/>
  <c r="AE116" i="11"/>
  <c r="AE177" i="11"/>
  <c r="AE159" i="11"/>
  <c r="AE109" i="11"/>
  <c r="AE144" i="11"/>
  <c r="AE126" i="11"/>
  <c r="AE132" i="11"/>
  <c r="AE193" i="11"/>
  <c r="AE120" i="11"/>
  <c r="AE166" i="11"/>
  <c r="AE108" i="11"/>
  <c r="AE105" i="11"/>
  <c r="AE142" i="11"/>
  <c r="AE154" i="11"/>
  <c r="AE191" i="11"/>
  <c r="AE205" i="11"/>
  <c r="AE124" i="11"/>
  <c r="AE187" i="11"/>
  <c r="AE176" i="11"/>
  <c r="AE181" i="11"/>
  <c r="AE106" i="11"/>
  <c r="AE198" i="11"/>
  <c r="AE140" i="11"/>
  <c r="AE192" i="11"/>
  <c r="AE119" i="11"/>
  <c r="AE133" i="11"/>
  <c r="AE186" i="11"/>
  <c r="AE113" i="11"/>
  <c r="AE150" i="11"/>
  <c r="AE156" i="11"/>
  <c r="AE199" i="11"/>
  <c r="AE149" i="11"/>
  <c r="AE179" i="11"/>
  <c r="AE129" i="11"/>
  <c r="AE123" i="11"/>
  <c r="AE189" i="11"/>
  <c r="AE178" i="11"/>
  <c r="AE160" i="11"/>
  <c r="AE147" i="11"/>
  <c r="AE145" i="11"/>
  <c r="AE127" i="11"/>
  <c r="AE141" i="11"/>
  <c r="AE131" i="11"/>
  <c r="AE185" i="11"/>
  <c r="AE112" i="11"/>
  <c r="AE117" i="11"/>
  <c r="AE161" i="11"/>
  <c r="AE134" i="11"/>
  <c r="AE146" i="11"/>
  <c r="AE128" i="11"/>
  <c r="AE174" i="11"/>
  <c r="AE107" i="11"/>
  <c r="AE122" i="11"/>
  <c r="AE168" i="11"/>
  <c r="AE195" i="11"/>
  <c r="AE162" i="11"/>
  <c r="AE135" i="11"/>
  <c r="AE203" i="11"/>
  <c r="AE202" i="11"/>
  <c r="AE163" i="11"/>
  <c r="AE175" i="11"/>
  <c r="AE125" i="11"/>
  <c r="N41" i="16"/>
  <c r="I8" i="16" s="1"/>
  <c r="I6" i="16"/>
  <c r="AE8" i="11"/>
  <c r="AE6" i="11"/>
  <c r="AE9" i="11"/>
  <c r="AE3" i="11"/>
  <c r="AE11" i="11"/>
  <c r="AE5" i="11"/>
  <c r="AE10" i="11"/>
  <c r="AE4" i="11"/>
  <c r="AE7" i="11"/>
  <c r="D21" i="31"/>
  <c r="N42" i="16"/>
  <c r="J8" i="16" s="1"/>
  <c r="J6" i="16"/>
  <c r="AE14" i="11"/>
  <c r="AE31" i="11"/>
  <c r="AE48" i="11"/>
  <c r="AE18" i="11"/>
  <c r="AE26" i="11"/>
  <c r="AE42" i="11"/>
  <c r="AE20" i="11"/>
  <c r="AE19" i="11"/>
  <c r="AE53" i="11"/>
  <c r="AE51" i="11"/>
  <c r="AE52" i="11"/>
  <c r="AE29" i="11"/>
  <c r="AE64" i="11"/>
  <c r="AE16" i="11"/>
  <c r="AE27" i="11"/>
  <c r="AE76" i="11"/>
  <c r="AE80" i="11"/>
  <c r="AE66" i="11"/>
  <c r="AE23" i="11"/>
  <c r="AE74" i="11"/>
  <c r="AE15" i="11"/>
  <c r="AE81" i="11"/>
  <c r="AE47" i="11"/>
  <c r="AE56" i="11"/>
  <c r="AE39" i="11"/>
  <c r="AE49" i="11"/>
  <c r="AE54" i="11"/>
  <c r="AE78" i="11"/>
  <c r="AE55" i="11"/>
  <c r="AE73" i="11"/>
  <c r="AE33" i="11"/>
  <c r="AE50" i="11"/>
  <c r="AE58" i="11"/>
  <c r="AE38" i="11"/>
  <c r="AE77" i="11"/>
  <c r="AE71" i="11"/>
  <c r="AE32" i="11"/>
  <c r="AE59" i="11"/>
  <c r="AE12" i="11"/>
  <c r="AE25" i="11"/>
  <c r="AE40" i="11"/>
  <c r="AE67" i="11"/>
  <c r="AE45" i="11"/>
  <c r="AE72" i="11"/>
  <c r="AE84" i="11"/>
  <c r="AE68" i="11"/>
  <c r="AE37" i="11"/>
  <c r="AE44" i="11"/>
  <c r="AE65" i="11"/>
  <c r="AE35" i="11"/>
  <c r="AE61" i="11"/>
  <c r="AE60" i="11"/>
  <c r="AE83" i="11"/>
  <c r="AE85" i="11"/>
  <c r="AE69" i="11"/>
  <c r="AE63" i="11"/>
  <c r="AE22" i="11"/>
  <c r="AE24" i="11"/>
  <c r="AE86" i="11"/>
  <c r="AE17" i="11"/>
  <c r="AE34" i="11"/>
  <c r="AE21" i="11"/>
  <c r="AE41" i="11"/>
  <c r="AE57" i="11"/>
  <c r="AE30" i="11"/>
  <c r="AE43" i="11"/>
  <c r="AE82" i="11"/>
  <c r="AE79" i="11"/>
  <c r="AE13" i="11"/>
  <c r="AE46" i="11"/>
  <c r="AE36" i="11"/>
  <c r="AE28" i="11"/>
  <c r="AE70" i="11"/>
  <c r="AE62" i="11"/>
  <c r="AE75" i="11"/>
  <c r="N159" i="11" l="1"/>
  <c r="Z5" i="19"/>
  <c r="N79" i="11"/>
  <c r="N152" i="11"/>
  <c r="N190" i="11"/>
  <c r="N156" i="11"/>
  <c r="N188" i="11"/>
  <c r="N46" i="11"/>
  <c r="N202" i="11"/>
  <c r="N52" i="11"/>
  <c r="N45" i="11"/>
  <c r="N195" i="11"/>
  <c r="N182" i="11"/>
  <c r="N77" i="11"/>
  <c r="N155" i="11"/>
  <c r="J44" i="11"/>
  <c r="J158" i="11"/>
  <c r="J43" i="11"/>
  <c r="J149" i="11"/>
  <c r="J152" i="11"/>
  <c r="J157" i="11"/>
  <c r="J51" i="11"/>
  <c r="J53" i="11"/>
  <c r="J50" i="11"/>
  <c r="J160" i="11"/>
  <c r="J45" i="11"/>
  <c r="J151" i="11"/>
  <c r="J48" i="11"/>
  <c r="J41" i="11"/>
  <c r="J42" i="11"/>
  <c r="J49" i="11"/>
  <c r="J153" i="11"/>
  <c r="J52" i="11"/>
  <c r="J46" i="11"/>
  <c r="J159" i="11"/>
  <c r="J148" i="11"/>
  <c r="J166" i="11"/>
  <c r="J161" i="11"/>
  <c r="J154" i="11"/>
  <c r="J147" i="11"/>
  <c r="J54" i="11"/>
  <c r="J156" i="11"/>
  <c r="J40" i="11"/>
  <c r="J162" i="11"/>
  <c r="J150" i="11"/>
  <c r="J155" i="11"/>
  <c r="J165" i="11"/>
  <c r="J47" i="11"/>
  <c r="J164" i="11"/>
  <c r="J163" i="11"/>
  <c r="J55" i="11"/>
  <c r="N83" i="11"/>
  <c r="N164" i="11"/>
  <c r="N196" i="11"/>
  <c r="N68" i="11"/>
  <c r="N81" i="11"/>
  <c r="N166" i="11"/>
  <c r="N183" i="11"/>
  <c r="N162" i="11"/>
  <c r="N185" i="11"/>
  <c r="N176" i="11"/>
  <c r="N167" i="11"/>
  <c r="N51" i="11"/>
  <c r="N60" i="11"/>
  <c r="N186" i="11"/>
  <c r="N175" i="11"/>
  <c r="N205" i="11"/>
  <c r="N194" i="11"/>
  <c r="N178" i="11"/>
  <c r="N163" i="11"/>
  <c r="N78" i="11"/>
  <c r="N200" i="11"/>
  <c r="N48" i="11"/>
  <c r="N73" i="11"/>
  <c r="N197" i="11"/>
  <c r="N76" i="11"/>
  <c r="N192" i="11"/>
  <c r="N201" i="11"/>
  <c r="N198" i="11"/>
  <c r="N53" i="11"/>
  <c r="N187" i="11"/>
  <c r="N149" i="11"/>
  <c r="J68" i="11"/>
  <c r="J64" i="11"/>
  <c r="J57" i="11"/>
  <c r="J186" i="11"/>
  <c r="J58" i="11"/>
  <c r="J179" i="11"/>
  <c r="J71" i="11"/>
  <c r="J185" i="11"/>
  <c r="J63" i="11"/>
  <c r="J65" i="11"/>
  <c r="J66" i="11"/>
  <c r="J171" i="11"/>
  <c r="J174" i="11"/>
  <c r="J59" i="11"/>
  <c r="J182" i="11"/>
  <c r="J70" i="11"/>
  <c r="J69" i="11"/>
  <c r="J168" i="11"/>
  <c r="J181" i="11"/>
  <c r="J67" i="11"/>
  <c r="J177" i="11"/>
  <c r="J61" i="11"/>
  <c r="J56" i="11"/>
  <c r="J176" i="11"/>
  <c r="J167" i="11"/>
  <c r="J183" i="11"/>
  <c r="J60" i="11"/>
  <c r="J184" i="11"/>
  <c r="J169" i="11"/>
  <c r="J62" i="11"/>
  <c r="J175" i="11"/>
  <c r="J173" i="11"/>
  <c r="J170" i="11"/>
  <c r="J172" i="11"/>
  <c r="J178" i="11"/>
  <c r="J180" i="11"/>
  <c r="N206" i="11"/>
  <c r="N72" i="11"/>
  <c r="N160" i="11"/>
  <c r="N191" i="11"/>
  <c r="N47" i="11"/>
  <c r="N169" i="11"/>
  <c r="N62" i="11"/>
  <c r="N180" i="11"/>
  <c r="N61" i="11"/>
  <c r="N70" i="11"/>
  <c r="N63" i="11"/>
  <c r="N158" i="11"/>
  <c r="N86" i="11"/>
  <c r="N82" i="11"/>
  <c r="N57" i="11"/>
  <c r="N171" i="11"/>
  <c r="N174" i="11"/>
  <c r="N59" i="11"/>
  <c r="N154" i="11"/>
  <c r="N58" i="11"/>
  <c r="N43" i="11"/>
  <c r="N40" i="11"/>
  <c r="N64" i="11"/>
  <c r="N44" i="11"/>
  <c r="N71" i="11"/>
  <c r="N87" i="11"/>
  <c r="N80" i="11"/>
  <c r="N172" i="11"/>
  <c r="N49" i="11"/>
  <c r="N204" i="11"/>
  <c r="N66" i="11"/>
  <c r="N69" i="11"/>
  <c r="N50" i="11"/>
  <c r="N84" i="11"/>
  <c r="N75" i="11"/>
  <c r="N42" i="11"/>
  <c r="N179" i="11"/>
  <c r="N168" i="11"/>
  <c r="N177" i="11"/>
  <c r="N165" i="11"/>
  <c r="J193" i="11"/>
  <c r="J199" i="11"/>
  <c r="J188" i="11"/>
  <c r="J72" i="11"/>
  <c r="J201" i="11"/>
  <c r="J194" i="11"/>
  <c r="J187" i="11"/>
  <c r="J79" i="11"/>
  <c r="J196" i="11"/>
  <c r="J205" i="11"/>
  <c r="J189" i="11"/>
  <c r="J80" i="11"/>
  <c r="J84" i="11"/>
  <c r="J73" i="11"/>
  <c r="J202" i="11"/>
  <c r="J74" i="11"/>
  <c r="J195" i="11"/>
  <c r="J204" i="11"/>
  <c r="J87" i="11"/>
  <c r="J85" i="11"/>
  <c r="J81" i="11"/>
  <c r="J82" i="11"/>
  <c r="J203" i="11"/>
  <c r="J78" i="11"/>
  <c r="J191" i="11"/>
  <c r="J198" i="11"/>
  <c r="J77" i="11"/>
  <c r="J197" i="11"/>
  <c r="J76" i="11"/>
  <c r="J75" i="11"/>
  <c r="J192" i="11"/>
  <c r="J86" i="11"/>
  <c r="J200" i="11"/>
  <c r="J206" i="11"/>
  <c r="J190" i="11"/>
  <c r="J83" i="11"/>
  <c r="N153" i="11"/>
  <c r="N173" i="11"/>
  <c r="N148" i="11"/>
  <c r="N157" i="11"/>
  <c r="N184" i="11"/>
  <c r="N181" i="11"/>
  <c r="N203" i="11"/>
  <c r="N150" i="11"/>
  <c r="N151" i="11"/>
  <c r="N55" i="11"/>
  <c r="N161" i="11"/>
  <c r="N189" i="11"/>
  <c r="N147" i="11"/>
  <c r="N54" i="11"/>
  <c r="N56" i="11"/>
  <c r="N170" i="11"/>
  <c r="N74" i="11"/>
  <c r="N65" i="11"/>
  <c r="N193" i="11"/>
  <c r="N85" i="11"/>
  <c r="N67" i="11"/>
  <c r="N41" i="11"/>
  <c r="N199" i="11"/>
  <c r="AE99" i="11"/>
  <c r="AH99" i="11" s="1"/>
  <c r="AI99" i="11" s="1"/>
  <c r="AJ99" i="11" s="1"/>
  <c r="AL99" i="11" s="1"/>
  <c r="AM99" i="11" s="1"/>
  <c r="AE96" i="11"/>
  <c r="AH96" i="11" s="1"/>
  <c r="AI96" i="11" s="1"/>
  <c r="AJ96" i="11" s="1"/>
  <c r="AL96" i="11" s="1"/>
  <c r="AM96" i="11" s="1"/>
  <c r="AI98" i="19" s="1"/>
  <c r="J13" i="19" s="1" a="1"/>
  <c r="J13" i="19" s="1"/>
  <c r="AE98" i="11"/>
  <c r="AH98" i="11" s="1"/>
  <c r="AI98" i="11" s="1"/>
  <c r="AJ98" i="11" s="1"/>
  <c r="AL98" i="11" s="1"/>
  <c r="AM98" i="11" s="1"/>
  <c r="AI100" i="19" s="1"/>
  <c r="J15" i="19" s="1" a="1"/>
  <c r="J15" i="19" s="1"/>
  <c r="D23" i="31"/>
  <c r="W111" i="11"/>
  <c r="X111" i="11" s="1"/>
  <c r="Y111" i="11" s="1"/>
  <c r="AH111" i="11" s="1"/>
  <c r="AI111" i="11" s="1"/>
  <c r="AI102" i="19"/>
  <c r="J17" i="19" s="1" a="1"/>
  <c r="J17" i="19" s="1"/>
  <c r="AJ210" i="19"/>
  <c r="P11" i="19" a="1"/>
  <c r="P11" i="19" s="1"/>
  <c r="AJ209" i="19"/>
  <c r="P10" i="19" a="1"/>
  <c r="P10" i="19" s="1"/>
  <c r="AI94" i="19"/>
  <c r="J9" i="19" s="1" a="1"/>
  <c r="J9" i="19" s="1"/>
  <c r="AI96" i="19"/>
  <c r="J11" i="19" s="1" a="1"/>
  <c r="J11" i="19" s="1"/>
  <c r="AJ211" i="19"/>
  <c r="P12" i="19" a="1"/>
  <c r="P12" i="19" s="1"/>
  <c r="AI104" i="19"/>
  <c r="J19" i="19" s="1" a="1"/>
  <c r="J19" i="19" s="1"/>
  <c r="W137" i="11"/>
  <c r="AK137" i="11" s="1"/>
  <c r="W18" i="11"/>
  <c r="X18" i="11" s="1"/>
  <c r="Y18" i="11" s="1"/>
  <c r="AH18" i="11" s="1"/>
  <c r="AI18" i="11" s="1"/>
  <c r="W117" i="11"/>
  <c r="AK117" i="11" s="1"/>
  <c r="AI91" i="11"/>
  <c r="AJ91" i="11" s="1"/>
  <c r="AL91" i="11" s="1"/>
  <c r="AM91" i="11" s="1"/>
  <c r="AI88" i="11"/>
  <c r="AJ88" i="11" s="1"/>
  <c r="AI224" i="11"/>
  <c r="AJ224" i="11" s="1"/>
  <c r="AL224" i="11" s="1"/>
  <c r="AM224" i="11" s="1"/>
  <c r="AI226" i="19" s="1"/>
  <c r="AI212" i="11"/>
  <c r="AJ212" i="11" s="1"/>
  <c r="AI220" i="11"/>
  <c r="AJ220" i="11" s="1"/>
  <c r="AL220" i="11" s="1"/>
  <c r="AM220" i="11" s="1"/>
  <c r="AI222" i="19" s="1"/>
  <c r="AI218" i="11"/>
  <c r="AJ218" i="11" s="1"/>
  <c r="AI214" i="11"/>
  <c r="AJ214" i="11" s="1"/>
  <c r="AI222" i="11"/>
  <c r="AJ222" i="11" s="1"/>
  <c r="AL222" i="11" s="1"/>
  <c r="AM222" i="11" s="1"/>
  <c r="AI224" i="19" s="1"/>
  <c r="AI221" i="11"/>
  <c r="AJ221" i="11" s="1"/>
  <c r="AL221" i="11" s="1"/>
  <c r="AM221" i="11" s="1"/>
  <c r="AI223" i="19" s="1"/>
  <c r="AI101" i="11"/>
  <c r="AJ101" i="11" s="1"/>
  <c r="AI103" i="11"/>
  <c r="AJ103" i="11" s="1"/>
  <c r="AL103" i="11" s="1"/>
  <c r="AM103" i="11" s="1"/>
  <c r="AI216" i="11"/>
  <c r="AJ216" i="11" s="1"/>
  <c r="AI225" i="11"/>
  <c r="AJ225" i="11" s="1"/>
  <c r="AL225" i="11" s="1"/>
  <c r="AM225" i="11" s="1"/>
  <c r="AI227" i="19" s="1"/>
  <c r="AI89" i="11"/>
  <c r="AJ89" i="11" s="1"/>
  <c r="AI210" i="11"/>
  <c r="AJ210" i="11" s="1"/>
  <c r="AI97" i="11"/>
  <c r="AJ97" i="11" s="1"/>
  <c r="AL97" i="11" s="1"/>
  <c r="AM97" i="11" s="1"/>
  <c r="AI93" i="11"/>
  <c r="AJ93" i="11" s="1"/>
  <c r="AI219" i="11"/>
  <c r="AJ219" i="11" s="1"/>
  <c r="AI213" i="11"/>
  <c r="AJ213" i="11" s="1"/>
  <c r="O71" i="11"/>
  <c r="P71" i="11" s="1"/>
  <c r="O187" i="11"/>
  <c r="P187" i="11" s="1"/>
  <c r="M118" i="11"/>
  <c r="N118" i="11" s="1"/>
  <c r="O156" i="11"/>
  <c r="P156" i="11" s="1"/>
  <c r="O55" i="11"/>
  <c r="P55" i="11" s="1"/>
  <c r="O174" i="11"/>
  <c r="P174" i="11" s="1"/>
  <c r="M138" i="11"/>
  <c r="N138" i="11" s="1"/>
  <c r="O69" i="11"/>
  <c r="P69" i="11" s="1"/>
  <c r="O141" i="11"/>
  <c r="P141" i="11" s="1"/>
  <c r="O171" i="11"/>
  <c r="P171" i="11" s="1"/>
  <c r="O77" i="11"/>
  <c r="P77" i="11" s="1"/>
  <c r="O143" i="11"/>
  <c r="P143" i="11" s="1"/>
  <c r="O120" i="11"/>
  <c r="P120" i="11" s="1"/>
  <c r="O147" i="11"/>
  <c r="P147" i="11" s="1"/>
  <c r="O83" i="11"/>
  <c r="P83" i="11" s="1"/>
  <c r="O119" i="11"/>
  <c r="M112" i="11"/>
  <c r="N112" i="11" s="1"/>
  <c r="O36" i="11"/>
  <c r="O146" i="11"/>
  <c r="P146" i="11" s="1"/>
  <c r="M2" i="11"/>
  <c r="N2" i="11" s="1"/>
  <c r="O20" i="11"/>
  <c r="O125" i="11"/>
  <c r="P125" i="11" s="1"/>
  <c r="M13" i="11"/>
  <c r="N13" i="11" s="1"/>
  <c r="M141" i="11"/>
  <c r="N141" i="11" s="1"/>
  <c r="O129" i="11"/>
  <c r="P129" i="11" s="1"/>
  <c r="AI223" i="11"/>
  <c r="AJ223" i="11" s="1"/>
  <c r="O70" i="11"/>
  <c r="P70" i="11" s="1"/>
  <c r="O9" i="11"/>
  <c r="P9" i="11" s="1"/>
  <c r="M144" i="11"/>
  <c r="N144" i="11" s="1"/>
  <c r="O24" i="11"/>
  <c r="O78" i="11"/>
  <c r="P78" i="11" s="1"/>
  <c r="O200" i="11"/>
  <c r="P200" i="11" s="1"/>
  <c r="O63" i="11"/>
  <c r="P63" i="11" s="1"/>
  <c r="O186" i="11"/>
  <c r="P186" i="11" s="1"/>
  <c r="O189" i="11"/>
  <c r="P189" i="11" s="1"/>
  <c r="M143" i="11"/>
  <c r="N143" i="11" s="1"/>
  <c r="M109" i="11"/>
  <c r="N109" i="11" s="1"/>
  <c r="O82" i="11"/>
  <c r="P82" i="11" s="1"/>
  <c r="O173" i="11"/>
  <c r="P173" i="11" s="1"/>
  <c r="O68" i="11"/>
  <c r="P68" i="11" s="1"/>
  <c r="O144" i="11"/>
  <c r="P144" i="11" s="1"/>
  <c r="O180" i="11"/>
  <c r="P180" i="11" s="1"/>
  <c r="O29" i="11"/>
  <c r="P29" i="11" s="1"/>
  <c r="O185" i="11"/>
  <c r="P185" i="11" s="1"/>
  <c r="O107" i="11"/>
  <c r="P107" i="11" s="1"/>
  <c r="O195" i="11"/>
  <c r="P195" i="11" s="1"/>
  <c r="O19" i="11"/>
  <c r="P19" i="11" s="1"/>
  <c r="O182" i="11"/>
  <c r="P182" i="11" s="1"/>
  <c r="O199" i="11"/>
  <c r="P199" i="11" s="1"/>
  <c r="M130" i="11"/>
  <c r="N130" i="11" s="1"/>
  <c r="O74" i="11"/>
  <c r="P74" i="11" s="1"/>
  <c r="AI211" i="11"/>
  <c r="AJ211" i="11" s="1"/>
  <c r="AL211" i="11" s="1"/>
  <c r="AM211" i="11" s="1"/>
  <c r="AI213" i="19" s="1"/>
  <c r="AI90" i="11"/>
  <c r="AJ90" i="11" s="1"/>
  <c r="AL90" i="11" s="1"/>
  <c r="AM90" i="11" s="1"/>
  <c r="AI215" i="11"/>
  <c r="AJ215" i="11" s="1"/>
  <c r="AL215" i="11" s="1"/>
  <c r="AM215" i="11" s="1"/>
  <c r="AI217" i="19" s="1"/>
  <c r="O206" i="11"/>
  <c r="P206" i="11" s="1"/>
  <c r="O118" i="11"/>
  <c r="P118" i="11" s="1"/>
  <c r="O168" i="11"/>
  <c r="P168" i="11" s="1"/>
  <c r="O50" i="11"/>
  <c r="P50" i="11" s="1"/>
  <c r="O46" i="11"/>
  <c r="P46" i="11" s="1"/>
  <c r="M120" i="11"/>
  <c r="N120" i="11" s="1"/>
  <c r="O87" i="11"/>
  <c r="P87" i="11" s="1"/>
  <c r="O43" i="11"/>
  <c r="P43" i="11" s="1"/>
  <c r="M106" i="11"/>
  <c r="N106" i="11" s="1"/>
  <c r="O73" i="11"/>
  <c r="P73" i="11" s="1"/>
  <c r="O191" i="11"/>
  <c r="P191" i="11" s="1"/>
  <c r="O6" i="11"/>
  <c r="P6" i="11" s="1"/>
  <c r="O196" i="11"/>
  <c r="P196" i="11" s="1"/>
  <c r="O178" i="11"/>
  <c r="P178" i="11" s="1"/>
  <c r="O204" i="11"/>
  <c r="P204" i="11" s="1"/>
  <c r="O67" i="11"/>
  <c r="P67" i="11" s="1"/>
  <c r="O47" i="11"/>
  <c r="P47" i="11" s="1"/>
  <c r="M146" i="11"/>
  <c r="N146" i="11" s="1"/>
  <c r="O175" i="11"/>
  <c r="P175" i="11" s="1"/>
  <c r="O30" i="11"/>
  <c r="P30" i="11" s="1"/>
  <c r="M134" i="11"/>
  <c r="N134" i="11" s="1"/>
  <c r="M107" i="11"/>
  <c r="N107" i="11" s="1"/>
  <c r="O26" i="11"/>
  <c r="P26" i="11" s="1"/>
  <c r="M124" i="11"/>
  <c r="N124" i="11" s="1"/>
  <c r="O86" i="11"/>
  <c r="P86" i="11" s="1"/>
  <c r="O59" i="11"/>
  <c r="P59" i="11" s="1"/>
  <c r="O198" i="11"/>
  <c r="P198" i="11" s="1"/>
  <c r="O179" i="11"/>
  <c r="P179" i="11" s="1"/>
  <c r="O167" i="11"/>
  <c r="P167" i="11" s="1"/>
  <c r="O123" i="11"/>
  <c r="P123" i="11" s="1"/>
  <c r="M128" i="11"/>
  <c r="N128" i="11" s="1"/>
  <c r="O151" i="11"/>
  <c r="P151" i="11" s="1"/>
  <c r="O84" i="11"/>
  <c r="P84" i="11" s="1"/>
  <c r="O128" i="11"/>
  <c r="P128" i="11" s="1"/>
  <c r="M19" i="11"/>
  <c r="N19" i="11" s="1"/>
  <c r="M139" i="11"/>
  <c r="N139" i="11" s="1"/>
  <c r="O148" i="11"/>
  <c r="P148" i="11" s="1"/>
  <c r="O34" i="11"/>
  <c r="P34" i="11" s="1"/>
  <c r="O45" i="11"/>
  <c r="P45" i="11" s="1"/>
  <c r="O2" i="11"/>
  <c r="P2" i="11" s="1"/>
  <c r="O57" i="11"/>
  <c r="P57" i="11" s="1"/>
  <c r="O40" i="11"/>
  <c r="P40" i="11" s="1"/>
  <c r="O155" i="11"/>
  <c r="P155" i="11" s="1"/>
  <c r="O75" i="11"/>
  <c r="P75" i="11" s="1"/>
  <c r="O172" i="11"/>
  <c r="P172" i="11" s="1"/>
  <c r="O79" i="11"/>
  <c r="P79" i="11" s="1"/>
  <c r="O48" i="11"/>
  <c r="P48" i="11" s="1"/>
  <c r="O190" i="11"/>
  <c r="P190" i="11" s="1"/>
  <c r="O25" i="11"/>
  <c r="M14" i="11"/>
  <c r="N14" i="11" s="1"/>
  <c r="M122" i="11"/>
  <c r="N122" i="11" s="1"/>
  <c r="AI95" i="11"/>
  <c r="AJ95" i="11" s="1"/>
  <c r="AL95" i="11" s="1"/>
  <c r="AM95" i="11" s="1"/>
  <c r="O60" i="11"/>
  <c r="P60" i="11" s="1"/>
  <c r="O169" i="11"/>
  <c r="P169" i="11" s="1"/>
  <c r="O4" i="11"/>
  <c r="P4" i="11" s="1"/>
  <c r="O153" i="11"/>
  <c r="P153" i="11" s="1"/>
  <c r="O164" i="11"/>
  <c r="P164" i="11" s="1"/>
  <c r="O192" i="11"/>
  <c r="P192" i="11" s="1"/>
  <c r="O205" i="11"/>
  <c r="P205" i="11" s="1"/>
  <c r="O181" i="11"/>
  <c r="P181" i="11" s="1"/>
  <c r="M10" i="11"/>
  <c r="N10" i="11" s="1"/>
  <c r="O140" i="11"/>
  <c r="P140" i="11" s="1"/>
  <c r="O166" i="11"/>
  <c r="P166" i="11" s="1"/>
  <c r="O133" i="11"/>
  <c r="P133" i="11" s="1"/>
  <c r="M22" i="11"/>
  <c r="N22" i="11" s="1"/>
  <c r="O150" i="11"/>
  <c r="P150" i="11" s="1"/>
  <c r="O81" i="11"/>
  <c r="P81" i="11" s="1"/>
  <c r="O109" i="11"/>
  <c r="P109" i="11" s="1"/>
  <c r="O159" i="11"/>
  <c r="P159" i="11" s="1"/>
  <c r="M6" i="11"/>
  <c r="N6" i="11" s="1"/>
  <c r="O85" i="11"/>
  <c r="P85" i="11" s="1"/>
  <c r="M114" i="11"/>
  <c r="N114" i="11" s="1"/>
  <c r="M34" i="11"/>
  <c r="N34" i="11" s="1"/>
  <c r="O160" i="11"/>
  <c r="P160" i="11" s="1"/>
  <c r="M29" i="11"/>
  <c r="N29" i="11" s="1"/>
  <c r="M30" i="11"/>
  <c r="O106" i="11"/>
  <c r="P106" i="11" s="1"/>
  <c r="O149" i="11"/>
  <c r="P149" i="11" s="1"/>
  <c r="O64" i="11"/>
  <c r="P64" i="11" s="1"/>
  <c r="O193" i="11"/>
  <c r="P193" i="11" s="1"/>
  <c r="O38" i="11"/>
  <c r="P38" i="11" s="1"/>
  <c r="M38" i="11"/>
  <c r="N38" i="11" s="1"/>
  <c r="M4" i="11"/>
  <c r="N4" i="11" s="1"/>
  <c r="O177" i="11"/>
  <c r="P177" i="11" s="1"/>
  <c r="O54" i="11"/>
  <c r="P54" i="11" s="1"/>
  <c r="O35" i="11"/>
  <c r="P35" i="11" s="1"/>
  <c r="O61" i="11"/>
  <c r="P61" i="11" s="1"/>
  <c r="O163" i="11"/>
  <c r="P163" i="11" s="1"/>
  <c r="O183" i="11"/>
  <c r="P183" i="11" s="1"/>
  <c r="O80" i="11"/>
  <c r="P80" i="11" s="1"/>
  <c r="O154" i="11"/>
  <c r="P154" i="11" s="1"/>
  <c r="M126" i="11"/>
  <c r="N126" i="11" s="1"/>
  <c r="O184" i="11"/>
  <c r="P184" i="11" s="1"/>
  <c r="O124" i="11"/>
  <c r="P124" i="11" s="1"/>
  <c r="O104" i="11"/>
  <c r="P104" i="11" s="1"/>
  <c r="M16" i="11"/>
  <c r="N16" i="11" s="1"/>
  <c r="O41" i="11"/>
  <c r="P41" i="11" s="1"/>
  <c r="O72" i="11"/>
  <c r="P72" i="11" s="1"/>
  <c r="O65" i="11"/>
  <c r="P65" i="11" s="1"/>
  <c r="M110" i="11"/>
  <c r="N110" i="11" s="1"/>
  <c r="O161" i="11"/>
  <c r="P161" i="11" s="1"/>
  <c r="M9" i="11"/>
  <c r="N9" i="11" s="1"/>
  <c r="O194" i="11"/>
  <c r="P194" i="11" s="1"/>
  <c r="O202" i="11"/>
  <c r="P202" i="11" s="1"/>
  <c r="M133" i="11"/>
  <c r="N133" i="11" s="1"/>
  <c r="O76" i="11"/>
  <c r="P76" i="11" s="1"/>
  <c r="O113" i="11"/>
  <c r="P113" i="11" s="1"/>
  <c r="O58" i="11"/>
  <c r="P58" i="11" s="1"/>
  <c r="O170" i="11"/>
  <c r="P170" i="11" s="1"/>
  <c r="O188" i="11"/>
  <c r="P188" i="11" s="1"/>
  <c r="O10" i="11"/>
  <c r="P10" i="11" s="1"/>
  <c r="O165" i="11"/>
  <c r="P165" i="11" s="1"/>
  <c r="O56" i="11"/>
  <c r="P56" i="11" s="1"/>
  <c r="O152" i="11"/>
  <c r="P152" i="11" s="1"/>
  <c r="M132" i="11"/>
  <c r="N132" i="11" s="1"/>
  <c r="O201" i="11"/>
  <c r="P201" i="11" s="1"/>
  <c r="O112" i="11"/>
  <c r="P112" i="11" s="1"/>
  <c r="O176" i="11"/>
  <c r="P176" i="11" s="1"/>
  <c r="AI226" i="11"/>
  <c r="AJ226" i="11" s="1"/>
  <c r="AL226" i="11" s="1"/>
  <c r="AM226" i="11" s="1"/>
  <c r="AI228" i="19" s="1"/>
  <c r="O16" i="11"/>
  <c r="P16" i="11" s="1"/>
  <c r="M140" i="11"/>
  <c r="N140" i="11" s="1"/>
  <c r="O126" i="11"/>
  <c r="P126" i="11" s="1"/>
  <c r="O51" i="11"/>
  <c r="P51" i="11" s="1"/>
  <c r="O66" i="11"/>
  <c r="P66" i="11" s="1"/>
  <c r="M115" i="11"/>
  <c r="N115" i="11" s="1"/>
  <c r="O203" i="11"/>
  <c r="P203" i="11" s="1"/>
  <c r="O52" i="11"/>
  <c r="P52" i="11" s="1"/>
  <c r="O110" i="11"/>
  <c r="P110" i="11" s="1"/>
  <c r="O138" i="11"/>
  <c r="P138" i="11" s="1"/>
  <c r="O158" i="11"/>
  <c r="P158" i="11" s="1"/>
  <c r="O53" i="11"/>
  <c r="P53" i="11" s="1"/>
  <c r="M136" i="11"/>
  <c r="N136" i="11" s="1"/>
  <c r="O22" i="11"/>
  <c r="P22" i="11" s="1"/>
  <c r="O49" i="11"/>
  <c r="P49" i="11" s="1"/>
  <c r="O197" i="11"/>
  <c r="P197" i="11" s="1"/>
  <c r="M129" i="11"/>
  <c r="N129" i="11" s="1"/>
  <c r="O114" i="11"/>
  <c r="P114" i="11" s="1"/>
  <c r="O142" i="11"/>
  <c r="O5" i="11"/>
  <c r="M127" i="11"/>
  <c r="N127" i="11" s="1"/>
  <c r="O42" i="11"/>
  <c r="P42" i="11" s="1"/>
  <c r="M108" i="11"/>
  <c r="N108" i="11" s="1"/>
  <c r="O116" i="11"/>
  <c r="P116" i="11" s="1"/>
  <c r="M8" i="11"/>
  <c r="N8" i="11" s="1"/>
  <c r="O157" i="11"/>
  <c r="P157" i="11" s="1"/>
  <c r="AI217" i="11"/>
  <c r="AJ217" i="11" s="1"/>
  <c r="W15" i="11"/>
  <c r="W37" i="11"/>
  <c r="W11" i="11"/>
  <c r="W32" i="11"/>
  <c r="W3" i="11"/>
  <c r="W21" i="11"/>
  <c r="W33" i="11"/>
  <c r="W28" i="11"/>
  <c r="W145" i="11"/>
  <c r="W105" i="11"/>
  <c r="W7" i="11"/>
  <c r="W27" i="11"/>
  <c r="W131" i="11"/>
  <c r="W23" i="11"/>
  <c r="W17" i="11"/>
  <c r="W39" i="11"/>
  <c r="W12" i="11"/>
  <c r="W31" i="11"/>
  <c r="W135" i="11"/>
  <c r="W121" i="11"/>
  <c r="I5" i="3"/>
  <c r="Y13" i="19"/>
  <c r="I4" i="3"/>
  <c r="I7" i="3"/>
  <c r="J6" i="3"/>
  <c r="X21" i="19" s="1"/>
  <c r="J5" i="3"/>
  <c r="X20" i="19" s="1"/>
  <c r="J8" i="3"/>
  <c r="X23" i="19" s="1"/>
  <c r="X14" i="19"/>
  <c r="J4" i="3"/>
  <c r="X19" i="19" s="1"/>
  <c r="Y15" i="19"/>
  <c r="Y16" i="19"/>
  <c r="Y22" i="19"/>
  <c r="W149" i="11" l="1"/>
  <c r="W165" i="11"/>
  <c r="W2" i="11"/>
  <c r="X2" i="11" s="1"/>
  <c r="P24" i="11"/>
  <c r="W24" i="11" s="1"/>
  <c r="P20" i="11"/>
  <c r="W20" i="11" s="1"/>
  <c r="N30" i="11"/>
  <c r="W30" i="11" s="1"/>
  <c r="AK30" i="11" s="1"/>
  <c r="P36" i="11"/>
  <c r="W36" i="11" s="1"/>
  <c r="P5" i="11"/>
  <c r="W5" i="11" s="1"/>
  <c r="P142" i="11"/>
  <c r="W142" i="11" s="1"/>
  <c r="P119" i="11"/>
  <c r="W119" i="11" s="1"/>
  <c r="P25" i="11"/>
  <c r="W25" i="11" s="1"/>
  <c r="W70" i="11"/>
  <c r="W6" i="11"/>
  <c r="X6" i="11" s="1"/>
  <c r="Y6" i="11" s="1"/>
  <c r="AH6" i="11" s="1"/>
  <c r="AI6" i="11" s="1"/>
  <c r="W65" i="11"/>
  <c r="W129" i="11"/>
  <c r="X137" i="11"/>
  <c r="Y137" i="11" s="1"/>
  <c r="AH137" i="11" s="1"/>
  <c r="AI137" i="11" s="1"/>
  <c r="W143" i="11"/>
  <c r="X143" i="11" s="1"/>
  <c r="Y143" i="11" s="1"/>
  <c r="AH143" i="11" s="1"/>
  <c r="AI143" i="11" s="1"/>
  <c r="W156" i="11"/>
  <c r="X156" i="11" s="1"/>
  <c r="Y156" i="11" s="1"/>
  <c r="W186" i="11"/>
  <c r="X186" i="11" s="1"/>
  <c r="Y186" i="11" s="1"/>
  <c r="W29" i="11"/>
  <c r="AK29" i="11" s="1"/>
  <c r="AJ213" i="19"/>
  <c r="P14" i="19" a="1"/>
  <c r="P14" i="19" s="1"/>
  <c r="AJ224" i="19"/>
  <c r="P25" i="19" a="1"/>
  <c r="P25" i="19" s="1"/>
  <c r="AI93" i="19"/>
  <c r="J8" i="19" s="1" a="1"/>
  <c r="J8" i="19" s="1"/>
  <c r="AI97" i="19"/>
  <c r="J12" i="19" s="1" a="1"/>
  <c r="J12" i="19" s="1"/>
  <c r="AJ227" i="19"/>
  <c r="P28" i="19" a="1"/>
  <c r="P28" i="19" s="1"/>
  <c r="AI101" i="19"/>
  <c r="J16" i="19" s="1" a="1"/>
  <c r="J16" i="19" s="1"/>
  <c r="AJ96" i="19"/>
  <c r="AJ102" i="19"/>
  <c r="AI105" i="19"/>
  <c r="J20" i="19" s="1" a="1"/>
  <c r="J20" i="19" s="1"/>
  <c r="AJ222" i="19"/>
  <c r="P23" i="19" a="1"/>
  <c r="P23" i="19" s="1"/>
  <c r="AJ94" i="19"/>
  <c r="AJ100" i="19"/>
  <c r="AJ217" i="19"/>
  <c r="P18" i="19" a="1"/>
  <c r="P18" i="19" s="1"/>
  <c r="AJ226" i="19"/>
  <c r="P27" i="19" a="1"/>
  <c r="P27" i="19" s="1"/>
  <c r="AJ228" i="19"/>
  <c r="P29" i="19" a="1"/>
  <c r="P29" i="19" s="1"/>
  <c r="AI92" i="19"/>
  <c r="J7" i="19" s="1" a="1"/>
  <c r="J7" i="19" s="1"/>
  <c r="AI99" i="19"/>
  <c r="J14" i="19" s="1" a="1"/>
  <c r="J14" i="19" s="1"/>
  <c r="AJ223" i="19"/>
  <c r="P24" i="19" a="1"/>
  <c r="P24" i="19" s="1"/>
  <c r="AJ104" i="19"/>
  <c r="AJ98" i="19"/>
  <c r="W42" i="11"/>
  <c r="W104" i="11"/>
  <c r="AK104" i="11" s="1"/>
  <c r="W197" i="11"/>
  <c r="X197" i="11" s="1"/>
  <c r="Y197" i="11" s="1"/>
  <c r="W120" i="11"/>
  <c r="AK120" i="11" s="1"/>
  <c r="W26" i="11"/>
  <c r="X26" i="11" s="1"/>
  <c r="Y26" i="11" s="1"/>
  <c r="AH26" i="11" s="1"/>
  <c r="AI26" i="11" s="1"/>
  <c r="W55" i="11"/>
  <c r="W107" i="11"/>
  <c r="X107" i="11" s="1"/>
  <c r="Y107" i="11" s="1"/>
  <c r="AH107" i="11" s="1"/>
  <c r="AI107" i="11" s="1"/>
  <c r="W4" i="11"/>
  <c r="AK4" i="11" s="1"/>
  <c r="W116" i="11"/>
  <c r="X116" i="11" s="1"/>
  <c r="Y116" i="11" s="1"/>
  <c r="AH116" i="11" s="1"/>
  <c r="AI116" i="11" s="1"/>
  <c r="W64" i="11"/>
  <c r="W177" i="11"/>
  <c r="W201" i="11"/>
  <c r="W67" i="11"/>
  <c r="W180" i="11"/>
  <c r="X180" i="11" s="1"/>
  <c r="Y180" i="11" s="1"/>
  <c r="W161" i="11"/>
  <c r="X161" i="11" s="1"/>
  <c r="Y161" i="11" s="1"/>
  <c r="AH161" i="11" s="1"/>
  <c r="W179" i="11"/>
  <c r="X179" i="11" s="1"/>
  <c r="Y179" i="11" s="1"/>
  <c r="AH179" i="11" s="1"/>
  <c r="W159" i="11"/>
  <c r="X159" i="11" s="1"/>
  <c r="Y159" i="11" s="1"/>
  <c r="W44" i="11"/>
  <c r="X44" i="11" s="1"/>
  <c r="Y44" i="11" s="1"/>
  <c r="AH44" i="11" s="1"/>
  <c r="W200" i="11"/>
  <c r="X200" i="11" s="1"/>
  <c r="Y200" i="11" s="1"/>
  <c r="AH200" i="11" s="1"/>
  <c r="W146" i="11"/>
  <c r="X146" i="11" s="1"/>
  <c r="Y146" i="11" s="1"/>
  <c r="AH146" i="11" s="1"/>
  <c r="AI146" i="11" s="1"/>
  <c r="W141" i="11"/>
  <c r="X141" i="11" s="1"/>
  <c r="Y141" i="11" s="1"/>
  <c r="AH141" i="11" s="1"/>
  <c r="AI141" i="11" s="1"/>
  <c r="W71" i="11"/>
  <c r="X71" i="11" s="1"/>
  <c r="Y71" i="11" s="1"/>
  <c r="AH71" i="11" s="1"/>
  <c r="W205" i="11"/>
  <c r="X205" i="11" s="1"/>
  <c r="Y205" i="11" s="1"/>
  <c r="AH205" i="11" s="1"/>
  <c r="W191" i="11"/>
  <c r="X191" i="11" s="1"/>
  <c r="Y191" i="11" s="1"/>
  <c r="AH191" i="11" s="1"/>
  <c r="W154" i="11"/>
  <c r="X154" i="11" s="1"/>
  <c r="Y154" i="11" s="1"/>
  <c r="AH154" i="11" s="1"/>
  <c r="W60" i="11"/>
  <c r="AK60" i="11" s="1"/>
  <c r="W87" i="11"/>
  <c r="AK87" i="11" s="1"/>
  <c r="W125" i="11"/>
  <c r="X125" i="11" s="1"/>
  <c r="Y125" i="11" s="1"/>
  <c r="AH125" i="11" s="1"/>
  <c r="AI125" i="11" s="1"/>
  <c r="W53" i="11"/>
  <c r="X53" i="11" s="1"/>
  <c r="Y53" i="11" s="1"/>
  <c r="AH53" i="11" s="1"/>
  <c r="W49" i="11"/>
  <c r="W43" i="11"/>
  <c r="W202" i="11"/>
  <c r="X202" i="11" s="1"/>
  <c r="Y202" i="11" s="1"/>
  <c r="AH202" i="11" s="1"/>
  <c r="W140" i="11"/>
  <c r="X140" i="11" s="1"/>
  <c r="Y140" i="11" s="1"/>
  <c r="AH140" i="11" s="1"/>
  <c r="AI140" i="11" s="1"/>
  <c r="W133" i="11"/>
  <c r="AK133" i="11" s="1"/>
  <c r="W34" i="11"/>
  <c r="AK34" i="11" s="1"/>
  <c r="W151" i="11"/>
  <c r="X151" i="11" s="1"/>
  <c r="Y151" i="11" s="1"/>
  <c r="W46" i="11"/>
  <c r="X46" i="11" s="1"/>
  <c r="Y46" i="11" s="1"/>
  <c r="AH46" i="11" s="1"/>
  <c r="W52" i="11"/>
  <c r="W175" i="11"/>
  <c r="X175" i="11" s="1"/>
  <c r="Y175" i="11" s="1"/>
  <c r="W61" i="11"/>
  <c r="W198" i="11"/>
  <c r="X198" i="11" s="1"/>
  <c r="Y198" i="11" s="1"/>
  <c r="AH198" i="11" s="1"/>
  <c r="W48" i="11"/>
  <c r="W188" i="11"/>
  <c r="X188" i="11" s="1"/>
  <c r="Y188" i="11" s="1"/>
  <c r="AH188" i="11" s="1"/>
  <c r="W195" i="11"/>
  <c r="X195" i="11" s="1"/>
  <c r="Y195" i="11" s="1"/>
  <c r="AH195" i="11" s="1"/>
  <c r="W204" i="11"/>
  <c r="AK204" i="11" s="1"/>
  <c r="W115" i="11"/>
  <c r="X115" i="11" s="1"/>
  <c r="Y115" i="11" s="1"/>
  <c r="AH115" i="11" s="1"/>
  <c r="AI115" i="11" s="1"/>
  <c r="W35" i="11"/>
  <c r="X35" i="11" s="1"/>
  <c r="Y35" i="11" s="1"/>
  <c r="AH35" i="11" s="1"/>
  <c r="AI35" i="11" s="1"/>
  <c r="W82" i="11"/>
  <c r="AK82" i="11" s="1"/>
  <c r="W79" i="11"/>
  <c r="AK79" i="11" s="1"/>
  <c r="W153" i="11"/>
  <c r="X153" i="11" s="1"/>
  <c r="Y153" i="11" s="1"/>
  <c r="W174" i="11"/>
  <c r="X174" i="11" s="1"/>
  <c r="W193" i="11"/>
  <c r="X193" i="11" s="1"/>
  <c r="Y193" i="11" s="1"/>
  <c r="W194" i="11"/>
  <c r="X194" i="11" s="1"/>
  <c r="Y194" i="11" s="1"/>
  <c r="W58" i="11"/>
  <c r="W66" i="11"/>
  <c r="W155" i="11"/>
  <c r="X155" i="11" s="1"/>
  <c r="Y155" i="11" s="1"/>
  <c r="W206" i="11"/>
  <c r="X206" i="11" s="1"/>
  <c r="Y206" i="11" s="1"/>
  <c r="W178" i="11"/>
  <c r="X178" i="11" s="1"/>
  <c r="Y178" i="11" s="1"/>
  <c r="W78" i="11"/>
  <c r="X78" i="11" s="1"/>
  <c r="Y78" i="11" s="1"/>
  <c r="AH78" i="11" s="1"/>
  <c r="W86" i="11"/>
  <c r="X86" i="11" s="1"/>
  <c r="Y86" i="11" s="1"/>
  <c r="AH86" i="11" s="1"/>
  <c r="W45" i="11"/>
  <c r="W147" i="11"/>
  <c r="X147" i="11" s="1"/>
  <c r="Y147" i="11" s="1"/>
  <c r="W57" i="11"/>
  <c r="W19" i="11"/>
  <c r="X19" i="11" s="1"/>
  <c r="Y19" i="11" s="1"/>
  <c r="AH19" i="11" s="1"/>
  <c r="AI19" i="11" s="1"/>
  <c r="W50" i="11"/>
  <c r="AK50" i="11" s="1"/>
  <c r="W47" i="11"/>
  <c r="X47" i="11" s="1"/>
  <c r="Y47" i="11" s="1"/>
  <c r="AH47" i="11" s="1"/>
  <c r="W169" i="11"/>
  <c r="X169" i="11" s="1"/>
  <c r="Y169" i="11" s="1"/>
  <c r="W84" i="11"/>
  <c r="X84" i="11" s="1"/>
  <c r="Y84" i="11" s="1"/>
  <c r="AH84" i="11" s="1"/>
  <c r="W38" i="11"/>
  <c r="X38" i="11" s="1"/>
  <c r="Y38" i="11" s="1"/>
  <c r="AH38" i="11" s="1"/>
  <c r="AI38" i="11" s="1"/>
  <c r="W69" i="11"/>
  <c r="W192" i="11"/>
  <c r="X192" i="11" s="1"/>
  <c r="W62" i="11"/>
  <c r="AK62" i="11" s="1"/>
  <c r="W187" i="11"/>
  <c r="W190" i="11"/>
  <c r="W163" i="11"/>
  <c r="X163" i="11" s="1"/>
  <c r="Y163" i="11" s="1"/>
  <c r="W40" i="11"/>
  <c r="W80" i="11"/>
  <c r="AK80" i="11" s="1"/>
  <c r="W172" i="11"/>
  <c r="W77" i="11"/>
  <c r="AK77" i="11" s="1"/>
  <c r="W73" i="11"/>
  <c r="AK73" i="11" s="1"/>
  <c r="W158" i="11"/>
  <c r="X158" i="11" s="1"/>
  <c r="Y158" i="11" s="1"/>
  <c r="AH158" i="11" s="1"/>
  <c r="W182" i="11"/>
  <c r="X182" i="11" s="1"/>
  <c r="Y182" i="11" s="1"/>
  <c r="W72" i="11"/>
  <c r="X72" i="11" s="1"/>
  <c r="Y72" i="11" s="1"/>
  <c r="AH72" i="11" s="1"/>
  <c r="W152" i="11"/>
  <c r="X152" i="11" s="1"/>
  <c r="Y152" i="11" s="1"/>
  <c r="W160" i="11"/>
  <c r="X160" i="11" s="1"/>
  <c r="Y160" i="11" s="1"/>
  <c r="W59" i="11"/>
  <c r="W76" i="11"/>
  <c r="X76" i="11" s="1"/>
  <c r="Y76" i="11" s="1"/>
  <c r="AH76" i="11" s="1"/>
  <c r="W41" i="11"/>
  <c r="AK41" i="11" s="1"/>
  <c r="W63" i="11"/>
  <c r="W171" i="11"/>
  <c r="W148" i="11"/>
  <c r="X148" i="11" s="1"/>
  <c r="Y148" i="11" s="1"/>
  <c r="W173" i="11"/>
  <c r="W85" i="11"/>
  <c r="AK85" i="11" s="1"/>
  <c r="W108" i="11"/>
  <c r="X108" i="11" s="1"/>
  <c r="Y108" i="11" s="1"/>
  <c r="AH108" i="11" s="1"/>
  <c r="AI108" i="11" s="1"/>
  <c r="W9" i="11"/>
  <c r="X9" i="11" s="1"/>
  <c r="Y9" i="11" s="1"/>
  <c r="AH9" i="11" s="1"/>
  <c r="AI9" i="11" s="1"/>
  <c r="Y2" i="11"/>
  <c r="X135" i="11"/>
  <c r="Y135" i="11" s="1"/>
  <c r="AH135" i="11" s="1"/>
  <c r="AI135" i="11" s="1"/>
  <c r="W157" i="11"/>
  <c r="W185" i="11"/>
  <c r="AK185" i="11" s="1"/>
  <c r="W68" i="11"/>
  <c r="W10" i="11"/>
  <c r="AK10" i="11" s="1"/>
  <c r="W134" i="11"/>
  <c r="AK134" i="11" s="1"/>
  <c r="W118" i="11"/>
  <c r="AK118" i="11" s="1"/>
  <c r="W51" i="11"/>
  <c r="W150" i="11"/>
  <c r="W162" i="11"/>
  <c r="W83" i="11"/>
  <c r="AK83" i="11" s="1"/>
  <c r="W127" i="11"/>
  <c r="X127" i="11" s="1"/>
  <c r="Y127" i="11" s="1"/>
  <c r="AH127" i="11" s="1"/>
  <c r="AI127" i="11" s="1"/>
  <c r="W136" i="11"/>
  <c r="AK136" i="11" s="1"/>
  <c r="W110" i="11"/>
  <c r="AK110" i="11" s="1"/>
  <c r="W126" i="11"/>
  <c r="X126" i="11" s="1"/>
  <c r="Y126" i="11" s="1"/>
  <c r="AH126" i="11" s="1"/>
  <c r="AI126" i="11" s="1"/>
  <c r="W139" i="11"/>
  <c r="X139" i="11" s="1"/>
  <c r="Y139" i="11" s="1"/>
  <c r="AH139" i="11" s="1"/>
  <c r="AI139" i="11" s="1"/>
  <c r="W130" i="11"/>
  <c r="X130" i="11" s="1"/>
  <c r="Y130" i="11" s="1"/>
  <c r="AH130" i="11" s="1"/>
  <c r="AI130" i="11" s="1"/>
  <c r="W184" i="11"/>
  <c r="W74" i="11"/>
  <c r="AK74" i="11" s="1"/>
  <c r="W199" i="11"/>
  <c r="X199" i="11" s="1"/>
  <c r="Y199" i="11" s="1"/>
  <c r="AH199" i="11" s="1"/>
  <c r="W132" i="11"/>
  <c r="X132" i="11" s="1"/>
  <c r="Y132" i="11" s="1"/>
  <c r="AH132" i="11" s="1"/>
  <c r="AI132" i="11" s="1"/>
  <c r="W122" i="11"/>
  <c r="X122" i="11" s="1"/>
  <c r="Y122" i="11" s="1"/>
  <c r="AH122" i="11" s="1"/>
  <c r="AI122" i="11" s="1"/>
  <c r="W112" i="11"/>
  <c r="X112" i="11" s="1"/>
  <c r="Y112" i="11" s="1"/>
  <c r="AH112" i="11" s="1"/>
  <c r="AI112" i="11" s="1"/>
  <c r="W54" i="11"/>
  <c r="W167" i="11"/>
  <c r="X167" i="11" s="1"/>
  <c r="Y167" i="11" s="1"/>
  <c r="W170" i="11"/>
  <c r="X170" i="11" s="1"/>
  <c r="Y170" i="11" s="1"/>
  <c r="W75" i="11"/>
  <c r="X75" i="11" s="1"/>
  <c r="Y75" i="11" s="1"/>
  <c r="AH75" i="11" s="1"/>
  <c r="W14" i="11"/>
  <c r="AK14" i="11" s="1"/>
  <c r="X121" i="11"/>
  <c r="Y121" i="11" s="1"/>
  <c r="AH121" i="11" s="1"/>
  <c r="AI121" i="11" s="1"/>
  <c r="W176" i="11"/>
  <c r="W168" i="11"/>
  <c r="W189" i="11"/>
  <c r="AK189" i="11" s="1"/>
  <c r="W22" i="11"/>
  <c r="AK22" i="11" s="1"/>
  <c r="W106" i="11"/>
  <c r="W13" i="11"/>
  <c r="X13" i="11" s="1"/>
  <c r="Y13" i="11" s="1"/>
  <c r="AH13" i="11" s="1"/>
  <c r="AI13" i="11" s="1"/>
  <c r="W138" i="11"/>
  <c r="AK138" i="11" s="1"/>
  <c r="W113" i="11"/>
  <c r="X113" i="11" s="1"/>
  <c r="Y113" i="11" s="1"/>
  <c r="AH113" i="11" s="1"/>
  <c r="AI113" i="11" s="1"/>
  <c r="X131" i="11"/>
  <c r="Y131" i="11" s="1"/>
  <c r="AH131" i="11" s="1"/>
  <c r="AI131" i="11" s="1"/>
  <c r="W164" i="11"/>
  <c r="W56" i="11"/>
  <c r="W196" i="11"/>
  <c r="X196" i="11" s="1"/>
  <c r="Y196" i="11" s="1"/>
  <c r="W81" i="11"/>
  <c r="AK81" i="11" s="1"/>
  <c r="X105" i="11"/>
  <c r="Y105" i="11" s="1"/>
  <c r="AH105" i="11" s="1"/>
  <c r="AI105" i="11" s="1"/>
  <c r="W8" i="11"/>
  <c r="AK8" i="11" s="1"/>
  <c r="W16" i="11"/>
  <c r="X16" i="11" s="1"/>
  <c r="Y16" i="11" s="1"/>
  <c r="AH16" i="11" s="1"/>
  <c r="AI16" i="11" s="1"/>
  <c r="W114" i="11"/>
  <c r="AK114" i="11" s="1"/>
  <c r="W124" i="11"/>
  <c r="X124" i="11" s="1"/>
  <c r="Y124" i="11" s="1"/>
  <c r="AH124" i="11" s="1"/>
  <c r="AI124" i="11" s="1"/>
  <c r="W123" i="11"/>
  <c r="X123" i="11" s="1"/>
  <c r="Y123" i="11" s="1"/>
  <c r="AH123" i="11" s="1"/>
  <c r="W166" i="11"/>
  <c r="W183" i="11"/>
  <c r="W181" i="11"/>
  <c r="W203" i="11"/>
  <c r="AK203" i="11" s="1"/>
  <c r="W128" i="11"/>
  <c r="W109" i="11"/>
  <c r="AK109" i="11" s="1"/>
  <c r="W144" i="11"/>
  <c r="X144" i="11" s="1"/>
  <c r="Y144" i="11" s="1"/>
  <c r="AH144" i="11" s="1"/>
  <c r="AI144" i="11" s="1"/>
  <c r="X117" i="11"/>
  <c r="Y117" i="11" s="1"/>
  <c r="AH117" i="11" s="1"/>
  <c r="AI117" i="11" s="1"/>
  <c r="AJ137" i="11"/>
  <c r="AL137" i="11" s="1"/>
  <c r="AM137" i="11" s="1"/>
  <c r="AK111" i="11"/>
  <c r="AJ111" i="11" s="1"/>
  <c r="AL111" i="11" s="1"/>
  <c r="AM111" i="11" s="1"/>
  <c r="AK18" i="11"/>
  <c r="AJ18" i="11" s="1"/>
  <c r="AL18" i="11" s="1"/>
  <c r="AM18" i="11" s="1"/>
  <c r="AL88" i="11"/>
  <c r="AM88" i="11" s="1"/>
  <c r="X129" i="11"/>
  <c r="Y129" i="11" s="1"/>
  <c r="AH129" i="11" s="1"/>
  <c r="AL101" i="11"/>
  <c r="AM101" i="11" s="1"/>
  <c r="AL223" i="11"/>
  <c r="AM223" i="11" s="1"/>
  <c r="AI225" i="19" s="1"/>
  <c r="AL214" i="11"/>
  <c r="AM214" i="11" s="1"/>
  <c r="AI216" i="19" s="1"/>
  <c r="AL213" i="11"/>
  <c r="AM213" i="11" s="1"/>
  <c r="AI215" i="19" s="1"/>
  <c r="AL93" i="11"/>
  <c r="AM93" i="11" s="1"/>
  <c r="AL210" i="11"/>
  <c r="AM210" i="11" s="1"/>
  <c r="AI212" i="19" s="1"/>
  <c r="AL216" i="11"/>
  <c r="AM216" i="11" s="1"/>
  <c r="AI218" i="19" s="1"/>
  <c r="AL217" i="11"/>
  <c r="AM217" i="11" s="1"/>
  <c r="AI219" i="19" s="1"/>
  <c r="AL89" i="11"/>
  <c r="AM89" i="11" s="1"/>
  <c r="X149" i="11"/>
  <c r="Y149" i="11" s="1"/>
  <c r="AL219" i="11"/>
  <c r="AM219" i="11" s="1"/>
  <c r="AI221" i="19" s="1"/>
  <c r="AL212" i="11"/>
  <c r="AM212" i="11" s="1"/>
  <c r="AI214" i="19" s="1"/>
  <c r="AL218" i="11"/>
  <c r="AM218" i="11" s="1"/>
  <c r="AI220" i="19" s="1"/>
  <c r="X165" i="11"/>
  <c r="Y165" i="11" s="1"/>
  <c r="X145" i="11"/>
  <c r="Y145" i="11" s="1"/>
  <c r="AH145" i="11" s="1"/>
  <c r="AI145" i="11" s="1"/>
  <c r="AK121" i="11"/>
  <c r="AK33" i="11"/>
  <c r="X33" i="11"/>
  <c r="Y33" i="11" s="1"/>
  <c r="AH33" i="11" s="1"/>
  <c r="AI33" i="11" s="1"/>
  <c r="X17" i="11"/>
  <c r="Y17" i="11" s="1"/>
  <c r="AH17" i="11" s="1"/>
  <c r="AI17" i="11" s="1"/>
  <c r="AK17" i="11"/>
  <c r="AK105" i="11"/>
  <c r="X28" i="11"/>
  <c r="Y28" i="11" s="1"/>
  <c r="AH28" i="11" s="1"/>
  <c r="AI28" i="11" s="1"/>
  <c r="AK28" i="11"/>
  <c r="AK135" i="11"/>
  <c r="X12" i="11"/>
  <c r="Y12" i="11" s="1"/>
  <c r="AH12" i="11" s="1"/>
  <c r="AI12" i="11" s="1"/>
  <c r="AK12" i="11"/>
  <c r="X11" i="11"/>
  <c r="Y11" i="11" s="1"/>
  <c r="AH11" i="11" s="1"/>
  <c r="AI11" i="11" s="1"/>
  <c r="AK11" i="11"/>
  <c r="X32" i="11"/>
  <c r="Y32" i="11" s="1"/>
  <c r="AH32" i="11" s="1"/>
  <c r="AI32" i="11" s="1"/>
  <c r="AK32" i="11"/>
  <c r="AK145" i="11"/>
  <c r="X23" i="11"/>
  <c r="Y23" i="11" s="1"/>
  <c r="AH23" i="11" s="1"/>
  <c r="AI23" i="11" s="1"/>
  <c r="AK23" i="11"/>
  <c r="X21" i="11"/>
  <c r="Y21" i="11" s="1"/>
  <c r="AH21" i="11" s="1"/>
  <c r="AI21" i="11" s="1"/>
  <c r="AK21" i="11"/>
  <c r="AK131" i="11"/>
  <c r="X27" i="11"/>
  <c r="Y27" i="11" s="1"/>
  <c r="AH27" i="11" s="1"/>
  <c r="AI27" i="11" s="1"/>
  <c r="AK27" i="11"/>
  <c r="X31" i="11"/>
  <c r="Y31" i="11" s="1"/>
  <c r="AH31" i="11" s="1"/>
  <c r="AI31" i="11" s="1"/>
  <c r="AK31" i="11"/>
  <c r="AK3" i="11"/>
  <c r="X3" i="11"/>
  <c r="Y3" i="11" s="1"/>
  <c r="AH3" i="11" s="1"/>
  <c r="AI3" i="11" s="1"/>
  <c r="X7" i="11"/>
  <c r="Y7" i="11" s="1"/>
  <c r="AH7" i="11" s="1"/>
  <c r="AI7" i="11" s="1"/>
  <c r="AK7" i="11"/>
  <c r="X37" i="11"/>
  <c r="Y37" i="11" s="1"/>
  <c r="AH37" i="11" s="1"/>
  <c r="AI37" i="11" s="1"/>
  <c r="AK37" i="11"/>
  <c r="X39" i="11"/>
  <c r="Y39" i="11" s="1"/>
  <c r="AH39" i="11" s="1"/>
  <c r="AI39" i="11" s="1"/>
  <c r="AK39" i="11"/>
  <c r="X15" i="11"/>
  <c r="Y15" i="11" s="1"/>
  <c r="AH15" i="11" s="1"/>
  <c r="AI15" i="11" s="1"/>
  <c r="AK15" i="11"/>
  <c r="Y14" i="19"/>
  <c r="Y21" i="19"/>
  <c r="Y20" i="19"/>
  <c r="Y23" i="19"/>
  <c r="Y19" i="19"/>
  <c r="AH2" i="11" l="1"/>
  <c r="X5" i="11"/>
  <c r="Y5" i="11" s="1"/>
  <c r="AH5" i="11" s="1"/>
  <c r="AI5" i="11" s="1"/>
  <c r="AK5" i="11"/>
  <c r="X24" i="11"/>
  <c r="Y24" i="11" s="1"/>
  <c r="AH24" i="11" s="1"/>
  <c r="AI24" i="11" s="1"/>
  <c r="AK24" i="11"/>
  <c r="X20" i="11"/>
  <c r="Y20" i="11" s="1"/>
  <c r="AH20" i="11" s="1"/>
  <c r="AI20" i="11" s="1"/>
  <c r="AK20" i="11"/>
  <c r="AK142" i="11"/>
  <c r="X142" i="11"/>
  <c r="Y142" i="11" s="1"/>
  <c r="AH142" i="11" s="1"/>
  <c r="AI142" i="11" s="1"/>
  <c r="AK25" i="11"/>
  <c r="X25" i="11"/>
  <c r="Y25" i="11" s="1"/>
  <c r="AH25" i="11" s="1"/>
  <c r="AI25" i="11" s="1"/>
  <c r="X119" i="11"/>
  <c r="Y119" i="11" s="1"/>
  <c r="AH119" i="11" s="1"/>
  <c r="AI119" i="11" s="1"/>
  <c r="AK119" i="11"/>
  <c r="AK36" i="11"/>
  <c r="X36" i="11"/>
  <c r="Y36" i="11" s="1"/>
  <c r="AH36" i="11" s="1"/>
  <c r="AI36" i="11" s="1"/>
  <c r="AK143" i="11"/>
  <c r="AJ143" i="11" s="1"/>
  <c r="AL143" i="11" s="1"/>
  <c r="AM143" i="11" s="1"/>
  <c r="X120" i="11"/>
  <c r="Y120" i="11" s="1"/>
  <c r="AH120" i="11" s="1"/>
  <c r="AI120" i="11" s="1"/>
  <c r="AK107" i="11"/>
  <c r="AJ107" i="11" s="1"/>
  <c r="AL107" i="11" s="1"/>
  <c r="AM107" i="11" s="1"/>
  <c r="AJ225" i="19"/>
  <c r="P26" i="19" a="1"/>
  <c r="P26" i="19" s="1"/>
  <c r="AI139" i="19"/>
  <c r="L20" i="19" s="1" a="1"/>
  <c r="L20" i="19" s="1"/>
  <c r="AJ219" i="19"/>
  <c r="P20" i="19" a="1"/>
  <c r="P20" i="19" s="1"/>
  <c r="AK141" i="11"/>
  <c r="AJ141" i="11" s="1"/>
  <c r="AL141" i="11" s="1"/>
  <c r="AM141" i="11" s="1"/>
  <c r="AI95" i="19"/>
  <c r="J10" i="19" s="1" a="1"/>
  <c r="J10" i="19" s="1"/>
  <c r="AI103" i="19"/>
  <c r="J18" i="19" s="1" a="1"/>
  <c r="J18" i="19" s="1"/>
  <c r="AJ105" i="19"/>
  <c r="AJ97" i="19"/>
  <c r="AJ214" i="19"/>
  <c r="P15" i="19" a="1"/>
  <c r="P15" i="19" s="1"/>
  <c r="AJ218" i="19"/>
  <c r="P19" i="19" a="1"/>
  <c r="P19" i="19" s="1"/>
  <c r="AJ215" i="19"/>
  <c r="P16" i="19" a="1"/>
  <c r="P16" i="19" s="1"/>
  <c r="AJ220" i="19"/>
  <c r="P21" i="19" a="1"/>
  <c r="P21" i="19" s="1"/>
  <c r="AJ221" i="19"/>
  <c r="P22" i="19" a="1"/>
  <c r="P22" i="19" s="1"/>
  <c r="AJ212" i="19"/>
  <c r="P13" i="19" a="1"/>
  <c r="P13" i="19" s="1"/>
  <c r="AJ99" i="19"/>
  <c r="AJ93" i="19"/>
  <c r="AI90" i="19"/>
  <c r="J5" i="19" s="1" a="1"/>
  <c r="J5" i="19" s="1"/>
  <c r="AJ92" i="19"/>
  <c r="AJ101" i="19"/>
  <c r="AJ216" i="19"/>
  <c r="P17" i="19" a="1"/>
  <c r="P17" i="19" s="1"/>
  <c r="AI20" i="19"/>
  <c r="E11" i="19" s="1" a="1"/>
  <c r="E11" i="19" s="1"/>
  <c r="AI91" i="19"/>
  <c r="J6" i="19" s="1" a="1"/>
  <c r="J6" i="19" s="1"/>
  <c r="AI113" i="19"/>
  <c r="K12" i="19" s="1" a="1"/>
  <c r="K12" i="19" s="1"/>
  <c r="AK113" i="11"/>
  <c r="AJ113" i="11" s="1"/>
  <c r="AL113" i="11" s="1"/>
  <c r="AM113" i="11" s="1"/>
  <c r="AK139" i="11"/>
  <c r="AJ139" i="11" s="1"/>
  <c r="AL139" i="11" s="1"/>
  <c r="AM139" i="11" s="1"/>
  <c r="X22" i="11"/>
  <c r="Y22" i="11" s="1"/>
  <c r="AH22" i="11" s="1"/>
  <c r="AI22" i="11" s="1"/>
  <c r="AK38" i="11"/>
  <c r="AJ38" i="11" s="1"/>
  <c r="AL38" i="11" s="1"/>
  <c r="AM38" i="11" s="1"/>
  <c r="AK123" i="11"/>
  <c r="AI123" i="11"/>
  <c r="AK9" i="11"/>
  <c r="AJ9" i="11" s="1"/>
  <c r="AL9" i="11" s="1"/>
  <c r="AM9" i="11" s="1"/>
  <c r="AI11" i="19" s="1"/>
  <c r="D10" i="19" s="1" a="1"/>
  <c r="D10" i="19" s="1"/>
  <c r="AK122" i="11"/>
  <c r="AJ122" i="11" s="1"/>
  <c r="AL122" i="11" s="1"/>
  <c r="AM122" i="11" s="1"/>
  <c r="AJ117" i="11"/>
  <c r="AL117" i="11" s="1"/>
  <c r="AM117" i="11" s="1"/>
  <c r="AK144" i="11"/>
  <c r="AJ144" i="11" s="1"/>
  <c r="AL144" i="11" s="1"/>
  <c r="AM144" i="11" s="1"/>
  <c r="AK19" i="11"/>
  <c r="AJ19" i="11" s="1"/>
  <c r="AL19" i="11" s="1"/>
  <c r="AM19" i="11" s="1"/>
  <c r="AI21" i="19" s="1"/>
  <c r="E12" i="19" s="1" a="1"/>
  <c r="E12" i="19" s="1"/>
  <c r="AK194" i="11"/>
  <c r="AK126" i="11"/>
  <c r="AJ126" i="11" s="1"/>
  <c r="AL126" i="11" s="1"/>
  <c r="AM126" i="11" s="1"/>
  <c r="AI128" i="19" s="1"/>
  <c r="L9" i="19" s="1" a="1"/>
  <c r="L9" i="19" s="1"/>
  <c r="X30" i="11"/>
  <c r="Y30" i="11" s="1"/>
  <c r="AH30" i="11" s="1"/>
  <c r="AI30" i="11" s="1"/>
  <c r="AK132" i="11"/>
  <c r="AJ132" i="11" s="1"/>
  <c r="AL132" i="11" s="1"/>
  <c r="AM132" i="11" s="1"/>
  <c r="AK193" i="11"/>
  <c r="AK206" i="11"/>
  <c r="AK124" i="11"/>
  <c r="AJ124" i="11" s="1"/>
  <c r="AL124" i="11" s="1"/>
  <c r="AM124" i="11" s="1"/>
  <c r="AK197" i="11"/>
  <c r="AK35" i="11"/>
  <c r="AJ35" i="11" s="1"/>
  <c r="AL35" i="11" s="1"/>
  <c r="AM35" i="11" s="1"/>
  <c r="AK13" i="11"/>
  <c r="AJ13" i="11" s="1"/>
  <c r="AL13" i="11" s="1"/>
  <c r="AM13" i="11" s="1"/>
  <c r="X8" i="11"/>
  <c r="Y8" i="11" s="1"/>
  <c r="AH8" i="11" s="1"/>
  <c r="AI8" i="11" s="1"/>
  <c r="AK26" i="11"/>
  <c r="AJ26" i="11" s="1"/>
  <c r="AL26" i="11" s="1"/>
  <c r="AM26" i="11" s="1"/>
  <c r="AK6" i="11"/>
  <c r="AJ6" i="11" s="1"/>
  <c r="AL6" i="11" s="1"/>
  <c r="AM6" i="11" s="1"/>
  <c r="X109" i="11"/>
  <c r="Y109" i="11" s="1"/>
  <c r="AH109" i="11" s="1"/>
  <c r="AI109" i="11" s="1"/>
  <c r="AJ109" i="11" s="1"/>
  <c r="AL109" i="11" s="1"/>
  <c r="AM109" i="11" s="1"/>
  <c r="X14" i="11"/>
  <c r="Y14" i="11" s="1"/>
  <c r="AH14" i="11" s="1"/>
  <c r="AI14" i="11" s="1"/>
  <c r="X133" i="11"/>
  <c r="Y133" i="11" s="1"/>
  <c r="AH133" i="11" s="1"/>
  <c r="AI133" i="11" s="1"/>
  <c r="X114" i="11"/>
  <c r="Y114" i="11" s="1"/>
  <c r="AH114" i="11" s="1"/>
  <c r="AI114" i="11" s="1"/>
  <c r="AJ114" i="11" s="1"/>
  <c r="X29" i="11"/>
  <c r="Y29" i="11" s="1"/>
  <c r="AH29" i="11" s="1"/>
  <c r="AI29" i="11" s="1"/>
  <c r="AJ29" i="11" s="1"/>
  <c r="AK125" i="11"/>
  <c r="AJ125" i="11" s="1"/>
  <c r="AL125" i="11" s="1"/>
  <c r="AM125" i="11" s="1"/>
  <c r="AK2" i="11"/>
  <c r="AK115" i="11"/>
  <c r="AJ115" i="11" s="1"/>
  <c r="AL115" i="11" s="1"/>
  <c r="AM115" i="11" s="1"/>
  <c r="AK108" i="11"/>
  <c r="AJ108" i="11" s="1"/>
  <c r="AL108" i="11" s="1"/>
  <c r="AM108" i="11" s="1"/>
  <c r="AI110" i="19" s="1"/>
  <c r="K9" i="19" s="1" a="1"/>
  <c r="K9" i="19" s="1"/>
  <c r="AI129" i="11"/>
  <c r="AJ24" i="11"/>
  <c r="AL24" i="11" s="1"/>
  <c r="AM24" i="11" s="1"/>
  <c r="AI26" i="19" s="1"/>
  <c r="F5" i="19" s="1" a="1"/>
  <c r="F5" i="19" s="1"/>
  <c r="X87" i="11"/>
  <c r="Y87" i="11" s="1"/>
  <c r="AH87" i="11" s="1"/>
  <c r="AI87" i="11" s="1"/>
  <c r="AK129" i="11"/>
  <c r="X4" i="11"/>
  <c r="Y4" i="11" s="1"/>
  <c r="AH4" i="11" s="1"/>
  <c r="AI4" i="11" s="1"/>
  <c r="AJ4" i="11" s="1"/>
  <c r="AJ5" i="11"/>
  <c r="AL5" i="11" s="1"/>
  <c r="AM5" i="11" s="1"/>
  <c r="X34" i="11"/>
  <c r="Y34" i="11" s="1"/>
  <c r="AH34" i="11" s="1"/>
  <c r="AI34" i="11" s="1"/>
  <c r="AJ34" i="11" s="1"/>
  <c r="AK152" i="11"/>
  <c r="AK16" i="11"/>
  <c r="AJ16" i="11" s="1"/>
  <c r="AL16" i="11" s="1"/>
  <c r="AM16" i="11" s="1"/>
  <c r="AI18" i="19" s="1"/>
  <c r="E9" i="19" s="1" a="1"/>
  <c r="E9" i="19" s="1"/>
  <c r="AK127" i="11"/>
  <c r="AJ127" i="11" s="1"/>
  <c r="AL127" i="11" s="1"/>
  <c r="AM127" i="11" s="1"/>
  <c r="X118" i="11"/>
  <c r="Y118" i="11" s="1"/>
  <c r="AH118" i="11" s="1"/>
  <c r="AI118" i="11" s="1"/>
  <c r="AJ118" i="11" s="1"/>
  <c r="AL118" i="11" s="1"/>
  <c r="AM118" i="11" s="1"/>
  <c r="X110" i="11"/>
  <c r="Y110" i="11" s="1"/>
  <c r="AH110" i="11" s="1"/>
  <c r="AI110" i="11" s="1"/>
  <c r="AJ110" i="11" s="1"/>
  <c r="AL110" i="11" s="1"/>
  <c r="AM110" i="11" s="1"/>
  <c r="AI112" i="19" s="1"/>
  <c r="K11" i="19" s="1" a="1"/>
  <c r="K11" i="19" s="1"/>
  <c r="X134" i="11"/>
  <c r="Y134" i="11" s="1"/>
  <c r="AH134" i="11" s="1"/>
  <c r="AI134" i="11" s="1"/>
  <c r="AK130" i="11"/>
  <c r="AJ130" i="11" s="1"/>
  <c r="AL130" i="11" s="1"/>
  <c r="AM130" i="11" s="1"/>
  <c r="AI132" i="19" s="1"/>
  <c r="L13" i="19" s="1" a="1"/>
  <c r="L13" i="19" s="1"/>
  <c r="X10" i="11"/>
  <c r="Y10" i="11" s="1"/>
  <c r="AH10" i="11" s="1"/>
  <c r="AI10" i="11" s="1"/>
  <c r="AJ10" i="11" s="1"/>
  <c r="X104" i="11"/>
  <c r="Y104" i="11" s="1"/>
  <c r="AH104" i="11" s="1"/>
  <c r="AI104" i="11" s="1"/>
  <c r="Y174" i="11"/>
  <c r="AH174" i="11" s="1"/>
  <c r="AI174" i="11" s="1"/>
  <c r="AK146" i="11"/>
  <c r="AJ146" i="11" s="1"/>
  <c r="AL146" i="11" s="1"/>
  <c r="AM146" i="11" s="1"/>
  <c r="AI148" i="19" s="1"/>
  <c r="L29" i="19" s="1" a="1"/>
  <c r="L29" i="19" s="1"/>
  <c r="AK116" i="11"/>
  <c r="AJ116" i="11" s="1"/>
  <c r="AL116" i="11" s="1"/>
  <c r="AM116" i="11" s="1"/>
  <c r="AI118" i="19" s="1"/>
  <c r="K17" i="19" s="1" a="1"/>
  <c r="K17" i="19" s="1"/>
  <c r="X136" i="11"/>
  <c r="Y136" i="11" s="1"/>
  <c r="AH136" i="11" s="1"/>
  <c r="AI136" i="11" s="1"/>
  <c r="Y192" i="11"/>
  <c r="AH192" i="11" s="1"/>
  <c r="AI192" i="11" s="1"/>
  <c r="AK174" i="11"/>
  <c r="AK140" i="11"/>
  <c r="AJ140" i="11" s="1"/>
  <c r="AL140" i="11" s="1"/>
  <c r="AM140" i="11" s="1"/>
  <c r="AI142" i="19" s="1"/>
  <c r="L23" i="19" s="1" a="1"/>
  <c r="L23" i="19" s="1"/>
  <c r="AK112" i="11"/>
  <c r="AJ112" i="11" s="1"/>
  <c r="AL112" i="11" s="1"/>
  <c r="AM112" i="11" s="1"/>
  <c r="X138" i="11"/>
  <c r="Y138" i="11" s="1"/>
  <c r="AH138" i="11" s="1"/>
  <c r="AI138" i="11" s="1"/>
  <c r="X128" i="11"/>
  <c r="Y128" i="11" s="1"/>
  <c r="AH128" i="11" s="1"/>
  <c r="AK128" i="11"/>
  <c r="X106" i="11"/>
  <c r="Y106" i="11" s="1"/>
  <c r="AH106" i="11" s="1"/>
  <c r="AI106" i="11" s="1"/>
  <c r="AK106" i="11"/>
  <c r="AK163" i="11"/>
  <c r="X164" i="11"/>
  <c r="Y164" i="11" s="1"/>
  <c r="AH164" i="11" s="1"/>
  <c r="AI164" i="11" s="1"/>
  <c r="X168" i="11"/>
  <c r="Y168" i="11" s="1"/>
  <c r="AH168" i="11" s="1"/>
  <c r="AI168" i="11" s="1"/>
  <c r="X171" i="11"/>
  <c r="Y171" i="11" s="1"/>
  <c r="AH171" i="11" s="1"/>
  <c r="X157" i="11"/>
  <c r="Y157" i="11" s="1"/>
  <c r="AH157" i="11" s="1"/>
  <c r="AI157" i="11" s="1"/>
  <c r="X176" i="11"/>
  <c r="Y176" i="11" s="1"/>
  <c r="AH176" i="11" s="1"/>
  <c r="X177" i="11"/>
  <c r="Y177" i="11" s="1"/>
  <c r="AH177" i="11" s="1"/>
  <c r="X173" i="11"/>
  <c r="Y173" i="11" s="1"/>
  <c r="AH173" i="11" s="1"/>
  <c r="X172" i="11"/>
  <c r="Y172" i="11" s="1"/>
  <c r="AH172" i="11" s="1"/>
  <c r="X162" i="11"/>
  <c r="Y162" i="11" s="1"/>
  <c r="AH162" i="11" s="1"/>
  <c r="AK196" i="11"/>
  <c r="X204" i="11"/>
  <c r="Y204" i="11" s="1"/>
  <c r="AH204" i="11" s="1"/>
  <c r="AI204" i="11" s="1"/>
  <c r="AJ204" i="11" s="1"/>
  <c r="AL204" i="11" s="1"/>
  <c r="AM204" i="11" s="1"/>
  <c r="AI206" i="19" s="1"/>
  <c r="O27" i="19" s="1" a="1"/>
  <c r="O27" i="19" s="1"/>
  <c r="X181" i="11"/>
  <c r="Y181" i="11" s="1"/>
  <c r="AH181" i="11" s="1"/>
  <c r="AI181" i="11" s="1"/>
  <c r="X189" i="11"/>
  <c r="Y189" i="11" s="1"/>
  <c r="AH189" i="11" s="1"/>
  <c r="AI189" i="11" s="1"/>
  <c r="X150" i="11"/>
  <c r="Y150" i="11" s="1"/>
  <c r="AH150" i="11" s="1"/>
  <c r="X183" i="11"/>
  <c r="Y183" i="11" s="1"/>
  <c r="AH183" i="11" s="1"/>
  <c r="X203" i="11"/>
  <c r="Y203" i="11" s="1"/>
  <c r="AH203" i="11" s="1"/>
  <c r="AI203" i="11" s="1"/>
  <c r="AJ203" i="11" s="1"/>
  <c r="AL203" i="11" s="1"/>
  <c r="AM203" i="11" s="1"/>
  <c r="AI205" i="19" s="1"/>
  <c r="O26" i="19" s="1" a="1"/>
  <c r="O26" i="19" s="1"/>
  <c r="X166" i="11"/>
  <c r="Y166" i="11" s="1"/>
  <c r="AH166" i="11" s="1"/>
  <c r="X185" i="11"/>
  <c r="Y185" i="11" s="1"/>
  <c r="AH185" i="11" s="1"/>
  <c r="AI185" i="11" s="1"/>
  <c r="AJ185" i="11" s="1"/>
  <c r="X190" i="11"/>
  <c r="Y190" i="11" s="1"/>
  <c r="AH190" i="11" s="1"/>
  <c r="AI190" i="11" s="1"/>
  <c r="X184" i="11"/>
  <c r="Y184" i="11" s="1"/>
  <c r="AH184" i="11" s="1"/>
  <c r="X201" i="11"/>
  <c r="Y201" i="11" s="1"/>
  <c r="AH201" i="11" s="1"/>
  <c r="AI201" i="11" s="1"/>
  <c r="X187" i="11"/>
  <c r="Y187" i="11" s="1"/>
  <c r="AH187" i="11" s="1"/>
  <c r="AI187" i="11" s="1"/>
  <c r="AJ3" i="11"/>
  <c r="AL3" i="11" s="1"/>
  <c r="AM3" i="11" s="1"/>
  <c r="AI5" i="19" s="1"/>
  <c r="D4" i="19" s="1" a="1"/>
  <c r="D4" i="19" s="1"/>
  <c r="AJ145" i="11"/>
  <c r="AL145" i="11" s="1"/>
  <c r="AM145" i="11" s="1"/>
  <c r="AJ12" i="11"/>
  <c r="AL12" i="11" s="1"/>
  <c r="AM12" i="11" s="1"/>
  <c r="AJ33" i="11"/>
  <c r="AL33" i="11" s="1"/>
  <c r="AM33" i="11" s="1"/>
  <c r="AI35" i="19" s="1"/>
  <c r="F14" i="19" s="1" a="1"/>
  <c r="F14" i="19" s="1"/>
  <c r="AJ17" i="11"/>
  <c r="AL17" i="11" s="1"/>
  <c r="AM17" i="11" s="1"/>
  <c r="AJ105" i="11"/>
  <c r="AL105" i="11" s="1"/>
  <c r="AM105" i="11" s="1"/>
  <c r="AI107" i="19" s="1"/>
  <c r="K6" i="19" s="1" a="1"/>
  <c r="K6" i="19" s="1"/>
  <c r="AJ39" i="11"/>
  <c r="AL39" i="11" s="1"/>
  <c r="AM39" i="11" s="1"/>
  <c r="AI41" i="19" s="1"/>
  <c r="F20" i="19" s="1" a="1"/>
  <c r="F20" i="19" s="1"/>
  <c r="AJ131" i="11"/>
  <c r="AL131" i="11" s="1"/>
  <c r="AM131" i="11" s="1"/>
  <c r="AJ23" i="11"/>
  <c r="AL23" i="11" s="1"/>
  <c r="AM23" i="11" s="1"/>
  <c r="AJ121" i="11"/>
  <c r="AL121" i="11" s="1"/>
  <c r="AM121" i="11" s="1"/>
  <c r="AI123" i="19" s="1"/>
  <c r="K22" i="19" s="1" a="1"/>
  <c r="K22" i="19" s="1"/>
  <c r="AJ28" i="11"/>
  <c r="AL28" i="11" s="1"/>
  <c r="AM28" i="11" s="1"/>
  <c r="AJ135" i="11"/>
  <c r="AL135" i="11" s="1"/>
  <c r="AM135" i="11" s="1"/>
  <c r="AJ11" i="11"/>
  <c r="AL11" i="11" s="1"/>
  <c r="AM11" i="11" s="1"/>
  <c r="AJ32" i="11"/>
  <c r="AL32" i="11" s="1"/>
  <c r="AM32" i="11" s="1"/>
  <c r="AJ15" i="11"/>
  <c r="AL15" i="11" s="1"/>
  <c r="AM15" i="11" s="1"/>
  <c r="AJ7" i="11"/>
  <c r="AL7" i="11" s="1"/>
  <c r="AM7" i="11" s="1"/>
  <c r="AJ27" i="11"/>
  <c r="AL27" i="11" s="1"/>
  <c r="AM27" i="11" s="1"/>
  <c r="AJ21" i="11"/>
  <c r="AL21" i="11" s="1"/>
  <c r="AM21" i="11" s="1"/>
  <c r="AJ37" i="11"/>
  <c r="AL37" i="11" s="1"/>
  <c r="AM37" i="11" s="1"/>
  <c r="AJ31" i="11"/>
  <c r="AL31" i="11" s="1"/>
  <c r="AM31" i="11" s="1"/>
  <c r="AK199" i="11"/>
  <c r="X80" i="11"/>
  <c r="Y80" i="11" s="1"/>
  <c r="AH80" i="11" s="1"/>
  <c r="AI80" i="11" s="1"/>
  <c r="AJ80" i="11" s="1"/>
  <c r="X77" i="11"/>
  <c r="Y77" i="11" s="1"/>
  <c r="AH77" i="11" s="1"/>
  <c r="AI77" i="11" s="1"/>
  <c r="AJ77" i="11" s="1"/>
  <c r="AL77" i="11" s="1"/>
  <c r="AM77" i="11" s="1"/>
  <c r="AI79" i="19" s="1"/>
  <c r="I10" i="19" s="1" a="1"/>
  <c r="I10" i="19" s="1"/>
  <c r="AK76" i="11"/>
  <c r="AK195" i="11"/>
  <c r="AK78" i="11"/>
  <c r="AK86" i="11"/>
  <c r="AK187" i="11"/>
  <c r="AH197" i="11"/>
  <c r="AI197" i="11" s="1"/>
  <c r="AK161" i="11"/>
  <c r="AK44" i="11"/>
  <c r="AH193" i="11"/>
  <c r="AI193" i="11" s="1"/>
  <c r="AK179" i="11"/>
  <c r="AH206" i="11"/>
  <c r="AI206" i="11" s="1"/>
  <c r="X83" i="11"/>
  <c r="Y83" i="11" s="1"/>
  <c r="AH83" i="11" s="1"/>
  <c r="AI83" i="11" s="1"/>
  <c r="AJ83" i="11" s="1"/>
  <c r="AK168" i="11"/>
  <c r="AK181" i="11"/>
  <c r="AK84" i="11"/>
  <c r="AK72" i="11"/>
  <c r="AK190" i="11"/>
  <c r="X81" i="11"/>
  <c r="Y81" i="11" s="1"/>
  <c r="AH81" i="11" s="1"/>
  <c r="AI81" i="11" s="1"/>
  <c r="AJ81" i="11" s="1"/>
  <c r="AK205" i="11"/>
  <c r="AK201" i="11"/>
  <c r="X74" i="11"/>
  <c r="Y74" i="11" s="1"/>
  <c r="AH74" i="11" s="1"/>
  <c r="AI74" i="11" s="1"/>
  <c r="AK188" i="11"/>
  <c r="AK46" i="11"/>
  <c r="AK164" i="11"/>
  <c r="AK198" i="11"/>
  <c r="AK71" i="11"/>
  <c r="AK200" i="11"/>
  <c r="AK191" i="11"/>
  <c r="AK75" i="11"/>
  <c r="X73" i="11"/>
  <c r="Y73" i="11" s="1"/>
  <c r="AH73" i="11" s="1"/>
  <c r="AI73" i="11" s="1"/>
  <c r="AJ73" i="11" s="1"/>
  <c r="AL73" i="11" s="1"/>
  <c r="AM73" i="11" s="1"/>
  <c r="AI75" i="19" s="1"/>
  <c r="I6" i="19" s="1" a="1"/>
  <c r="I6" i="19" s="1"/>
  <c r="AK192" i="11"/>
  <c r="X62" i="11"/>
  <c r="Y62" i="11" s="1"/>
  <c r="AH62" i="11" s="1"/>
  <c r="AI62" i="11" s="1"/>
  <c r="AJ62" i="11" s="1"/>
  <c r="X60" i="11"/>
  <c r="Y60" i="11" s="1"/>
  <c r="AH60" i="11" s="1"/>
  <c r="AI60" i="11" s="1"/>
  <c r="AJ60" i="11" s="1"/>
  <c r="AK157" i="11"/>
  <c r="AH194" i="11"/>
  <c r="AI194" i="11" s="1"/>
  <c r="X85" i="11"/>
  <c r="Y85" i="11" s="1"/>
  <c r="AH85" i="11" s="1"/>
  <c r="AI85" i="11" s="1"/>
  <c r="AJ85" i="11" s="1"/>
  <c r="AK53" i="11"/>
  <c r="AH196" i="11"/>
  <c r="AI196" i="11" s="1"/>
  <c r="AH163" i="11"/>
  <c r="AI163" i="11" s="1"/>
  <c r="X79" i="11"/>
  <c r="Y79" i="11" s="1"/>
  <c r="AH79" i="11" s="1"/>
  <c r="AI79" i="11" s="1"/>
  <c r="AJ79" i="11" s="1"/>
  <c r="AK47" i="11"/>
  <c r="X50" i="11"/>
  <c r="Y50" i="11" s="1"/>
  <c r="AH50" i="11" s="1"/>
  <c r="AI50" i="11" s="1"/>
  <c r="AJ50" i="11" s="1"/>
  <c r="AK202" i="11"/>
  <c r="X82" i="11"/>
  <c r="Y82" i="11" s="1"/>
  <c r="AH82" i="11" s="1"/>
  <c r="AI82" i="11" s="1"/>
  <c r="AJ82" i="11" s="1"/>
  <c r="AK158" i="11"/>
  <c r="AK154" i="11"/>
  <c r="AH152" i="11"/>
  <c r="AI152" i="11" s="1"/>
  <c r="X41" i="11"/>
  <c r="Y41" i="11" s="1"/>
  <c r="AH41" i="11" s="1"/>
  <c r="AI41" i="11" s="1"/>
  <c r="AJ41" i="11" s="1"/>
  <c r="AL41" i="11" s="1"/>
  <c r="AM41" i="11" s="1"/>
  <c r="AI43" i="19" s="1"/>
  <c r="G6" i="19" s="1" a="1"/>
  <c r="G6" i="19" s="1"/>
  <c r="AI205" i="11"/>
  <c r="AI199" i="11"/>
  <c r="AI158" i="11"/>
  <c r="AI179" i="11"/>
  <c r="AI191" i="11"/>
  <c r="AI154" i="11"/>
  <c r="AI53" i="11"/>
  <c r="AI75" i="11"/>
  <c r="AI47" i="11"/>
  <c r="AI76" i="11"/>
  <c r="AI195" i="11"/>
  <c r="AK153" i="11"/>
  <c r="AH153" i="11"/>
  <c r="X61" i="11"/>
  <c r="Y61" i="11" s="1"/>
  <c r="AH61" i="11" s="1"/>
  <c r="AK61" i="11"/>
  <c r="AH155" i="11"/>
  <c r="AK155" i="11"/>
  <c r="AK175" i="11"/>
  <c r="AH175" i="11"/>
  <c r="AH156" i="11"/>
  <c r="AK156" i="11"/>
  <c r="AH165" i="11"/>
  <c r="AK165" i="11"/>
  <c r="X63" i="11"/>
  <c r="Y63" i="11" s="1"/>
  <c r="AH63" i="11" s="1"/>
  <c r="AK63" i="11"/>
  <c r="AK169" i="11"/>
  <c r="AH169" i="11"/>
  <c r="AH178" i="11"/>
  <c r="AK178" i="11"/>
  <c r="AK151" i="11"/>
  <c r="AH151" i="11"/>
  <c r="AJ139" i="19"/>
  <c r="AK176" i="11"/>
  <c r="AK184" i="11"/>
  <c r="AH149" i="11"/>
  <c r="AK149" i="11"/>
  <c r="X55" i="11"/>
  <c r="Y55" i="11" s="1"/>
  <c r="AH55" i="11" s="1"/>
  <c r="AK55" i="11"/>
  <c r="AK57" i="11"/>
  <c r="X57" i="11"/>
  <c r="Y57" i="11" s="1"/>
  <c r="AH57" i="11" s="1"/>
  <c r="AH180" i="11"/>
  <c r="AK180" i="11"/>
  <c r="AK68" i="11"/>
  <c r="X68" i="11"/>
  <c r="Y68" i="11" s="1"/>
  <c r="AH68" i="11" s="1"/>
  <c r="X52" i="11"/>
  <c r="Y52" i="11" s="1"/>
  <c r="AH52" i="11" s="1"/>
  <c r="AK52" i="11"/>
  <c r="AI86" i="11"/>
  <c r="AK49" i="11"/>
  <c r="X49" i="11"/>
  <c r="Y49" i="11" s="1"/>
  <c r="AH49" i="11" s="1"/>
  <c r="AI198" i="11"/>
  <c r="AK150" i="11"/>
  <c r="AI200" i="11"/>
  <c r="AK172" i="11"/>
  <c r="X64" i="11"/>
  <c r="Y64" i="11" s="1"/>
  <c r="AH64" i="11" s="1"/>
  <c r="AK64" i="11"/>
  <c r="AK42" i="11"/>
  <c r="X42" i="11"/>
  <c r="Y42" i="11" s="1"/>
  <c r="AH42" i="11" s="1"/>
  <c r="AK58" i="11"/>
  <c r="X58" i="11"/>
  <c r="Y58" i="11" s="1"/>
  <c r="AH58" i="11" s="1"/>
  <c r="X45" i="11"/>
  <c r="Y45" i="11" s="1"/>
  <c r="AH45" i="11" s="1"/>
  <c r="AK45" i="11"/>
  <c r="AI44" i="11"/>
  <c r="X51" i="11"/>
  <c r="Y51" i="11" s="1"/>
  <c r="AH51" i="11" s="1"/>
  <c r="AK51" i="11"/>
  <c r="X70" i="11"/>
  <c r="Y70" i="11" s="1"/>
  <c r="AH70" i="11" s="1"/>
  <c r="AK70" i="11"/>
  <c r="X59" i="11"/>
  <c r="Y59" i="11" s="1"/>
  <c r="AH59" i="11" s="1"/>
  <c r="AK59" i="11"/>
  <c r="AK160" i="11"/>
  <c r="AH160" i="11"/>
  <c r="AK170" i="11"/>
  <c r="AH170" i="11"/>
  <c r="AH186" i="11"/>
  <c r="AK186" i="11"/>
  <c r="AH147" i="11"/>
  <c r="AK147" i="11"/>
  <c r="AI84" i="11"/>
  <c r="AK173" i="11"/>
  <c r="AK166" i="11"/>
  <c r="AI71" i="11"/>
  <c r="AI188" i="11"/>
  <c r="AK162" i="11"/>
  <c r="X67" i="11"/>
  <c r="Y67" i="11" s="1"/>
  <c r="AH67" i="11" s="1"/>
  <c r="AK67" i="11"/>
  <c r="AI202" i="11"/>
  <c r="AK171" i="11"/>
  <c r="AH182" i="11"/>
  <c r="AK182" i="11"/>
  <c r="AK159" i="11"/>
  <c r="AH159" i="11"/>
  <c r="AK148" i="11"/>
  <c r="AH148" i="11"/>
  <c r="AI46" i="11"/>
  <c r="AI78" i="11"/>
  <c r="X43" i="11"/>
  <c r="Y43" i="11" s="1"/>
  <c r="AH43" i="11" s="1"/>
  <c r="AK43" i="11"/>
  <c r="AH167" i="11"/>
  <c r="AK167" i="11"/>
  <c r="AK66" i="11"/>
  <c r="X66" i="11"/>
  <c r="Y66" i="11" s="1"/>
  <c r="AH66" i="11" s="1"/>
  <c r="X69" i="11"/>
  <c r="Y69" i="11" s="1"/>
  <c r="AH69" i="11" s="1"/>
  <c r="AK69" i="11"/>
  <c r="AI161" i="11"/>
  <c r="AK65" i="11"/>
  <c r="X65" i="11"/>
  <c r="Y65" i="11" s="1"/>
  <c r="AH65" i="11" s="1"/>
  <c r="AK40" i="11"/>
  <c r="X40" i="11"/>
  <c r="Y40" i="11" s="1"/>
  <c r="AH40" i="11" s="1"/>
  <c r="X54" i="11"/>
  <c r="Y54" i="11" s="1"/>
  <c r="AH54" i="11" s="1"/>
  <c r="AK54" i="11"/>
  <c r="AK183" i="11"/>
  <c r="AK56" i="11"/>
  <c r="X56" i="11"/>
  <c r="Y56" i="11" s="1"/>
  <c r="AH56" i="11" s="1"/>
  <c r="AI72" i="11"/>
  <c r="X48" i="11"/>
  <c r="Y48" i="11" s="1"/>
  <c r="AH48" i="11" s="1"/>
  <c r="AK48" i="11"/>
  <c r="AK177" i="11"/>
  <c r="AJ20" i="11" l="1"/>
  <c r="AL20" i="11" s="1"/>
  <c r="AM20" i="11" s="1"/>
  <c r="AJ25" i="11"/>
  <c r="AL25" i="11" s="1"/>
  <c r="AM25" i="11" s="1"/>
  <c r="AI27" i="19" s="1"/>
  <c r="F6" i="19" s="1" a="1"/>
  <c r="F6" i="19" s="1"/>
  <c r="AJ36" i="11"/>
  <c r="AL36" i="11" s="1"/>
  <c r="AM36" i="11" s="1"/>
  <c r="AI38" i="19" s="1"/>
  <c r="F17" i="19" s="1" a="1"/>
  <c r="F17" i="19" s="1"/>
  <c r="AI2" i="11"/>
  <c r="AJ2" i="11" s="1"/>
  <c r="AJ142" i="11"/>
  <c r="AL142" i="11" s="1"/>
  <c r="AM142" i="11" s="1"/>
  <c r="AI144" i="19" s="1"/>
  <c r="L25" i="19" s="1" a="1"/>
  <c r="L25" i="19" s="1"/>
  <c r="AJ119" i="11"/>
  <c r="AL119" i="11" s="1"/>
  <c r="AM119" i="11" s="1"/>
  <c r="AJ22" i="11"/>
  <c r="AL22" i="11" s="1"/>
  <c r="AM22" i="11" s="1"/>
  <c r="AJ120" i="11"/>
  <c r="AL120" i="11" s="1"/>
  <c r="AM120" i="11" s="1"/>
  <c r="AJ113" i="19"/>
  <c r="AJ20" i="19"/>
  <c r="AJ197" i="11"/>
  <c r="AL197" i="11" s="1"/>
  <c r="AM197" i="11" s="1"/>
  <c r="AJ152" i="11"/>
  <c r="AL152" i="11" s="1"/>
  <c r="AM152" i="11" s="1"/>
  <c r="AI154" i="19" s="1"/>
  <c r="M15" i="19" s="1" a="1"/>
  <c r="M15" i="19" s="1"/>
  <c r="AJ194" i="11"/>
  <c r="AL194" i="11" s="1"/>
  <c r="AM194" i="11" s="1"/>
  <c r="AI196" i="19" s="1"/>
  <c r="O17" i="19" s="1" a="1"/>
  <c r="O17" i="19" s="1"/>
  <c r="AJ103" i="19"/>
  <c r="AJ95" i="19"/>
  <c r="AI115" i="19"/>
  <c r="K14" i="19" s="1" a="1"/>
  <c r="K14" i="19" s="1"/>
  <c r="AI124" i="19"/>
  <c r="K23" i="19" s="1" a="1"/>
  <c r="K23" i="19" s="1"/>
  <c r="AI40" i="19"/>
  <c r="F19" i="19" s="1" a="1"/>
  <c r="F19" i="19" s="1"/>
  <c r="AI117" i="19"/>
  <c r="K16" i="19" s="1" a="1"/>
  <c r="K16" i="19" s="1"/>
  <c r="AI29" i="19"/>
  <c r="F8" i="19" s="1" a="1"/>
  <c r="F8" i="19" s="1"/>
  <c r="AI25" i="19"/>
  <c r="E16" i="19" s="1" a="1"/>
  <c r="E16" i="19" s="1"/>
  <c r="AI147" i="19"/>
  <c r="L28" i="19" s="1" a="1"/>
  <c r="L28" i="19" s="1"/>
  <c r="AI143" i="19"/>
  <c r="L24" i="19" s="1" a="1"/>
  <c r="L24" i="19" s="1"/>
  <c r="AI8" i="19"/>
  <c r="D7" i="19" s="1" a="1"/>
  <c r="D7" i="19" s="1"/>
  <c r="AI9" i="19"/>
  <c r="D8" i="19" s="1" a="1"/>
  <c r="D8" i="19" s="1"/>
  <c r="AI133" i="19"/>
  <c r="L14" i="19" s="1" a="1"/>
  <c r="L14" i="19" s="1"/>
  <c r="AI141" i="19"/>
  <c r="L22" i="19" s="1" a="1"/>
  <c r="L22" i="19" s="1"/>
  <c r="AI114" i="19"/>
  <c r="K13" i="19" s="1" a="1"/>
  <c r="K13" i="19" s="1"/>
  <c r="AI127" i="19"/>
  <c r="L8" i="19" s="1" a="1"/>
  <c r="L8" i="19" s="1"/>
  <c r="AI28" i="19"/>
  <c r="F7" i="19" s="1" a="1"/>
  <c r="F7" i="19" s="1"/>
  <c r="AI134" i="19"/>
  <c r="L15" i="19" s="1" a="1"/>
  <c r="L15" i="19" s="1"/>
  <c r="AI17" i="19"/>
  <c r="E8" i="19" s="1" a="1"/>
  <c r="E8" i="19" s="1"/>
  <c r="AI120" i="19"/>
  <c r="K19" i="19" s="1" a="1"/>
  <c r="K19" i="19" s="1"/>
  <c r="AI22" i="19"/>
  <c r="E13" i="19" s="1" a="1"/>
  <c r="E13" i="19" s="1"/>
  <c r="AI145" i="19"/>
  <c r="L26" i="19" s="1" a="1"/>
  <c r="L26" i="19" s="1"/>
  <c r="AI129" i="19"/>
  <c r="L10" i="19" s="1" a="1"/>
  <c r="L10" i="19" s="1"/>
  <c r="AI15" i="19"/>
  <c r="E6" i="19" s="1" a="1"/>
  <c r="E6" i="19" s="1"/>
  <c r="AI33" i="19"/>
  <c r="F12" i="19" s="1" a="1"/>
  <c r="F12" i="19" s="1"/>
  <c r="AI13" i="19"/>
  <c r="D12" i="19" s="1" a="1"/>
  <c r="D12" i="19" s="1"/>
  <c r="AI19" i="19"/>
  <c r="E10" i="19" s="1" a="1"/>
  <c r="E10" i="19" s="1"/>
  <c r="AI109" i="19"/>
  <c r="K8" i="19" s="1" a="1"/>
  <c r="K8" i="19" s="1"/>
  <c r="AI37" i="19"/>
  <c r="F16" i="19" s="1" a="1"/>
  <c r="F16" i="19" s="1"/>
  <c r="AJ91" i="19"/>
  <c r="AJ90" i="19"/>
  <c r="AI34" i="19"/>
  <c r="F13" i="19" s="1" a="1"/>
  <c r="F13" i="19" s="1"/>
  <c r="AI39" i="19"/>
  <c r="F18" i="19" s="1" a="1"/>
  <c r="F18" i="19" s="1"/>
  <c r="AI137" i="19"/>
  <c r="L18" i="19" s="1" a="1"/>
  <c r="L18" i="19" s="1"/>
  <c r="AI30" i="19"/>
  <c r="F9" i="19" s="1" a="1"/>
  <c r="F9" i="19" s="1"/>
  <c r="AI14" i="19"/>
  <c r="E5" i="19" s="1" a="1"/>
  <c r="E5" i="19" s="1"/>
  <c r="AI126" i="19"/>
  <c r="L7" i="19" s="1" a="1"/>
  <c r="L7" i="19" s="1"/>
  <c r="AI146" i="19"/>
  <c r="L27" i="19" s="1" a="1"/>
  <c r="L27" i="19" s="1"/>
  <c r="AI23" i="19"/>
  <c r="E14" i="19" s="1" a="1"/>
  <c r="E14" i="19" s="1"/>
  <c r="AI7" i="19"/>
  <c r="D6" i="19" s="1" a="1"/>
  <c r="D6" i="19" s="1"/>
  <c r="AI111" i="19"/>
  <c r="K10" i="19" s="1" a="1"/>
  <c r="K10" i="19" s="1"/>
  <c r="AI119" i="19"/>
  <c r="K18" i="19" s="1" a="1"/>
  <c r="K18" i="19" s="1"/>
  <c r="AL29" i="11"/>
  <c r="AM29" i="11" s="1"/>
  <c r="AJ123" i="11"/>
  <c r="AL123" i="11" s="1"/>
  <c r="AM123" i="11" s="1"/>
  <c r="AJ11" i="19"/>
  <c r="AJ163" i="11"/>
  <c r="AL163" i="11" s="1"/>
  <c r="AM163" i="11" s="1"/>
  <c r="AJ206" i="11"/>
  <c r="AL206" i="11" s="1"/>
  <c r="AM206" i="11" s="1"/>
  <c r="AI208" i="19" s="1"/>
  <c r="O29" i="19" s="1" a="1"/>
  <c r="O29" i="19" s="1"/>
  <c r="AJ134" i="11"/>
  <c r="AL134" i="11" s="1"/>
  <c r="AM134" i="11" s="1"/>
  <c r="AJ193" i="11"/>
  <c r="AL193" i="11" s="1"/>
  <c r="AM193" i="11" s="1"/>
  <c r="AI195" i="19" s="1"/>
  <c r="O16" i="19" s="1" a="1"/>
  <c r="O16" i="19" s="1"/>
  <c r="AJ30" i="11"/>
  <c r="AL30" i="11" s="1"/>
  <c r="AM30" i="11" s="1"/>
  <c r="AI32" i="19" s="1"/>
  <c r="F11" i="19" s="1" a="1"/>
  <c r="F11" i="19" s="1"/>
  <c r="AJ14" i="11"/>
  <c r="AL14" i="11" s="1"/>
  <c r="AM14" i="11" s="1"/>
  <c r="AJ8" i="11"/>
  <c r="AL8" i="11" s="1"/>
  <c r="AM8" i="11" s="1"/>
  <c r="AJ104" i="11"/>
  <c r="AL104" i="11" s="1"/>
  <c r="AM104" i="11" s="1"/>
  <c r="AL114" i="11"/>
  <c r="AM114" i="11" s="1"/>
  <c r="AJ196" i="11"/>
  <c r="AL196" i="11" s="1"/>
  <c r="AM196" i="11" s="1"/>
  <c r="AL34" i="11"/>
  <c r="AM34" i="11" s="1"/>
  <c r="AJ133" i="11"/>
  <c r="AL133" i="11" s="1"/>
  <c r="AM133" i="11" s="1"/>
  <c r="AL10" i="11"/>
  <c r="AM10" i="11" s="1"/>
  <c r="AL4" i="11"/>
  <c r="AM4" i="11" s="1"/>
  <c r="AJ110" i="19"/>
  <c r="AJ129" i="11"/>
  <c r="AL129" i="11" s="1"/>
  <c r="AM129" i="11" s="1"/>
  <c r="AJ136" i="11"/>
  <c r="AL136" i="11" s="1"/>
  <c r="AM136" i="11" s="1"/>
  <c r="AJ106" i="11"/>
  <c r="AL106" i="11" s="1"/>
  <c r="AM106" i="11" s="1"/>
  <c r="AJ138" i="11"/>
  <c r="AL138" i="11" s="1"/>
  <c r="AM138" i="11" s="1"/>
  <c r="AJ142" i="19"/>
  <c r="AJ174" i="11"/>
  <c r="AL174" i="11" s="1"/>
  <c r="AM174" i="11" s="1"/>
  <c r="AI128" i="11"/>
  <c r="AJ128" i="11" s="1"/>
  <c r="AL128" i="11" s="1"/>
  <c r="AM128" i="11" s="1"/>
  <c r="AI130" i="19" s="1"/>
  <c r="L11" i="19" s="1" a="1"/>
  <c r="L11" i="19" s="1"/>
  <c r="AJ112" i="19"/>
  <c r="AJ128" i="19"/>
  <c r="AJ87" i="11"/>
  <c r="AL87" i="11" s="1"/>
  <c r="AM87" i="11" s="1"/>
  <c r="AJ5" i="19"/>
  <c r="AJ107" i="19"/>
  <c r="AJ41" i="19"/>
  <c r="AJ132" i="19"/>
  <c r="AJ199" i="11"/>
  <c r="AL199" i="11" s="1"/>
  <c r="AM199" i="11" s="1"/>
  <c r="AI201" i="19" s="1"/>
  <c r="O22" i="19" s="1" a="1"/>
  <c r="O22" i="19" s="1"/>
  <c r="AJ78" i="11"/>
  <c r="AL78" i="11" s="1"/>
  <c r="AM78" i="11" s="1"/>
  <c r="AI80" i="19" s="1"/>
  <c r="I11" i="19" s="1" a="1"/>
  <c r="I11" i="19" s="1"/>
  <c r="AJ44" i="11"/>
  <c r="AL44" i="11" s="1"/>
  <c r="AM44" i="11" s="1"/>
  <c r="AJ195" i="11"/>
  <c r="AL195" i="11" s="1"/>
  <c r="AM195" i="11" s="1"/>
  <c r="AJ86" i="11"/>
  <c r="AL86" i="11" s="1"/>
  <c r="AM86" i="11" s="1"/>
  <c r="AI88" i="19" s="1"/>
  <c r="I19" i="19" s="1" a="1"/>
  <c r="I19" i="19" s="1"/>
  <c r="AJ187" i="11"/>
  <c r="AL187" i="11" s="1"/>
  <c r="AM187" i="11" s="1"/>
  <c r="AI189" i="19" s="1"/>
  <c r="O10" i="19" s="1" a="1"/>
  <c r="O10" i="19" s="1"/>
  <c r="AJ161" i="11"/>
  <c r="AL161" i="11" s="1"/>
  <c r="AM161" i="11" s="1"/>
  <c r="AI163" i="19" s="1"/>
  <c r="M24" i="19" s="1" a="1"/>
  <c r="M24" i="19" s="1"/>
  <c r="AJ201" i="11"/>
  <c r="AL201" i="11" s="1"/>
  <c r="AM201" i="11" s="1"/>
  <c r="AJ200" i="11"/>
  <c r="AL200" i="11" s="1"/>
  <c r="AM200" i="11" s="1"/>
  <c r="AJ198" i="11"/>
  <c r="AL198" i="11" s="1"/>
  <c r="AM198" i="11" s="1"/>
  <c r="AJ179" i="11"/>
  <c r="AL179" i="11" s="1"/>
  <c r="AM179" i="11" s="1"/>
  <c r="AJ181" i="11"/>
  <c r="AL181" i="11" s="1"/>
  <c r="AM181" i="11" s="1"/>
  <c r="AI183" i="19" s="1"/>
  <c r="N24" i="19" s="1" a="1"/>
  <c r="N24" i="19" s="1"/>
  <c r="AJ72" i="11"/>
  <c r="AL72" i="11" s="1"/>
  <c r="AM72" i="11" s="1"/>
  <c r="AJ168" i="11"/>
  <c r="AL168" i="11" s="1"/>
  <c r="AM168" i="11" s="1"/>
  <c r="AI170" i="19" s="1"/>
  <c r="N11" i="19" s="1" a="1"/>
  <c r="N11" i="19" s="1"/>
  <c r="AJ190" i="11"/>
  <c r="AL190" i="11" s="1"/>
  <c r="AM190" i="11" s="1"/>
  <c r="AJ205" i="11"/>
  <c r="AL205" i="11" s="1"/>
  <c r="AM205" i="11" s="1"/>
  <c r="AI207" i="19" s="1"/>
  <c r="O28" i="19" s="1" a="1"/>
  <c r="O28" i="19" s="1"/>
  <c r="AJ192" i="11"/>
  <c r="AL192" i="11" s="1"/>
  <c r="AM192" i="11" s="1"/>
  <c r="AJ46" i="11"/>
  <c r="AL46" i="11" s="1"/>
  <c r="AM46" i="11" s="1"/>
  <c r="AJ188" i="11"/>
  <c r="AL188" i="11" s="1"/>
  <c r="AM188" i="11" s="1"/>
  <c r="AJ53" i="11"/>
  <c r="AL53" i="11" s="1"/>
  <c r="AM53" i="11" s="1"/>
  <c r="AI55" i="19" s="1"/>
  <c r="G18" i="19" s="1" a="1"/>
  <c r="G18" i="19" s="1"/>
  <c r="AJ191" i="11"/>
  <c r="AL191" i="11" s="1"/>
  <c r="AM191" i="11" s="1"/>
  <c r="AI193" i="19" s="1"/>
  <c r="O14" i="19" s="1" a="1"/>
  <c r="O14" i="19" s="1"/>
  <c r="AJ157" i="11"/>
  <c r="AL157" i="11" s="1"/>
  <c r="AM157" i="11" s="1"/>
  <c r="AI159" i="19" s="1"/>
  <c r="M20" i="19" s="1" a="1"/>
  <c r="M20" i="19" s="1"/>
  <c r="E14" i="31"/>
  <c r="AJ75" i="11"/>
  <c r="AL75" i="11" s="1"/>
  <c r="AM75" i="11" s="1"/>
  <c r="AI77" i="19" s="1"/>
  <c r="I8" i="19" s="1" a="1"/>
  <c r="I8" i="19" s="1"/>
  <c r="AJ47" i="11"/>
  <c r="AL47" i="11" s="1"/>
  <c r="AM47" i="11" s="1"/>
  <c r="AI49" i="19" s="1"/>
  <c r="G12" i="19" s="1" a="1"/>
  <c r="G12" i="19" s="1"/>
  <c r="AJ154" i="11"/>
  <c r="AL154" i="11" s="1"/>
  <c r="AM154" i="11" s="1"/>
  <c r="AJ158" i="11"/>
  <c r="AL158" i="11" s="1"/>
  <c r="AM158" i="11" s="1"/>
  <c r="AI160" i="19" s="1"/>
  <c r="M21" i="19" s="1" a="1"/>
  <c r="M21" i="19" s="1"/>
  <c r="AJ202" i="11"/>
  <c r="AL202" i="11" s="1"/>
  <c r="AM202" i="11" s="1"/>
  <c r="AL83" i="11"/>
  <c r="AM83" i="11" s="1"/>
  <c r="AL80" i="11"/>
  <c r="AM80" i="11" s="1"/>
  <c r="AL50" i="11"/>
  <c r="AM50" i="11" s="1"/>
  <c r="AL81" i="11"/>
  <c r="AM81" i="11" s="1"/>
  <c r="AJ189" i="11"/>
  <c r="AL189" i="11" s="1"/>
  <c r="AM189" i="11" s="1"/>
  <c r="AI191" i="19" s="1"/>
  <c r="O12" i="19" s="1" a="1"/>
  <c r="O12" i="19" s="1"/>
  <c r="AJ164" i="11"/>
  <c r="AL164" i="11" s="1"/>
  <c r="AM164" i="11" s="1"/>
  <c r="AI166" i="19" s="1"/>
  <c r="M27" i="19" s="1" a="1"/>
  <c r="M27" i="19" s="1"/>
  <c r="AI165" i="11"/>
  <c r="AJ165" i="11" s="1"/>
  <c r="AL165" i="11" s="1"/>
  <c r="AM165" i="11" s="1"/>
  <c r="AI167" i="19" s="1"/>
  <c r="M28" i="19" s="1" a="1"/>
  <c r="M28" i="19" s="1"/>
  <c r="AI177" i="11"/>
  <c r="AJ177" i="11" s="1"/>
  <c r="AI59" i="11"/>
  <c r="AJ59" i="11" s="1"/>
  <c r="AL59" i="11" s="1"/>
  <c r="AM59" i="11" s="1"/>
  <c r="AI61" i="19" s="1"/>
  <c r="H8" i="19" s="1" a="1"/>
  <c r="H8" i="19" s="1"/>
  <c r="AI149" i="11"/>
  <c r="AJ149" i="11" s="1"/>
  <c r="AL149" i="11" s="1"/>
  <c r="AM149" i="11" s="1"/>
  <c r="AI151" i="19" s="1"/>
  <c r="M12" i="19" s="1" a="1"/>
  <c r="M12" i="19" s="1"/>
  <c r="AI169" i="11"/>
  <c r="AJ169" i="11" s="1"/>
  <c r="AL169" i="11" s="1"/>
  <c r="AM169" i="11" s="1"/>
  <c r="AI171" i="19" s="1"/>
  <c r="N12" i="19" s="1" a="1"/>
  <c r="N12" i="19" s="1"/>
  <c r="AI56" i="11"/>
  <c r="AI68" i="11"/>
  <c r="AI151" i="11"/>
  <c r="AJ151" i="11" s="1"/>
  <c r="AI54" i="11"/>
  <c r="AJ54" i="11" s="1"/>
  <c r="AI58" i="11"/>
  <c r="AI176" i="11"/>
  <c r="AJ176" i="11" s="1"/>
  <c r="AI155" i="11"/>
  <c r="AJ155" i="11" s="1"/>
  <c r="AI172" i="11"/>
  <c r="AJ172" i="11" s="1"/>
  <c r="AL172" i="11" s="1"/>
  <c r="AM172" i="11" s="1"/>
  <c r="AI174" i="19" s="1"/>
  <c r="N15" i="19" s="1" a="1"/>
  <c r="N15" i="19" s="1"/>
  <c r="AI178" i="11"/>
  <c r="AJ178" i="11" s="1"/>
  <c r="AL178" i="11" s="1"/>
  <c r="AM178" i="11" s="1"/>
  <c r="AI180" i="19" s="1"/>
  <c r="N21" i="19" s="1" a="1"/>
  <c r="N21" i="19" s="1"/>
  <c r="AI156" i="11"/>
  <c r="AJ156" i="11" s="1"/>
  <c r="AI40" i="11"/>
  <c r="AJ40" i="11" s="1"/>
  <c r="AI61" i="11"/>
  <c r="AL85" i="11"/>
  <c r="AM85" i="11" s="1"/>
  <c r="AI87" i="19" s="1"/>
  <c r="I18" i="19" s="1" a="1"/>
  <c r="I18" i="19" s="1"/>
  <c r="AJ74" i="11"/>
  <c r="AL74" i="11" s="1"/>
  <c r="AM74" i="11" s="1"/>
  <c r="AI76" i="19" s="1"/>
  <c r="I7" i="19" s="1" a="1"/>
  <c r="I7" i="19" s="1"/>
  <c r="AL62" i="11"/>
  <c r="AM62" i="11" s="1"/>
  <c r="AI64" i="19" s="1"/>
  <c r="H11" i="19" s="1" a="1"/>
  <c r="H11" i="19" s="1"/>
  <c r="AJ26" i="19"/>
  <c r="AI175" i="11"/>
  <c r="AJ175" i="11" s="1"/>
  <c r="AL175" i="11" s="1"/>
  <c r="AM175" i="11" s="1"/>
  <c r="AI177" i="19" s="1"/>
  <c r="N18" i="19" s="1" a="1"/>
  <c r="N18" i="19" s="1"/>
  <c r="AI48" i="11"/>
  <c r="AJ48" i="11" s="1"/>
  <c r="AL48" i="11" s="1"/>
  <c r="AM48" i="11" s="1"/>
  <c r="AI50" i="19" s="1"/>
  <c r="G13" i="19" s="1" a="1"/>
  <c r="G13" i="19" s="1"/>
  <c r="AI183" i="11"/>
  <c r="AJ183" i="11" s="1"/>
  <c r="AL183" i="11" s="1"/>
  <c r="AM183" i="11" s="1"/>
  <c r="AI185" i="19" s="1"/>
  <c r="N26" i="19" s="1" a="1"/>
  <c r="N26" i="19" s="1"/>
  <c r="AI69" i="11"/>
  <c r="AJ69" i="11" s="1"/>
  <c r="AL69" i="11" s="1"/>
  <c r="AM69" i="11" s="1"/>
  <c r="AI71" i="19" s="1"/>
  <c r="H18" i="19" s="1" a="1"/>
  <c r="H18" i="19" s="1"/>
  <c r="AJ71" i="11"/>
  <c r="AL71" i="11" s="1"/>
  <c r="AM71" i="11" s="1"/>
  <c r="AI73" i="19" s="1"/>
  <c r="H20" i="19" s="1" a="1"/>
  <c r="H20" i="19" s="1"/>
  <c r="AI63" i="11"/>
  <c r="AJ63" i="11" s="1"/>
  <c r="AJ76" i="11"/>
  <c r="AL76" i="11" s="1"/>
  <c r="AM76" i="11" s="1"/>
  <c r="AI78" i="19" s="1"/>
  <c r="I9" i="19" s="1" a="1"/>
  <c r="I9" i="19" s="1"/>
  <c r="AI171" i="11"/>
  <c r="AJ171" i="11" s="1"/>
  <c r="AI173" i="11"/>
  <c r="AJ173" i="11" s="1"/>
  <c r="AL173" i="11" s="1"/>
  <c r="AM173" i="11" s="1"/>
  <c r="AI175" i="19" s="1"/>
  <c r="N16" i="19" s="1" a="1"/>
  <c r="N16" i="19" s="1"/>
  <c r="AI186" i="11"/>
  <c r="AJ186" i="11" s="1"/>
  <c r="AI153" i="11"/>
  <c r="AJ153" i="11" s="1"/>
  <c r="AI70" i="11"/>
  <c r="AJ70" i="11" s="1"/>
  <c r="AI42" i="11"/>
  <c r="AJ42" i="11" s="1"/>
  <c r="AI57" i="11"/>
  <c r="AJ27" i="19"/>
  <c r="AI148" i="11"/>
  <c r="AJ148" i="11" s="1"/>
  <c r="AL148" i="11" s="1"/>
  <c r="AM148" i="11" s="1"/>
  <c r="AI150" i="19" s="1"/>
  <c r="M11" i="19" s="1" a="1"/>
  <c r="M11" i="19" s="1"/>
  <c r="AI43" i="11"/>
  <c r="AJ43" i="11" s="1"/>
  <c r="AL43" i="11" s="1"/>
  <c r="AM43" i="11" s="1"/>
  <c r="AI45" i="19" s="1"/>
  <c r="G8" i="19" s="1" a="1"/>
  <c r="G8" i="19" s="1"/>
  <c r="AI167" i="11"/>
  <c r="AJ167" i="11" s="1"/>
  <c r="AL60" i="11"/>
  <c r="AM60" i="11" s="1"/>
  <c r="AI62" i="19" s="1"/>
  <c r="H9" i="19" s="1" a="1"/>
  <c r="H9" i="19" s="1"/>
  <c r="AI162" i="11"/>
  <c r="AJ162" i="11" s="1"/>
  <c r="AL162" i="11" s="1"/>
  <c r="AM162" i="11" s="1"/>
  <c r="AI164" i="19" s="1"/>
  <c r="M25" i="19" s="1" a="1"/>
  <c r="M25" i="19" s="1"/>
  <c r="AJ84" i="11"/>
  <c r="AL84" i="11" s="1"/>
  <c r="AM84" i="11" s="1"/>
  <c r="AI86" i="19" s="1"/>
  <c r="I17" i="19" s="1" a="1"/>
  <c r="I17" i="19" s="1"/>
  <c r="AI52" i="11"/>
  <c r="AJ52" i="11" s="1"/>
  <c r="AI55" i="11"/>
  <c r="AJ55" i="11" s="1"/>
  <c r="AI182" i="11"/>
  <c r="AJ182" i="11" s="1"/>
  <c r="AI67" i="11"/>
  <c r="AJ67" i="11" s="1"/>
  <c r="AI170" i="11"/>
  <c r="AJ170" i="11" s="1"/>
  <c r="AI160" i="11"/>
  <c r="AJ160" i="11" s="1"/>
  <c r="AI51" i="11"/>
  <c r="AJ51" i="11" s="1"/>
  <c r="AI45" i="11"/>
  <c r="AJ45" i="11" s="1"/>
  <c r="AI49" i="11"/>
  <c r="AJ49" i="11" s="1"/>
  <c r="AL49" i="11" s="1"/>
  <c r="AM49" i="11" s="1"/>
  <c r="AI51" i="19" s="1"/>
  <c r="G14" i="19" s="1" a="1"/>
  <c r="G14" i="19" s="1"/>
  <c r="AI180" i="11"/>
  <c r="AJ180" i="11" s="1"/>
  <c r="AL180" i="11" s="1"/>
  <c r="AM180" i="11" s="1"/>
  <c r="AI182" i="19" s="1"/>
  <c r="N23" i="19" s="1" a="1"/>
  <c r="N23" i="19" s="1"/>
  <c r="AI184" i="11"/>
  <c r="AJ184" i="11" s="1"/>
  <c r="AL79" i="11"/>
  <c r="AM79" i="11" s="1"/>
  <c r="AI81" i="19" s="1"/>
  <c r="I12" i="19" s="1" a="1"/>
  <c r="I12" i="19" s="1"/>
  <c r="AL185" i="11"/>
  <c r="AM185" i="11" s="1"/>
  <c r="AI187" i="19" s="1"/>
  <c r="N28" i="19" s="1" a="1"/>
  <c r="N28" i="19" s="1"/>
  <c r="AI64" i="11"/>
  <c r="AJ64" i="11" s="1"/>
  <c r="AL82" i="11"/>
  <c r="AM82" i="11" s="1"/>
  <c r="AI84" i="19" s="1"/>
  <c r="I15" i="19" s="1" a="1"/>
  <c r="I15" i="19" s="1"/>
  <c r="AI65" i="11"/>
  <c r="AJ65" i="11" s="1"/>
  <c r="AI66" i="11"/>
  <c r="AJ66" i="11" s="1"/>
  <c r="AI159" i="11"/>
  <c r="AJ159" i="11" s="1"/>
  <c r="AI166" i="11"/>
  <c r="AJ166" i="11" s="1"/>
  <c r="AI147" i="11"/>
  <c r="AJ147" i="11" s="1"/>
  <c r="AI150" i="11"/>
  <c r="AJ150" i="11" s="1"/>
  <c r="AI121" i="19" l="1"/>
  <c r="K20" i="19" s="1" a="1"/>
  <c r="K20" i="19" s="1"/>
  <c r="AI24" i="19"/>
  <c r="AL2" i="11"/>
  <c r="AM2" i="11" s="1"/>
  <c r="AI4" i="19" s="1"/>
  <c r="AI122" i="19"/>
  <c r="K21" i="19" s="1" a="1"/>
  <c r="K21" i="19" s="1"/>
  <c r="AJ13" i="19"/>
  <c r="AJ40" i="19"/>
  <c r="AJ114" i="19"/>
  <c r="AJ147" i="19"/>
  <c r="AJ117" i="19"/>
  <c r="AJ143" i="19"/>
  <c r="AJ127" i="19"/>
  <c r="AJ115" i="19"/>
  <c r="AJ9" i="19"/>
  <c r="AJ29" i="19"/>
  <c r="AJ28" i="19"/>
  <c r="AJ121" i="19"/>
  <c r="AJ7" i="19"/>
  <c r="AJ141" i="19"/>
  <c r="AJ134" i="19"/>
  <c r="AJ8" i="19"/>
  <c r="AJ25" i="19"/>
  <c r="AJ19" i="19"/>
  <c r="AI85" i="19"/>
  <c r="I16" i="19" s="1" a="1"/>
  <c r="I16" i="19" s="1"/>
  <c r="AJ33" i="19"/>
  <c r="AI198" i="19"/>
  <c r="O19" i="19" s="1" a="1"/>
  <c r="O19" i="19" s="1"/>
  <c r="AJ111" i="19"/>
  <c r="AI83" i="19"/>
  <c r="I14" i="19" s="1" a="1"/>
  <c r="I14" i="19" s="1"/>
  <c r="AI204" i="19"/>
  <c r="O25" i="19" s="1" a="1"/>
  <c r="O25" i="19" s="1"/>
  <c r="AI176" i="19"/>
  <c r="N17" i="19" s="1" a="1"/>
  <c r="N17" i="19" s="1"/>
  <c r="AI108" i="19"/>
  <c r="K7" i="19" s="1" a="1"/>
  <c r="K7" i="19" s="1"/>
  <c r="AI36" i="19"/>
  <c r="F15" i="19" s="1" a="1"/>
  <c r="F15" i="19" s="1"/>
  <c r="AI106" i="19"/>
  <c r="K5" i="19" s="1" a="1"/>
  <c r="K5" i="19" s="1"/>
  <c r="AI16" i="19"/>
  <c r="E7" i="19" s="1" a="1"/>
  <c r="E7" i="19" s="1"/>
  <c r="AI52" i="19"/>
  <c r="G15" i="19" s="1" a="1"/>
  <c r="G15" i="19" s="1"/>
  <c r="AI192" i="19"/>
  <c r="O13" i="19" s="1" a="1"/>
  <c r="O13" i="19" s="1"/>
  <c r="AI181" i="19"/>
  <c r="N22" i="19" s="1" a="1"/>
  <c r="N22" i="19" s="1"/>
  <c r="AI46" i="19"/>
  <c r="G9" i="19" s="1" a="1"/>
  <c r="G9" i="19" s="1"/>
  <c r="AJ34" i="19"/>
  <c r="AJ109" i="19"/>
  <c r="AI138" i="19"/>
  <c r="L19" i="19" s="1" a="1"/>
  <c r="L19" i="19" s="1"/>
  <c r="AI116" i="19"/>
  <c r="K15" i="19" s="1" a="1"/>
  <c r="K15" i="19" s="1"/>
  <c r="AJ146" i="19"/>
  <c r="AI200" i="19"/>
  <c r="O21" i="19" s="1" a="1"/>
  <c r="O21" i="19" s="1"/>
  <c r="AI82" i="19"/>
  <c r="I13" i="19" s="1" a="1"/>
  <c r="I13" i="19" s="1"/>
  <c r="AI190" i="19"/>
  <c r="O11" i="19" s="1" a="1"/>
  <c r="O11" i="19" s="1"/>
  <c r="AI199" i="19"/>
  <c r="O20" i="19" s="1" a="1"/>
  <c r="O20" i="19" s="1"/>
  <c r="AI48" i="19"/>
  <c r="G11" i="19" s="1" a="1"/>
  <c r="G11" i="19" s="1"/>
  <c r="AI202" i="19"/>
  <c r="O23" i="19" s="1" a="1"/>
  <c r="O23" i="19" s="1"/>
  <c r="AJ30" i="19"/>
  <c r="AI140" i="19"/>
  <c r="L21" i="19" s="1" a="1"/>
  <c r="L21" i="19" s="1"/>
  <c r="AI6" i="19"/>
  <c r="D5" i="19" s="1" a="1"/>
  <c r="D5" i="19" s="1"/>
  <c r="AI10" i="19"/>
  <c r="D9" i="19" s="1" a="1"/>
  <c r="D9" i="19" s="1"/>
  <c r="AJ22" i="19"/>
  <c r="AI136" i="19"/>
  <c r="AJ119" i="19"/>
  <c r="AJ39" i="19"/>
  <c r="AI194" i="19"/>
  <c r="O15" i="19" s="1" a="1"/>
  <c r="O15" i="19" s="1"/>
  <c r="AI203" i="19"/>
  <c r="O24" i="19" s="1" a="1"/>
  <c r="O24" i="19" s="1"/>
  <c r="AI12" i="19"/>
  <c r="D11" i="19" s="1" a="1"/>
  <c r="D11" i="19" s="1"/>
  <c r="AI31" i="19"/>
  <c r="F10" i="19" s="1" a="1"/>
  <c r="F10" i="19" s="1"/>
  <c r="E15" i="19" a="1"/>
  <c r="E15" i="19" s="1"/>
  <c r="AJ24" i="19"/>
  <c r="AI156" i="19"/>
  <c r="M17" i="19" s="1" a="1"/>
  <c r="M17" i="19" s="1"/>
  <c r="AI74" i="19"/>
  <c r="I5" i="19" s="1" a="1"/>
  <c r="I5" i="19" s="1"/>
  <c r="AI197" i="19"/>
  <c r="O18" i="19" s="1" a="1"/>
  <c r="O18" i="19" s="1"/>
  <c r="AJ37" i="19"/>
  <c r="AI89" i="19"/>
  <c r="I20" i="19" s="1" a="1"/>
  <c r="I20" i="19" s="1"/>
  <c r="AJ15" i="19"/>
  <c r="AI131" i="19"/>
  <c r="L12" i="19" s="1" a="1"/>
  <c r="L12" i="19" s="1"/>
  <c r="AI135" i="19"/>
  <c r="L16" i="19" s="1" a="1"/>
  <c r="L16" i="19" s="1"/>
  <c r="AJ144" i="19"/>
  <c r="AI165" i="19"/>
  <c r="M26" i="19" s="1" a="1"/>
  <c r="M26" i="19" s="1"/>
  <c r="AI125" i="19"/>
  <c r="L6" i="19" s="1" a="1"/>
  <c r="L6" i="19" s="1"/>
  <c r="AJ145" i="19"/>
  <c r="AJ124" i="19"/>
  <c r="AJ126" i="19"/>
  <c r="AJ120" i="19"/>
  <c r="AJ21" i="19"/>
  <c r="AJ148" i="19"/>
  <c r="AJ14" i="19"/>
  <c r="AJ137" i="19"/>
  <c r="AJ23" i="19"/>
  <c r="AJ17" i="19"/>
  <c r="AJ35" i="19"/>
  <c r="AJ129" i="19"/>
  <c r="AJ133" i="19"/>
  <c r="AJ123" i="19"/>
  <c r="AJ118" i="19"/>
  <c r="AJ18" i="19"/>
  <c r="D14" i="31"/>
  <c r="F14" i="31"/>
  <c r="AL70" i="11"/>
  <c r="AM70" i="11" s="1"/>
  <c r="AL65" i="11"/>
  <c r="AM65" i="11" s="1"/>
  <c r="AL166" i="11"/>
  <c r="AM166" i="11" s="1"/>
  <c r="AL160" i="11"/>
  <c r="AM160" i="11" s="1"/>
  <c r="AL170" i="11"/>
  <c r="AM170" i="11" s="1"/>
  <c r="AL55" i="11"/>
  <c r="AM55" i="11" s="1"/>
  <c r="AL67" i="11"/>
  <c r="AM67" i="11" s="1"/>
  <c r="AL156" i="11"/>
  <c r="AM156" i="11" s="1"/>
  <c r="AI158" i="19" s="1"/>
  <c r="M19" i="19" s="1" a="1"/>
  <c r="M19" i="19" s="1"/>
  <c r="AL52" i="11"/>
  <c r="AM52" i="11" s="1"/>
  <c r="AL155" i="11"/>
  <c r="AM155" i="11" s="1"/>
  <c r="AL45" i="11"/>
  <c r="AM45" i="11" s="1"/>
  <c r="AJ61" i="11"/>
  <c r="AL61" i="11" s="1"/>
  <c r="AM61" i="11" s="1"/>
  <c r="AI63" i="19" s="1"/>
  <c r="H10" i="19" s="1" a="1"/>
  <c r="H10" i="19" s="1"/>
  <c r="AL64" i="11"/>
  <c r="AM64" i="11" s="1"/>
  <c r="AI66" i="19" s="1"/>
  <c r="H13" i="19" s="1" a="1"/>
  <c r="H13" i="19" s="1"/>
  <c r="AL153" i="11"/>
  <c r="AM153" i="11" s="1"/>
  <c r="AI155" i="19" s="1"/>
  <c r="M16" i="19" s="1" a="1"/>
  <c r="M16" i="19" s="1"/>
  <c r="AL176" i="11"/>
  <c r="AM176" i="11" s="1"/>
  <c r="AI178" i="19" s="1"/>
  <c r="N19" i="19" s="1" a="1"/>
  <c r="N19" i="19" s="1"/>
  <c r="AL54" i="11"/>
  <c r="AM54" i="11" s="1"/>
  <c r="AI56" i="19" s="1"/>
  <c r="G19" i="19" s="1" a="1"/>
  <c r="G19" i="19" s="1"/>
  <c r="AJ79" i="19"/>
  <c r="AL51" i="11"/>
  <c r="AM51" i="11" s="1"/>
  <c r="AI53" i="19" s="1"/>
  <c r="G16" i="19" s="1" a="1"/>
  <c r="G16" i="19" s="1"/>
  <c r="AL182" i="11"/>
  <c r="AM182" i="11" s="1"/>
  <c r="AI184" i="19" s="1"/>
  <c r="N25" i="19" s="1" a="1"/>
  <c r="N25" i="19" s="1"/>
  <c r="AL167" i="11"/>
  <c r="AM167" i="11" s="1"/>
  <c r="AI169" i="19" s="1"/>
  <c r="N10" i="19" s="1" a="1"/>
  <c r="N10" i="19" s="1"/>
  <c r="AJ57" i="11"/>
  <c r="AL57" i="11" s="1"/>
  <c r="AM57" i="11" s="1"/>
  <c r="AI59" i="19" s="1"/>
  <c r="H6" i="19" s="1" a="1"/>
  <c r="H6" i="19" s="1"/>
  <c r="AJ68" i="11"/>
  <c r="AL68" i="11" s="1"/>
  <c r="AM68" i="11" s="1"/>
  <c r="AI70" i="19" s="1"/>
  <c r="H17" i="19" s="1" a="1"/>
  <c r="H17" i="19" s="1"/>
  <c r="AJ88" i="19"/>
  <c r="AJ38" i="19"/>
  <c r="AL66" i="11"/>
  <c r="AM66" i="11" s="1"/>
  <c r="AI68" i="19" s="1"/>
  <c r="H15" i="19" s="1" a="1"/>
  <c r="H15" i="19" s="1"/>
  <c r="AJ189" i="19"/>
  <c r="AJ163" i="19"/>
  <c r="AJ58" i="11"/>
  <c r="AL58" i="11" s="1"/>
  <c r="AM58" i="11" s="1"/>
  <c r="AI60" i="19" s="1"/>
  <c r="H7" i="19" s="1" a="1"/>
  <c r="H7" i="19" s="1"/>
  <c r="AJ206" i="19"/>
  <c r="AL184" i="11"/>
  <c r="AM184" i="11" s="1"/>
  <c r="AI186" i="19" s="1"/>
  <c r="N27" i="19" s="1" a="1"/>
  <c r="N27" i="19" s="1"/>
  <c r="AL186" i="11"/>
  <c r="AM186" i="11" s="1"/>
  <c r="AI188" i="19" s="1"/>
  <c r="N29" i="19" s="1" a="1"/>
  <c r="N29" i="19" s="1"/>
  <c r="AL171" i="11"/>
  <c r="AM171" i="11" s="1"/>
  <c r="AI173" i="19" s="1"/>
  <c r="N14" i="19" s="1" a="1"/>
  <c r="N14" i="19" s="1"/>
  <c r="AL63" i="11"/>
  <c r="AM63" i="11" s="1"/>
  <c r="AI65" i="19" s="1"/>
  <c r="H12" i="19" s="1" a="1"/>
  <c r="H12" i="19" s="1"/>
  <c r="AJ56" i="11"/>
  <c r="AL56" i="11" s="1"/>
  <c r="AM56" i="11" s="1"/>
  <c r="AI58" i="19" s="1"/>
  <c r="H5" i="19" s="1" a="1"/>
  <c r="H5" i="19" s="1"/>
  <c r="AJ43" i="19"/>
  <c r="AJ55" i="19"/>
  <c r="AL150" i="11"/>
  <c r="AM150" i="11" s="1"/>
  <c r="AI152" i="19" s="1"/>
  <c r="M13" i="19" s="1" a="1"/>
  <c r="M13" i="19" s="1"/>
  <c r="AL147" i="11"/>
  <c r="AM147" i="11" s="1"/>
  <c r="AI149" i="19" s="1"/>
  <c r="M10" i="19" s="1" a="1"/>
  <c r="M10" i="19" s="1"/>
  <c r="AL159" i="11"/>
  <c r="AM159" i="11" s="1"/>
  <c r="AI161" i="19" s="1"/>
  <c r="M22" i="19" s="1" a="1"/>
  <c r="M22" i="19" s="1"/>
  <c r="AJ205" i="19"/>
  <c r="AL177" i="11"/>
  <c r="AM177" i="11" s="1"/>
  <c r="AI179" i="19" s="1"/>
  <c r="N20" i="19" s="1" a="1"/>
  <c r="N20" i="19" s="1"/>
  <c r="AL42" i="11"/>
  <c r="AM42" i="11" s="1"/>
  <c r="AI44" i="19" s="1"/>
  <c r="G7" i="19" s="1" a="1"/>
  <c r="G7" i="19" s="1"/>
  <c r="AL40" i="11"/>
  <c r="AM40" i="11" s="1"/>
  <c r="AI42" i="19" s="1"/>
  <c r="G5" i="19" s="1" a="1"/>
  <c r="G5" i="19" s="1"/>
  <c r="AJ75" i="19"/>
  <c r="AL151" i="11"/>
  <c r="AM151" i="11" s="1"/>
  <c r="AI153" i="19" s="1"/>
  <c r="M14" i="19" s="1" a="1"/>
  <c r="M14" i="19" s="1"/>
  <c r="AJ196" i="19"/>
  <c r="AJ122" i="19" l="1"/>
  <c r="H5" i="31"/>
  <c r="H4" i="31"/>
  <c r="AJ198" i="19"/>
  <c r="AJ106" i="19"/>
  <c r="AJ203" i="19"/>
  <c r="AJ52" i="19"/>
  <c r="AJ108" i="19"/>
  <c r="AJ89" i="19"/>
  <c r="AJ156" i="19"/>
  <c r="AJ199" i="19"/>
  <c r="AJ48" i="19"/>
  <c r="AJ12" i="19"/>
  <c r="AJ36" i="19"/>
  <c r="AJ85" i="19"/>
  <c r="AJ176" i="19"/>
  <c r="AJ138" i="19"/>
  <c r="AJ194" i="19"/>
  <c r="AJ197" i="19"/>
  <c r="AJ165" i="19"/>
  <c r="AJ202" i="19"/>
  <c r="AJ192" i="19"/>
  <c r="AJ200" i="19"/>
  <c r="AJ135" i="19"/>
  <c r="AJ16" i="19"/>
  <c r="AJ140" i="19"/>
  <c r="AJ116" i="19"/>
  <c r="AI47" i="19"/>
  <c r="G10" i="19" s="1" a="1"/>
  <c r="G10" i="19" s="1"/>
  <c r="AI57" i="19"/>
  <c r="G20" i="19" s="1" a="1"/>
  <c r="G20" i="19" s="1"/>
  <c r="L17" i="19" a="1"/>
  <c r="L17" i="19" s="1"/>
  <c r="AJ136" i="19"/>
  <c r="AI157" i="19"/>
  <c r="M18" i="19" s="1" a="1"/>
  <c r="M18" i="19" s="1"/>
  <c r="AI172" i="19"/>
  <c r="N13" i="19" s="1" a="1"/>
  <c r="N13" i="19" s="1"/>
  <c r="AI54" i="19"/>
  <c r="G17" i="19" s="1" a="1"/>
  <c r="G17" i="19" s="1"/>
  <c r="AI162" i="19"/>
  <c r="M23" i="19" s="1" a="1"/>
  <c r="M23" i="19" s="1"/>
  <c r="AI168" i="19"/>
  <c r="M29" i="19" s="1" a="1"/>
  <c r="M29" i="19" s="1"/>
  <c r="AI67" i="19"/>
  <c r="H14" i="19" s="1" a="1"/>
  <c r="H14" i="19" s="1"/>
  <c r="AJ74" i="19"/>
  <c r="AJ31" i="19"/>
  <c r="AJ6" i="19"/>
  <c r="AJ10" i="19"/>
  <c r="AI69" i="19"/>
  <c r="H16" i="19" s="1" a="1"/>
  <c r="H16" i="19" s="1"/>
  <c r="AI72" i="19"/>
  <c r="H19" i="19" s="1" a="1"/>
  <c r="H19" i="19" s="1"/>
  <c r="AJ125" i="19"/>
  <c r="AJ32" i="19"/>
  <c r="AJ131" i="19"/>
  <c r="AJ130" i="19"/>
  <c r="AJ46" i="19"/>
  <c r="AJ181" i="19"/>
  <c r="AJ190" i="19"/>
  <c r="AJ204" i="19"/>
  <c r="AJ166" i="19"/>
  <c r="AJ83" i="19"/>
  <c r="AJ82" i="19"/>
  <c r="AJ191" i="19"/>
  <c r="AJ63" i="19"/>
  <c r="AJ81" i="19"/>
  <c r="AJ45" i="19"/>
  <c r="AJ50" i="19"/>
  <c r="AJ182" i="19"/>
  <c r="AJ185" i="19"/>
  <c r="AJ167" i="19"/>
  <c r="AJ61" i="19"/>
  <c r="AJ170" i="19"/>
  <c r="AJ177" i="19"/>
  <c r="AJ160" i="19"/>
  <c r="AJ187" i="19"/>
  <c r="AJ175" i="19"/>
  <c r="AJ201" i="19"/>
  <c r="AJ51" i="19"/>
  <c r="AJ174" i="19"/>
  <c r="AJ77" i="19"/>
  <c r="AJ86" i="19"/>
  <c r="AJ207" i="19"/>
  <c r="AJ49" i="19"/>
  <c r="AJ76" i="19"/>
  <c r="AJ78" i="19"/>
  <c r="AJ80" i="19"/>
  <c r="AJ87" i="19"/>
  <c r="AJ71" i="19"/>
  <c r="AJ159" i="19"/>
  <c r="AJ64" i="19"/>
  <c r="AJ154" i="19"/>
  <c r="AJ150" i="19"/>
  <c r="AJ164" i="19"/>
  <c r="AJ183" i="19"/>
  <c r="AJ208" i="19"/>
  <c r="AJ84" i="19"/>
  <c r="AJ151" i="19"/>
  <c r="AJ171" i="19"/>
  <c r="AJ180" i="19"/>
  <c r="AJ62" i="19"/>
  <c r="AJ195" i="19"/>
  <c r="AJ193" i="19"/>
  <c r="AJ73" i="19"/>
  <c r="AJ158" i="19"/>
  <c r="C4" i="19" l="1" a="1"/>
  <c r="C4" i="19" s="1"/>
  <c r="AJ4" i="19"/>
  <c r="AJ162" i="19"/>
  <c r="AJ47" i="19"/>
  <c r="AJ69" i="19"/>
  <c r="AJ57" i="19"/>
  <c r="AJ172" i="19"/>
  <c r="AJ72" i="19"/>
  <c r="AJ67" i="19"/>
  <c r="AJ168" i="19"/>
  <c r="AJ157" i="19"/>
  <c r="AJ54" i="19"/>
  <c r="AJ178" i="19"/>
  <c r="AJ56" i="19"/>
  <c r="AJ58" i="19"/>
  <c r="AJ42" i="19"/>
  <c r="AJ60" i="19"/>
  <c r="AJ59" i="19"/>
  <c r="AJ70" i="19"/>
  <c r="AJ188" i="19"/>
  <c r="AJ184" i="19"/>
  <c r="AJ186" i="19"/>
  <c r="AJ169" i="19"/>
  <c r="AJ152" i="19"/>
  <c r="AJ44" i="19"/>
  <c r="AJ161" i="19"/>
  <c r="AJ153" i="19"/>
  <c r="AJ65" i="19"/>
  <c r="AJ173" i="19"/>
  <c r="AJ155" i="19"/>
  <c r="AJ149" i="19"/>
  <c r="AJ53" i="19"/>
  <c r="AJ68" i="19"/>
  <c r="AJ179" i="19"/>
  <c r="AJ66" i="19"/>
  <c r="G5" i="31" l="1"/>
  <c r="I5" i="31" s="1"/>
  <c r="J5" i="31" s="1"/>
  <c r="J9" i="31" s="1"/>
  <c r="I9" i="31" s="1"/>
  <c r="G4" i="31"/>
  <c r="J8" i="31" l="1"/>
  <c r="I8" i="31" s="1"/>
  <c r="I4" i="31"/>
  <c r="E20" i="31" l="1"/>
  <c r="F20" i="31" s="1"/>
  <c r="J4" i="31"/>
  <c r="K5" i="31" s="1"/>
  <c r="H12" i="31" l="1"/>
  <c r="G12" i="31"/>
  <c r="H10" i="31"/>
  <c r="G10" i="31"/>
  <c r="G20" i="31"/>
  <c r="I12" i="31" l="1"/>
  <c r="J12" i="31" s="1"/>
  <c r="H14" i="31"/>
  <c r="I10" i="31"/>
  <c r="G14" i="31"/>
  <c r="E22" i="31" l="1"/>
  <c r="F22" i="31" s="1"/>
  <c r="G22" i="31" s="1"/>
  <c r="J10" i="31"/>
  <c r="E21" i="31"/>
  <c r="I14" i="31"/>
  <c r="J14" i="31" s="1"/>
  <c r="F21" i="31" l="1"/>
  <c r="E23" i="31"/>
  <c r="G21" i="31" l="1"/>
  <c r="F23"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6" authorId="0" shapeId="0" xr:uid="{B65A4E45-CB12-4A6F-891E-5284F97183C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tc={74EBD046-D182-450B-8E0A-CA55190D0F35}</author>
    <author>tc={50BF17B1-323E-479C-B83F-07FBE20D9C95}</author>
  </authors>
  <commentList>
    <comment ref="D10" authorId="0" shapeId="0" xr:uid="{74EBD046-D182-450B-8E0A-CA55190D0F35}">
      <text>
        <t>[Threaded comment]
Your version of Excel allows you to read this threaded comment; however, any edits to it will get removed if the file is opened in a newer version of Excel. Learn more: https://go.microsoft.com/fwlink/?linkid=870924
Comment:
    From MBY 9/15</t>
      </text>
    </comment>
    <comment ref="D12" authorId="1" shapeId="0" xr:uid="{50BF17B1-323E-479C-B83F-07FBE20D9C95}">
      <text>
        <t>[Threaded comment]
Your version of Excel allows you to read this threaded comment; however, any edits to it will get removed if the file is opened in a newer version of Excel. Learn more: https://go.microsoft.com/fwlink/?linkid=870924
Comment:
    From MCB 8/25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tc={849A939B-59F1-420F-870B-E60884ED75DC}</author>
  </authors>
  <commentList>
    <comment ref="B34" authorId="0" shapeId="0" xr:uid="{849A939B-59F1-420F-870B-E60884ED75DC}">
      <text>
        <t>[Threaded comment]
Your version of Excel allows you to read this threaded comment; however, any edits to it will get removed if the file is opened in a newer version of Excel. Learn more: https://go.microsoft.com/fwlink/?linkid=870924
Comment:
    Was 65K</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<sst xmlns="http://schemas.openxmlformats.org/spreadsheetml/2006/main" count="2331" uniqueCount="840">
  <si>
    <t>DC Supervisor</t>
  </si>
  <si>
    <t>Support</t>
  </si>
  <si>
    <t>Salary</t>
  </si>
  <si>
    <t>Clinician</t>
  </si>
  <si>
    <t>Management / Client  Ratio</t>
  </si>
  <si>
    <t>Support / Client Ratio</t>
  </si>
  <si>
    <t>Relief Factor</t>
  </si>
  <si>
    <t>Position</t>
  </si>
  <si>
    <t>DC%</t>
  </si>
  <si>
    <t>CNA%</t>
  </si>
  <si>
    <t>TOTAL</t>
  </si>
  <si>
    <t>LPN%</t>
  </si>
  <si>
    <t>RN%</t>
  </si>
  <si>
    <t>Specialized</t>
  </si>
  <si>
    <t>Licensed</t>
  </si>
  <si>
    <t>Blend</t>
  </si>
  <si>
    <t>Relief</t>
  </si>
  <si>
    <t>DC</t>
  </si>
  <si>
    <t>CNA</t>
  </si>
  <si>
    <t>LPN</t>
  </si>
  <si>
    <t>RN</t>
  </si>
  <si>
    <t>Taxes &amp; Fringe</t>
  </si>
  <si>
    <t>Admin.Allocation</t>
  </si>
  <si>
    <t>Utilization Rate</t>
  </si>
  <si>
    <t>Add-Ons</t>
  </si>
  <si>
    <t>VEHICLE</t>
  </si>
  <si>
    <t>REBASED</t>
  </si>
  <si>
    <t>DAILY</t>
  </si>
  <si>
    <t>Unit</t>
  </si>
  <si>
    <t>ANNUAL</t>
  </si>
  <si>
    <t>RATE</t>
  </si>
  <si>
    <t>Hour</t>
  </si>
  <si>
    <t>Sedan</t>
  </si>
  <si>
    <t>Minivan</t>
  </si>
  <si>
    <t>Van</t>
  </si>
  <si>
    <t>Wheelchair Van</t>
  </si>
  <si>
    <t>VEHICLE UPGRADE - REBASED</t>
  </si>
  <si>
    <t>Sedan to Minivan</t>
  </si>
  <si>
    <t>Sedan to Van</t>
  </si>
  <si>
    <t>Sedan to Wheelchair Van</t>
  </si>
  <si>
    <t>Minivan to Van</t>
  </si>
  <si>
    <t>Minivan to Wheelchair Van</t>
  </si>
  <si>
    <t>Van to Wheelchair Van</t>
  </si>
  <si>
    <t>Day</t>
  </si>
  <si>
    <t>Vehicle Upgrade</t>
  </si>
  <si>
    <t>Tier</t>
  </si>
  <si>
    <t>DC Overnight</t>
  </si>
  <si>
    <t>DC Day</t>
  </si>
  <si>
    <t>Program Manger</t>
  </si>
  <si>
    <t>DC Day Cost</t>
  </si>
  <si>
    <t>DC Overnight Cost</t>
  </si>
  <si>
    <t>Relief B Cost</t>
  </si>
  <si>
    <t>Support Cost</t>
  </si>
  <si>
    <t>Total Staffing Cost</t>
  </si>
  <si>
    <t>Tax and Fringe</t>
  </si>
  <si>
    <t>PFMLA</t>
  </si>
  <si>
    <t>Total Compensation</t>
  </si>
  <si>
    <t>RN Cost</t>
  </si>
  <si>
    <t>Vehicle Type</t>
  </si>
  <si>
    <t xml:space="preserve"> Vehicle Add-On Rate for Adult Long Term Residential Services</t>
  </si>
  <si>
    <t>MONTHLY</t>
  </si>
  <si>
    <t>Program Type/Size</t>
  </si>
  <si>
    <t>Standard</t>
  </si>
  <si>
    <t>Wheelchair Van Usage (Add-Ons)</t>
  </si>
  <si>
    <t>Annual Service Units</t>
  </si>
  <si>
    <t>DDS/MCB Program Size</t>
  </si>
  <si>
    <t>2</t>
  </si>
  <si>
    <t>3</t>
  </si>
  <si>
    <t>6</t>
  </si>
  <si>
    <t>7</t>
  </si>
  <si>
    <t>5</t>
  </si>
  <si>
    <r>
      <rPr>
        <b/>
        <sz val="11"/>
        <rFont val="Calibri"/>
        <family val="2"/>
        <scheme val="minor"/>
      </rPr>
      <t>DDS/MCB</t>
    </r>
    <r>
      <rPr>
        <sz val="11"/>
        <rFont val="Calibri"/>
        <family val="2"/>
        <scheme val="minor"/>
      </rPr>
      <t xml:space="preserve"> # Vehicles</t>
    </r>
  </si>
  <si>
    <t>WC Van</t>
  </si>
  <si>
    <t>Acquisition Cost</t>
  </si>
  <si>
    <t>Depreciation (years)</t>
  </si>
  <si>
    <t>Repair/Maint (%/year)</t>
  </si>
  <si>
    <t>Insurance Cost</t>
  </si>
  <si>
    <t>Fuel Price/ Gallon</t>
  </si>
  <si>
    <t>Est MPG</t>
  </si>
  <si>
    <t>Est Miles/year</t>
  </si>
  <si>
    <t>Est Annual Gallons</t>
  </si>
  <si>
    <t>Est Fuel/Mile</t>
  </si>
  <si>
    <t>Annual Fuel Cost</t>
  </si>
  <si>
    <t>Est MPG Van</t>
  </si>
  <si>
    <t>Est Miles/year Van</t>
  </si>
  <si>
    <t>DDS/MCB</t>
  </si>
  <si>
    <t>Total Annual Cost</t>
  </si>
  <si>
    <t>Per Service Unit Cost</t>
  </si>
  <si>
    <t>7+</t>
  </si>
  <si>
    <t>Staff Mileage</t>
  </si>
  <si>
    <t>Other Expenses</t>
  </si>
  <si>
    <t>Total Consultants</t>
  </si>
  <si>
    <t>Transportation</t>
  </si>
  <si>
    <t>Total Program Costs</t>
  </si>
  <si>
    <t>Admin Allocation</t>
  </si>
  <si>
    <t>Total Reimbursement</t>
  </si>
  <si>
    <t>Rate @ 95%</t>
  </si>
  <si>
    <t>4+</t>
  </si>
  <si>
    <t>Capacity</t>
  </si>
  <si>
    <t>T&amp;F</t>
  </si>
  <si>
    <t>CAF</t>
  </si>
  <si>
    <t>Billable Hours</t>
  </si>
  <si>
    <t>Embedded Rate</t>
  </si>
  <si>
    <t>Add-On Rate</t>
  </si>
  <si>
    <t>DC I</t>
  </si>
  <si>
    <t>DC II</t>
  </si>
  <si>
    <t>Model</t>
  </si>
  <si>
    <t>FTE</t>
  </si>
  <si>
    <t>Basic</t>
  </si>
  <si>
    <t>Intermediate</t>
  </si>
  <si>
    <t>Medical 1</t>
  </si>
  <si>
    <t>Medical 2</t>
  </si>
  <si>
    <t>Medical 3</t>
  </si>
  <si>
    <t>2-3</t>
  </si>
  <si>
    <t>03.0</t>
  </si>
  <si>
    <t>03.5</t>
  </si>
  <si>
    <t>04.0</t>
  </si>
  <si>
    <t>04.5</t>
  </si>
  <si>
    <t>05.0</t>
  </si>
  <si>
    <t>05.5</t>
  </si>
  <si>
    <t>06.0</t>
  </si>
  <si>
    <t>06.5</t>
  </si>
  <si>
    <t>07.0</t>
  </si>
  <si>
    <t>07.5</t>
  </si>
  <si>
    <t>08.0</t>
  </si>
  <si>
    <t>08.5</t>
  </si>
  <si>
    <t>09.0</t>
  </si>
  <si>
    <t>09.5</t>
  </si>
  <si>
    <t>10.0</t>
  </si>
  <si>
    <t>11.0</t>
  </si>
  <si>
    <t>12.0</t>
  </si>
  <si>
    <t>13.0</t>
  </si>
  <si>
    <t>14.0</t>
  </si>
  <si>
    <t>15.0</t>
  </si>
  <si>
    <t>1 Capacity</t>
  </si>
  <si>
    <t>2-3 Capacity</t>
  </si>
  <si>
    <t>4+ Capacity</t>
  </si>
  <si>
    <t>T&amp;F Rate</t>
  </si>
  <si>
    <t>PFMLA Rate</t>
  </si>
  <si>
    <t>CAF Rate</t>
  </si>
  <si>
    <t>PhD Psych</t>
  </si>
  <si>
    <t>Med Level</t>
  </si>
  <si>
    <t>Model Name</t>
  </si>
  <si>
    <t>I05.5C</t>
  </si>
  <si>
    <t>I05.0C</t>
  </si>
  <si>
    <t>I04.5C</t>
  </si>
  <si>
    <t>I04.0C</t>
  </si>
  <si>
    <t>Clinical Psychologist</t>
  </si>
  <si>
    <t>Direct Care</t>
  </si>
  <si>
    <t>Current</t>
  </si>
  <si>
    <t>Case Worker</t>
  </si>
  <si>
    <t>Case Manager</t>
  </si>
  <si>
    <t>Program Management</t>
  </si>
  <si>
    <t>Clinical Manager</t>
  </si>
  <si>
    <t>Registerd Nurse (MA / APRN)</t>
  </si>
  <si>
    <t>B03.0A</t>
  </si>
  <si>
    <t>I03.0A</t>
  </si>
  <si>
    <t>I03.5A</t>
  </si>
  <si>
    <t>I04.0A</t>
  </si>
  <si>
    <t>I04.5A</t>
  </si>
  <si>
    <t>I05.0A</t>
  </si>
  <si>
    <t>I05.5A</t>
  </si>
  <si>
    <t>I06.0A</t>
  </si>
  <si>
    <t>I06.5A</t>
  </si>
  <si>
    <t>I07.0A</t>
  </si>
  <si>
    <t>B03.5B</t>
  </si>
  <si>
    <t>B04.0B</t>
  </si>
  <si>
    <t>B04.5B</t>
  </si>
  <si>
    <t>B05.0B</t>
  </si>
  <si>
    <t>B05.5B</t>
  </si>
  <si>
    <t>B06.0B</t>
  </si>
  <si>
    <t>B06.5B</t>
  </si>
  <si>
    <t>B07.0B</t>
  </si>
  <si>
    <t>B07.5B</t>
  </si>
  <si>
    <t>B08.0B</t>
  </si>
  <si>
    <t>B08.5B</t>
  </si>
  <si>
    <t>B09.0B</t>
  </si>
  <si>
    <t>I03.5B</t>
  </si>
  <si>
    <t>I04.0B</t>
  </si>
  <si>
    <t>I04.5B</t>
  </si>
  <si>
    <t>I05.0B</t>
  </si>
  <si>
    <t>I05.5B</t>
  </si>
  <si>
    <t>I06.0B</t>
  </si>
  <si>
    <t>I06.5B</t>
  </si>
  <si>
    <t>I07.0B</t>
  </si>
  <si>
    <t>I07.5B</t>
  </si>
  <si>
    <t>I08.0B</t>
  </si>
  <si>
    <t>I08.5B</t>
  </si>
  <si>
    <t>I09.0B</t>
  </si>
  <si>
    <t>I09.5B</t>
  </si>
  <si>
    <t>I10.0B</t>
  </si>
  <si>
    <t>I10.5B</t>
  </si>
  <si>
    <t>I11.0B</t>
  </si>
  <si>
    <t>M03.5B1</t>
  </si>
  <si>
    <t>M04.0B1</t>
  </si>
  <si>
    <t>M04.5B1</t>
  </si>
  <si>
    <t>M05.0B1</t>
  </si>
  <si>
    <t>M05.5B1</t>
  </si>
  <si>
    <t>M06.0B1</t>
  </si>
  <si>
    <t>M06.5B1</t>
  </si>
  <si>
    <t>M07.0B1</t>
  </si>
  <si>
    <t>M07.5B1</t>
  </si>
  <si>
    <t>M08.0B1</t>
  </si>
  <si>
    <t>M08.5B1</t>
  </si>
  <si>
    <t>M09.0B1</t>
  </si>
  <si>
    <t>M09.5B1</t>
  </si>
  <si>
    <t>M10.0B1</t>
  </si>
  <si>
    <t>M10.5B1</t>
  </si>
  <si>
    <t>M11.0B1</t>
  </si>
  <si>
    <t>M03.5B2</t>
  </si>
  <si>
    <t>M04.0B2</t>
  </si>
  <si>
    <t>M04.5B2</t>
  </si>
  <si>
    <t>M05.0B2</t>
  </si>
  <si>
    <t>M05.5B2</t>
  </si>
  <si>
    <t>M06.0B2</t>
  </si>
  <si>
    <t>M06.5B2</t>
  </si>
  <si>
    <t>M07.0B2</t>
  </si>
  <si>
    <t>M07.5B2</t>
  </si>
  <si>
    <t>M08.0B2</t>
  </si>
  <si>
    <t>M08.5B2</t>
  </si>
  <si>
    <t>M09.0B2</t>
  </si>
  <si>
    <t>M09.5B2</t>
  </si>
  <si>
    <t>M10.0B2</t>
  </si>
  <si>
    <t>M10.5B2</t>
  </si>
  <si>
    <t>M11.0B2</t>
  </si>
  <si>
    <t>M03.5B3</t>
  </si>
  <si>
    <t>M04.0B3</t>
  </si>
  <si>
    <t>M04.5B3</t>
  </si>
  <si>
    <t>M05.0B3</t>
  </si>
  <si>
    <t>M05.5B3</t>
  </si>
  <si>
    <t>M06.0B3</t>
  </si>
  <si>
    <t>M06.5B3</t>
  </si>
  <si>
    <t>M07.0B3</t>
  </si>
  <si>
    <t>M07.5B3</t>
  </si>
  <si>
    <t>M08.0B3</t>
  </si>
  <si>
    <t>M08.5B3</t>
  </si>
  <si>
    <t>M09.0B3</t>
  </si>
  <si>
    <t>M09.5B3</t>
  </si>
  <si>
    <t>M10.0B3</t>
  </si>
  <si>
    <t>M10.5B3</t>
  </si>
  <si>
    <t>M11.0B3</t>
  </si>
  <si>
    <t>B03.5C</t>
  </si>
  <si>
    <t>B04.0C</t>
  </si>
  <si>
    <t>B04.5C</t>
  </si>
  <si>
    <t>B05.0C</t>
  </si>
  <si>
    <t>B05.5C</t>
  </si>
  <si>
    <t>B06.0C</t>
  </si>
  <si>
    <t>B06.5C</t>
  </si>
  <si>
    <t>B07.0C</t>
  </si>
  <si>
    <t>B07.5C</t>
  </si>
  <si>
    <t>B08.0C</t>
  </si>
  <si>
    <t>B08.5C</t>
  </si>
  <si>
    <t>B09.0C</t>
  </si>
  <si>
    <t>B09.5C</t>
  </si>
  <si>
    <t>B10.0C</t>
  </si>
  <si>
    <t>B10.5C</t>
  </si>
  <si>
    <t>B11.0C</t>
  </si>
  <si>
    <t>B11.5C</t>
  </si>
  <si>
    <t>B12.0C</t>
  </si>
  <si>
    <t>B12.5C</t>
  </si>
  <si>
    <t>I06.0C</t>
  </si>
  <si>
    <t>I06.5C</t>
  </si>
  <si>
    <t>I07.0C</t>
  </si>
  <si>
    <t>I07.5C</t>
  </si>
  <si>
    <t>I08.0C</t>
  </si>
  <si>
    <t>I08.5C</t>
  </si>
  <si>
    <t>I09.0C</t>
  </si>
  <si>
    <t>I09.5C</t>
  </si>
  <si>
    <t>I10.0C</t>
  </si>
  <si>
    <t>I10.5C</t>
  </si>
  <si>
    <t>I11.0C</t>
  </si>
  <si>
    <t>I11.5C</t>
  </si>
  <si>
    <t>I12.0C</t>
  </si>
  <si>
    <t>I12.5C</t>
  </si>
  <si>
    <t>I13.0C</t>
  </si>
  <si>
    <t>I13.5C</t>
  </si>
  <si>
    <t>I14.0C</t>
  </si>
  <si>
    <t>I14.5C</t>
  </si>
  <si>
    <t>I15.0C</t>
  </si>
  <si>
    <t>I15.5C</t>
  </si>
  <si>
    <t>M06.0C1</t>
  </si>
  <si>
    <t>M06.5C1</t>
  </si>
  <si>
    <t>M07.0C1</t>
  </si>
  <si>
    <t>M07.5C1</t>
  </si>
  <si>
    <t>M08.0C1</t>
  </si>
  <si>
    <t>M08.5C1</t>
  </si>
  <si>
    <t>M09.0C1</t>
  </si>
  <si>
    <t>M09.5C1</t>
  </si>
  <si>
    <t>M10.0C1</t>
  </si>
  <si>
    <t>M10.5C1</t>
  </si>
  <si>
    <t>M11.0C1</t>
  </si>
  <si>
    <t>M11.5C1</t>
  </si>
  <si>
    <t>M12.0C1</t>
  </si>
  <si>
    <t>M12.5C1</t>
  </si>
  <si>
    <t>M13.0C1</t>
  </si>
  <si>
    <t>M13.5C1</t>
  </si>
  <si>
    <t>M14.0C1</t>
  </si>
  <si>
    <t>M14.5C1</t>
  </si>
  <si>
    <t>M15.0C1</t>
  </si>
  <si>
    <t>M15.5C1</t>
  </si>
  <si>
    <t>M06.0C2</t>
  </si>
  <si>
    <t>M06.5C2</t>
  </si>
  <si>
    <t>M07.0C2</t>
  </si>
  <si>
    <t>M07.5C2</t>
  </si>
  <si>
    <t>M08.0C2</t>
  </si>
  <si>
    <t>M08.5C2</t>
  </si>
  <si>
    <t>M09.0C2</t>
  </si>
  <si>
    <t>M09.5C2</t>
  </si>
  <si>
    <t>M10.0C2</t>
  </si>
  <si>
    <t>M10.5C2</t>
  </si>
  <si>
    <t>M11.0C2</t>
  </si>
  <si>
    <t>M11.5C2</t>
  </si>
  <si>
    <t>M12.0C2</t>
  </si>
  <si>
    <t>M12.5C2</t>
  </si>
  <si>
    <t>M13.0C2</t>
  </si>
  <si>
    <t>M13.5C2</t>
  </si>
  <si>
    <t>M14.0C2</t>
  </si>
  <si>
    <t>M14.5C2</t>
  </si>
  <si>
    <t>M15.0C2</t>
  </si>
  <si>
    <t>M15.5C2</t>
  </si>
  <si>
    <t>M06.0C3</t>
  </si>
  <si>
    <t>M06.5C3</t>
  </si>
  <si>
    <t>M07.0C3</t>
  </si>
  <si>
    <t>M07.5C3</t>
  </si>
  <si>
    <t>M08.0C3</t>
  </si>
  <si>
    <t>M08.5C3</t>
  </si>
  <si>
    <t>M09.0C3</t>
  </si>
  <si>
    <t>M09.5C3</t>
  </si>
  <si>
    <t>M10.0C3</t>
  </si>
  <si>
    <t>M10.5C3</t>
  </si>
  <si>
    <t>M11.0C3</t>
  </si>
  <si>
    <t>M11.5C3</t>
  </si>
  <si>
    <t>M12.0C3</t>
  </si>
  <si>
    <t>M12.5C3</t>
  </si>
  <si>
    <t>M13.0C3</t>
  </si>
  <si>
    <t>M13.5C3</t>
  </si>
  <si>
    <t>M14.0C3</t>
  </si>
  <si>
    <t>M14.5C3</t>
  </si>
  <si>
    <t>M15.0C3</t>
  </si>
  <si>
    <t>M15.5C3</t>
  </si>
  <si>
    <t>Position Title</t>
  </si>
  <si>
    <t xml:space="preserve">FTE - Total 
Direct Care </t>
  </si>
  <si>
    <t>Program Manager Cost</t>
  </si>
  <si>
    <t xml:space="preserve">Relief A Cost </t>
  </si>
  <si>
    <t>Clinician Cost</t>
  </si>
  <si>
    <t>Model Type Name</t>
  </si>
  <si>
    <t>Benchmark Title</t>
  </si>
  <si>
    <t>Benchmark Salary</t>
  </si>
  <si>
    <t>Direct Care III</t>
  </si>
  <si>
    <t>Clinical w/ Independent licensure</t>
  </si>
  <si>
    <t>Registerd Nurse (BA)</t>
  </si>
  <si>
    <t>Certified Nursing Assistant (CNA)</t>
  </si>
  <si>
    <t>Embedded hourly rate</t>
  </si>
  <si>
    <t>Medical designation</t>
  </si>
  <si>
    <t>Staff Title</t>
  </si>
  <si>
    <t xml:space="preserve">Basic  </t>
  </si>
  <si>
    <t xml:space="preserve">Intermediate  </t>
  </si>
  <si>
    <t>Relief A</t>
  </si>
  <si>
    <t>Relief B</t>
  </si>
  <si>
    <t>Models</t>
  </si>
  <si>
    <t>Comparison</t>
  </si>
  <si>
    <t>Vehicle Add-Ons</t>
  </si>
  <si>
    <t>Capacity - letter</t>
  </si>
  <si>
    <t>Northeast</t>
  </si>
  <si>
    <t>Southeast</t>
  </si>
  <si>
    <t>Cape and Islands</t>
  </si>
  <si>
    <t>Total</t>
  </si>
  <si>
    <t>Relief Assumptions</t>
  </si>
  <si>
    <t>Days</t>
  </si>
  <si>
    <t>Hours</t>
  </si>
  <si>
    <t>Vacation/Sick Personal</t>
  </si>
  <si>
    <t>Holidays</t>
  </si>
  <si>
    <t>Training &amp; meetings</t>
  </si>
  <si>
    <t>Total hours per FTE</t>
  </si>
  <si>
    <r>
      <t>Relief Staff Ratio</t>
    </r>
    <r>
      <rPr>
        <sz val="9"/>
        <rFont val="Calibri"/>
        <family val="2"/>
        <scheme val="minor"/>
      </rPr>
      <t xml:space="preserve"> 
(% of FTEs)</t>
    </r>
  </si>
  <si>
    <t>Below the Line Expenses</t>
  </si>
  <si>
    <t>Notes</t>
  </si>
  <si>
    <t>Benchmarked to Program Management</t>
  </si>
  <si>
    <t>Benchmarked to Direct Care</t>
  </si>
  <si>
    <t>Medical Model Weights - Blended Salaries Independent by Model</t>
  </si>
  <si>
    <t>Staffing Add-On Models</t>
  </si>
  <si>
    <t>Title</t>
  </si>
  <si>
    <t>Region</t>
  </si>
  <si>
    <t>Agency</t>
  </si>
  <si>
    <t>Base</t>
  </si>
  <si>
    <t>MCB</t>
  </si>
  <si>
    <t>DDS - 3751</t>
  </si>
  <si>
    <t>DDS - 3153</t>
  </si>
  <si>
    <t xml:space="preserve">% </t>
  </si>
  <si>
    <t>Minimum Wage</t>
  </si>
  <si>
    <t>DDS</t>
  </si>
  <si>
    <t>C.N.A.</t>
  </si>
  <si>
    <t>DDS - 3753 - Occ.</t>
  </si>
  <si>
    <t>DDS - 3713 - Occ.</t>
  </si>
  <si>
    <t>DDS - Emer. Stab.</t>
  </si>
  <si>
    <t>MCB -Occ.</t>
  </si>
  <si>
    <t>Variance (%)</t>
  </si>
  <si>
    <t>Total Fiscal Impact</t>
  </si>
  <si>
    <t>N/A</t>
  </si>
  <si>
    <t>DDS - Site Respite</t>
  </si>
  <si>
    <t>Gas Price</t>
  </si>
  <si>
    <t>Mileage Assumption</t>
  </si>
  <si>
    <t>Depreciable Life</t>
  </si>
  <si>
    <t>Maintanence Factor</t>
  </si>
  <si>
    <t>Useage Adjustment</t>
  </si>
  <si>
    <t>Vehicle Mix</t>
  </si>
  <si>
    <t>Annual Cost</t>
  </si>
  <si>
    <t>Per Unit</t>
  </si>
  <si>
    <t>Sedans</t>
  </si>
  <si>
    <t>MPG (City)</t>
  </si>
  <si>
    <t>Maint</t>
  </si>
  <si>
    <t>Depreciation</t>
  </si>
  <si>
    <t>Gas</t>
  </si>
  <si>
    <t>Insurance</t>
  </si>
  <si>
    <t>Total Annual</t>
  </si>
  <si>
    <t>Honda Civic</t>
  </si>
  <si>
    <t>Toyota Corolla</t>
  </si>
  <si>
    <t>Nissan Altima</t>
  </si>
  <si>
    <t>Average</t>
  </si>
  <si>
    <t>Minivans</t>
  </si>
  <si>
    <t>Toyota Sienna</t>
  </si>
  <si>
    <t>Honda Odyssey</t>
  </si>
  <si>
    <t>Kia Carnival</t>
  </si>
  <si>
    <t>Vans</t>
  </si>
  <si>
    <t>Chevy Express</t>
  </si>
  <si>
    <t>Ford Transit Wagon</t>
  </si>
  <si>
    <t>GMC Savana</t>
  </si>
  <si>
    <r>
      <t>Relief Staff Ratio</t>
    </r>
    <r>
      <rPr>
        <sz val="11"/>
        <rFont val="Calibri"/>
        <family val="2"/>
        <scheme val="minor"/>
      </rPr>
      <t xml:space="preserve"> 
(% of FTEs)</t>
    </r>
  </si>
  <si>
    <t>S03.5B</t>
  </si>
  <si>
    <t>S06.0C</t>
  </si>
  <si>
    <t>S04.0B</t>
  </si>
  <si>
    <t>S04.5B</t>
  </si>
  <si>
    <t>S05.0B</t>
  </si>
  <si>
    <t>S05.5B</t>
  </si>
  <si>
    <t>S06.0B</t>
  </si>
  <si>
    <t>S06.5B</t>
  </si>
  <si>
    <t>S07.0B</t>
  </si>
  <si>
    <t>S07.5B</t>
  </si>
  <si>
    <t>S08.0B</t>
  </si>
  <si>
    <t>S08.5B</t>
  </si>
  <si>
    <t>S09.0B</t>
  </si>
  <si>
    <t>S09.5B</t>
  </si>
  <si>
    <t>S06.5C</t>
  </si>
  <si>
    <t>S07.0C</t>
  </si>
  <si>
    <t>S07.5C</t>
  </si>
  <si>
    <t>S08.0C</t>
  </si>
  <si>
    <t>S08.5C</t>
  </si>
  <si>
    <t>S09.0C</t>
  </si>
  <si>
    <t>S09.5C</t>
  </si>
  <si>
    <t>Case Worker %</t>
  </si>
  <si>
    <t>Blended Salaries</t>
  </si>
  <si>
    <t>DC III</t>
  </si>
  <si>
    <t>Behavior Analyst</t>
  </si>
  <si>
    <t xml:space="preserve">Specialty  </t>
  </si>
  <si>
    <t>Specialty Cost</t>
  </si>
  <si>
    <t>Blended Salary</t>
  </si>
  <si>
    <t>Occupational Therapist</t>
  </si>
  <si>
    <t xml:space="preserve">Dietician / Nutritionist </t>
  </si>
  <si>
    <t>Physical Therapist</t>
  </si>
  <si>
    <t>Speech Language Pathologists</t>
  </si>
  <si>
    <t>PBS</t>
  </si>
  <si>
    <t>PBS Cost</t>
  </si>
  <si>
    <t>Benchmarked to PhD Psych</t>
  </si>
  <si>
    <t>S10.0B</t>
  </si>
  <si>
    <t>S10.5B</t>
  </si>
  <si>
    <t>S11.0B</t>
  </si>
  <si>
    <t>S10.0C</t>
  </si>
  <si>
    <t>S10.5C</t>
  </si>
  <si>
    <t>S11.0C</t>
  </si>
  <si>
    <t>S11.5C</t>
  </si>
  <si>
    <t>S12.0C</t>
  </si>
  <si>
    <t>S13.0C</t>
  </si>
  <si>
    <t>S13.5C</t>
  </si>
  <si>
    <t>S14.0C</t>
  </si>
  <si>
    <t>S14.5C</t>
  </si>
  <si>
    <t>S15.0C</t>
  </si>
  <si>
    <t>S15.5C</t>
  </si>
  <si>
    <t>S12.5C</t>
  </si>
  <si>
    <t>Specialized Behavioral</t>
  </si>
  <si>
    <t>Specialized Behavioral Models</t>
  </si>
  <si>
    <t>Specialized Behavioral Blended Salaries</t>
  </si>
  <si>
    <t>Specialized Behavioral Blended Salaries - Specialist</t>
  </si>
  <si>
    <t>Benchmarked to Direct Care III, Specialty benchmarked to Case Manager</t>
  </si>
  <si>
    <t>B = DC, I = 91/9 DC/DCIII, M = refer to med chart, Specialty benchmarked to Specialized Behavioral Blended Salaries</t>
  </si>
  <si>
    <t>Benchmarked to Direct Care, Specialty benchmarked to Specialized Behavioral Blended Salaries</t>
  </si>
  <si>
    <t>B &amp; I - DC Day Salary, M = refer to med chart&lt; Specialty benchmarked to Specialized Behavioral Blended Salaries</t>
  </si>
  <si>
    <t>Benchmarked to $15/ hr, Specialty benchmarked to Specialized Behavioral Blended Salaries</t>
  </si>
  <si>
    <t>Benchmarked to Specialized Behavioral Blended Salaries</t>
  </si>
  <si>
    <t>Service Unit: Per Enrolled Per Day</t>
  </si>
  <si>
    <t>Expense</t>
  </si>
  <si>
    <t/>
  </si>
  <si>
    <t>Total Staffing</t>
  </si>
  <si>
    <t>Total Salary</t>
  </si>
  <si>
    <t>Non-Salary Expenses</t>
  </si>
  <si>
    <t>Staff Training</t>
  </si>
  <si>
    <t>Staff Mileage / Travel</t>
  </si>
  <si>
    <t>Staff Technology</t>
  </si>
  <si>
    <t>Program Technology</t>
  </si>
  <si>
    <t>Call center cost</t>
  </si>
  <si>
    <t>Emergency back up support</t>
  </si>
  <si>
    <t>Total Non-Salary</t>
  </si>
  <si>
    <t>Total Expenses</t>
  </si>
  <si>
    <t>Admin. Allocation</t>
  </si>
  <si>
    <t>Daily Rate</t>
  </si>
  <si>
    <t>Hourly Rate</t>
  </si>
  <si>
    <t xml:space="preserve">Remote Supports and Monitoring </t>
  </si>
  <si>
    <t>Add-on: Remote Supports &amp; Monitoring</t>
  </si>
  <si>
    <t>Non-Salary Expense - Remote Direct Support</t>
  </si>
  <si>
    <t>Add-on: Remote Direct Support</t>
  </si>
  <si>
    <t>Remote Direct Supports</t>
  </si>
  <si>
    <t>BLS / OES</t>
  </si>
  <si>
    <t>53 Percentile</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</si>
  <si>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</si>
  <si>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</si>
  <si>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</si>
  <si>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</si>
  <si>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</si>
  <si>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</si>
  <si>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</si>
  <si>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</si>
  <si>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</si>
  <si>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</si>
  <si>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</si>
  <si>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</si>
  <si>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</si>
  <si>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</si>
  <si>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</si>
  <si>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</si>
  <si>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</si>
  <si>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</si>
  <si>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</si>
  <si>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</si>
  <si>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</si>
  <si>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</si>
  <si>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</si>
  <si>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</si>
  <si>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</si>
  <si>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</si>
  <si>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</si>
  <si>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</si>
  <si>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</si>
  <si>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</si>
  <si>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</si>
  <si>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</si>
  <si>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</si>
  <si>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</si>
  <si>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</si>
  <si>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</si>
  <si>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</si>
  <si>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</si>
  <si>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</si>
  <si>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</si>
  <si>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</si>
  <si>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</si>
  <si>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</si>
  <si>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</si>
  <si>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</si>
  <si>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</si>
  <si>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</si>
  <si>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Therapists</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</si>
  <si>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</si>
  <si>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</si>
  <si>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</si>
  <si>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</si>
  <si>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</si>
  <si>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</si>
  <si>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</si>
  <si>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</si>
  <si>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</si>
  <si>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</si>
  <si>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</si>
  <si>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</si>
  <si>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</si>
  <si>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</si>
  <si>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</si>
  <si>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</si>
  <si>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</si>
  <si>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Total Hours per FTE:</t>
  </si>
  <si>
    <t xml:space="preserve">Tax and Fringe =  </t>
  </si>
  <si>
    <t xml:space="preserve">Terminal leave, and  retirement.  Does include Paid Family Medical Leave tax.
Includes and additional 2% to be used at providers descretion for retirement and/or other benefits
</t>
  </si>
  <si>
    <t>C.257 Benchmark</t>
  </si>
  <si>
    <t>Misc. BLS benchmarks</t>
  </si>
  <si>
    <t>Psychiatrist *</t>
  </si>
  <si>
    <t>Medical Director</t>
  </si>
  <si>
    <t>Physician Assistants</t>
  </si>
  <si>
    <t>Food Service I</t>
  </si>
  <si>
    <t>Food Service II</t>
  </si>
  <si>
    <t>Average of benchmarks Direct Care and Direct Care III</t>
  </si>
  <si>
    <t>Food Service III</t>
  </si>
  <si>
    <t>Benchmarked to Direct Care III</t>
  </si>
  <si>
    <t>Maintenence I</t>
  </si>
  <si>
    <t>Maintenence II</t>
  </si>
  <si>
    <t>Maintenence III</t>
  </si>
  <si>
    <t>*</t>
  </si>
  <si>
    <t>Massachusetts Economic Indicators</t>
  </si>
  <si>
    <t>Prepared by Michael Lynch, 781-301-9129</t>
  </si>
  <si>
    <t>FY26</t>
  </si>
  <si>
    <t>FY27</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</si>
  <si>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</si>
  <si>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</si>
  <si>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</si>
  <si>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</si>
  <si>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</si>
  <si>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</si>
  <si>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</si>
  <si>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</si>
  <si>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</si>
  <si>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</si>
  <si>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</si>
  <si>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</si>
  <si>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</si>
  <si>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</si>
  <si>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</si>
  <si>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</si>
  <si>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</si>
  <si>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</si>
  <si>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</si>
  <si>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</si>
  <si>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</si>
  <si>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</si>
  <si>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</si>
  <si>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</si>
  <si>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</si>
  <si>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</si>
  <si>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</si>
  <si>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</si>
  <si>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</si>
  <si>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</si>
  <si>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</si>
  <si>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</si>
  <si>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</si>
  <si>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</si>
  <si>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</si>
  <si>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</si>
  <si>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</si>
  <si>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</si>
  <si>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</si>
  <si>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</si>
  <si>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</si>
  <si>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</si>
  <si>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</si>
  <si>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</si>
  <si>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</si>
  <si>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</si>
  <si>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</si>
  <si>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</si>
  <si>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</si>
  <si>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</si>
  <si>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</si>
  <si>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</si>
  <si>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</si>
  <si>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</si>
  <si>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</si>
  <si>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</si>
  <si>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</si>
  <si>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</si>
  <si>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</si>
  <si>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</si>
  <si>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</si>
  <si>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</si>
  <si>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</si>
  <si>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</si>
  <si>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</si>
  <si>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</si>
  <si>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</si>
  <si>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</si>
  <si>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</si>
  <si>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</si>
  <si>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</si>
  <si>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</si>
  <si>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</si>
  <si>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</si>
  <si>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</si>
  <si>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</si>
  <si>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</si>
  <si>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</si>
  <si>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</si>
  <si>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</si>
  <si>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</si>
  <si>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</si>
  <si>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</si>
  <si>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</si>
  <si>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</si>
  <si>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</si>
  <si>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</si>
  <si>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</si>
  <si>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</si>
  <si>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</si>
  <si>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</si>
  <si>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</si>
  <si>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</si>
  <si>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</si>
  <si>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</si>
  <si>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</si>
  <si>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</si>
  <si>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</si>
  <si>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</si>
  <si>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</si>
  <si>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</si>
  <si>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</si>
  <si>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</si>
  <si>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</si>
  <si>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</si>
  <si>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CPI--BASELINE SCENARIO (1982-84=1)</t>
  </si>
  <si>
    <t>CPIBASEMA</t>
  </si>
  <si>
    <t>CPI--OPTIMISTIC SCENARIO (1982-84=1)</t>
  </si>
  <si>
    <t>CPIOPTMA</t>
  </si>
  <si>
    <t>CPI--PESSIMISTIC SCENARIO (1982-84=1)</t>
  </si>
  <si>
    <t>CPIPESSMA</t>
  </si>
  <si>
    <t xml:space="preserve">Base period: </t>
  </si>
  <si>
    <t xml:space="preserve">Prospective rate period: </t>
  </si>
  <si>
    <t>CAF:</t>
  </si>
  <si>
    <t>Occupancy</t>
  </si>
  <si>
    <t>FY28</t>
  </si>
  <si>
    <t>2030Q1</t>
  </si>
  <si>
    <t>2030Q2</t>
  </si>
  <si>
    <t>2030Q3</t>
  </si>
  <si>
    <t>2030Q4</t>
  </si>
  <si>
    <t>New Rates</t>
  </si>
  <si>
    <t>FY27 CAF</t>
  </si>
  <si>
    <t>BLS/OES</t>
  </si>
  <si>
    <t>position</t>
  </si>
  <si>
    <t>50 Percentile</t>
  </si>
  <si>
    <t>53rd Percentile</t>
  </si>
  <si>
    <t>BLS Occupational Code</t>
  </si>
  <si>
    <t xml:space="preserve">
21-1093, 31-1120, 31-2022, 31-9099</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</si>
  <si>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</si>
  <si>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</si>
  <si>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</si>
  <si>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</si>
  <si>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</si>
  <si>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</si>
  <si>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</si>
  <si>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</si>
  <si>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</si>
  <si>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</si>
  <si>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</si>
  <si>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</si>
  <si>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</si>
  <si>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</si>
  <si>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</si>
  <si>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NEW (FY27)</t>
  </si>
  <si>
    <t>FY25 Spend</t>
  </si>
  <si>
    <t>New FY27</t>
  </si>
  <si>
    <t>MBY</t>
  </si>
  <si>
    <t>MBY- Occ.</t>
  </si>
  <si>
    <t>New (FY27)</t>
  </si>
  <si>
    <t>2026 MSRP</t>
  </si>
  <si>
    <t>2024 MSRP</t>
  </si>
  <si>
    <t>40 Percentile</t>
  </si>
  <si>
    <t>53rd % BLS</t>
  </si>
  <si>
    <t>S&amp;P Global Market Intelligence, Fall 2025</t>
  </si>
  <si>
    <t>FY25</t>
  </si>
  <si>
    <t>2031Q1</t>
  </si>
  <si>
    <t>2031Q2</t>
  </si>
  <si>
    <t>2031Q3</t>
  </si>
  <si>
    <t>2031Q4</t>
  </si>
  <si>
    <t>Assumption for new rates that are to be promulgated July 1, 2026</t>
  </si>
  <si>
    <t>BASELINE SCENARIO</t>
  </si>
  <si>
    <t>July 1, 2026- June 30, 2028</t>
  </si>
  <si>
    <t>OPTIMISTIC SCENARIO</t>
  </si>
  <si>
    <t>Prospective rate period:</t>
  </si>
  <si>
    <t>* - M2022 numbers came in lower so the prior M2023 amount was used</t>
  </si>
  <si>
    <t xml:space="preserve">CURRENT </t>
  </si>
  <si>
    <t>Variance ($)</t>
  </si>
  <si>
    <t>current rate</t>
  </si>
  <si>
    <t>Direct Care Productivity Chart</t>
  </si>
  <si>
    <t>Nursing / Clinical Staff Productivity Chart</t>
  </si>
  <si>
    <t>Vacation / Sick / Personal (PTO)</t>
  </si>
  <si>
    <t>Training (not OJT)</t>
  </si>
  <si>
    <t>Travel / Admin / Supervision / Training / Misc</t>
  </si>
  <si>
    <t>Massachusetts average gas prices</t>
  </si>
  <si>
    <t>Regular</t>
  </si>
  <si>
    <t>Mid-Grade</t>
  </si>
  <si>
    <t>Premium</t>
  </si>
  <si>
    <t>Diesel</t>
  </si>
  <si>
    <t>Current Avg.</t>
  </si>
  <si>
    <t>Yesterday Avg.</t>
  </si>
  <si>
    <t>Week Ago Avg.</t>
  </si>
  <si>
    <t>Month Ago Avg.</t>
  </si>
  <si>
    <t>Year Ago Avg.</t>
  </si>
  <si>
    <t>Holiday Season Delivers Lower Gas Prices to End 2025 Read more »</t>
  </si>
  <si>
    <t>202 MSRP</t>
  </si>
  <si>
    <t>Rate Component Information</t>
  </si>
  <si>
    <t>Vehicle type</t>
  </si>
  <si>
    <t>Direct Care FTE</t>
  </si>
  <si>
    <t>House Manager (NOT incl in DC FTE)</t>
  </si>
  <si>
    <t>DC Medical %</t>
  </si>
  <si>
    <t>Estimated DC Nursing FTE (incl in DC FTE)</t>
  </si>
  <si>
    <t>Nursing Consultant (Hrs/Wk)</t>
  </si>
  <si>
    <t>Clinical Consultant (Hrs/ Wk)</t>
  </si>
  <si>
    <t>Added this back in - we had this in the last review folder</t>
  </si>
  <si>
    <t>Capacity Range</t>
  </si>
  <si>
    <t>Model Intensity</t>
  </si>
  <si>
    <t>Proposed</t>
  </si>
  <si>
    <t>Occupancy Rate Index</t>
  </si>
  <si>
    <t>Site Unit Cost Range</t>
  </si>
  <si>
    <r>
      <t>Per Diem</t>
    </r>
    <r>
      <rPr>
        <b/>
        <sz val="11"/>
        <color rgb="FF000000"/>
        <rFont val="Arial"/>
        <family val="2"/>
      </rPr>
      <t xml:space="preserve"> Site Rate</t>
    </r>
  </si>
  <si>
    <t>Max Allowable Rate Index</t>
  </si>
  <si>
    <t>Max allowable Monthly Rate</t>
  </si>
  <si>
    <t>Max Allowable Monthly rate</t>
  </si>
  <si>
    <t>$0.01 - $3.84</t>
  </si>
  <si>
    <t>Central/West</t>
  </si>
  <si>
    <t>$3.85 - $8.30</t>
  </si>
  <si>
    <t>$8.31 - $12.76</t>
  </si>
  <si>
    <t>$12.77 - $17.22</t>
  </si>
  <si>
    <t>Metro Boston</t>
  </si>
  <si>
    <t>$17.23 - $21.68</t>
  </si>
  <si>
    <t>Medical/ABI/Behavioral</t>
  </si>
  <si>
    <t>$21.69 - $26.15</t>
  </si>
  <si>
    <t>$26.16 - $30.60</t>
  </si>
  <si>
    <t>$30.61 - $35.07</t>
  </si>
  <si>
    <t>$35.08 - $39.52</t>
  </si>
  <si>
    <t>$39.53 - $43.98</t>
  </si>
  <si>
    <t>$43.99 - $48.44</t>
  </si>
  <si>
    <t>$48.45 - $52.90</t>
  </si>
  <si>
    <t>$52.91 - $57.36</t>
  </si>
  <si>
    <t>$57.37 - $61.82</t>
  </si>
  <si>
    <t>$61.83 - $66.28</t>
  </si>
  <si>
    <t>$66.29 - $70.74</t>
  </si>
  <si>
    <t>$70.75 - $75.20</t>
  </si>
  <si>
    <t>$75.21 - $79.66</t>
  </si>
  <si>
    <t>$79.67 - $84.12</t>
  </si>
  <si>
    <t>$84.13 - $88.58</t>
  </si>
  <si>
    <t>$88.59 - $94.15</t>
  </si>
  <si>
    <t>$94.16 - $99.73</t>
  </si>
  <si>
    <t>$99.74 - $103.07</t>
  </si>
  <si>
    <t>$103.08 - $107.53</t>
  </si>
  <si>
    <t>$107.54 - $111.99</t>
  </si>
  <si>
    <t>$112.00 - $116.45</t>
  </si>
  <si>
    <t>$116.46 - $120.91</t>
  </si>
  <si>
    <t>$120.92 - $125.37</t>
  </si>
  <si>
    <t>$125.38 - $129.83</t>
  </si>
  <si>
    <t>$129.84 - $134.29</t>
  </si>
  <si>
    <t>$134.30 - $138.75</t>
  </si>
  <si>
    <t>$138.76 - $143.21</t>
  </si>
  <si>
    <t>$143.22 +</t>
  </si>
  <si>
    <t>FY25 CAF</t>
  </si>
  <si>
    <t>52 wks *40 hours</t>
  </si>
  <si>
    <t>52 weeks* 40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</si>
</sst>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
    <numFmt numFmtId="165" formatCode="0.0"/>
    <numFmt numFmtId="166" formatCode="0.0%"/>
    <numFmt numFmtId="167" formatCode="_(&quot;$&quot;* #,##0.00_);_(&quot;$&quot;* \(#,##0.00\);_(&quot;$&quot;* &quot;-&quot;_);_(@_)"/>
    <numFmt numFmtId="168" formatCode="_(* #,##0_);_(* \(#,##0\);_(* &quot;-&quot;??_);_(@_)"/>
    <numFmt numFmtId="169" formatCode="\$#,##0.00"/>
    <numFmt numFmtId="170" formatCode="_(&quot;$&quot;* #,##0_);_(&quot;$&quot;* \(#,##0\);_(&quot;$&quot;* &quot;-&quot;??_);_(@_)"/>
    <numFmt numFmtId="171" formatCode="&quot;$&quot;#,##0"/>
    <numFmt numFmtId="172" formatCode="&quot;$&quot;#,##0.00"/>
    <numFmt numFmtId="173" formatCode="0.000"/>
  </numFmts>
  <fonts count="7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9"/>
      <name val="Calibri"/>
      <family val="2"/>
      <scheme val="minor"/>
    </font>
    <font>
      <sz val="11"/>
      <color theme="1"/>
      <name val="Calibri"/>
      <family val="2"/>
    </font>
    <font>
      <b/>
      <i/>
      <sz val="11"/>
      <name val="Calibri"/>
      <family val="2"/>
      <scheme val="minor"/>
    </font>
    <font>
      <b/>
      <sz val="10"/>
      <color theme="1"/>
      <name val="Calibri"/>
      <family val="2"/>
      <scheme val="minor"/>
    </font>
    <font>
      <b/>
      <sz val="10"/>
      <name val="Calibri"/>
      <family val="2"/>
      <scheme val="minor"/>
    </font>
    <font>
      <sz val="11"/>
      <name val="Arial"/>
      <family val="2"/>
    </font>
    <font>
      <sz val="10"/>
      <name val="Arial"/>
      <family val="2"/>
    </font>
    <font>
      <b/>
      <sz val="1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theme="1"/>
      <name val="Tahoma"/>
      <family val="2"/>
    </font>
    <font>
      <sz val="10"/>
      <name val="MS Sans Serif"/>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b/>
      <u/>
      <sz val="11"/>
      <name val="Calibri"/>
      <family val="2"/>
      <scheme val="minor"/>
    </font>
    <font>
      <b/>
      <i/>
      <sz val="11"/>
      <color theme="1"/>
      <name val="Calibri"/>
      <family val="2"/>
      <scheme val="minor"/>
    </font>
    <font>
      <b/>
      <sz val="14"/>
      <color theme="1"/>
      <name val="Calibri"/>
      <family val="2"/>
      <scheme val="minor"/>
    </font>
    <font>
      <b/>
      <u val="doubleAccounting"/>
      <sz val="11"/>
      <name val="Calibri"/>
      <family val="2"/>
      <scheme val="minor"/>
    </font>
    <font>
      <sz val="9"/>
      <name val="Calibri"/>
      <family val="2"/>
      <scheme val="minor"/>
    </font>
    <font>
      <b/>
      <sz val="14"/>
      <name val="Arial"/>
      <family val="2"/>
    </font>
    <font>
      <b/>
      <sz val="12"/>
      <color indexed="81"/>
      <name val="Tahoma"/>
      <family val="2"/>
    </font>
    <font>
      <sz val="10"/>
      <color indexed="81"/>
      <name val="Tahoma"/>
      <family val="2"/>
    </font>
    <font>
      <b/>
      <sz val="12"/>
      <name val="Arial"/>
      <family val="2"/>
    </font>
    <font>
      <b/>
      <sz val="10"/>
      <name val="Arial"/>
      <family val="2"/>
    </font>
    <font>
      <b/>
      <sz val="11"/>
      <name val="Arial"/>
      <family val="2"/>
    </font>
    <font>
      <b/>
      <sz val="10"/>
      <color rgb="FFFF0000"/>
      <name val="Arial"/>
      <family val="2"/>
    </font>
    <font>
      <sz val="10"/>
      <color rgb="FFFF0000"/>
      <name val="Arial"/>
      <family val="2"/>
    </font>
    <font>
      <b/>
      <u/>
      <sz val="10"/>
      <name val="Arial"/>
      <family val="2"/>
    </font>
    <font>
      <sz val="8"/>
      <name val="Calibri"/>
      <family val="2"/>
      <scheme val="minor"/>
    </font>
    <font>
      <sz val="10"/>
      <color theme="1"/>
      <name val="Arial"/>
      <family val="2"/>
    </font>
    <font>
      <i/>
      <sz val="11"/>
      <color theme="1"/>
      <name val="Calibri"/>
      <family val="2"/>
      <scheme val="minor"/>
    </font>
    <font>
      <b/>
      <sz val="11"/>
      <color rgb="FFFF0000"/>
      <name val="Calibri"/>
      <family val="2"/>
      <scheme val="minor"/>
    </font>
    <font>
      <sz val="9"/>
      <color theme="1"/>
      <name val="Calibri"/>
      <family val="2"/>
      <scheme val="minor"/>
    </font>
    <font>
      <sz val="11"/>
      <color theme="1"/>
      <name val="Arial"/>
      <family val="2"/>
    </font>
    <font>
      <b/>
      <sz val="11"/>
      <color theme="1"/>
      <name val="Arial"/>
      <family val="2"/>
    </font>
    <font>
      <b/>
      <sz val="12"/>
      <color theme="1"/>
      <name val="Arial"/>
      <family val="2"/>
    </font>
    <font>
      <b/>
      <sz val="11"/>
      <color rgb="FF000000"/>
      <name val="Arial"/>
      <family val="2"/>
    </font>
    <font>
      <b/>
      <i/>
      <sz val="11"/>
      <color rgb="FF000000"/>
      <name val="Arial"/>
      <family val="2"/>
    </font>
    <font>
      <sz val="11"/>
      <color rgb="FF000000"/>
      <name val="Arial"/>
      <family val="2"/>
    </font>
    <font>
      <sz val="11"/>
      <color rgb="FFED0000"/>
      <name val="Calibri"/>
      <family val="2"/>
      <scheme val="minor"/>
    </font>
    <font>
      <b/>
      <sz val="11"/>
      <color rgb="FFED0000"/>
      <name val="Calibri"/>
      <family val="2"/>
      <scheme val="minor"/>
    </font>
    <font>
      <b/>
      <sz val="10"/>
      <color rgb="FFED0000"/>
      <name val="Arial"/>
      <family val="2"/>
    </font>
    <font>
      <b/>
      <sz val="26"/>
      <name val="Calibri"/>
      <family val="2"/>
      <scheme val="minor"/>
    </font>
    <font>
      <sz val="10"/>
      <name val="Calibri"/>
      <family val="2"/>
      <scheme val="minor"/>
    </font>
    <font>
      <b/>
      <sz val="14"/>
      <name val="Calibri"/>
      <family val="2"/>
      <scheme val="minor"/>
    </font>
    <font>
      <sz val="18"/>
      <name val="Calibri"/>
      <family val="2"/>
      <scheme val="minor"/>
    </font>
    <font>
      <sz val="9"/>
      <color theme="3" tint="-0.249977111117893"/>
      <name val="Calibri"/>
      <family val="2"/>
      <scheme val="minor"/>
    </font>
    <font>
      <sz val="11"/>
      <color theme="1" tint="0.34998626667073579"/>
      <name val="Arial"/>
      <family val="2"/>
    </font>
  </fonts>
  <fills count="42">
    <fill>
      <patternFill patternType="none"/>
    </fill>
    <fill>
      <patternFill patternType="gray125"/>
    </fill>
    <fill>
      <patternFill patternType="solid">
        <fgColor rgb="FFFFFFCC"/>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indexed="2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3" tint="0.89999084444715716"/>
        <bgColor indexed="64"/>
      </patternFill>
    </fill>
  </fills>
  <borders count="8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s>
  <cellStyleXfs count="25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1" fillId="0" borderId="0"/>
    <xf numFmtId="44" fontId="15" fillId="0" borderId="0" applyFont="0" applyFill="0" applyBorder="0" applyAlignment="0" applyProtection="0"/>
    <xf numFmtId="0" fontId="16" fillId="0" borderId="0"/>
    <xf numFmtId="0" fontId="16" fillId="0" borderId="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4" borderId="0" applyNumberFormat="0" applyBorder="0" applyAlignment="0" applyProtection="0"/>
    <xf numFmtId="0" fontId="21" fillId="8" borderId="0" applyNumberFormat="0" applyBorder="0" applyAlignment="0" applyProtection="0"/>
    <xf numFmtId="0" fontId="22" fillId="25" borderId="25" applyNumberFormat="0" applyAlignment="0" applyProtection="0"/>
    <xf numFmtId="0" fontId="22" fillId="25" borderId="25" applyNumberFormat="0" applyAlignment="0" applyProtection="0"/>
    <xf numFmtId="0" fontId="22" fillId="25" borderId="25" applyNumberFormat="0" applyAlignment="0" applyProtection="0"/>
    <xf numFmtId="0" fontId="22" fillId="25" borderId="25" applyNumberFormat="0" applyAlignment="0" applyProtection="0"/>
    <xf numFmtId="0" fontId="23" fillId="26" borderId="26" applyNumberFormat="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2" fontId="1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4" fillId="0" borderId="0" applyNumberFormat="0" applyFill="0" applyBorder="0" applyAlignment="0" applyProtection="0"/>
    <xf numFmtId="0" fontId="25" fillId="9"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26" fillId="0" borderId="27"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27" fillId="0" borderId="28"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28" fillId="0" borderId="29"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8" fillId="0" borderId="0" applyNumberFormat="0" applyFill="0" applyBorder="0" applyAlignment="0" applyProtection="0"/>
    <xf numFmtId="0" fontId="29" fillId="12" borderId="25" applyNumberFormat="0" applyAlignment="0" applyProtection="0"/>
    <xf numFmtId="0" fontId="29" fillId="12" borderId="25" applyNumberFormat="0" applyAlignment="0" applyProtection="0"/>
    <xf numFmtId="0" fontId="29" fillId="12" borderId="25" applyNumberFormat="0" applyAlignment="0" applyProtection="0"/>
    <xf numFmtId="0" fontId="29" fillId="12" borderId="25" applyNumberFormat="0" applyAlignment="0" applyProtection="0"/>
    <xf numFmtId="0" fontId="6" fillId="0" borderId="4" applyNumberFormat="0" applyFill="0" applyAlignment="0" applyProtection="0"/>
    <xf numFmtId="0" fontId="6" fillId="0" borderId="4" applyNumberFormat="0" applyFill="0" applyAlignment="0" applyProtection="0"/>
    <xf numFmtId="0" fontId="30" fillId="0" borderId="30" applyNumberFormat="0" applyFill="0" applyAlignment="0" applyProtection="0"/>
    <xf numFmtId="0" fontId="31" fillId="27" borderId="0" applyNumberFormat="0" applyBorder="0" applyAlignment="0" applyProtection="0"/>
    <xf numFmtId="0" fontId="16" fillId="0" borderId="0"/>
    <xf numFmtId="0" fontId="32" fillId="0" borderId="0"/>
    <xf numFmtId="0" fontId="16" fillId="0" borderId="0"/>
    <xf numFmtId="0" fontId="16" fillId="0" borderId="0"/>
    <xf numFmtId="0" fontId="1" fillId="0" borderId="0"/>
    <xf numFmtId="0" fontId="16" fillId="0" borderId="0"/>
    <xf numFmtId="0" fontId="16" fillId="0" borderId="0"/>
    <xf numFmtId="0" fontId="16" fillId="0" borderId="0"/>
    <xf numFmtId="0" fontId="11" fillId="0" borderId="0"/>
    <xf numFmtId="0" fontId="16" fillId="0" borderId="0"/>
    <xf numFmtId="0" fontId="1" fillId="0" borderId="0"/>
    <xf numFmtId="0" fontId="11" fillId="0" borderId="0"/>
    <xf numFmtId="0" fontId="1" fillId="0" borderId="0"/>
    <xf numFmtId="0" fontId="33" fillId="0" borderId="0"/>
    <xf numFmtId="0" fontId="16" fillId="0" borderId="0"/>
    <xf numFmtId="0" fontId="33" fillId="0" borderId="0"/>
    <xf numFmtId="0" fontId="1" fillId="0" borderId="0"/>
    <xf numFmtId="0" fontId="1" fillId="0" borderId="0"/>
    <xf numFmtId="0" fontId="16" fillId="0" borderId="0"/>
    <xf numFmtId="0" fontId="1" fillId="0" borderId="0"/>
    <xf numFmtId="0" fontId="16" fillId="0" borderId="0"/>
    <xf numFmtId="0" fontId="11" fillId="0" borderId="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 fillId="0" borderId="0"/>
    <xf numFmtId="0" fontId="34" fillId="0" borderId="0"/>
    <xf numFmtId="0" fontId="16" fillId="0" borderId="0"/>
    <xf numFmtId="0" fontId="1" fillId="0" borderId="0"/>
    <xf numFmtId="0" fontId="16" fillId="0" borderId="0"/>
    <xf numFmtId="0" fontId="11" fillId="0" borderId="0"/>
    <xf numFmtId="0" fontId="1" fillId="0" borderId="0"/>
    <xf numFmtId="0" fontId="16" fillId="0" borderId="0"/>
    <xf numFmtId="0" fontId="1" fillId="0" borderId="0"/>
    <xf numFmtId="0" fontId="1" fillId="0" borderId="0"/>
    <xf numFmtId="0" fontId="16" fillId="0" borderId="0"/>
    <xf numFmtId="0" fontId="1" fillId="2" borderId="5" applyNumberFormat="0" applyFont="0" applyAlignment="0" applyProtection="0"/>
    <xf numFmtId="0" fontId="1" fillId="2" borderId="5" applyNumberFormat="0" applyFont="0" applyAlignment="0" applyProtection="0"/>
    <xf numFmtId="0" fontId="16" fillId="28" borderId="31" applyNumberFormat="0" applyFont="0" applyAlignment="0" applyProtection="0"/>
    <xf numFmtId="0" fontId="35" fillId="25" borderId="32" applyNumberFormat="0" applyAlignment="0" applyProtection="0"/>
    <xf numFmtId="0" fontId="35" fillId="25" borderId="32" applyNumberFormat="0" applyAlignment="0" applyProtection="0"/>
    <xf numFmtId="0" fontId="35" fillId="25" borderId="32" applyNumberFormat="0" applyAlignment="0" applyProtection="0"/>
    <xf numFmtId="0" fontId="35" fillId="25" borderId="32" applyNumberFormat="0" applyAlignment="0" applyProtection="0"/>
    <xf numFmtId="9" fontId="1" fillId="0" borderId="0" applyFont="0" applyFill="0" applyBorder="0" applyAlignment="0" applyProtection="0"/>
    <xf numFmtId="9" fontId="11" fillId="0" borderId="0" applyFont="0" applyFill="0" applyBorder="0" applyAlignment="0" applyProtection="0"/>
    <xf numFmtId="9" fontId="16" fillId="0" borderId="0" applyFont="0" applyFill="0" applyBorder="0" applyAlignment="0" applyProtection="0"/>
    <xf numFmtId="9" fontId="32"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7" fillId="0" borderId="0" applyNumberFormat="0" applyFill="0" applyBorder="0" applyAlignment="0" applyProtection="0"/>
    <xf numFmtId="0" fontId="9" fillId="0" borderId="6" applyNumberFormat="0" applyFill="0" applyAlignment="0" applyProtection="0"/>
    <xf numFmtId="0" fontId="9" fillId="0" borderId="6" applyNumberFormat="0" applyFill="0" applyAlignment="0" applyProtection="0"/>
    <xf numFmtId="0" fontId="38" fillId="0" borderId="33"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9" fillId="0" borderId="0" applyNumberForma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9" fontId="19" fillId="0" borderId="0" applyFont="0" applyFill="0" applyBorder="0" applyAlignment="0" applyProtection="0"/>
    <xf numFmtId="0" fontId="16" fillId="0" borderId="0"/>
    <xf numFmtId="0" fontId="16" fillId="0" borderId="0"/>
    <xf numFmtId="3" fontId="16" fillId="0" borderId="0">
      <alignment horizontal="left" vertical="top" wrapText="1"/>
    </xf>
    <xf numFmtId="0" fontId="55" fillId="0" borderId="0">
      <alignment horizontal="left" vertical="center" wrapText="1"/>
    </xf>
    <xf numFmtId="9" fontId="55" fillId="0" borderId="0" applyFont="0" applyFill="0" applyBorder="0" applyAlignment="0" applyProtection="0"/>
    <xf numFmtId="0" fontId="1" fillId="0" borderId="0"/>
  </cellStyleXfs>
  <cellXfs count="755">
    <xf numFmtId="0" fontId="0" fillId="0" borderId="0" xfId="0"/>
    <xf numFmtId="0" fontId="18" fillId="0" borderId="0" xfId="6" applyFont="1"/>
    <xf numFmtId="0" fontId="40" fillId="0" borderId="0" xfId="6" applyFont="1" applyAlignment="1">
      <alignment horizontal="left"/>
    </xf>
    <xf numFmtId="43" fontId="1" fillId="0" borderId="0" xfId="38" applyFont="1"/>
    <xf numFmtId="8" fontId="18" fillId="0" borderId="0" xfId="6" applyNumberFormat="1" applyFont="1"/>
    <xf numFmtId="0" fontId="18" fillId="0" borderId="7" xfId="6" applyFont="1" applyBorder="1"/>
    <xf numFmtId="43" fontId="1" fillId="0" borderId="8" xfId="38" applyFont="1" applyBorder="1"/>
    <xf numFmtId="0" fontId="18" fillId="0" borderId="10" xfId="6" applyFont="1" applyBorder="1"/>
    <xf numFmtId="43" fontId="1" fillId="0" borderId="0" xfId="38" applyFont="1" applyBorder="1"/>
    <xf numFmtId="43" fontId="1" fillId="0" borderId="10" xfId="38" applyFont="1" applyBorder="1"/>
    <xf numFmtId="0" fontId="18" fillId="0" borderId="40" xfId="6" applyFont="1" applyBorder="1" applyAlignment="1">
      <alignment horizontal="center"/>
    </xf>
    <xf numFmtId="43" fontId="17" fillId="0" borderId="41" xfId="38" applyFont="1" applyBorder="1"/>
    <xf numFmtId="43" fontId="1" fillId="0" borderId="42" xfId="38" applyFont="1" applyBorder="1"/>
    <xf numFmtId="0" fontId="18" fillId="0" borderId="43" xfId="6" applyFont="1" applyBorder="1" applyAlignment="1">
      <alignment horizontal="center"/>
    </xf>
    <xf numFmtId="16" fontId="18" fillId="0" borderId="43" xfId="6" quotePrefix="1" applyNumberFormat="1" applyFont="1" applyBorder="1" applyAlignment="1">
      <alignment horizontal="center"/>
    </xf>
    <xf numFmtId="0" fontId="18" fillId="0" borderId="43" xfId="6" quotePrefix="1" applyFont="1" applyBorder="1" applyAlignment="1">
      <alignment horizontal="center"/>
    </xf>
    <xf numFmtId="0" fontId="18" fillId="0" borderId="44" xfId="6" quotePrefix="1" applyFont="1" applyBorder="1" applyAlignment="1">
      <alignment horizontal="center"/>
    </xf>
    <xf numFmtId="43" fontId="18" fillId="0" borderId="45" xfId="38" applyFont="1" applyBorder="1"/>
    <xf numFmtId="43" fontId="1" fillId="0" borderId="46" xfId="38" applyFont="1" applyBorder="1"/>
    <xf numFmtId="0" fontId="18" fillId="0" borderId="47" xfId="6" applyFont="1" applyBorder="1" applyAlignment="1">
      <alignment horizontal="center"/>
    </xf>
    <xf numFmtId="0" fontId="18" fillId="0" borderId="48" xfId="6" applyFont="1" applyBorder="1" applyAlignment="1">
      <alignment horizontal="center"/>
    </xf>
    <xf numFmtId="43" fontId="1" fillId="0" borderId="13" xfId="38" applyFont="1" applyBorder="1"/>
    <xf numFmtId="43" fontId="1" fillId="0" borderId="49" xfId="38" applyFont="1" applyBorder="1"/>
    <xf numFmtId="16" fontId="18" fillId="0" borderId="50" xfId="6" applyNumberFormat="1" applyFont="1" applyBorder="1" applyAlignment="1">
      <alignment horizontal="center"/>
    </xf>
    <xf numFmtId="0" fontId="18" fillId="0" borderId="50" xfId="6" applyFont="1" applyBorder="1" applyAlignment="1">
      <alignment horizontal="center"/>
    </xf>
    <xf numFmtId="0" fontId="18" fillId="0" borderId="51" xfId="6" applyFont="1" applyBorder="1" applyAlignment="1">
      <alignment horizontal="center"/>
    </xf>
    <xf numFmtId="0" fontId="18" fillId="0" borderId="52" xfId="6" applyFont="1" applyBorder="1"/>
    <xf numFmtId="0" fontId="18" fillId="0" borderId="21" xfId="6" applyFont="1" applyBorder="1"/>
    <xf numFmtId="0" fontId="18" fillId="0" borderId="22" xfId="6" applyFont="1" applyBorder="1"/>
    <xf numFmtId="0" fontId="17" fillId="0" borderId="53" xfId="6" applyFont="1" applyBorder="1"/>
    <xf numFmtId="43" fontId="1" fillId="0" borderId="54" xfId="38" applyFont="1" applyBorder="1"/>
    <xf numFmtId="43" fontId="1" fillId="0" borderId="55" xfId="38" applyFont="1" applyBorder="1"/>
    <xf numFmtId="0" fontId="18" fillId="0" borderId="55" xfId="6" applyFont="1" applyBorder="1"/>
    <xf numFmtId="0" fontId="18" fillId="0" borderId="56" xfId="6" applyFont="1" applyBorder="1"/>
    <xf numFmtId="6" fontId="1" fillId="0" borderId="20" xfId="38" applyNumberFormat="1" applyFont="1" applyFill="1" applyBorder="1"/>
    <xf numFmtId="43" fontId="1" fillId="0" borderId="19" xfId="38" applyFont="1" applyBorder="1"/>
    <xf numFmtId="0" fontId="18" fillId="0" borderId="19" xfId="6" applyFont="1" applyBorder="1"/>
    <xf numFmtId="43" fontId="1" fillId="0" borderId="19" xfId="38" applyFont="1" applyFill="1" applyBorder="1"/>
    <xf numFmtId="43" fontId="1" fillId="0" borderId="54" xfId="38" applyFont="1" applyFill="1" applyBorder="1"/>
    <xf numFmtId="43" fontId="18" fillId="0" borderId="19" xfId="6" applyNumberFormat="1" applyFont="1" applyBorder="1"/>
    <xf numFmtId="8" fontId="1" fillId="0" borderId="19" xfId="201" applyNumberFormat="1" applyFont="1" applyFill="1" applyBorder="1"/>
    <xf numFmtId="8" fontId="18" fillId="0" borderId="19" xfId="6" applyNumberFormat="1" applyFont="1" applyBorder="1"/>
    <xf numFmtId="8" fontId="1" fillId="0" borderId="19" xfId="38" applyNumberFormat="1" applyFont="1" applyFill="1" applyBorder="1"/>
    <xf numFmtId="6" fontId="1" fillId="0" borderId="22" xfId="38" applyNumberFormat="1" applyFont="1" applyFill="1" applyBorder="1"/>
    <xf numFmtId="6" fontId="1" fillId="0" borderId="54" xfId="38" applyNumberFormat="1" applyFont="1" applyFill="1" applyBorder="1"/>
    <xf numFmtId="8" fontId="1" fillId="0" borderId="23" xfId="38" applyNumberFormat="1" applyFont="1" applyFill="1" applyBorder="1"/>
    <xf numFmtId="8" fontId="18" fillId="0" borderId="23" xfId="6" applyNumberFormat="1" applyFont="1" applyBorder="1"/>
    <xf numFmtId="8" fontId="1" fillId="0" borderId="0" xfId="38" applyNumberFormat="1" applyFont="1"/>
    <xf numFmtId="0" fontId="17" fillId="0" borderId="38" xfId="6" applyFont="1" applyBorder="1"/>
    <xf numFmtId="8" fontId="18" fillId="0" borderId="53" xfId="6" applyNumberFormat="1" applyFont="1" applyBorder="1"/>
    <xf numFmtId="8" fontId="18" fillId="0" borderId="57" xfId="6" applyNumberFormat="1" applyFont="1" applyBorder="1"/>
    <xf numFmtId="8" fontId="18" fillId="0" borderId="54" xfId="6" applyNumberFormat="1" applyFont="1" applyBorder="1"/>
    <xf numFmtId="8" fontId="1" fillId="0" borderId="0" xfId="38" applyNumberFormat="1" applyFont="1" applyFill="1" applyBorder="1"/>
    <xf numFmtId="8" fontId="18" fillId="0" borderId="56" xfId="6" applyNumberFormat="1" applyFont="1" applyBorder="1"/>
    <xf numFmtId="8" fontId="18" fillId="0" borderId="20" xfId="6" applyNumberFormat="1" applyFont="1" applyBorder="1"/>
    <xf numFmtId="43" fontId="1" fillId="0" borderId="20" xfId="38" applyFont="1" applyFill="1" applyBorder="1"/>
    <xf numFmtId="8" fontId="1" fillId="0" borderId="20" xfId="115" applyNumberFormat="1" applyFont="1" applyFill="1" applyBorder="1"/>
    <xf numFmtId="8" fontId="1" fillId="0" borderId="22" xfId="115" applyNumberFormat="1" applyFont="1" applyFill="1" applyBorder="1"/>
    <xf numFmtId="8" fontId="1" fillId="0" borderId="0" xfId="115" applyNumberFormat="1" applyFont="1" applyFill="1" applyBorder="1"/>
    <xf numFmtId="8" fontId="1" fillId="0" borderId="56" xfId="38" applyNumberFormat="1" applyFont="1" applyBorder="1"/>
    <xf numFmtId="8" fontId="1" fillId="0" borderId="0" xfId="38" applyNumberFormat="1" applyFont="1" applyBorder="1"/>
    <xf numFmtId="8" fontId="1" fillId="0" borderId="0" xfId="115" applyNumberFormat="1" applyFont="1" applyBorder="1"/>
    <xf numFmtId="8" fontId="1" fillId="0" borderId="21" xfId="115" applyNumberFormat="1" applyFont="1" applyBorder="1"/>
    <xf numFmtId="8" fontId="18" fillId="0" borderId="52" xfId="6" applyNumberFormat="1" applyFont="1" applyBorder="1"/>
    <xf numFmtId="8" fontId="18" fillId="0" borderId="21" xfId="6" applyNumberFormat="1" applyFont="1" applyBorder="1"/>
    <xf numFmtId="8" fontId="18" fillId="0" borderId="22" xfId="6" applyNumberFormat="1" applyFont="1" applyBorder="1"/>
    <xf numFmtId="44" fontId="1" fillId="0" borderId="0" xfId="115" applyFont="1" applyBorder="1"/>
    <xf numFmtId="43" fontId="18" fillId="0" borderId="0" xfId="6" applyNumberFormat="1" applyFont="1"/>
    <xf numFmtId="0" fontId="40" fillId="0" borderId="0" xfId="6" applyFont="1"/>
    <xf numFmtId="0" fontId="18" fillId="0" borderId="53" xfId="6" applyFont="1" applyBorder="1"/>
    <xf numFmtId="44" fontId="1" fillId="0" borderId="53" xfId="54" applyFont="1" applyBorder="1"/>
    <xf numFmtId="44" fontId="1" fillId="0" borderId="57" xfId="54" applyFont="1" applyBorder="1"/>
    <xf numFmtId="44" fontId="1" fillId="0" borderId="54" xfId="54" applyFont="1" applyBorder="1"/>
    <xf numFmtId="43" fontId="1" fillId="0" borderId="21" xfId="38" applyFont="1" applyBorder="1"/>
    <xf numFmtId="167" fontId="17" fillId="0" borderId="21" xfId="53" applyNumberFormat="1" applyFont="1" applyBorder="1"/>
    <xf numFmtId="167" fontId="17" fillId="0" borderId="22" xfId="53" applyNumberFormat="1" applyFont="1" applyBorder="1"/>
    <xf numFmtId="0" fontId="17" fillId="0" borderId="0" xfId="6" applyFont="1" applyAlignment="1">
      <alignment horizontal="center"/>
    </xf>
    <xf numFmtId="0" fontId="1" fillId="0" borderId="0" xfId="0" applyFont="1"/>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49" fontId="14" fillId="0" borderId="10" xfId="4" applyNumberFormat="1" applyFont="1" applyBorder="1" applyAlignment="1">
      <alignment horizontal="center" wrapText="1"/>
    </xf>
    <xf numFmtId="44" fontId="0" fillId="0" borderId="0" xfId="1" applyFont="1" applyBorder="1"/>
    <xf numFmtId="44" fontId="0" fillId="0" borderId="8" xfId="1" applyFont="1" applyBorder="1"/>
    <xf numFmtId="44" fontId="0" fillId="0" borderId="58" xfId="1" applyFont="1" applyBorder="1"/>
    <xf numFmtId="49" fontId="14" fillId="0" borderId="7" xfId="4" applyNumberFormat="1" applyFont="1" applyBorder="1" applyAlignment="1">
      <alignment horizontal="center" wrapText="1"/>
    </xf>
    <xf numFmtId="49" fontId="14" fillId="0" borderId="10" xfId="4" quotePrefix="1" applyNumberFormat="1" applyFont="1" applyBorder="1" applyAlignment="1">
      <alignment horizontal="center" wrapText="1"/>
    </xf>
    <xf numFmtId="49" fontId="14" fillId="0" borderId="59" xfId="4" applyNumberFormat="1" applyFont="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17" fillId="0" borderId="0" xfId="7" applyFont="1" applyAlignment="1">
      <alignment horizontal="center"/>
    </xf>
    <xf numFmtId="44" fontId="17" fillId="0" borderId="14" xfId="1" applyFont="1" applyBorder="1" applyAlignment="1">
      <alignment horizontal="center" vertical="center" wrapText="1"/>
    </xf>
    <xf numFmtId="0" fontId="17" fillId="0" borderId="15" xfId="7" applyFont="1" applyBorder="1" applyAlignment="1">
      <alignment horizontal="center" vertical="center"/>
    </xf>
    <xf numFmtId="44" fontId="17" fillId="0" borderId="13" xfId="1" applyFont="1" applyBorder="1" applyAlignment="1">
      <alignment horizontal="center" vertical="center" wrapText="1"/>
    </xf>
    <xf numFmtId="44" fontId="17" fillId="0" borderId="15" xfId="1" applyFont="1" applyBorder="1" applyAlignment="1">
      <alignment horizontal="center" vertical="center" wrapText="1"/>
    </xf>
    <xf numFmtId="0" fontId="17" fillId="0" borderId="17" xfId="7" applyFont="1" applyBorder="1" applyAlignment="1">
      <alignment horizontal="center" vertical="center"/>
    </xf>
    <xf numFmtId="0" fontId="17" fillId="0" borderId="17" xfId="7" applyFont="1" applyBorder="1" applyAlignment="1">
      <alignment horizontal="center" vertical="center" wrapText="1"/>
    </xf>
    <xf numFmtId="44" fontId="0" fillId="0" borderId="7" xfId="1" applyFont="1" applyFill="1" applyBorder="1" applyAlignment="1">
      <alignment horizontal="center"/>
    </xf>
    <xf numFmtId="44" fontId="0" fillId="0" borderId="9" xfId="1" applyFont="1" applyFill="1" applyBorder="1" applyAlignment="1">
      <alignment horizontal="center"/>
    </xf>
    <xf numFmtId="44" fontId="0" fillId="0" borderId="8" xfId="1" applyFont="1" applyFill="1" applyBorder="1" applyAlignment="1">
      <alignment horizontal="center"/>
    </xf>
    <xf numFmtId="44" fontId="18" fillId="0" borderId="0" xfId="1" applyFont="1" applyAlignment="1">
      <alignment horizontal="right"/>
    </xf>
    <xf numFmtId="0" fontId="18" fillId="0" borderId="11" xfId="7" applyFont="1" applyBorder="1" applyAlignment="1">
      <alignment horizontal="center" vertical="center"/>
    </xf>
    <xf numFmtId="9" fontId="0" fillId="0" borderId="9" xfId="2"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8" fillId="0" borderId="61" xfId="7" applyFont="1" applyBorder="1" applyAlignment="1">
      <alignment horizontal="center"/>
    </xf>
    <xf numFmtId="44" fontId="0" fillId="0" borderId="10" xfId="1" applyFont="1" applyFill="1" applyBorder="1" applyAlignment="1">
      <alignment horizontal="center"/>
    </xf>
    <xf numFmtId="44" fontId="0" fillId="0" borderId="11" xfId="1" applyFont="1" applyFill="1" applyBorder="1" applyAlignment="1">
      <alignment horizontal="center"/>
    </xf>
    <xf numFmtId="44" fontId="0" fillId="0" borderId="0" xfId="1" applyFont="1" applyFill="1" applyBorder="1" applyAlignment="1">
      <alignment horizontal="center"/>
    </xf>
    <xf numFmtId="9" fontId="0" fillId="0" borderId="11" xfId="2"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44" fontId="18" fillId="0" borderId="0" xfId="1" applyFont="1" applyBorder="1"/>
    <xf numFmtId="44" fontId="18" fillId="0" borderId="58" xfId="1" applyFont="1" applyBorder="1" applyAlignment="1">
      <alignment vertical="center"/>
    </xf>
    <xf numFmtId="0" fontId="18" fillId="0" borderId="60" xfId="7" applyFont="1" applyBorder="1" applyAlignment="1">
      <alignment horizontal="center" vertical="center"/>
    </xf>
    <xf numFmtId="9" fontId="0" fillId="0" borderId="60" xfId="2" applyFont="1" applyBorder="1" applyAlignment="1">
      <alignment horizontal="center" vertical="center"/>
    </xf>
    <xf numFmtId="0" fontId="17" fillId="0" borderId="0" xfId="7" applyFont="1" applyAlignment="1">
      <alignment vertical="center" wrapText="1"/>
    </xf>
    <xf numFmtId="44" fontId="18" fillId="0" borderId="0" xfId="1" applyFont="1" applyAlignment="1">
      <alignment vertical="center"/>
    </xf>
    <xf numFmtId="0" fontId="18" fillId="0" borderId="0" xfId="7" applyFont="1" applyAlignment="1">
      <alignment vertical="center"/>
    </xf>
    <xf numFmtId="0" fontId="18" fillId="0" borderId="0" xfId="7" applyFont="1"/>
    <xf numFmtId="0" fontId="18" fillId="0" borderId="0" xfId="7" applyFont="1" applyAlignment="1">
      <alignment horizontal="center"/>
    </xf>
    <xf numFmtId="8" fontId="0" fillId="0" borderId="7" xfId="0" applyNumberFormat="1" applyBorder="1"/>
    <xf numFmtId="0" fontId="0" fillId="0" borderId="59" xfId="0"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18" fillId="0" borderId="18" xfId="7" applyFont="1" applyBorder="1" applyAlignment="1">
      <alignment horizontal="center"/>
    </xf>
    <xf numFmtId="44" fontId="18" fillId="0" borderId="58" xfId="1" applyFont="1" applyBorder="1"/>
    <xf numFmtId="8" fontId="0" fillId="0" borderId="10" xfId="0" applyNumberFormat="1" applyBorder="1"/>
    <xf numFmtId="0" fontId="18" fillId="0" borderId="16" xfId="7" applyFont="1" applyBorder="1" applyAlignment="1">
      <alignment horizontal="center"/>
    </xf>
    <xf numFmtId="0" fontId="17" fillId="0" borderId="0" xfId="7" applyFont="1"/>
    <xf numFmtId="44" fontId="0" fillId="0" borderId="59" xfId="1" applyFont="1" applyFill="1" applyBorder="1" applyAlignment="1">
      <alignment horizontal="center"/>
    </xf>
    <xf numFmtId="44" fontId="0" fillId="0" borderId="60" xfId="1" applyFont="1" applyFill="1" applyBorder="1" applyAlignment="1">
      <alignment horizontal="center"/>
    </xf>
    <xf numFmtId="44" fontId="0" fillId="0" borderId="58" xfId="1" applyFont="1" applyFill="1" applyBorder="1" applyAlignment="1">
      <alignment horizontal="center"/>
    </xf>
    <xf numFmtId="0" fontId="0" fillId="0" borderId="0" xfId="0" applyAlignment="1">
      <alignment horizontal="left" vertical="center"/>
    </xf>
    <xf numFmtId="0" fontId="17" fillId="0" borderId="0" xfId="7" applyFont="1" applyAlignment="1">
      <alignment horizontal="center" vertical="center" wrapText="1"/>
    </xf>
    <xf numFmtId="0" fontId="0" fillId="0" borderId="20" xfId="0" applyBorder="1" applyAlignment="1">
      <alignment horizontal="center"/>
    </xf>
    <xf numFmtId="0" fontId="0" fillId="0" borderId="0" xfId="0" applyAlignment="1">
      <alignment horizontal="center" vertical="center" wrapText="1"/>
    </xf>
    <xf numFmtId="0" fontId="17" fillId="4" borderId="62" xfId="7" applyFont="1" applyFill="1" applyBorder="1" applyAlignment="1">
      <alignment horizontal="center" vertical="center" wrapText="1"/>
    </xf>
    <xf numFmtId="0" fontId="17" fillId="4" borderId="49" xfId="7" applyFont="1" applyFill="1" applyBorder="1" applyAlignment="1">
      <alignment horizontal="center" vertical="center" wrapText="1"/>
    </xf>
    <xf numFmtId="44" fontId="18" fillId="0" borderId="0" xfId="1" applyFont="1" applyBorder="1" applyAlignment="1">
      <alignment horizontal="center"/>
    </xf>
    <xf numFmtId="0" fontId="17" fillId="4" borderId="63" xfId="7" applyFont="1" applyFill="1" applyBorder="1" applyAlignment="1">
      <alignment horizontal="center" vertical="center" wrapText="1"/>
    </xf>
    <xf numFmtId="4" fontId="17" fillId="30" borderId="63" xfId="7" applyNumberFormat="1" applyFont="1" applyFill="1" applyBorder="1" applyAlignment="1">
      <alignment horizontal="center" vertical="center" wrapText="1"/>
    </xf>
    <xf numFmtId="0" fontId="17" fillId="32" borderId="63" xfId="7" applyFont="1" applyFill="1" applyBorder="1" applyAlignment="1">
      <alignment horizontal="center" vertical="center" wrapText="1"/>
    </xf>
    <xf numFmtId="0" fontId="17" fillId="30" borderId="63" xfId="7" applyFont="1" applyFill="1" applyBorder="1" applyAlignment="1">
      <alignment horizontal="center" vertical="center" wrapText="1"/>
    </xf>
    <xf numFmtId="0" fontId="17" fillId="32" borderId="64" xfId="7" applyFont="1" applyFill="1" applyBorder="1" applyAlignment="1">
      <alignment horizontal="center" vertical="center" wrapText="1"/>
    </xf>
    <xf numFmtId="0" fontId="1" fillId="0" borderId="0" xfId="0" applyFont="1" applyAlignment="1">
      <alignment horizontal="center" vertical="center" wrapText="1"/>
    </xf>
    <xf numFmtId="4" fontId="18" fillId="0" borderId="0" xfId="7" applyNumberFormat="1" applyFont="1" applyAlignment="1">
      <alignment horizontal="center"/>
    </xf>
    <xf numFmtId="44" fontId="18" fillId="0" borderId="0" xfId="1" applyFont="1" applyFill="1" applyBorder="1" applyAlignment="1">
      <alignment horizontal="center"/>
    </xf>
    <xf numFmtId="44" fontId="18" fillId="0" borderId="0" xfId="7" applyNumberFormat="1" applyFont="1" applyAlignment="1">
      <alignment horizontal="center"/>
    </xf>
    <xf numFmtId="4" fontId="1" fillId="0" borderId="0" xfId="0" applyNumberFormat="1" applyFont="1"/>
    <xf numFmtId="2" fontId="17" fillId="0" borderId="0" xfId="2" applyNumberFormat="1" applyFont="1" applyFill="1" applyBorder="1" applyAlignment="1">
      <alignment horizontal="center" wrapText="1"/>
    </xf>
    <xf numFmtId="43" fontId="44" fillId="0" borderId="70" xfId="240" applyFont="1" applyFill="1" applyBorder="1" applyAlignment="1">
      <alignment horizontal="center" vertical="center" wrapText="1"/>
    </xf>
    <xf numFmtId="43" fontId="44" fillId="0" borderId="20" xfId="240" applyFont="1" applyFill="1" applyBorder="1" applyAlignment="1">
      <alignment horizontal="center" vertical="center" wrapText="1"/>
    </xf>
    <xf numFmtId="43" fontId="44" fillId="0" borderId="73" xfId="240" applyFont="1" applyFill="1" applyBorder="1" applyAlignment="1">
      <alignment horizontal="center" vertical="center" wrapText="1"/>
    </xf>
    <xf numFmtId="43" fontId="44" fillId="0" borderId="22" xfId="240" applyFont="1" applyFill="1" applyBorder="1" applyAlignment="1">
      <alignment horizontal="center" vertical="center" wrapText="1"/>
    </xf>
    <xf numFmtId="166" fontId="10" fillId="0" borderId="72" xfId="2" applyNumberFormat="1" applyFont="1" applyFill="1" applyBorder="1" applyAlignment="1">
      <alignment horizontal="right" vertical="center" wrapText="1"/>
    </xf>
    <xf numFmtId="44" fontId="17" fillId="0" borderId="66" xfId="1" applyFont="1" applyFill="1" applyBorder="1" applyAlignment="1">
      <alignment horizontal="center" vertical="center" wrapText="1"/>
    </xf>
    <xf numFmtId="44" fontId="17" fillId="0" borderId="71" xfId="1" applyFont="1" applyFill="1" applyBorder="1" applyAlignment="1">
      <alignment horizontal="center" vertical="center" wrapText="1"/>
    </xf>
    <xf numFmtId="44" fontId="0" fillId="0" borderId="0" xfId="1" applyFont="1" applyFill="1" applyBorder="1"/>
    <xf numFmtId="8" fontId="18" fillId="0" borderId="65" xfId="6" applyNumberFormat="1" applyFont="1" applyBorder="1" applyAlignment="1">
      <alignment horizontal="left"/>
    </xf>
    <xf numFmtId="170" fontId="0" fillId="0" borderId="0" xfId="0" applyNumberFormat="1" applyAlignment="1">
      <alignment horizontal="center" vertical="center" wrapText="1"/>
    </xf>
    <xf numFmtId="8" fontId="0" fillId="0" borderId="12" xfId="0" applyNumberFormat="1" applyBorder="1"/>
    <xf numFmtId="44" fontId="0" fillId="0" borderId="0" xfId="0" applyNumberFormat="1"/>
    <xf numFmtId="44" fontId="1" fillId="0" borderId="55" xfId="54" applyFont="1" applyBorder="1"/>
    <xf numFmtId="43" fontId="1" fillId="29" borderId="54" xfId="38" applyFont="1" applyFill="1" applyBorder="1"/>
    <xf numFmtId="9" fontId="1" fillId="29" borderId="54" xfId="201" applyFont="1" applyFill="1" applyBorder="1"/>
    <xf numFmtId="43" fontId="1" fillId="29" borderId="20" xfId="38" applyFont="1" applyFill="1" applyBorder="1"/>
    <xf numFmtId="44" fontId="0" fillId="0" borderId="23" xfId="0" applyNumberFormat="1" applyBorder="1"/>
    <xf numFmtId="1" fontId="0" fillId="0" borderId="0" xfId="0" applyNumberFormat="1" applyAlignment="1">
      <alignment horizontal="center"/>
    </xf>
    <xf numFmtId="0" fontId="0" fillId="0" borderId="65" xfId="0" applyBorder="1" applyAlignment="1">
      <alignment horizontal="center" vertical="center" wrapText="1"/>
    </xf>
    <xf numFmtId="0" fontId="9" fillId="0" borderId="69"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70" xfId="0" applyFont="1" applyBorder="1" applyAlignment="1">
      <alignment horizontal="center" vertical="center" wrapText="1"/>
    </xf>
    <xf numFmtId="0" fontId="0" fillId="0" borderId="67" xfId="0" applyBorder="1" applyAlignment="1">
      <alignment horizontal="center" vertical="center" wrapText="1"/>
    </xf>
    <xf numFmtId="0" fontId="0" fillId="0" borderId="19" xfId="0" applyBorder="1" applyAlignment="1">
      <alignment horizontal="center" vertical="center" wrapText="1"/>
    </xf>
    <xf numFmtId="0" fontId="41" fillId="0" borderId="43"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44" fontId="0" fillId="0" borderId="19" xfId="1" applyFont="1" applyFill="1" applyBorder="1"/>
    <xf numFmtId="44" fontId="0" fillId="0" borderId="23" xfId="1" applyFont="1" applyFill="1" applyBorder="1"/>
    <xf numFmtId="10" fontId="0" fillId="0" borderId="67" xfId="2" applyNumberFormat="1" applyFont="1" applyFill="1" applyBorder="1" applyAlignment="1">
      <alignment horizontal="center" vertical="center" wrapText="1"/>
    </xf>
    <xf numFmtId="10" fontId="0" fillId="0" borderId="19" xfId="2" applyNumberFormat="1" applyFont="1" applyFill="1" applyBorder="1" applyAlignment="1">
      <alignment horizontal="center" vertical="center" wrapText="1"/>
    </xf>
    <xf numFmtId="10" fontId="41" fillId="0" borderId="43" xfId="2" applyNumberFormat="1" applyFont="1" applyFill="1" applyBorder="1" applyAlignment="1">
      <alignment horizontal="center" vertical="center" wrapText="1"/>
    </xf>
    <xf numFmtId="170" fontId="0" fillId="0" borderId="68" xfId="1" applyNumberFormat="1" applyFont="1" applyFill="1" applyBorder="1" applyAlignment="1">
      <alignment horizontal="center" vertical="center" wrapText="1"/>
    </xf>
    <xf numFmtId="170" fontId="0" fillId="0" borderId="69" xfId="1" applyNumberFormat="1" applyFont="1" applyFill="1" applyBorder="1" applyAlignment="1">
      <alignment horizontal="center" vertical="center" wrapText="1"/>
    </xf>
    <xf numFmtId="170" fontId="0" fillId="0" borderId="0" xfId="1" applyNumberFormat="1" applyFont="1" applyFill="1" applyBorder="1" applyAlignment="1">
      <alignment horizontal="center" vertical="center" wrapText="1"/>
    </xf>
    <xf numFmtId="170" fontId="0" fillId="0" borderId="56" xfId="1" applyNumberFormat="1" applyFont="1" applyFill="1" applyBorder="1" applyAlignment="1">
      <alignment horizontal="center" vertical="center" wrapText="1"/>
    </xf>
    <xf numFmtId="170" fontId="41" fillId="0" borderId="76" xfId="0" applyNumberFormat="1" applyFont="1" applyBorder="1" applyAlignment="1">
      <alignment horizontal="center" vertical="center" wrapText="1"/>
    </xf>
    <xf numFmtId="170" fontId="41" fillId="0" borderId="76" xfId="1" applyNumberFormat="1" applyFont="1" applyFill="1" applyBorder="1" applyAlignment="1">
      <alignment horizontal="center" vertical="center" wrapText="1"/>
    </xf>
    <xf numFmtId="170" fontId="41" fillId="0" borderId="75" xfId="0" applyNumberFormat="1" applyFont="1" applyBorder="1" applyAlignment="1">
      <alignment horizontal="center" vertical="center" wrapText="1"/>
    </xf>
    <xf numFmtId="8" fontId="17" fillId="0" borderId="65" xfId="6" applyNumberFormat="1" applyFont="1" applyBorder="1" applyAlignment="1">
      <alignment horizontal="center" vertical="center"/>
    </xf>
    <xf numFmtId="8" fontId="17" fillId="0" borderId="65" xfId="6" applyNumberFormat="1" applyFont="1" applyBorder="1" applyAlignment="1">
      <alignment horizontal="center"/>
    </xf>
    <xf numFmtId="44" fontId="18" fillId="0" borderId="65" xfId="1" applyFont="1" applyFill="1" applyBorder="1" applyAlignment="1">
      <alignment horizontal="center"/>
    </xf>
    <xf numFmtId="0" fontId="9" fillId="0" borderId="65" xfId="0" applyFont="1" applyBorder="1" applyAlignment="1">
      <alignment horizontal="center" vertical="center"/>
    </xf>
    <xf numFmtId="44" fontId="1" fillId="0" borderId="65" xfId="1" applyFont="1" applyFill="1" applyBorder="1" applyAlignment="1">
      <alignment horizontal="center" vertical="top"/>
    </xf>
    <xf numFmtId="167" fontId="17" fillId="0" borderId="17" xfId="53" applyNumberFormat="1" applyFont="1" applyFill="1" applyBorder="1"/>
    <xf numFmtId="44" fontId="1" fillId="0" borderId="57" xfId="54" applyFont="1" applyFill="1" applyBorder="1"/>
    <xf numFmtId="0" fontId="0" fillId="0" borderId="56" xfId="0" applyBorder="1"/>
    <xf numFmtId="0" fontId="0" fillId="0" borderId="52" xfId="0" applyBorder="1"/>
    <xf numFmtId="44" fontId="1" fillId="0" borderId="19" xfId="1" applyFont="1" applyFill="1" applyBorder="1"/>
    <xf numFmtId="44" fontId="0" fillId="0" borderId="19" xfId="0" applyNumberFormat="1" applyBorder="1"/>
    <xf numFmtId="2" fontId="17" fillId="0" borderId="56" xfId="2" applyNumberFormat="1" applyFont="1" applyFill="1" applyBorder="1" applyAlignment="1">
      <alignment horizontal="center" wrapText="1"/>
    </xf>
    <xf numFmtId="8" fontId="9" fillId="29" borderId="39" xfId="115" applyNumberFormat="1" applyFont="1" applyFill="1" applyBorder="1" applyAlignment="1">
      <alignment horizontal="center"/>
    </xf>
    <xf numFmtId="14" fontId="0" fillId="0" borderId="0" xfId="0" applyNumberFormat="1"/>
    <xf numFmtId="44" fontId="0" fillId="0" borderId="0" xfId="1" applyFont="1"/>
    <xf numFmtId="44" fontId="1" fillId="0" borderId="0" xfId="1" applyFont="1"/>
    <xf numFmtId="168" fontId="1" fillId="0" borderId="0" xfId="240" applyNumberFormat="1" applyFont="1"/>
    <xf numFmtId="9" fontId="1" fillId="0" borderId="0" xfId="2" applyFont="1"/>
    <xf numFmtId="9" fontId="1" fillId="0" borderId="0" xfId="2" applyFont="1" applyFill="1"/>
    <xf numFmtId="0" fontId="0" fillId="0" borderId="72" xfId="0" applyBorder="1" applyAlignment="1">
      <alignment horizontal="center"/>
    </xf>
    <xf numFmtId="0" fontId="0" fillId="0" borderId="77" xfId="0" applyBorder="1"/>
    <xf numFmtId="0" fontId="0" fillId="0" borderId="67" xfId="0" applyBorder="1"/>
    <xf numFmtId="0" fontId="0" fillId="0" borderId="19" xfId="0" applyBorder="1"/>
    <xf numFmtId="44" fontId="0" fillId="0" borderId="77" xfId="0" applyNumberFormat="1" applyBorder="1"/>
    <xf numFmtId="0" fontId="7" fillId="0" borderId="0" xfId="0" applyFont="1"/>
    <xf numFmtId="10" fontId="1" fillId="0" borderId="0" xfId="2" applyNumberFormat="1" applyFont="1"/>
    <xf numFmtId="0" fontId="9" fillId="0" borderId="0" xfId="0" applyFont="1"/>
    <xf numFmtId="44" fontId="1" fillId="0" borderId="0" xfId="65" applyFont="1" applyFill="1"/>
    <xf numFmtId="44" fontId="1" fillId="0" borderId="0" xfId="1" applyFont="1" applyFill="1"/>
    <xf numFmtId="44" fontId="9" fillId="0" borderId="0" xfId="65" applyFont="1" applyFill="1"/>
    <xf numFmtId="2" fontId="9" fillId="0" borderId="0" xfId="44" applyNumberFormat="1" applyFont="1" applyFill="1"/>
    <xf numFmtId="44" fontId="9" fillId="0" borderId="0" xfId="0" applyNumberFormat="1" applyFont="1"/>
    <xf numFmtId="44" fontId="9" fillId="0" borderId="0" xfId="1" applyFont="1" applyFill="1"/>
    <xf numFmtId="44" fontId="1" fillId="0" borderId="0" xfId="65" applyFont="1"/>
    <xf numFmtId="44" fontId="9" fillId="0" borderId="0" xfId="65" applyFont="1"/>
    <xf numFmtId="44" fontId="9" fillId="0" borderId="0" xfId="1" applyFont="1"/>
    <xf numFmtId="170" fontId="1" fillId="29" borderId="20" xfId="38" applyNumberFormat="1" applyFont="1" applyFill="1" applyBorder="1"/>
    <xf numFmtId="0" fontId="13" fillId="33" borderId="8" xfId="0" applyFont="1" applyFill="1" applyBorder="1" applyAlignment="1">
      <alignment horizontal="center" wrapText="1"/>
    </xf>
    <xf numFmtId="0" fontId="17" fillId="33" borderId="17" xfId="7" applyFont="1" applyFill="1" applyBorder="1" applyAlignment="1">
      <alignment horizontal="center" vertical="center"/>
    </xf>
    <xf numFmtId="0" fontId="13" fillId="33" borderId="16" xfId="0" applyFont="1" applyFill="1" applyBorder="1" applyAlignment="1">
      <alignment horizontal="center" wrapText="1"/>
    </xf>
    <xf numFmtId="0" fontId="18" fillId="33" borderId="0" xfId="7" applyFont="1" applyFill="1" applyAlignment="1">
      <alignment horizontal="center"/>
    </xf>
    <xf numFmtId="0" fontId="9" fillId="0" borderId="77" xfId="0" applyFont="1" applyBorder="1" applyAlignment="1">
      <alignment horizontal="center" vertical="center" wrapText="1"/>
    </xf>
    <xf numFmtId="0" fontId="18" fillId="33" borderId="61" xfId="7" applyFont="1" applyFill="1" applyBorder="1" applyAlignment="1">
      <alignment horizontal="center"/>
    </xf>
    <xf numFmtId="0" fontId="18" fillId="33" borderId="16" xfId="7" applyFont="1" applyFill="1" applyBorder="1" applyAlignment="1">
      <alignment horizontal="center"/>
    </xf>
    <xf numFmtId="0" fontId="18" fillId="33" borderId="18" xfId="7" applyFont="1" applyFill="1" applyBorder="1" applyAlignment="1">
      <alignment horizontal="center"/>
    </xf>
    <xf numFmtId="0" fontId="0" fillId="33" borderId="7" xfId="0" applyFill="1" applyBorder="1" applyAlignment="1">
      <alignment horizontal="center" vertical="center"/>
    </xf>
    <xf numFmtId="0" fontId="0" fillId="33" borderId="8" xfId="0" applyFill="1" applyBorder="1" applyAlignment="1">
      <alignment horizontal="center" vertical="center"/>
    </xf>
    <xf numFmtId="0" fontId="0" fillId="33" borderId="9" xfId="0" applyFill="1" applyBorder="1" applyAlignment="1">
      <alignment horizontal="center" vertical="center"/>
    </xf>
    <xf numFmtId="44" fontId="0" fillId="33" borderId="8" xfId="1" applyFont="1" applyFill="1" applyBorder="1"/>
    <xf numFmtId="9" fontId="0" fillId="33" borderId="9" xfId="2" applyFont="1" applyFill="1" applyBorder="1" applyAlignment="1">
      <alignment horizontal="center" vertical="center"/>
    </xf>
    <xf numFmtId="0" fontId="0" fillId="33" borderId="10" xfId="0" applyFill="1" applyBorder="1" applyAlignment="1">
      <alignment horizontal="center" vertical="center"/>
    </xf>
    <xf numFmtId="0" fontId="0" fillId="33" borderId="0" xfId="0" applyFill="1" applyAlignment="1">
      <alignment horizontal="center" vertical="center"/>
    </xf>
    <xf numFmtId="0" fontId="0" fillId="33" borderId="11" xfId="0" applyFill="1" applyBorder="1" applyAlignment="1">
      <alignment horizontal="center" vertical="center"/>
    </xf>
    <xf numFmtId="44" fontId="0" fillId="33" borderId="0" xfId="1" applyFont="1" applyFill="1" applyBorder="1"/>
    <xf numFmtId="9" fontId="0" fillId="33" borderId="11" xfId="2" applyFont="1" applyFill="1" applyBorder="1" applyAlignment="1">
      <alignment horizontal="center" vertical="center"/>
    </xf>
    <xf numFmtId="0" fontId="0" fillId="33" borderId="59" xfId="0" applyFill="1" applyBorder="1" applyAlignment="1">
      <alignment horizontal="center" vertical="center"/>
    </xf>
    <xf numFmtId="0" fontId="0" fillId="33" borderId="58" xfId="0" applyFill="1" applyBorder="1" applyAlignment="1">
      <alignment horizontal="center" vertical="center"/>
    </xf>
    <xf numFmtId="0" fontId="0" fillId="33" borderId="60" xfId="0" applyFill="1" applyBorder="1" applyAlignment="1">
      <alignment horizontal="center" vertical="center"/>
    </xf>
    <xf numFmtId="44" fontId="0" fillId="33" borderId="58" xfId="1" applyFont="1" applyFill="1" applyBorder="1"/>
    <xf numFmtId="9" fontId="0" fillId="33" borderId="60" xfId="2" applyFont="1" applyFill="1" applyBorder="1" applyAlignment="1">
      <alignment horizontal="center" vertical="center"/>
    </xf>
    <xf numFmtId="44" fontId="17" fillId="33" borderId="8" xfId="1" applyFont="1" applyFill="1" applyBorder="1" applyAlignment="1">
      <alignment horizontal="center" vertical="center" wrapText="1"/>
    </xf>
    <xf numFmtId="44" fontId="18" fillId="33" borderId="7" xfId="1" applyFont="1" applyFill="1" applyBorder="1"/>
    <xf numFmtId="44" fontId="18" fillId="33" borderId="10" xfId="1" applyFont="1" applyFill="1" applyBorder="1"/>
    <xf numFmtId="44" fontId="18" fillId="33" borderId="59" xfId="1" applyFont="1" applyFill="1" applyBorder="1"/>
    <xf numFmtId="44" fontId="18" fillId="0" borderId="7" xfId="1" applyFont="1" applyBorder="1"/>
    <xf numFmtId="44" fontId="18" fillId="0" borderId="10" xfId="1" applyFont="1" applyBorder="1"/>
    <xf numFmtId="44" fontId="18" fillId="0" borderId="59" xfId="1" applyFont="1" applyBorder="1"/>
    <xf numFmtId="44" fontId="17" fillId="33" borderId="9" xfId="1" applyFont="1" applyFill="1" applyBorder="1" applyAlignment="1">
      <alignment horizontal="center" vertical="center" wrapText="1"/>
    </xf>
    <xf numFmtId="44" fontId="0" fillId="33" borderId="61" xfId="1" applyFont="1" applyFill="1" applyBorder="1" applyAlignment="1">
      <alignment horizontal="center"/>
    </xf>
    <xf numFmtId="44" fontId="0" fillId="33" borderId="16" xfId="1" applyFont="1" applyFill="1" applyBorder="1" applyAlignment="1">
      <alignment horizontal="center"/>
    </xf>
    <xf numFmtId="44" fontId="0" fillId="33" borderId="18" xfId="1" applyFont="1" applyFill="1" applyBorder="1" applyAlignment="1">
      <alignment horizontal="center"/>
    </xf>
    <xf numFmtId="44" fontId="0" fillId="33" borderId="7" xfId="1" applyFont="1" applyFill="1" applyBorder="1" applyAlignment="1">
      <alignment horizontal="center"/>
    </xf>
    <xf numFmtId="44" fontId="0" fillId="33" borderId="10" xfId="1" applyFont="1" applyFill="1" applyBorder="1" applyAlignment="1">
      <alignment horizontal="center"/>
    </xf>
    <xf numFmtId="44" fontId="0" fillId="33" borderId="59" xfId="1" applyFont="1" applyFill="1" applyBorder="1" applyAlignment="1">
      <alignment horizontal="center"/>
    </xf>
    <xf numFmtId="4" fontId="17" fillId="33" borderId="63" xfId="7" applyNumberFormat="1" applyFont="1" applyFill="1" applyBorder="1" applyAlignment="1">
      <alignment horizontal="center" vertical="center" wrapText="1"/>
    </xf>
    <xf numFmtId="44" fontId="9" fillId="33" borderId="0" xfId="65" applyFont="1" applyFill="1"/>
    <xf numFmtId="44" fontId="9" fillId="0" borderId="0" xfId="1" applyFont="1" applyFill="1" applyBorder="1" applyAlignment="1">
      <alignment horizontal="center" vertical="center"/>
    </xf>
    <xf numFmtId="0" fontId="9" fillId="0" borderId="0" xfId="0" applyFont="1" applyAlignment="1">
      <alignment wrapText="1"/>
    </xf>
    <xf numFmtId="9" fontId="0" fillId="0" borderId="0" xfId="2" applyFont="1" applyFill="1" applyBorder="1"/>
    <xf numFmtId="9" fontId="9" fillId="0" borderId="0" xfId="2" applyFont="1" applyFill="1" applyBorder="1"/>
    <xf numFmtId="44" fontId="18" fillId="0" borderId="58" xfId="1" applyFont="1" applyFill="1" applyBorder="1"/>
    <xf numFmtId="9" fontId="0" fillId="0" borderId="60" xfId="2" applyFont="1" applyFill="1" applyBorder="1" applyAlignment="1">
      <alignment horizontal="center" vertical="center"/>
    </xf>
    <xf numFmtId="8" fontId="0" fillId="0" borderId="13" xfId="0" applyNumberFormat="1" applyBorder="1"/>
    <xf numFmtId="0" fontId="41" fillId="0" borderId="0" xfId="0" applyFont="1" applyAlignment="1">
      <alignment horizontal="center" vertical="center" wrapText="1"/>
    </xf>
    <xf numFmtId="0" fontId="9" fillId="0" borderId="71" xfId="0" applyFont="1" applyBorder="1" applyAlignment="1">
      <alignment horizontal="center"/>
    </xf>
    <xf numFmtId="0" fontId="9" fillId="0" borderId="66" xfId="0" applyFont="1" applyBorder="1" applyAlignment="1">
      <alignment horizontal="center"/>
    </xf>
    <xf numFmtId="44" fontId="18" fillId="0" borderId="65" xfId="144" applyNumberFormat="1" applyFont="1" applyFill="1" applyBorder="1" applyAlignment="1">
      <alignment wrapText="1"/>
    </xf>
    <xf numFmtId="0" fontId="9" fillId="0" borderId="77" xfId="0" applyFont="1" applyBorder="1" applyAlignment="1">
      <alignment horizontal="center"/>
    </xf>
    <xf numFmtId="10" fontId="0" fillId="0" borderId="0" xfId="0" applyNumberFormat="1" applyAlignment="1">
      <alignment horizontal="center"/>
    </xf>
    <xf numFmtId="10" fontId="0" fillId="0" borderId="21" xfId="0" applyNumberFormat="1" applyBorder="1" applyAlignment="1">
      <alignment horizontal="center"/>
    </xf>
    <xf numFmtId="44" fontId="9" fillId="0" borderId="77" xfId="1" applyFont="1" applyFill="1" applyBorder="1" applyAlignment="1">
      <alignment horizontal="center" vertical="center"/>
    </xf>
    <xf numFmtId="0" fontId="0" fillId="0" borderId="20" xfId="0" applyBorder="1"/>
    <xf numFmtId="0" fontId="17" fillId="0" borderId="0" xfId="161" applyFont="1" applyAlignment="1">
      <alignment vertical="center"/>
    </xf>
    <xf numFmtId="172" fontId="9" fillId="0" borderId="0" xfId="0" applyNumberFormat="1" applyFont="1"/>
    <xf numFmtId="44" fontId="9" fillId="0" borderId="77" xfId="0" applyNumberFormat="1" applyFont="1" applyBorder="1"/>
    <xf numFmtId="2" fontId="0" fillId="0" borderId="77" xfId="0" applyNumberFormat="1" applyBorder="1" applyAlignment="1">
      <alignment horizontal="center" vertical="center"/>
    </xf>
    <xf numFmtId="0" fontId="0" fillId="0" borderId="77" xfId="0" applyBorder="1" applyAlignment="1">
      <alignment horizontal="center"/>
    </xf>
    <xf numFmtId="10" fontId="0" fillId="0" borderId="0" xfId="2" applyNumberFormat="1" applyFont="1"/>
    <xf numFmtId="8" fontId="0" fillId="0" borderId="0" xfId="0" applyNumberFormat="1"/>
    <xf numFmtId="0" fontId="0" fillId="0" borderId="23" xfId="0" applyBorder="1" applyAlignment="1">
      <alignment horizontal="center" vertical="center" wrapText="1"/>
    </xf>
    <xf numFmtId="170" fontId="0" fillId="0" borderId="21" xfId="1" applyNumberFormat="1" applyFont="1" applyFill="1" applyBorder="1" applyAlignment="1">
      <alignment horizontal="center" vertical="center" wrapText="1"/>
    </xf>
    <xf numFmtId="170" fontId="0" fillId="0" borderId="52" xfId="1" applyNumberFormat="1" applyFont="1" applyFill="1" applyBorder="1" applyAlignment="1">
      <alignment horizontal="center" vertical="center" wrapText="1"/>
    </xf>
    <xf numFmtId="10" fontId="0" fillId="0" borderId="23" xfId="2" applyNumberFormat="1" applyFont="1" applyFill="1" applyBorder="1" applyAlignment="1">
      <alignment horizontal="center" vertical="center" wrapText="1"/>
    </xf>
    <xf numFmtId="44" fontId="0" fillId="0" borderId="0" xfId="1" applyFont="1" applyAlignment="1">
      <alignment horizontal="center" vertical="center" wrapText="1"/>
    </xf>
    <xf numFmtId="10" fontId="0" fillId="0" borderId="0" xfId="0" applyNumberFormat="1" applyAlignment="1">
      <alignment horizontal="center" vertical="center" wrapText="1"/>
    </xf>
    <xf numFmtId="44" fontId="0" fillId="0" borderId="0" xfId="1" applyFont="1" applyBorder="1" applyAlignment="1">
      <alignment horizontal="center" vertical="center" wrapText="1"/>
    </xf>
    <xf numFmtId="0" fontId="41" fillId="0" borderId="0" xfId="0" applyFont="1" applyAlignment="1">
      <alignment horizontal="left" vertical="center"/>
    </xf>
    <xf numFmtId="0" fontId="0" fillId="35" borderId="59" xfId="0" applyFill="1" applyBorder="1" applyAlignment="1">
      <alignment horizontal="center" vertical="center" wrapText="1"/>
    </xf>
    <xf numFmtId="170" fontId="0" fillId="35" borderId="59" xfId="0" applyNumberFormat="1" applyFill="1" applyBorder="1" applyAlignment="1">
      <alignment horizontal="center" vertical="center" wrapText="1"/>
    </xf>
    <xf numFmtId="170" fontId="0" fillId="35" borderId="58" xfId="0" applyNumberFormat="1" applyFill="1" applyBorder="1" applyAlignment="1">
      <alignment horizontal="center" vertical="center" wrapText="1"/>
    </xf>
    <xf numFmtId="10" fontId="0" fillId="35" borderId="60" xfId="2" applyNumberFormat="1" applyFont="1" applyFill="1" applyBorder="1" applyAlignment="1">
      <alignment horizontal="center" vertical="center" wrapText="1"/>
    </xf>
    <xf numFmtId="0" fontId="49" fillId="0" borderId="0" xfId="247" applyFont="1" applyAlignment="1"/>
    <xf numFmtId="0" fontId="55" fillId="0" borderId="0" xfId="247" applyAlignment="1"/>
    <xf numFmtId="0" fontId="51" fillId="0" borderId="0" xfId="247" applyFont="1" applyAlignment="1"/>
    <xf numFmtId="0" fontId="52" fillId="0" borderId="0" xfId="247" applyFont="1" applyAlignment="1"/>
    <xf numFmtId="0" fontId="55" fillId="0" borderId="69" xfId="247" applyBorder="1" applyAlignment="1"/>
    <xf numFmtId="0" fontId="55" fillId="0" borderId="68" xfId="247" applyBorder="1" applyAlignment="1"/>
    <xf numFmtId="0" fontId="55" fillId="0" borderId="70" xfId="247" applyBorder="1" applyAlignment="1"/>
    <xf numFmtId="0" fontId="55" fillId="0" borderId="56" xfId="247" applyBorder="1" applyAlignment="1"/>
    <xf numFmtId="0" fontId="55" fillId="0" borderId="0" xfId="247" applyAlignment="1">
      <alignment horizontal="right"/>
    </xf>
    <xf numFmtId="0" fontId="49" fillId="0" borderId="0" xfId="247" applyFont="1" applyAlignment="1">
      <alignment horizontal="center"/>
    </xf>
    <xf numFmtId="0" fontId="55" fillId="0" borderId="20" xfId="247" applyBorder="1" applyAlignment="1"/>
    <xf numFmtId="3" fontId="49" fillId="0" borderId="0" xfId="246" applyFont="1" applyAlignment="1"/>
    <xf numFmtId="0" fontId="53" fillId="0" borderId="20" xfId="247" applyFont="1" applyBorder="1" applyAlignment="1">
      <alignment horizontal="center"/>
    </xf>
    <xf numFmtId="173" fontId="16" fillId="0" borderId="0" xfId="246" applyNumberFormat="1" applyAlignment="1"/>
    <xf numFmtId="173" fontId="55" fillId="0" borderId="20" xfId="247" applyNumberFormat="1" applyBorder="1" applyAlignment="1">
      <alignment horizontal="center"/>
    </xf>
    <xf numFmtId="0" fontId="55" fillId="0" borderId="20" xfId="247" applyBorder="1" applyAlignment="1">
      <alignment horizontal="center"/>
    </xf>
    <xf numFmtId="0" fontId="55" fillId="0" borderId="56" xfId="247" applyBorder="1" applyAlignment="1">
      <alignment horizontal="right"/>
    </xf>
    <xf numFmtId="0" fontId="49" fillId="5" borderId="0" xfId="247" applyFont="1" applyFill="1" applyAlignment="1">
      <alignment horizontal="right"/>
    </xf>
    <xf numFmtId="10" fontId="49" fillId="5" borderId="20" xfId="248" applyNumberFormat="1" applyFont="1" applyFill="1" applyBorder="1" applyAlignment="1">
      <alignment horizontal="center"/>
    </xf>
    <xf numFmtId="0" fontId="55" fillId="0" borderId="52" xfId="247" applyBorder="1" applyAlignment="1"/>
    <xf numFmtId="0" fontId="55" fillId="0" borderId="21" xfId="247" applyBorder="1" applyAlignment="1"/>
    <xf numFmtId="0" fontId="55" fillId="0" borderId="22" xfId="247" applyBorder="1" applyAlignment="1"/>
    <xf numFmtId="0" fontId="0" fillId="6" borderId="0" xfId="0" applyFill="1" applyAlignment="1">
      <alignment horizontal="center"/>
    </xf>
    <xf numFmtId="0" fontId="9" fillId="0" borderId="0" xfId="241" applyFont="1"/>
    <xf numFmtId="0" fontId="9" fillId="0" borderId="0" xfId="241" applyFont="1" applyAlignment="1">
      <alignment horizontal="left" wrapText="1"/>
    </xf>
    <xf numFmtId="0" fontId="56" fillId="0" borderId="7" xfId="241" applyFont="1" applyBorder="1"/>
    <xf numFmtId="0" fontId="56" fillId="0" borderId="59" xfId="241" applyFont="1" applyBorder="1"/>
    <xf numFmtId="44" fontId="0" fillId="4" borderId="58" xfId="1" applyFont="1" applyFill="1" applyBorder="1"/>
    <xf numFmtId="0" fontId="56" fillId="0" borderId="10" xfId="241" applyFont="1" applyBorder="1"/>
    <xf numFmtId="44" fontId="0" fillId="4" borderId="0" xfId="1" applyFont="1" applyFill="1"/>
    <xf numFmtId="0" fontId="57" fillId="0" borderId="0" xfId="0" applyFont="1" applyAlignment="1">
      <alignment horizontal="right"/>
    </xf>
    <xf numFmtId="10" fontId="9" fillId="6" borderId="0" xfId="0" applyNumberFormat="1" applyFont="1" applyFill="1"/>
    <xf numFmtId="10" fontId="9" fillId="0" borderId="0" xfId="0" applyNumberFormat="1" applyFont="1"/>
    <xf numFmtId="0" fontId="56" fillId="0" borderId="0" xfId="241" applyFont="1" applyAlignment="1">
      <alignment horizontal="right" wrapText="1"/>
    </xf>
    <xf numFmtId="0" fontId="41" fillId="0" borderId="0" xfId="241" applyFont="1" applyAlignment="1">
      <alignment horizontal="right"/>
    </xf>
    <xf numFmtId="0" fontId="0" fillId="0" borderId="10" xfId="0" applyBorder="1" applyAlignment="1">
      <alignment horizontal="center" vertical="center" wrapText="1"/>
    </xf>
    <xf numFmtId="170" fontId="0" fillId="0" borderId="7" xfId="0" applyNumberFormat="1" applyBorder="1" applyAlignment="1">
      <alignment horizontal="center" vertical="center" wrapText="1"/>
    </xf>
    <xf numFmtId="170" fontId="0" fillId="0" borderId="8" xfId="0" applyNumberFormat="1" applyBorder="1" applyAlignment="1">
      <alignment horizontal="center" vertical="center" wrapText="1"/>
    </xf>
    <xf numFmtId="10" fontId="0" fillId="0" borderId="9" xfId="2" applyNumberFormat="1" applyFont="1" applyFill="1" applyBorder="1" applyAlignment="1">
      <alignment horizontal="center" vertical="center" wrapText="1"/>
    </xf>
    <xf numFmtId="170" fontId="0" fillId="0" borderId="10" xfId="0" applyNumberFormat="1" applyBorder="1" applyAlignment="1">
      <alignment horizontal="center" vertical="center" wrapText="1"/>
    </xf>
    <xf numFmtId="10" fontId="0" fillId="0" borderId="11" xfId="2" applyNumberFormat="1" applyFont="1" applyFill="1" applyBorder="1" applyAlignment="1">
      <alignment horizontal="center" vertical="center" wrapText="1"/>
    </xf>
    <xf numFmtId="170" fontId="0" fillId="35" borderId="0" xfId="1" applyNumberFormat="1" applyFont="1" applyFill="1" applyBorder="1" applyAlignment="1">
      <alignment horizontal="center" vertical="center" wrapText="1"/>
    </xf>
    <xf numFmtId="170" fontId="0" fillId="35" borderId="21" xfId="1" applyNumberFormat="1" applyFont="1" applyFill="1" applyBorder="1" applyAlignment="1">
      <alignment horizontal="center" vertical="center" wrapText="1"/>
    </xf>
    <xf numFmtId="0" fontId="7" fillId="4" borderId="0" xfId="0" applyFont="1" applyFill="1" applyAlignment="1">
      <alignment horizontal="center" wrapText="1"/>
    </xf>
    <xf numFmtId="44" fontId="0" fillId="34" borderId="0" xfId="1" applyFont="1" applyFill="1"/>
    <xf numFmtId="0" fontId="16" fillId="0" borderId="0" xfId="6"/>
    <xf numFmtId="0" fontId="48" fillId="36" borderId="0" xfId="6" applyFont="1" applyFill="1"/>
    <xf numFmtId="0" fontId="49" fillId="36" borderId="11" xfId="6" applyFont="1" applyFill="1" applyBorder="1"/>
    <xf numFmtId="0" fontId="50" fillId="36" borderId="58" xfId="6" applyFont="1" applyFill="1" applyBorder="1"/>
    <xf numFmtId="0" fontId="49" fillId="36" borderId="60" xfId="6" applyFont="1" applyFill="1" applyBorder="1"/>
    <xf numFmtId="0" fontId="49" fillId="0" borderId="0" xfId="6" applyFont="1"/>
    <xf numFmtId="0" fontId="16" fillId="37" borderId="0" xfId="6" applyFill="1"/>
    <xf numFmtId="0" fontId="16" fillId="32" borderId="0" xfId="6" applyFill="1"/>
    <xf numFmtId="0" fontId="16" fillId="38" borderId="0" xfId="6" applyFill="1"/>
    <xf numFmtId="0" fontId="16" fillId="33" borderId="0" xfId="6" applyFill="1"/>
    <xf numFmtId="14" fontId="49" fillId="0" borderId="0" xfId="6" applyNumberFormat="1" applyFont="1"/>
    <xf numFmtId="173" fontId="16" fillId="0" borderId="0" xfId="6" applyNumberFormat="1"/>
    <xf numFmtId="2" fontId="16" fillId="0" borderId="0" xfId="6" applyNumberFormat="1"/>
    <xf numFmtId="0" fontId="16" fillId="0" borderId="56" xfId="6" applyBorder="1"/>
    <xf numFmtId="0" fontId="18" fillId="3" borderId="0" xfId="0" applyFont="1" applyFill="1"/>
    <xf numFmtId="0" fontId="0" fillId="3" borderId="0" xfId="0" applyFill="1" applyAlignment="1">
      <alignment horizontal="center"/>
    </xf>
    <xf numFmtId="0" fontId="0" fillId="3" borderId="0" xfId="0" applyFill="1" applyAlignment="1">
      <alignment horizontal="center" wrapText="1"/>
    </xf>
    <xf numFmtId="0" fontId="0" fillId="6" borderId="0" xfId="0" applyFill="1"/>
    <xf numFmtId="0" fontId="10" fillId="39" borderId="7" xfId="186" applyFont="1" applyFill="1" applyBorder="1"/>
    <xf numFmtId="0" fontId="10" fillId="39" borderId="8" xfId="186" applyFont="1" applyFill="1" applyBorder="1"/>
    <xf numFmtId="0" fontId="10" fillId="39" borderId="8" xfId="186" applyFont="1" applyFill="1" applyBorder="1" applyAlignment="1">
      <alignment horizontal="center"/>
    </xf>
    <xf numFmtId="164" fontId="10" fillId="39" borderId="9" xfId="186" applyNumberFormat="1" applyFont="1" applyFill="1" applyBorder="1" applyAlignment="1">
      <alignment horizontal="center"/>
    </xf>
    <xf numFmtId="0" fontId="44" fillId="39" borderId="10" xfId="186" applyFont="1" applyFill="1" applyBorder="1"/>
    <xf numFmtId="0" fontId="44" fillId="39" borderId="0" xfId="186" applyFont="1" applyFill="1" applyAlignment="1">
      <alignment horizontal="right"/>
    </xf>
    <xf numFmtId="0" fontId="44" fillId="39" borderId="11" xfId="186" applyFont="1" applyFill="1" applyBorder="1" applyAlignment="1">
      <alignment horizontal="center"/>
    </xf>
    <xf numFmtId="0" fontId="58" fillId="0" borderId="0" xfId="0" applyFont="1"/>
    <xf numFmtId="0" fontId="44" fillId="39" borderId="78" xfId="186" applyFont="1" applyFill="1" applyBorder="1"/>
    <xf numFmtId="0" fontId="44" fillId="39" borderId="21" xfId="186" applyFont="1" applyFill="1" applyBorder="1" applyAlignment="1">
      <alignment horizontal="right"/>
    </xf>
    <xf numFmtId="1" fontId="44" fillId="39" borderId="79" xfId="186" applyNumberFormat="1" applyFont="1" applyFill="1" applyBorder="1" applyAlignment="1">
      <alignment horizontal="center"/>
    </xf>
    <xf numFmtId="0" fontId="58" fillId="0" borderId="0" xfId="0" applyFont="1" applyAlignment="1">
      <alignment horizontal="left"/>
    </xf>
    <xf numFmtId="0" fontId="44" fillId="39" borderId="78" xfId="186" applyFont="1" applyFill="1" applyBorder="1" applyAlignment="1">
      <alignment horizontal="left"/>
    </xf>
    <xf numFmtId="0" fontId="54" fillId="39" borderId="21" xfId="186" applyFont="1" applyFill="1" applyBorder="1" applyAlignment="1">
      <alignment horizontal="right"/>
    </xf>
    <xf numFmtId="0" fontId="44" fillId="39" borderId="79" xfId="186" applyFont="1" applyFill="1" applyBorder="1" applyAlignment="1">
      <alignment horizontal="center"/>
    </xf>
    <xf numFmtId="0" fontId="44" fillId="39" borderId="0" xfId="186" applyFont="1" applyFill="1"/>
    <xf numFmtId="1" fontId="44" fillId="39" borderId="11" xfId="186" applyNumberFormat="1" applyFont="1" applyFill="1" applyBorder="1" applyAlignment="1">
      <alignment horizontal="center"/>
    </xf>
    <xf numFmtId="0" fontId="44" fillId="39" borderId="59" xfId="186" applyFont="1" applyFill="1" applyBorder="1"/>
    <xf numFmtId="0" fontId="44" fillId="39" borderId="58" xfId="186" applyFont="1" applyFill="1" applyBorder="1"/>
    <xf numFmtId="0" fontId="44" fillId="39" borderId="58" xfId="186" applyFont="1" applyFill="1" applyBorder="1" applyAlignment="1">
      <alignment horizontal="right"/>
    </xf>
    <xf numFmtId="1" fontId="44" fillId="39" borderId="60" xfId="186" applyNumberFormat="1" applyFont="1" applyFill="1" applyBorder="1" applyAlignment="1">
      <alignment horizontal="center"/>
    </xf>
    <xf numFmtId="0" fontId="44" fillId="39" borderId="60" xfId="186" applyFont="1" applyFill="1" applyBorder="1" applyAlignment="1">
      <alignment horizontal="center"/>
    </xf>
    <xf numFmtId="44" fontId="0" fillId="0" borderId="23" xfId="1" applyFont="1" applyFill="1" applyBorder="1" applyAlignment="1">
      <alignment horizontal="center" vertical="center"/>
    </xf>
    <xf numFmtId="2" fontId="9" fillId="0" borderId="0" xfId="0" applyNumberFormat="1" applyFont="1"/>
    <xf numFmtId="1" fontId="9" fillId="0" borderId="0" xfId="0" applyNumberFormat="1" applyFont="1"/>
    <xf numFmtId="0" fontId="1" fillId="0" borderId="22" xfId="0" applyFont="1" applyBorder="1" applyAlignment="1">
      <alignment horizontal="center"/>
    </xf>
    <xf numFmtId="0" fontId="17" fillId="0" borderId="69" xfId="161" applyFont="1" applyBorder="1" applyAlignment="1">
      <alignment horizontal="center" vertical="center" wrapText="1"/>
    </xf>
    <xf numFmtId="0" fontId="17" fillId="0" borderId="68" xfId="161" applyFont="1" applyBorder="1" applyAlignment="1">
      <alignment horizontal="center" vertical="center" wrapText="1"/>
    </xf>
    <xf numFmtId="0" fontId="17" fillId="0" borderId="70" xfId="161" applyFont="1" applyBorder="1" applyAlignment="1">
      <alignment horizontal="center" vertical="center" wrapText="1"/>
    </xf>
    <xf numFmtId="2" fontId="0" fillId="0" borderId="0" xfId="0" applyNumberFormat="1" applyAlignment="1">
      <alignment horizontal="center" vertical="center"/>
    </xf>
    <xf numFmtId="171" fontId="0" fillId="0" borderId="20" xfId="0" applyNumberFormat="1" applyBorder="1"/>
    <xf numFmtId="0" fontId="0" fillId="30" borderId="56" xfId="0" applyFill="1" applyBorder="1"/>
    <xf numFmtId="44" fontId="0" fillId="30" borderId="0" xfId="1" applyFont="1" applyFill="1" applyBorder="1"/>
    <xf numFmtId="2" fontId="0" fillId="30" borderId="0" xfId="0" applyNumberFormat="1" applyFill="1" applyAlignment="1">
      <alignment horizontal="center" vertical="center"/>
    </xf>
    <xf numFmtId="171" fontId="0" fillId="30" borderId="20" xfId="0" applyNumberFormat="1" applyFill="1" applyBorder="1"/>
    <xf numFmtId="0" fontId="9" fillId="0" borderId="56" xfId="0" applyFont="1" applyBorder="1"/>
    <xf numFmtId="171" fontId="9" fillId="0" borderId="20" xfId="1" applyNumberFormat="1" applyFont="1" applyBorder="1"/>
    <xf numFmtId="10" fontId="0" fillId="0" borderId="21" xfId="2" applyNumberFormat="1" applyFont="1" applyFill="1" applyBorder="1"/>
    <xf numFmtId="0" fontId="0" fillId="0" borderId="21" xfId="0" applyBorder="1"/>
    <xf numFmtId="171" fontId="0" fillId="0" borderId="22" xfId="0" applyNumberFormat="1" applyBorder="1"/>
    <xf numFmtId="0" fontId="9" fillId="0" borderId="71" xfId="0" applyFont="1" applyBorder="1"/>
    <xf numFmtId="0" fontId="0" fillId="0" borderId="66" xfId="0" applyBorder="1"/>
    <xf numFmtId="171" fontId="9" fillId="0" borderId="72" xfId="0" applyNumberFormat="1" applyFont="1" applyBorder="1"/>
    <xf numFmtId="0" fontId="17" fillId="0" borderId="56" xfId="0" applyFont="1" applyBorder="1"/>
    <xf numFmtId="2" fontId="0" fillId="0" borderId="0" xfId="0" applyNumberFormat="1" applyAlignment="1">
      <alignment horizontal="center"/>
    </xf>
    <xf numFmtId="172" fontId="0" fillId="0" borderId="20" xfId="0" applyNumberFormat="1" applyBorder="1"/>
    <xf numFmtId="0" fontId="0" fillId="0" borderId="56" xfId="0" applyBorder="1" applyAlignment="1">
      <alignment wrapText="1"/>
    </xf>
    <xf numFmtId="0" fontId="0" fillId="30" borderId="0" xfId="0" applyFill="1" applyAlignment="1">
      <alignment horizontal="center"/>
    </xf>
    <xf numFmtId="0" fontId="0" fillId="30" borderId="20" xfId="0" applyFill="1" applyBorder="1"/>
    <xf numFmtId="0" fontId="0" fillId="0" borderId="22" xfId="0" applyBorder="1"/>
    <xf numFmtId="172" fontId="9" fillId="0" borderId="72" xfId="0" applyNumberFormat="1" applyFont="1" applyBorder="1"/>
    <xf numFmtId="0" fontId="9" fillId="0" borderId="69" xfId="0" applyFont="1" applyBorder="1"/>
    <xf numFmtId="0" fontId="9" fillId="0" borderId="68" xfId="0" applyFont="1" applyBorder="1"/>
    <xf numFmtId="171" fontId="9" fillId="0" borderId="70" xfId="0" applyNumberFormat="1" applyFont="1" applyBorder="1"/>
    <xf numFmtId="0" fontId="0" fillId="0" borderId="69" xfId="0" applyBorder="1" applyAlignment="1">
      <alignment horizontal="left" vertical="center"/>
    </xf>
    <xf numFmtId="10" fontId="0" fillId="0" borderId="68" xfId="2" applyNumberFormat="1" applyFont="1" applyFill="1" applyBorder="1"/>
    <xf numFmtId="0" fontId="0" fillId="0" borderId="68" xfId="0" applyBorder="1"/>
    <xf numFmtId="172" fontId="0" fillId="0" borderId="70" xfId="0" applyNumberFormat="1" applyBorder="1"/>
    <xf numFmtId="0" fontId="0" fillId="0" borderId="52" xfId="0" applyBorder="1" applyAlignment="1">
      <alignment horizontal="left" vertical="center"/>
    </xf>
    <xf numFmtId="172" fontId="0" fillId="0" borderId="22" xfId="0" applyNumberFormat="1" applyBorder="1"/>
    <xf numFmtId="171" fontId="9" fillId="0" borderId="20" xfId="0" applyNumberFormat="1" applyFont="1" applyBorder="1"/>
    <xf numFmtId="0" fontId="17" fillId="0" borderId="71" xfId="161" applyFont="1" applyBorder="1" applyAlignment="1">
      <alignment vertical="center"/>
    </xf>
    <xf numFmtId="0" fontId="9" fillId="0" borderId="66" xfId="0" applyFont="1" applyBorder="1"/>
    <xf numFmtId="0" fontId="9" fillId="0" borderId="23" xfId="0" applyFont="1" applyBorder="1" applyAlignment="1">
      <alignment horizontal="center" vertical="center" wrapText="1"/>
    </xf>
    <xf numFmtId="165" fontId="17" fillId="0" borderId="23" xfId="3" applyNumberFormat="1" applyFont="1" applyBorder="1" applyAlignment="1">
      <alignment horizontal="center" vertical="center" wrapText="1"/>
    </xf>
    <xf numFmtId="0" fontId="18" fillId="0" borderId="77" xfId="7" applyFont="1" applyBorder="1" applyAlignment="1">
      <alignment horizontal="center"/>
    </xf>
    <xf numFmtId="0" fontId="18" fillId="33" borderId="77" xfId="7" applyFont="1" applyFill="1" applyBorder="1" applyAlignment="1">
      <alignment horizontal="center"/>
    </xf>
    <xf numFmtId="0" fontId="0" fillId="0" borderId="77" xfId="0" applyBorder="1" applyAlignment="1">
      <alignment horizontal="center" vertical="center"/>
    </xf>
    <xf numFmtId="9" fontId="0" fillId="0" borderId="77" xfId="2" applyFont="1" applyFill="1" applyBorder="1" applyAlignment="1">
      <alignment horizontal="center" vertical="center"/>
    </xf>
    <xf numFmtId="2" fontId="18" fillId="0" borderId="77" xfId="4" applyNumberFormat="1" applyFont="1" applyBorder="1" applyAlignment="1">
      <alignment horizontal="center"/>
    </xf>
    <xf numFmtId="4" fontId="17" fillId="31" borderId="63" xfId="7" applyNumberFormat="1" applyFont="1" applyFill="1" applyBorder="1" applyAlignment="1">
      <alignment horizontal="center" vertical="center" wrapText="1"/>
    </xf>
    <xf numFmtId="43" fontId="1" fillId="0" borderId="0" xfId="38" applyFont="1" applyFill="1"/>
    <xf numFmtId="6" fontId="1" fillId="0" borderId="19" xfId="38" applyNumberFormat="1" applyFont="1" applyFill="1" applyBorder="1"/>
    <xf numFmtId="0" fontId="18" fillId="0" borderId="0" xfId="7" applyFont="1" applyAlignment="1">
      <alignment horizontal="center" vertical="center"/>
    </xf>
    <xf numFmtId="0" fontId="18" fillId="0" borderId="58" xfId="7" applyFont="1" applyBorder="1" applyAlignment="1">
      <alignment horizontal="center" vertical="center"/>
    </xf>
    <xf numFmtId="44" fontId="17" fillId="0" borderId="7" xfId="1" applyFont="1" applyBorder="1" applyAlignment="1">
      <alignment horizontal="center" vertical="center" wrapText="1"/>
    </xf>
    <xf numFmtId="44" fontId="17" fillId="0" borderId="9" xfId="1" applyFont="1" applyBorder="1" applyAlignment="1">
      <alignment horizontal="center" vertical="center" wrapText="1"/>
    </xf>
    <xf numFmtId="44" fontId="0" fillId="0" borderId="16" xfId="0" applyNumberFormat="1" applyBorder="1"/>
    <xf numFmtId="44" fontId="0" fillId="0" borderId="61" xfId="0" applyNumberFormat="1" applyBorder="1"/>
    <xf numFmtId="44" fontId="0" fillId="0" borderId="18" xfId="0" applyNumberFormat="1" applyBorder="1"/>
    <xf numFmtId="0" fontId="59" fillId="0" borderId="0" xfId="0" applyFont="1"/>
    <xf numFmtId="0" fontId="59" fillId="0" borderId="0" xfId="0" applyFont="1" applyAlignment="1">
      <alignment horizontal="center"/>
    </xf>
    <xf numFmtId="0" fontId="60" fillId="0" borderId="0" xfId="0" applyFont="1"/>
    <xf numFmtId="10" fontId="59" fillId="0" borderId="0" xfId="0" applyNumberFormat="1" applyFont="1"/>
    <xf numFmtId="0" fontId="61" fillId="40" borderId="21" xfId="0" applyFont="1" applyFill="1" applyBorder="1" applyAlignment="1">
      <alignment horizontal="center"/>
    </xf>
    <xf numFmtId="0" fontId="61" fillId="41" borderId="21" xfId="0" applyFont="1" applyFill="1" applyBorder="1" applyAlignment="1">
      <alignment horizontal="center"/>
    </xf>
    <xf numFmtId="0" fontId="60" fillId="0" borderId="77" xfId="0" applyFont="1" applyBorder="1" applyAlignment="1">
      <alignment wrapText="1"/>
    </xf>
    <xf numFmtId="0" fontId="62" fillId="0" borderId="72" xfId="0" applyFont="1" applyBorder="1" applyAlignment="1">
      <alignment horizontal="center" vertical="center" wrapText="1"/>
    </xf>
    <xf numFmtId="0" fontId="63" fillId="40" borderId="77" xfId="0" applyFont="1" applyFill="1" applyBorder="1" applyAlignment="1">
      <alignment horizontal="center" vertical="center" wrapText="1"/>
    </xf>
    <xf numFmtId="0" fontId="63" fillId="41" borderId="77" xfId="0" applyFont="1" applyFill="1" applyBorder="1" applyAlignment="1">
      <alignment horizontal="center" vertical="center" wrapText="1"/>
    </xf>
    <xf numFmtId="0" fontId="62" fillId="0" borderId="77" xfId="0" applyFont="1" applyBorder="1" applyAlignment="1">
      <alignment horizontal="center" vertical="center" wrapText="1"/>
    </xf>
    <xf numFmtId="0" fontId="62" fillId="40" borderId="77" xfId="0" applyFont="1" applyFill="1" applyBorder="1" applyAlignment="1">
      <alignment horizontal="center" vertical="center" wrapText="1"/>
    </xf>
    <xf numFmtId="0" fontId="62" fillId="41" borderId="77" xfId="0" applyFont="1" applyFill="1" applyBorder="1" applyAlignment="1">
      <alignment horizontal="center" vertical="center" wrapText="1"/>
    </xf>
    <xf numFmtId="0" fontId="59" fillId="0" borderId="77" xfId="0" applyFont="1" applyBorder="1" applyAlignment="1">
      <alignment horizontal="center" vertical="center" wrapText="1"/>
    </xf>
    <xf numFmtId="172" fontId="64" fillId="0" borderId="77" xfId="0" applyNumberFormat="1" applyFont="1" applyBorder="1" applyAlignment="1">
      <alignment horizontal="center" vertical="center"/>
    </xf>
    <xf numFmtId="8" fontId="59" fillId="40" borderId="77" xfId="0" applyNumberFormat="1" applyFont="1" applyFill="1" applyBorder="1" applyAlignment="1">
      <alignment horizontal="center" vertical="center"/>
    </xf>
    <xf numFmtId="8" fontId="59" fillId="41" borderId="77" xfId="0" applyNumberFormat="1" applyFont="1" applyFill="1" applyBorder="1" applyAlignment="1">
      <alignment horizontal="center"/>
    </xf>
    <xf numFmtId="0" fontId="64" fillId="0" borderId="77" xfId="0" applyFont="1" applyBorder="1" applyAlignment="1">
      <alignment horizontal="center" vertical="center"/>
    </xf>
    <xf numFmtId="0" fontId="64" fillId="40" borderId="77" xfId="0" applyFont="1" applyFill="1" applyBorder="1" applyAlignment="1">
      <alignment horizontal="center" vertical="center" wrapText="1"/>
    </xf>
    <xf numFmtId="6" fontId="64" fillId="40" borderId="77" xfId="0" applyNumberFormat="1" applyFont="1" applyFill="1" applyBorder="1" applyAlignment="1">
      <alignment horizontal="center" vertical="center"/>
    </xf>
    <xf numFmtId="0" fontId="64" fillId="41" borderId="77" xfId="0" applyFont="1" applyFill="1" applyBorder="1" applyAlignment="1">
      <alignment horizontal="center" vertical="center"/>
    </xf>
    <xf numFmtId="171" fontId="59" fillId="41" borderId="77" xfId="0" applyNumberFormat="1" applyFont="1" applyFill="1" applyBorder="1" applyAlignment="1">
      <alignment horizontal="center"/>
    </xf>
    <xf numFmtId="6" fontId="59" fillId="0" borderId="0" xfId="0" applyNumberFormat="1" applyFont="1"/>
    <xf numFmtId="8" fontId="59" fillId="0" borderId="0" xfId="0" applyNumberFormat="1" applyFont="1"/>
    <xf numFmtId="0" fontId="9" fillId="0" borderId="72" xfId="0" applyFont="1" applyBorder="1" applyAlignment="1">
      <alignment horizontal="center"/>
    </xf>
    <xf numFmtId="0" fontId="0" fillId="0" borderId="71" xfId="0" applyBorder="1" applyAlignment="1">
      <alignment horizontal="left"/>
    </xf>
    <xf numFmtId="0" fontId="0" fillId="0" borderId="72" xfId="0" applyBorder="1" applyAlignment="1">
      <alignment horizontal="left"/>
    </xf>
    <xf numFmtId="0" fontId="9" fillId="0" borderId="13"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0" fillId="0" borderId="23" xfId="0" applyBorder="1" applyAlignment="1">
      <alignment horizontal="center"/>
    </xf>
    <xf numFmtId="44" fontId="18" fillId="0" borderId="7" xfId="1" applyFont="1" applyFill="1" applyBorder="1" applyAlignment="1">
      <alignment horizontal="right"/>
    </xf>
    <xf numFmtId="44" fontId="18" fillId="0" borderId="10" xfId="1" applyFont="1" applyFill="1" applyBorder="1" applyAlignment="1">
      <alignment horizontal="right"/>
    </xf>
    <xf numFmtId="44" fontId="18" fillId="0" borderId="59" xfId="1" applyFont="1" applyFill="1" applyBorder="1" applyAlignment="1">
      <alignment horizontal="right"/>
    </xf>
    <xf numFmtId="0" fontId="41" fillId="0" borderId="0" xfId="0" applyFont="1" applyAlignment="1">
      <alignment horizontal="right"/>
    </xf>
    <xf numFmtId="9" fontId="0" fillId="0" borderId="15" xfId="2" applyFont="1" applyFill="1" applyBorder="1" applyAlignment="1">
      <alignment horizontal="center" vertical="center"/>
    </xf>
    <xf numFmtId="0" fontId="9" fillId="0" borderId="17" xfId="0" applyFont="1" applyBorder="1" applyAlignment="1">
      <alignment horizontal="center" vertical="center"/>
    </xf>
    <xf numFmtId="10" fontId="17" fillId="0" borderId="77" xfId="2" applyNumberFormat="1" applyFont="1" applyFill="1" applyBorder="1" applyAlignment="1">
      <alignment vertical="center" wrapText="1"/>
    </xf>
    <xf numFmtId="44" fontId="0" fillId="0" borderId="58" xfId="1" applyFont="1" applyFill="1" applyBorder="1"/>
    <xf numFmtId="44" fontId="0" fillId="0" borderId="0" xfId="1" applyFont="1" applyFill="1"/>
    <xf numFmtId="17" fontId="0" fillId="0" borderId="0" xfId="0" applyNumberFormat="1" applyAlignment="1">
      <alignment horizontal="center"/>
    </xf>
    <xf numFmtId="17" fontId="0" fillId="6" borderId="0" xfId="0" applyNumberFormat="1" applyFill="1" applyAlignment="1">
      <alignment horizontal="center"/>
    </xf>
    <xf numFmtId="17" fontId="0" fillId="0" borderId="0" xfId="0" applyNumberFormat="1"/>
    <xf numFmtId="0" fontId="0" fillId="0" borderId="0" xfId="0" applyAlignment="1">
      <alignment vertical="center" wrapText="1"/>
    </xf>
    <xf numFmtId="17" fontId="0" fillId="4" borderId="0" xfId="0" applyNumberFormat="1" applyFill="1" applyAlignment="1">
      <alignment horizontal="center"/>
    </xf>
    <xf numFmtId="0" fontId="0" fillId="4" borderId="0" xfId="0" applyFill="1" applyAlignment="1">
      <alignment horizontal="center"/>
    </xf>
    <xf numFmtId="44" fontId="0" fillId="0" borderId="8" xfId="0" applyNumberFormat="1" applyBorder="1"/>
    <xf numFmtId="44" fontId="0" fillId="6" borderId="0" xfId="0" applyNumberFormat="1" applyFill="1"/>
    <xf numFmtId="44" fontId="0" fillId="4" borderId="8" xfId="0" applyNumberFormat="1" applyFill="1" applyBorder="1"/>
    <xf numFmtId="0" fontId="0" fillId="0" borderId="7" xfId="241" applyFont="1" applyBorder="1"/>
    <xf numFmtId="0" fontId="0" fillId="0" borderId="8" xfId="241" applyFont="1" applyBorder="1"/>
    <xf numFmtId="0" fontId="0" fillId="0" borderId="59" xfId="241" applyFont="1" applyBorder="1"/>
    <xf numFmtId="0" fontId="0" fillId="0" borderId="58" xfId="241" applyFont="1" applyBorder="1" applyAlignment="1">
      <alignment wrapText="1"/>
    </xf>
    <xf numFmtId="0" fontId="0" fillId="0" borderId="58" xfId="241" applyFont="1" applyBorder="1"/>
    <xf numFmtId="44" fontId="0" fillId="0" borderId="58" xfId="0" applyNumberFormat="1" applyBorder="1"/>
    <xf numFmtId="44" fontId="0" fillId="4" borderId="58" xfId="0" applyNumberFormat="1" applyFill="1" applyBorder="1"/>
    <xf numFmtId="0" fontId="0" fillId="0" borderId="0" xfId="241" applyFont="1"/>
    <xf numFmtId="44" fontId="0" fillId="4" borderId="0" xfId="0" applyNumberFormat="1" applyFill="1"/>
    <xf numFmtId="171" fontId="0" fillId="0" borderId="0" xfId="241" applyNumberFormat="1" applyFont="1" applyAlignment="1">
      <alignment horizontal="center"/>
    </xf>
    <xf numFmtId="0" fontId="0" fillId="0" borderId="0" xfId="241" applyFont="1" applyAlignment="1">
      <alignment horizontal="center"/>
    </xf>
    <xf numFmtId="0" fontId="0" fillId="0" borderId="0" xfId="241" applyFont="1" applyAlignment="1">
      <alignment horizontal="right"/>
    </xf>
    <xf numFmtId="10" fontId="0" fillId="0" borderId="0" xfId="2" applyNumberFormat="1" applyFont="1" applyFill="1" applyAlignment="1">
      <alignment horizontal="center"/>
    </xf>
    <xf numFmtId="0" fontId="0" fillId="0" borderId="0" xfId="241" applyFont="1" applyAlignment="1">
      <alignment horizontal="left" vertical="top" wrapText="1"/>
    </xf>
    <xf numFmtId="9" fontId="0" fillId="0" borderId="0" xfId="2" applyFont="1" applyFill="1" applyAlignment="1">
      <alignment horizontal="center"/>
    </xf>
    <xf numFmtId="9" fontId="0" fillId="0" borderId="0" xfId="2" applyFont="1" applyFill="1"/>
    <xf numFmtId="0" fontId="0" fillId="0" borderId="8" xfId="241" applyFont="1" applyBorder="1" applyAlignment="1">
      <alignment vertical="top" wrapText="1"/>
    </xf>
    <xf numFmtId="0" fontId="0" fillId="0" borderId="58" xfId="241" applyFont="1" applyBorder="1" applyAlignment="1">
      <alignment vertical="top" wrapText="1"/>
    </xf>
    <xf numFmtId="0" fontId="0" fillId="0" borderId="9" xfId="241" applyFont="1" applyBorder="1" applyAlignment="1">
      <alignment vertical="center" wrapText="1"/>
    </xf>
    <xf numFmtId="0" fontId="0" fillId="0" borderId="60" xfId="241" applyFont="1" applyBorder="1" applyAlignment="1">
      <alignment vertical="center" wrapText="1"/>
    </xf>
    <xf numFmtId="0" fontId="0" fillId="0" borderId="9" xfId="249" applyFont="1" applyBorder="1" applyAlignment="1">
      <alignment vertical="center" wrapText="1"/>
    </xf>
    <xf numFmtId="0" fontId="0" fillId="0" borderId="60" xfId="249" applyFont="1" applyBorder="1" applyAlignment="1">
      <alignment vertical="center" wrapText="1"/>
    </xf>
    <xf numFmtId="0" fontId="0" fillId="0" borderId="11" xfId="249" applyFont="1" applyBorder="1" applyAlignment="1">
      <alignment vertical="center" wrapText="1"/>
    </xf>
    <xf numFmtId="49" fontId="0" fillId="0" borderId="9" xfId="249" applyNumberFormat="1" applyFont="1" applyBorder="1" applyAlignment="1">
      <alignment vertical="center" wrapText="1"/>
    </xf>
    <xf numFmtId="49" fontId="0" fillId="0" borderId="60" xfId="249" applyNumberFormat="1" applyFont="1" applyBorder="1" applyAlignment="1">
      <alignment vertical="center" wrapText="1"/>
    </xf>
    <xf numFmtId="0" fontId="0" fillId="0" borderId="11" xfId="241" applyFont="1" applyBorder="1" applyAlignment="1">
      <alignment vertical="center" wrapText="1"/>
    </xf>
    <xf numFmtId="0" fontId="17" fillId="0" borderId="67" xfId="7" applyFont="1" applyBorder="1" applyAlignment="1">
      <alignment horizontal="center" vertical="center" wrapText="1"/>
    </xf>
    <xf numFmtId="0" fontId="17" fillId="0" borderId="40" xfId="7" applyFont="1" applyBorder="1" applyAlignment="1">
      <alignment horizontal="center" vertical="center" wrapText="1"/>
    </xf>
    <xf numFmtId="0" fontId="17" fillId="0" borderId="71" xfId="7" applyFont="1" applyBorder="1" applyAlignment="1">
      <alignment horizontal="center" vertical="center" wrapText="1"/>
    </xf>
    <xf numFmtId="0" fontId="17" fillId="0" borderId="67" xfId="7" applyFont="1" applyBorder="1" applyAlignment="1">
      <alignment horizontal="center" vertical="center"/>
    </xf>
    <xf numFmtId="0" fontId="17" fillId="0" borderId="19" xfId="7" applyFont="1" applyBorder="1" applyAlignment="1">
      <alignment horizontal="center" vertical="center"/>
    </xf>
    <xf numFmtId="0" fontId="17" fillId="0" borderId="23" xfId="7" applyFont="1" applyBorder="1" applyAlignment="1">
      <alignment horizontal="center" vertical="center"/>
    </xf>
    <xf numFmtId="0" fontId="17" fillId="0" borderId="65" xfId="7" applyFont="1" applyBorder="1" applyAlignment="1">
      <alignment horizontal="center" vertical="center" wrapText="1"/>
    </xf>
    <xf numFmtId="44" fontId="43" fillId="0" borderId="72" xfId="1" applyFont="1" applyFill="1" applyBorder="1" applyAlignment="1">
      <alignment horizontal="center" vertical="center" wrapText="1"/>
    </xf>
    <xf numFmtId="2" fontId="17" fillId="0" borderId="20" xfId="0" applyNumberFormat="1" applyFont="1" applyBorder="1" applyAlignment="1">
      <alignment horizontal="center" wrapText="1"/>
    </xf>
    <xf numFmtId="8" fontId="17" fillId="0" borderId="56" xfId="0" applyNumberFormat="1" applyFont="1" applyBorder="1" applyAlignment="1">
      <alignment horizontal="center" vertical="center" wrapText="1"/>
    </xf>
    <xf numFmtId="2" fontId="17" fillId="0" borderId="52" xfId="2" applyNumberFormat="1" applyFont="1" applyFill="1" applyBorder="1" applyAlignment="1">
      <alignment horizontal="center" wrapText="1"/>
    </xf>
    <xf numFmtId="2" fontId="17" fillId="0" borderId="21" xfId="2" applyNumberFormat="1" applyFont="1" applyFill="1" applyBorder="1" applyAlignment="1">
      <alignment horizontal="center" wrapText="1"/>
    </xf>
    <xf numFmtId="2" fontId="17" fillId="0" borderId="0" xfId="0" applyNumberFormat="1" applyFont="1" applyAlignment="1">
      <alignment horizontal="center" wrapText="1"/>
    </xf>
    <xf numFmtId="0" fontId="10" fillId="0" borderId="71" xfId="0" applyFont="1" applyBorder="1" applyAlignment="1">
      <alignment horizontal="center" wrapText="1"/>
    </xf>
    <xf numFmtId="0" fontId="10" fillId="0" borderId="66" xfId="0" applyFont="1" applyBorder="1" applyAlignment="1">
      <alignment horizontal="center" wrapText="1"/>
    </xf>
    <xf numFmtId="164" fontId="10" fillId="0" borderId="72" xfId="3" applyNumberFormat="1" applyFont="1" applyBorder="1" applyAlignment="1">
      <alignment horizontal="center" wrapText="1"/>
    </xf>
    <xf numFmtId="0" fontId="10" fillId="0" borderId="52" xfId="0" applyFont="1" applyBorder="1" applyAlignment="1">
      <alignment horizontal="center" wrapText="1"/>
    </xf>
    <xf numFmtId="0" fontId="10" fillId="0" borderId="21" xfId="0" applyFont="1" applyBorder="1" applyAlignment="1">
      <alignment horizontal="center" wrapText="1"/>
    </xf>
    <xf numFmtId="164" fontId="10" fillId="0" borderId="22" xfId="3" applyNumberFormat="1" applyFont="1" applyBorder="1" applyAlignment="1">
      <alignment horizontal="center" wrapText="1"/>
    </xf>
    <xf numFmtId="169" fontId="44" fillId="0" borderId="69" xfId="3" applyNumberFormat="1" applyFont="1" applyBorder="1" applyAlignment="1">
      <alignment horizontal="center" wrapText="1"/>
    </xf>
    <xf numFmtId="43" fontId="44" fillId="0" borderId="68" xfId="240" applyFont="1" applyFill="1" applyBorder="1" applyAlignment="1">
      <alignment horizontal="center" vertical="center" wrapText="1"/>
    </xf>
    <xf numFmtId="164" fontId="17" fillId="0" borderId="40" xfId="3" applyNumberFormat="1" applyFont="1" applyBorder="1" applyAlignment="1">
      <alignment vertical="center" wrapText="1"/>
    </xf>
    <xf numFmtId="2" fontId="18" fillId="0" borderId="40" xfId="3" applyNumberFormat="1" applyFont="1" applyBorder="1" applyAlignment="1">
      <alignment horizontal="center" wrapText="1"/>
    </xf>
    <xf numFmtId="169" fontId="44" fillId="0" borderId="56" xfId="3" applyNumberFormat="1" applyFont="1" applyBorder="1" applyAlignment="1">
      <alignment horizontal="center" vertical="top" wrapText="1"/>
    </xf>
    <xf numFmtId="169" fontId="44" fillId="0" borderId="74" xfId="3" applyNumberFormat="1" applyFont="1" applyBorder="1" applyAlignment="1">
      <alignment horizontal="center" vertical="top" wrapText="1"/>
    </xf>
    <xf numFmtId="43" fontId="44" fillId="0" borderId="42" xfId="240" applyFont="1" applyFill="1" applyBorder="1" applyAlignment="1">
      <alignment horizontal="center" vertical="center" wrapText="1"/>
    </xf>
    <xf numFmtId="164" fontId="12" fillId="0" borderId="40" xfId="0" applyNumberFormat="1" applyFont="1" applyBorder="1" applyAlignment="1">
      <alignment wrapText="1"/>
    </xf>
    <xf numFmtId="0" fontId="17" fillId="0" borderId="65" xfId="3" applyFont="1" applyBorder="1" applyAlignment="1">
      <alignment horizontal="center" vertical="center" wrapText="1"/>
    </xf>
    <xf numFmtId="0" fontId="17" fillId="0" borderId="72" xfId="3" applyFont="1" applyBorder="1" applyAlignment="1">
      <alignment horizontal="center" vertical="center" wrapText="1"/>
    </xf>
    <xf numFmtId="0" fontId="18" fillId="0" borderId="65" xfId="7" applyFont="1" applyBorder="1" applyAlignment="1">
      <alignment horizontal="center" wrapText="1"/>
    </xf>
    <xf numFmtId="8" fontId="18" fillId="0" borderId="23" xfId="6" applyNumberFormat="1" applyFont="1" applyBorder="1" applyAlignment="1">
      <alignment horizontal="center" vertical="center" wrapText="1"/>
    </xf>
    <xf numFmtId="8" fontId="18" fillId="0" borderId="65" xfId="6" applyNumberFormat="1" applyFont="1" applyBorder="1" applyAlignment="1">
      <alignment horizontal="center" vertical="center" wrapText="1"/>
    </xf>
    <xf numFmtId="44" fontId="18" fillId="0" borderId="77" xfId="1" applyFont="1" applyFill="1" applyBorder="1" applyAlignment="1">
      <alignment vertical="center" wrapText="1"/>
    </xf>
    <xf numFmtId="0" fontId="18" fillId="0" borderId="0" xfId="156" applyFont="1" applyAlignment="1">
      <alignment vertical="center" wrapText="1"/>
    </xf>
    <xf numFmtId="0" fontId="17" fillId="0" borderId="8" xfId="7" applyFont="1" applyBorder="1" applyAlignment="1">
      <alignment horizontal="center" vertical="center"/>
    </xf>
    <xf numFmtId="165" fontId="17" fillId="0" borderId="8" xfId="3" applyNumberFormat="1" applyFont="1" applyBorder="1" applyAlignment="1">
      <alignment horizontal="center" vertical="center" wrapText="1"/>
    </xf>
    <xf numFmtId="165" fontId="17" fillId="0" borderId="9" xfId="3" applyNumberFormat="1" applyFont="1" applyBorder="1" applyAlignment="1">
      <alignment horizontal="center" vertical="center" wrapText="1"/>
    </xf>
    <xf numFmtId="165" fontId="17" fillId="0" borderId="13" xfId="3" applyNumberFormat="1" applyFont="1" applyBorder="1" applyAlignment="1">
      <alignment horizontal="center" vertical="center" wrapText="1"/>
    </xf>
    <xf numFmtId="165" fontId="17" fillId="0" borderId="14" xfId="3" applyNumberFormat="1" applyFont="1" applyBorder="1" applyAlignment="1">
      <alignment horizontal="center" vertical="center" wrapText="1"/>
    </xf>
    <xf numFmtId="165" fontId="17" fillId="0" borderId="15" xfId="3" applyNumberFormat="1" applyFont="1" applyBorder="1" applyAlignment="1">
      <alignment horizontal="center" vertical="center" wrapText="1"/>
    </xf>
    <xf numFmtId="0" fontId="17" fillId="0" borderId="10" xfId="7" applyFont="1" applyBorder="1" applyAlignment="1">
      <alignment horizontal="center"/>
    </xf>
    <xf numFmtId="0" fontId="17" fillId="0" borderId="7" xfId="7" applyFont="1" applyBorder="1" applyAlignment="1">
      <alignment horizontal="center"/>
    </xf>
    <xf numFmtId="165" fontId="17" fillId="0" borderId="8" xfId="7" applyNumberFormat="1" applyFont="1" applyBorder="1" applyAlignment="1">
      <alignment horizontal="center"/>
    </xf>
    <xf numFmtId="2" fontId="18" fillId="0" borderId="23" xfId="4" applyNumberFormat="1" applyFont="1" applyBorder="1" applyAlignment="1">
      <alignment horizontal="center"/>
    </xf>
    <xf numFmtId="165" fontId="17" fillId="0" borderId="0" xfId="7" applyNumberFormat="1" applyFont="1" applyAlignment="1">
      <alignment horizontal="center"/>
    </xf>
    <xf numFmtId="0" fontId="17" fillId="0" borderId="59" xfId="7" applyFont="1" applyBorder="1" applyAlignment="1">
      <alignment horizontal="center"/>
    </xf>
    <xf numFmtId="165" fontId="17" fillId="0" borderId="58" xfId="7" applyNumberFormat="1" applyFont="1" applyBorder="1" applyAlignment="1">
      <alignment horizontal="center"/>
    </xf>
    <xf numFmtId="0" fontId="65" fillId="0" borderId="0" xfId="0" applyFont="1"/>
    <xf numFmtId="0" fontId="66" fillId="0" borderId="0" xfId="0" applyFont="1" applyAlignment="1">
      <alignment horizontal="right"/>
    </xf>
    <xf numFmtId="0" fontId="67" fillId="0" borderId="0" xfId="247" applyFont="1" applyAlignment="1"/>
    <xf numFmtId="2" fontId="18" fillId="0" borderId="8" xfId="4" applyNumberFormat="1" applyFont="1" applyBorder="1" applyAlignment="1">
      <alignment horizontal="center" vertical="center" wrapText="1"/>
    </xf>
    <xf numFmtId="2" fontId="18" fillId="0" borderId="8" xfId="4" applyNumberFormat="1" applyFont="1" applyBorder="1" applyAlignment="1">
      <alignment horizontal="center" wrapText="1"/>
    </xf>
    <xf numFmtId="2" fontId="18" fillId="0" borderId="0" xfId="4" applyNumberFormat="1" applyFont="1" applyAlignment="1">
      <alignment horizontal="center" vertical="center" wrapText="1"/>
    </xf>
    <xf numFmtId="2" fontId="18" fillId="0" borderId="0" xfId="4" applyNumberFormat="1" applyFont="1" applyAlignment="1">
      <alignment horizontal="center" wrapText="1"/>
    </xf>
    <xf numFmtId="2" fontId="18" fillId="0" borderId="58" xfId="4" applyNumberFormat="1" applyFont="1" applyBorder="1" applyAlignment="1">
      <alignment horizontal="center" vertical="center" wrapText="1"/>
    </xf>
    <xf numFmtId="2" fontId="18" fillId="0" borderId="58" xfId="4" applyNumberFormat="1" applyFont="1" applyBorder="1" applyAlignment="1">
      <alignment horizontal="center" wrapText="1"/>
    </xf>
    <xf numFmtId="2" fontId="18" fillId="0" borderId="8" xfId="4" quotePrefix="1" applyNumberFormat="1" applyFont="1" applyBorder="1" applyAlignment="1">
      <alignment horizontal="center" wrapText="1"/>
    </xf>
    <xf numFmtId="2" fontId="18" fillId="0" borderId="9" xfId="4" quotePrefix="1" applyNumberFormat="1" applyFont="1" applyBorder="1" applyAlignment="1">
      <alignment horizontal="center" wrapText="1"/>
    </xf>
    <xf numFmtId="2" fontId="18" fillId="0" borderId="0" xfId="4" quotePrefix="1" applyNumberFormat="1" applyFont="1" applyAlignment="1">
      <alignment horizontal="center" wrapText="1"/>
    </xf>
    <xf numFmtId="2" fontId="18" fillId="0" borderId="11" xfId="4" quotePrefix="1" applyNumberFormat="1" applyFont="1" applyBorder="1" applyAlignment="1">
      <alignment horizontal="center" wrapText="1"/>
    </xf>
    <xf numFmtId="2" fontId="18" fillId="0" borderId="58" xfId="4" quotePrefix="1" applyNumberFormat="1" applyFont="1" applyBorder="1" applyAlignment="1">
      <alignment horizontal="center" wrapText="1"/>
    </xf>
    <xf numFmtId="2" fontId="18" fillId="0" borderId="60" xfId="4" quotePrefix="1" applyNumberFormat="1" applyFont="1" applyBorder="1" applyAlignment="1">
      <alignment horizontal="center" wrapText="1"/>
    </xf>
    <xf numFmtId="0" fontId="18" fillId="0" borderId="0" xfId="0" applyFont="1"/>
    <xf numFmtId="0" fontId="68" fillId="0" borderId="0" xfId="0" applyFont="1"/>
    <xf numFmtId="44" fontId="18" fillId="0" borderId="0" xfId="0" applyNumberFormat="1" applyFont="1"/>
    <xf numFmtId="0" fontId="18" fillId="0" borderId="0" xfId="0" applyFont="1" applyAlignment="1">
      <alignment wrapText="1"/>
    </xf>
    <xf numFmtId="0" fontId="12" fillId="0" borderId="0" xfId="0" applyFont="1" applyAlignment="1">
      <alignment horizontal="center" vertical="center" wrapText="1"/>
    </xf>
    <xf numFmtId="0" fontId="18" fillId="0" borderId="65" xfId="0" applyFont="1" applyBorder="1"/>
    <xf numFmtId="44" fontId="18" fillId="0" borderId="0" xfId="1" applyFont="1" applyFill="1" applyBorder="1" applyAlignment="1"/>
    <xf numFmtId="44" fontId="18" fillId="0" borderId="55" xfId="1" applyFont="1" applyFill="1" applyBorder="1" applyAlignment="1">
      <alignment wrapText="1"/>
    </xf>
    <xf numFmtId="44" fontId="18" fillId="0" borderId="69" xfId="1" applyFont="1" applyFill="1" applyBorder="1" applyAlignment="1">
      <alignment wrapText="1"/>
    </xf>
    <xf numFmtId="10" fontId="18" fillId="0" borderId="0" xfId="2" applyNumberFormat="1" applyFont="1" applyFill="1" applyAlignment="1">
      <alignment wrapText="1"/>
    </xf>
    <xf numFmtId="44" fontId="18" fillId="0" borderId="19" xfId="1" applyFont="1" applyFill="1" applyBorder="1" applyAlignment="1">
      <alignment wrapText="1"/>
    </xf>
    <xf numFmtId="44" fontId="18" fillId="0" borderId="56" xfId="1" applyFont="1" applyFill="1" applyBorder="1" applyAlignment="1">
      <alignment wrapText="1"/>
    </xf>
    <xf numFmtId="44" fontId="18" fillId="0" borderId="23" xfId="1" applyFont="1" applyFill="1" applyBorder="1" applyAlignment="1">
      <alignment wrapText="1"/>
    </xf>
    <xf numFmtId="44" fontId="18" fillId="0" borderId="52" xfId="1" applyFont="1" applyFill="1" applyBorder="1" applyAlignment="1">
      <alignment wrapText="1"/>
    </xf>
    <xf numFmtId="44" fontId="18" fillId="0" borderId="77" xfId="0" applyNumberFormat="1" applyFont="1" applyBorder="1"/>
    <xf numFmtId="0" fontId="18" fillId="0" borderId="0" xfId="0" applyFont="1" applyAlignment="1">
      <alignment horizontal="left" vertical="center"/>
    </xf>
    <xf numFmtId="44" fontId="18" fillId="0" borderId="0" xfId="1" applyFont="1" applyFill="1" applyBorder="1" applyAlignment="1">
      <alignment wrapText="1"/>
    </xf>
    <xf numFmtId="0" fontId="18" fillId="0" borderId="77" xfId="0" applyFont="1" applyBorder="1"/>
    <xf numFmtId="44" fontId="18" fillId="0" borderId="0" xfId="1" applyFont="1" applyFill="1" applyBorder="1"/>
    <xf numFmtId="9" fontId="18" fillId="0" borderId="0" xfId="0" applyNumberFormat="1" applyFont="1" applyAlignment="1">
      <alignment horizontal="center" vertical="center"/>
    </xf>
    <xf numFmtId="0" fontId="17" fillId="0" borderId="77" xfId="0" applyFont="1" applyBorder="1" applyAlignment="1">
      <alignment horizontal="center" vertical="center" wrapText="1"/>
    </xf>
    <xf numFmtId="0" fontId="18" fillId="0" borderId="77" xfId="0" applyFont="1" applyBorder="1" applyAlignment="1">
      <alignment horizontal="left"/>
    </xf>
    <xf numFmtId="44" fontId="18" fillId="0" borderId="77" xfId="1" applyFont="1" applyFill="1" applyBorder="1"/>
    <xf numFmtId="9" fontId="18" fillId="0" borderId="77" xfId="0" applyNumberFormat="1" applyFont="1" applyBorder="1" applyAlignment="1">
      <alignment horizontal="center" vertical="center"/>
    </xf>
    <xf numFmtId="9" fontId="18" fillId="0" borderId="77" xfId="0" applyNumberFormat="1" applyFont="1" applyBorder="1" applyAlignment="1">
      <alignment horizontal="center"/>
    </xf>
    <xf numFmtId="0" fontId="18" fillId="0" borderId="0" xfId="0" applyFont="1" applyAlignment="1">
      <alignment horizontal="center" vertical="center" wrapText="1"/>
    </xf>
    <xf numFmtId="0" fontId="17" fillId="0" borderId="71" xfId="0" applyFont="1" applyBorder="1" applyAlignment="1">
      <alignment horizontal="center" vertical="center" wrapText="1"/>
    </xf>
    <xf numFmtId="0" fontId="17" fillId="0" borderId="6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56" xfId="0" applyFont="1" applyBorder="1" applyAlignment="1">
      <alignment horizontal="center" vertical="center" wrapText="1"/>
    </xf>
    <xf numFmtId="44" fontId="18" fillId="0" borderId="0" xfId="0" applyNumberFormat="1" applyFont="1" applyAlignment="1">
      <alignment wrapText="1"/>
    </xf>
    <xf numFmtId="44" fontId="18" fillId="0" borderId="20" xfId="0" applyNumberFormat="1" applyFont="1" applyBorder="1" applyAlignment="1">
      <alignment wrapText="1"/>
    </xf>
    <xf numFmtId="0" fontId="17" fillId="0" borderId="52" xfId="0" applyFont="1" applyBorder="1" applyAlignment="1">
      <alignment horizontal="center" vertical="center" wrapText="1"/>
    </xf>
    <xf numFmtId="44" fontId="18" fillId="0" borderId="21" xfId="0" applyNumberFormat="1" applyFont="1" applyBorder="1" applyAlignment="1">
      <alignment wrapText="1"/>
    </xf>
    <xf numFmtId="44" fontId="18" fillId="0" borderId="22" xfId="0" applyNumberFormat="1" applyFont="1" applyBorder="1" applyAlignment="1">
      <alignment wrapText="1"/>
    </xf>
    <xf numFmtId="0" fontId="17" fillId="0" borderId="0" xfId="0" applyFont="1" applyAlignment="1">
      <alignment horizontal="center" vertical="center" wrapText="1"/>
    </xf>
    <xf numFmtId="0" fontId="71" fillId="0" borderId="0" xfId="0" applyFont="1"/>
    <xf numFmtId="166" fontId="12" fillId="0" borderId="40" xfId="2" applyNumberFormat="1" applyFont="1" applyFill="1" applyBorder="1" applyAlignment="1">
      <alignment horizontal="center" wrapText="1"/>
    </xf>
    <xf numFmtId="0" fontId="12" fillId="0" borderId="0" xfId="0" applyFont="1" applyAlignment="1">
      <alignment horizontal="center" vertical="center"/>
    </xf>
    <xf numFmtId="10" fontId="17" fillId="0" borderId="65" xfId="3" applyNumberFormat="1" applyFont="1" applyBorder="1" applyAlignment="1">
      <alignment horizontal="center" vertical="center" wrapText="1"/>
    </xf>
    <xf numFmtId="9" fontId="17" fillId="0" borderId="65" xfId="3" applyNumberFormat="1" applyFont="1" applyBorder="1" applyAlignment="1">
      <alignment horizontal="center" vertical="center" wrapText="1"/>
    </xf>
    <xf numFmtId="10" fontId="17" fillId="0" borderId="65" xfId="2" applyNumberFormat="1" applyFont="1" applyFill="1" applyBorder="1" applyAlignment="1">
      <alignment horizontal="center" vertical="center" wrapText="1"/>
    </xf>
    <xf numFmtId="0" fontId="12" fillId="0" borderId="0" xfId="0" applyFont="1"/>
    <xf numFmtId="9" fontId="18" fillId="0" borderId="0" xfId="2" applyFont="1" applyFill="1"/>
    <xf numFmtId="44" fontId="18" fillId="0" borderId="65" xfId="1" applyFont="1" applyFill="1" applyBorder="1" applyAlignment="1">
      <alignment wrapText="1"/>
    </xf>
    <xf numFmtId="44" fontId="18" fillId="0" borderId="22" xfId="1" applyFont="1" applyFill="1" applyBorder="1" applyAlignment="1">
      <alignment wrapText="1"/>
    </xf>
    <xf numFmtId="44" fontId="18" fillId="0" borderId="72" xfId="1" applyFont="1" applyFill="1" applyBorder="1" applyAlignment="1">
      <alignment wrapText="1"/>
    </xf>
    <xf numFmtId="0" fontId="17" fillId="0" borderId="0" xfId="0" applyFont="1" applyAlignment="1">
      <alignment horizontal="center" vertical="center"/>
    </xf>
    <xf numFmtId="0" fontId="18" fillId="0" borderId="77" xfId="0" applyFont="1" applyBorder="1" applyAlignment="1">
      <alignment horizontal="left" vertical="center"/>
    </xf>
    <xf numFmtId="44" fontId="18" fillId="0" borderId="77" xfId="1" applyFont="1" applyFill="1" applyBorder="1" applyAlignment="1">
      <alignment wrapText="1"/>
    </xf>
    <xf numFmtId="49" fontId="17" fillId="0" borderId="8" xfId="0" applyNumberFormat="1" applyFont="1" applyBorder="1" applyAlignment="1">
      <alignment horizontal="center" vertical="center" wrapText="1"/>
    </xf>
    <xf numFmtId="165" fontId="18" fillId="0" borderId="8" xfId="4" applyNumberFormat="1" applyFont="1" applyBorder="1" applyAlignment="1">
      <alignment horizontal="center" wrapText="1"/>
    </xf>
    <xf numFmtId="0" fontId="18" fillId="0" borderId="23" xfId="0" applyFont="1" applyBorder="1"/>
    <xf numFmtId="165" fontId="18" fillId="0" borderId="23" xfId="0" applyNumberFormat="1" applyFont="1" applyBorder="1" applyAlignment="1">
      <alignment horizontal="center"/>
    </xf>
    <xf numFmtId="2" fontId="18" fillId="0" borderId="23" xfId="0" applyNumberFormat="1" applyFont="1" applyBorder="1" applyAlignment="1">
      <alignment horizontal="center"/>
    </xf>
    <xf numFmtId="9" fontId="18" fillId="0" borderId="23" xfId="2" applyFont="1" applyFill="1" applyBorder="1" applyAlignment="1">
      <alignment horizontal="center"/>
    </xf>
    <xf numFmtId="1" fontId="18" fillId="0" borderId="23" xfId="0" applyNumberFormat="1" applyFont="1" applyBorder="1" applyAlignment="1">
      <alignment horizontal="center" wrapText="1"/>
    </xf>
    <xf numFmtId="165" fontId="18" fillId="0" borderId="0" xfId="4" applyNumberFormat="1" applyFont="1" applyAlignment="1">
      <alignment horizontal="center" wrapText="1"/>
    </xf>
    <xf numFmtId="165" fontId="18" fillId="0" borderId="58" xfId="4" applyNumberFormat="1" applyFont="1" applyBorder="1" applyAlignment="1">
      <alignment horizontal="center" wrapText="1"/>
    </xf>
    <xf numFmtId="0" fontId="72" fillId="39" borderId="0" xfId="186" applyFont="1" applyFill="1" applyAlignment="1">
      <alignment horizontal="center"/>
    </xf>
    <xf numFmtId="1" fontId="72" fillId="39" borderId="21" xfId="186" applyNumberFormat="1" applyFont="1" applyFill="1" applyBorder="1" applyAlignment="1">
      <alignment horizontal="center"/>
    </xf>
    <xf numFmtId="0" fontId="73" fillId="0" borderId="0" xfId="0" applyFont="1"/>
    <xf numFmtId="0" fontId="70" fillId="0" borderId="13" xfId="0" applyFont="1" applyBorder="1" applyAlignment="1">
      <alignment horizontal="center" wrapText="1"/>
    </xf>
    <xf numFmtId="0" fontId="70" fillId="0" borderId="14" xfId="0" applyFont="1" applyBorder="1" applyAlignment="1">
      <alignment horizontal="center" wrapText="1"/>
    </xf>
    <xf numFmtId="0" fontId="70" fillId="0" borderId="15" xfId="0" applyFont="1" applyBorder="1" applyAlignment="1">
      <alignment horizontal="center" wrapText="1"/>
    </xf>
    <xf numFmtId="169" fontId="10" fillId="0" borderId="52" xfId="3" applyNumberFormat="1" applyFont="1" applyBorder="1" applyAlignment="1">
      <alignment horizontal="center" vertical="top" wrapText="1"/>
    </xf>
    <xf numFmtId="169" fontId="10" fillId="0" borderId="21" xfId="3" applyNumberFormat="1" applyFont="1" applyBorder="1" applyAlignment="1">
      <alignment horizontal="center" vertical="top" wrapText="1"/>
    </xf>
    <xf numFmtId="169" fontId="10" fillId="0" borderId="71" xfId="3" applyNumberFormat="1" applyFont="1" applyBorder="1" applyAlignment="1">
      <alignment horizontal="center" vertical="top" wrapText="1"/>
    </xf>
    <xf numFmtId="169" fontId="10" fillId="0" borderId="66" xfId="3" applyNumberFormat="1" applyFont="1" applyBorder="1" applyAlignment="1">
      <alignment horizontal="center" vertical="top" wrapText="1"/>
    </xf>
    <xf numFmtId="170" fontId="18" fillId="0" borderId="65" xfId="1" applyNumberFormat="1" applyFont="1" applyFill="1" applyBorder="1" applyAlignment="1"/>
    <xf numFmtId="170" fontId="18" fillId="0" borderId="77" xfId="1" applyNumberFormat="1" applyFont="1" applyFill="1" applyBorder="1"/>
    <xf numFmtId="0" fontId="17" fillId="0" borderId="71" xfId="0" applyFont="1" applyBorder="1" applyAlignment="1">
      <alignment horizontal="center" wrapText="1"/>
    </xf>
    <xf numFmtId="0" fontId="17" fillId="0" borderId="66" xfId="0" applyFont="1" applyBorder="1" applyAlignment="1">
      <alignment horizontal="center" wrapText="1"/>
    </xf>
    <xf numFmtId="0" fontId="17" fillId="0" borderId="72" xfId="0" applyFont="1" applyBorder="1" applyAlignment="1">
      <alignment horizontal="center" wrapText="1"/>
    </xf>
    <xf numFmtId="0" fontId="69" fillId="0" borderId="56" xfId="0" applyFont="1" applyBorder="1" applyAlignment="1">
      <alignment horizontal="left"/>
    </xf>
    <xf numFmtId="0" fontId="69" fillId="0" borderId="0" xfId="0" applyFont="1" applyAlignment="1">
      <alignment horizontal="left"/>
    </xf>
    <xf numFmtId="0" fontId="69" fillId="0" borderId="20" xfId="0" applyFont="1" applyBorder="1" applyAlignment="1">
      <alignment horizontal="left"/>
    </xf>
    <xf numFmtId="0" fontId="69" fillId="0" borderId="52" xfId="0" applyFont="1" applyBorder="1" applyAlignment="1">
      <alignment horizontal="left"/>
    </xf>
    <xf numFmtId="0" fontId="69" fillId="0" borderId="21" xfId="0" applyFont="1" applyBorder="1" applyAlignment="1">
      <alignment horizontal="left"/>
    </xf>
    <xf numFmtId="0" fontId="69" fillId="0" borderId="22" xfId="0" applyFont="1" applyBorder="1" applyAlignment="1">
      <alignment horizontal="left"/>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8" fillId="0" borderId="77" xfId="0" applyFont="1" applyBorder="1" applyAlignment="1">
      <alignment horizontal="center" vertical="center" wrapText="1"/>
    </xf>
    <xf numFmtId="0" fontId="17" fillId="0" borderId="77" xfId="0" applyFont="1" applyBorder="1" applyAlignment="1">
      <alignment horizontal="center" vertical="center" wrapText="1"/>
    </xf>
    <xf numFmtId="0" fontId="17" fillId="0" borderId="71" xfId="0" applyFont="1" applyBorder="1" applyAlignment="1">
      <alignment horizontal="center"/>
    </xf>
    <xf numFmtId="0" fontId="17" fillId="0" borderId="66" xfId="0" applyFont="1" applyBorder="1" applyAlignment="1">
      <alignment horizontal="center"/>
    </xf>
    <xf numFmtId="0" fontId="17" fillId="0" borderId="72" xfId="0" applyFont="1" applyBorder="1" applyAlignment="1">
      <alignment horizontal="center"/>
    </xf>
    <xf numFmtId="0" fontId="70" fillId="0" borderId="77" xfId="0" applyFont="1" applyBorder="1" applyAlignment="1">
      <alignment horizontal="center" wrapText="1"/>
    </xf>
    <xf numFmtId="0" fontId="18" fillId="0" borderId="21" xfId="0" applyFont="1" applyBorder="1" applyAlignment="1">
      <alignment horizontal="center" vertical="center" wrapText="1"/>
    </xf>
    <xf numFmtId="0" fontId="70" fillId="0" borderId="71" xfId="0" applyFont="1" applyBorder="1" applyAlignment="1">
      <alignment horizontal="center" wrapText="1"/>
    </xf>
    <xf numFmtId="0" fontId="70" fillId="0" borderId="66" xfId="0" applyFont="1" applyBorder="1" applyAlignment="1">
      <alignment horizontal="center" wrapText="1"/>
    </xf>
    <xf numFmtId="0" fontId="70" fillId="0" borderId="72" xfId="0" applyFont="1" applyBorder="1" applyAlignment="1">
      <alignment horizontal="center" wrapText="1"/>
    </xf>
    <xf numFmtId="0" fontId="70" fillId="0" borderId="71" xfId="0" applyFont="1" applyBorder="1" applyAlignment="1">
      <alignment horizontal="center" vertical="center"/>
    </xf>
    <xf numFmtId="0" fontId="70" fillId="0" borderId="66" xfId="0" applyFont="1" applyBorder="1" applyAlignment="1">
      <alignment horizontal="center" vertical="center"/>
    </xf>
    <xf numFmtId="0" fontId="70" fillId="0" borderId="72" xfId="0" applyFont="1" applyBorder="1" applyAlignment="1">
      <alignment horizontal="center" vertical="center"/>
    </xf>
    <xf numFmtId="0" fontId="18" fillId="0" borderId="71" xfId="0" applyFont="1" applyBorder="1" applyAlignment="1">
      <alignment horizontal="left" vertical="center"/>
    </xf>
    <xf numFmtId="0" fontId="18" fillId="0" borderId="66" xfId="0" applyFont="1" applyBorder="1" applyAlignment="1">
      <alignment horizontal="left" vertical="center"/>
    </xf>
    <xf numFmtId="0" fontId="18" fillId="0" borderId="72" xfId="0" applyFont="1" applyBorder="1" applyAlignment="1">
      <alignment horizontal="left" vertical="center"/>
    </xf>
    <xf numFmtId="0" fontId="69" fillId="0" borderId="69" xfId="0" applyFont="1" applyBorder="1" applyAlignment="1">
      <alignment horizontal="left"/>
    </xf>
    <xf numFmtId="0" fontId="69" fillId="0" borderId="68" xfId="0" applyFont="1" applyBorder="1" applyAlignment="1">
      <alignment horizontal="left"/>
    </xf>
    <xf numFmtId="0" fontId="69" fillId="0" borderId="70" xfId="0" applyFont="1" applyBorder="1" applyAlignment="1">
      <alignment horizontal="left"/>
    </xf>
    <xf numFmtId="0" fontId="0" fillId="0" borderId="0" xfId="241" applyFont="1" applyAlignment="1">
      <alignment horizontal="center"/>
    </xf>
    <xf numFmtId="0" fontId="45" fillId="36" borderId="8" xfId="6" applyFont="1" applyFill="1" applyBorder="1" applyAlignment="1">
      <alignment horizontal="left"/>
    </xf>
    <xf numFmtId="0" fontId="45" fillId="36" borderId="9" xfId="6" applyFont="1" applyFill="1" applyBorder="1" applyAlignment="1">
      <alignment horizontal="left"/>
    </xf>
    <xf numFmtId="0" fontId="9" fillId="0" borderId="71"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72" xfId="0" applyFont="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41" fillId="0" borderId="21" xfId="0" applyFont="1" applyBorder="1" applyAlignment="1">
      <alignment horizontal="left" vertical="top" wrapText="1"/>
    </xf>
    <xf numFmtId="0" fontId="17" fillId="33" borderId="56" xfId="161" applyFont="1" applyFill="1" applyBorder="1" applyAlignment="1">
      <alignment horizontal="center" vertical="center"/>
    </xf>
    <xf numFmtId="0" fontId="17" fillId="33" borderId="58" xfId="161" applyFont="1" applyFill="1" applyBorder="1" applyAlignment="1">
      <alignment horizontal="center" vertical="center"/>
    </xf>
    <xf numFmtId="0" fontId="17" fillId="33" borderId="80" xfId="161" applyFont="1" applyFill="1" applyBorder="1" applyAlignment="1">
      <alignment horizontal="center" vertical="center"/>
    </xf>
    <xf numFmtId="0" fontId="17" fillId="0" borderId="21" xfId="161" applyFont="1" applyBorder="1" applyAlignment="1">
      <alignment horizontal="center" vertical="center"/>
    </xf>
    <xf numFmtId="0" fontId="40" fillId="0" borderId="0" xfId="6" applyFont="1" applyAlignment="1">
      <alignment horizontal="left"/>
    </xf>
    <xf numFmtId="8" fontId="17" fillId="0" borderId="65" xfId="6" applyNumberFormat="1" applyFont="1" applyBorder="1" applyAlignment="1">
      <alignment horizontal="center" vertical="center"/>
    </xf>
    <xf numFmtId="0" fontId="18" fillId="0" borderId="37" xfId="6" applyFont="1" applyBorder="1" applyAlignment="1">
      <alignment horizontal="center"/>
    </xf>
    <xf numFmtId="0" fontId="18" fillId="0" borderId="34" xfId="6" applyFont="1" applyBorder="1" applyAlignment="1">
      <alignment horizontal="center"/>
    </xf>
    <xf numFmtId="0" fontId="18" fillId="0" borderId="35" xfId="6" applyFont="1" applyBorder="1" applyAlignment="1">
      <alignment horizontal="center"/>
    </xf>
    <xf numFmtId="0" fontId="18" fillId="0" borderId="38" xfId="6" applyFont="1" applyBorder="1" applyAlignment="1">
      <alignment horizontal="center"/>
    </xf>
    <xf numFmtId="0" fontId="18" fillId="0" borderId="24" xfId="6" applyFont="1" applyBorder="1" applyAlignment="1">
      <alignment horizontal="center"/>
    </xf>
    <xf numFmtId="0" fontId="18" fillId="0" borderId="39" xfId="6" applyFont="1" applyBorder="1" applyAlignment="1">
      <alignment horizontal="center"/>
    </xf>
    <xf numFmtId="0" fontId="18" fillId="0" borderId="36" xfId="6" applyFont="1" applyBorder="1" applyAlignment="1">
      <alignment horizontal="center"/>
    </xf>
    <xf numFmtId="8" fontId="18" fillId="0" borderId="71" xfId="6" applyNumberFormat="1" applyFont="1" applyBorder="1" applyAlignment="1">
      <alignment horizontal="center" vertical="top"/>
    </xf>
    <xf numFmtId="8" fontId="18" fillId="0" borderId="66" xfId="6" applyNumberFormat="1" applyFont="1" applyBorder="1" applyAlignment="1">
      <alignment horizontal="center" vertical="top"/>
    </xf>
    <xf numFmtId="8" fontId="18" fillId="0" borderId="72" xfId="6" applyNumberFormat="1" applyFont="1" applyBorder="1" applyAlignment="1">
      <alignment horizontal="center" vertical="top"/>
    </xf>
    <xf numFmtId="0" fontId="17" fillId="0" borderId="71" xfId="6" applyFont="1" applyBorder="1" applyAlignment="1">
      <alignment horizontal="center" vertical="top"/>
    </xf>
    <xf numFmtId="0" fontId="17" fillId="0" borderId="66" xfId="6" applyFont="1" applyBorder="1" applyAlignment="1">
      <alignment horizontal="center" vertical="top"/>
    </xf>
    <xf numFmtId="0" fontId="17" fillId="0" borderId="72" xfId="6" applyFont="1" applyBorder="1" applyAlignment="1">
      <alignment horizontal="center" vertical="top"/>
    </xf>
    <xf numFmtId="0" fontId="0" fillId="0" borderId="71" xfId="0" applyBorder="1" applyAlignment="1">
      <alignment horizontal="center"/>
    </xf>
    <xf numFmtId="0" fontId="0" fillId="0" borderId="72" xfId="0" applyBorder="1" applyAlignment="1">
      <alignment horizontal="center"/>
    </xf>
    <xf numFmtId="0" fontId="0" fillId="0" borderId="71" xfId="0" applyBorder="1" applyAlignment="1">
      <alignment horizontal="left"/>
    </xf>
    <xf numFmtId="0" fontId="0" fillId="0" borderId="72" xfId="0" applyBorder="1" applyAlignment="1">
      <alignment horizontal="left"/>
    </xf>
    <xf numFmtId="0" fontId="17" fillId="0" borderId="12" xfId="7" applyFont="1" applyBorder="1" applyAlignment="1">
      <alignment horizontal="left"/>
    </xf>
    <xf numFmtId="0" fontId="17" fillId="0" borderId="58" xfId="7" applyFont="1" applyBorder="1" applyAlignment="1">
      <alignment horizontal="left"/>
    </xf>
    <xf numFmtId="0" fontId="17" fillId="0" borderId="13" xfId="7" applyFont="1" applyBorder="1" applyAlignment="1">
      <alignment horizontal="center" vertical="center"/>
    </xf>
    <xf numFmtId="0" fontId="17" fillId="0" borderId="14" xfId="7" applyFont="1" applyBorder="1" applyAlignment="1">
      <alignment horizontal="center" vertical="center"/>
    </xf>
    <xf numFmtId="0" fontId="9" fillId="0" borderId="7" xfId="0" applyFont="1" applyBorder="1" applyAlignment="1">
      <alignment horizontal="center"/>
    </xf>
    <xf numFmtId="0" fontId="9" fillId="0" borderId="9" xfId="0" applyFont="1" applyBorder="1" applyAlignment="1">
      <alignment horizontal="center"/>
    </xf>
    <xf numFmtId="0" fontId="17" fillId="0" borderId="10" xfId="7" applyFont="1" applyBorder="1" applyAlignment="1">
      <alignment horizontal="left"/>
    </xf>
    <xf numFmtId="0" fontId="17" fillId="0" borderId="0" xfId="7" applyFont="1" applyAlignment="1">
      <alignment horizontal="left"/>
    </xf>
    <xf numFmtId="0" fontId="17" fillId="0" borderId="59" xfId="7" applyFont="1" applyBorder="1" applyAlignment="1">
      <alignment horizontal="left" vertical="center" wrapText="1"/>
    </xf>
    <xf numFmtId="0" fontId="17" fillId="0" borderId="58" xfId="7" applyFont="1" applyBorder="1" applyAlignment="1">
      <alignment horizontal="left" vertical="center" wrapText="1"/>
    </xf>
    <xf numFmtId="0" fontId="17" fillId="0" borderId="7" xfId="7" applyFont="1" applyBorder="1" applyAlignment="1">
      <alignment horizontal="left"/>
    </xf>
    <xf numFmtId="0" fontId="17" fillId="0" borderId="8" xfId="7" applyFont="1" applyBorder="1" applyAlignment="1">
      <alignment horizontal="left"/>
    </xf>
    <xf numFmtId="0" fontId="17" fillId="0" borderId="13" xfId="7" applyFont="1" applyBorder="1" applyAlignment="1">
      <alignment horizontal="center"/>
    </xf>
    <xf numFmtId="0" fontId="17" fillId="0" borderId="14" xfId="7" applyFont="1" applyBorder="1" applyAlignment="1">
      <alignment horizontal="center"/>
    </xf>
    <xf numFmtId="0" fontId="17" fillId="0" borderId="15" xfId="7" applyFont="1" applyBorder="1" applyAlignment="1">
      <alignment horizontal="center"/>
    </xf>
    <xf numFmtId="0" fontId="17" fillId="33" borderId="13" xfId="7" applyFont="1" applyFill="1" applyBorder="1" applyAlignment="1">
      <alignment horizontal="center" vertical="center"/>
    </xf>
    <xf numFmtId="0" fontId="17" fillId="33" borderId="14" xfId="7" applyFont="1" applyFill="1" applyBorder="1" applyAlignment="1">
      <alignment horizontal="center" vertical="center"/>
    </xf>
    <xf numFmtId="0" fontId="17" fillId="33" borderId="15" xfId="7" applyFont="1" applyFill="1" applyBorder="1" applyAlignment="1">
      <alignment horizontal="center" vertical="center"/>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7" fillId="0" borderId="13" xfId="7" applyFont="1" applyBorder="1" applyAlignment="1">
      <alignment horizontal="center" vertical="center" wrapText="1"/>
    </xf>
    <xf numFmtId="0" fontId="17" fillId="0" borderId="14" xfId="7" applyFont="1" applyBorder="1" applyAlignment="1">
      <alignment horizontal="center" vertical="center" wrapText="1"/>
    </xf>
    <xf numFmtId="0" fontId="17" fillId="0" borderId="59" xfId="7" applyFont="1" applyBorder="1" applyAlignment="1">
      <alignment horizontal="left" wrapText="1"/>
    </xf>
    <xf numFmtId="0" fontId="17" fillId="0" borderId="58" xfId="7" applyFont="1" applyBorder="1" applyAlignment="1">
      <alignment horizontal="left" wrapText="1"/>
    </xf>
    <xf numFmtId="0" fontId="17" fillId="0" borderId="7" xfId="7" applyFont="1" applyBorder="1" applyAlignment="1">
      <alignment horizontal="left" wrapText="1"/>
    </xf>
    <xf numFmtId="0" fontId="17" fillId="0" borderId="8" xfId="7" applyFont="1" applyBorder="1" applyAlignment="1">
      <alignment horizontal="left" wrapText="1"/>
    </xf>
    <xf numFmtId="0" fontId="17" fillId="0" borderId="12" xfId="7" applyFont="1" applyBorder="1" applyAlignment="1">
      <alignment horizontal="left" wrapText="1"/>
    </xf>
    <xf numFmtId="0" fontId="17" fillId="0" borderId="10" xfId="7" applyFont="1" applyBorder="1" applyAlignment="1">
      <alignment horizontal="left" wrapText="1"/>
    </xf>
    <xf numFmtId="0" fontId="17" fillId="0" borderId="0" xfId="7" applyFont="1" applyAlignment="1">
      <alignment horizontal="left" wrapText="1"/>
    </xf>
    <xf numFmtId="0" fontId="60" fillId="40" borderId="21" xfId="0" applyFont="1" applyFill="1" applyBorder="1" applyAlignment="1">
      <alignment horizontal="center"/>
    </xf>
    <xf numFmtId="0" fontId="60" fillId="41" borderId="21" xfId="0" applyFont="1" applyFill="1" applyBorder="1" applyAlignment="1">
      <alignment horizontal="center"/>
    </xf>
    <xf numFmtId="0" fontId="42" fillId="0" borderId="13" xfId="0" applyFont="1" applyBorder="1" applyAlignment="1">
      <alignment horizontal="center" wrapText="1"/>
    </xf>
    <xf numFmtId="0" fontId="42" fillId="0" borderId="14" xfId="0" applyFont="1" applyBorder="1" applyAlignment="1">
      <alignment horizontal="center" wrapText="1"/>
    </xf>
    <xf numFmtId="0" fontId="42" fillId="0" borderId="15" xfId="0" applyFont="1" applyBorder="1" applyAlignment="1">
      <alignment horizontal="center" wrapText="1"/>
    </xf>
  </cellXfs>
  <cellStyles count="250">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34" xr:uid="{00000000-0005-0000-0000-00001A000000}"/>
    <cellStyle name="Calculation 2 2 2" xfId="35" xr:uid="{00000000-0005-0000-0000-00001B000000}"/>
    <cellStyle name="Calculation 2 3" xfId="36" xr:uid="{00000000-0005-0000-0000-00001C000000}"/>
    <cellStyle name="Check Cell 2" xfId="37" xr:uid="{00000000-0005-0000-0000-00001D000000}"/>
    <cellStyle name="Comma" xfId="240" builtinId="3"/>
    <cellStyle name="Comma 2" xfId="38" xr:uid="{00000000-0005-0000-0000-00001E000000}"/>
    <cellStyle name="Comma 2 2" xfId="39" xr:uid="{00000000-0005-0000-0000-00001F000000}"/>
    <cellStyle name="Comma 3" xfId="40" xr:uid="{00000000-0005-0000-0000-000020000000}"/>
    <cellStyle name="Comma 3 2" xfId="41" xr:uid="{00000000-0005-0000-0000-000021000000}"/>
    <cellStyle name="Comma 3 3" xfId="42" xr:uid="{00000000-0005-0000-0000-000022000000}"/>
    <cellStyle name="Comma 3 4" xfId="43" xr:uid="{00000000-0005-0000-0000-000023000000}"/>
    <cellStyle name="Comma 4" xfId="44" xr:uid="{00000000-0005-0000-0000-000024000000}"/>
    <cellStyle name="Comma 4 2" xfId="45" xr:uid="{00000000-0005-0000-0000-000025000000}"/>
    <cellStyle name="Comma 5" xfId="46" xr:uid="{00000000-0005-0000-0000-000026000000}"/>
    <cellStyle name="Comma 5 2" xfId="47" xr:uid="{00000000-0005-0000-0000-000027000000}"/>
    <cellStyle name="Comma 5 3" xfId="48" xr:uid="{00000000-0005-0000-0000-000028000000}"/>
    <cellStyle name="Comma 6" xfId="49" xr:uid="{00000000-0005-0000-0000-000029000000}"/>
    <cellStyle name="Comma 6 2" xfId="50" xr:uid="{00000000-0005-0000-0000-00002A000000}"/>
    <cellStyle name="Comma 7" xfId="51" xr:uid="{00000000-0005-0000-0000-00002B000000}"/>
    <cellStyle name="Comma 8" xfId="52" xr:uid="{00000000-0005-0000-0000-00002C000000}"/>
    <cellStyle name="Currency" xfId="1" builtinId="4"/>
    <cellStyle name="Currency [0] 2" xfId="53" xr:uid="{00000000-0005-0000-0000-00002E000000}"/>
    <cellStyle name="Currency 10" xfId="54" xr:uid="{00000000-0005-0000-0000-00002F000000}"/>
    <cellStyle name="Currency 11" xfId="55" xr:uid="{00000000-0005-0000-0000-000030000000}"/>
    <cellStyle name="Currency 12" xfId="56" xr:uid="{00000000-0005-0000-0000-000031000000}"/>
    <cellStyle name="Currency 13" xfId="57" xr:uid="{00000000-0005-0000-0000-000032000000}"/>
    <cellStyle name="Currency 14" xfId="58" xr:uid="{00000000-0005-0000-0000-000033000000}"/>
    <cellStyle name="Currency 15" xfId="59" xr:uid="{00000000-0005-0000-0000-000034000000}"/>
    <cellStyle name="Currency 16" xfId="60" xr:uid="{00000000-0005-0000-0000-000035000000}"/>
    <cellStyle name="Currency 17" xfId="61" xr:uid="{00000000-0005-0000-0000-000036000000}"/>
    <cellStyle name="Currency 18" xfId="62" xr:uid="{00000000-0005-0000-0000-000037000000}"/>
    <cellStyle name="Currency 19" xfId="63" xr:uid="{00000000-0005-0000-0000-000038000000}"/>
    <cellStyle name="Currency 2" xfId="64" xr:uid="{00000000-0005-0000-0000-000039000000}"/>
    <cellStyle name="Currency 2 2" xfId="65" xr:uid="{00000000-0005-0000-0000-00003A000000}"/>
    <cellStyle name="Currency 2 2 2" xfId="66" xr:uid="{00000000-0005-0000-0000-00003B000000}"/>
    <cellStyle name="Currency 2 2 2 3" xfId="67" xr:uid="{00000000-0005-0000-0000-00003C000000}"/>
    <cellStyle name="Currency 2 3" xfId="68" xr:uid="{00000000-0005-0000-0000-00003D000000}"/>
    <cellStyle name="Currency 2 4" xfId="69" xr:uid="{00000000-0005-0000-0000-00003E000000}"/>
    <cellStyle name="Currency 2 4 2" xfId="70" xr:uid="{00000000-0005-0000-0000-00003F000000}"/>
    <cellStyle name="Currency 2 5" xfId="71" xr:uid="{00000000-0005-0000-0000-000040000000}"/>
    <cellStyle name="Currency 20" xfId="72" xr:uid="{00000000-0005-0000-0000-000041000000}"/>
    <cellStyle name="Currency 21" xfId="73" xr:uid="{00000000-0005-0000-0000-000042000000}"/>
    <cellStyle name="Currency 22" xfId="74" xr:uid="{00000000-0005-0000-0000-000043000000}"/>
    <cellStyle name="Currency 23" xfId="75" xr:uid="{00000000-0005-0000-0000-000044000000}"/>
    <cellStyle name="Currency 24" xfId="76" xr:uid="{00000000-0005-0000-0000-000045000000}"/>
    <cellStyle name="Currency 25" xfId="77" xr:uid="{00000000-0005-0000-0000-000046000000}"/>
    <cellStyle name="Currency 26" xfId="78" xr:uid="{00000000-0005-0000-0000-000047000000}"/>
    <cellStyle name="Currency 27" xfId="79" xr:uid="{00000000-0005-0000-0000-000048000000}"/>
    <cellStyle name="Currency 28" xfId="80" xr:uid="{00000000-0005-0000-0000-000049000000}"/>
    <cellStyle name="Currency 29" xfId="81" xr:uid="{00000000-0005-0000-0000-00004A000000}"/>
    <cellStyle name="Currency 3" xfId="5" xr:uid="{00000000-0005-0000-0000-00004B000000}"/>
    <cellStyle name="Currency 3 2" xfId="82" xr:uid="{00000000-0005-0000-0000-00004C000000}"/>
    <cellStyle name="Currency 3 3" xfId="83" xr:uid="{00000000-0005-0000-0000-00004D000000}"/>
    <cellStyle name="Currency 30" xfId="84" xr:uid="{00000000-0005-0000-0000-00004E000000}"/>
    <cellStyle name="Currency 31" xfId="85" xr:uid="{00000000-0005-0000-0000-00004F000000}"/>
    <cellStyle name="Currency 32" xfId="86" xr:uid="{00000000-0005-0000-0000-000050000000}"/>
    <cellStyle name="Currency 33" xfId="87" xr:uid="{00000000-0005-0000-0000-000051000000}"/>
    <cellStyle name="Currency 34" xfId="88" xr:uid="{00000000-0005-0000-0000-000052000000}"/>
    <cellStyle name="Currency 35" xfId="89" xr:uid="{00000000-0005-0000-0000-000053000000}"/>
    <cellStyle name="Currency 36" xfId="90" xr:uid="{00000000-0005-0000-0000-000054000000}"/>
    <cellStyle name="Currency 37" xfId="91" xr:uid="{00000000-0005-0000-0000-000055000000}"/>
    <cellStyle name="Currency 38" xfId="92" xr:uid="{00000000-0005-0000-0000-000056000000}"/>
    <cellStyle name="Currency 39" xfId="93" xr:uid="{00000000-0005-0000-0000-000057000000}"/>
    <cellStyle name="Currency 4" xfId="94" xr:uid="{00000000-0005-0000-0000-000058000000}"/>
    <cellStyle name="Currency 4 2" xfId="95" xr:uid="{00000000-0005-0000-0000-000059000000}"/>
    <cellStyle name="Currency 4 2 2" xfId="96" xr:uid="{00000000-0005-0000-0000-00005A000000}"/>
    <cellStyle name="Currency 4 2 2 2" xfId="97" xr:uid="{00000000-0005-0000-0000-00005B000000}"/>
    <cellStyle name="Currency 4 2 2 3" xfId="98" xr:uid="{00000000-0005-0000-0000-00005C000000}"/>
    <cellStyle name="Currency 4 3" xfId="99" xr:uid="{00000000-0005-0000-0000-00005D000000}"/>
    <cellStyle name="Currency 4 3 2" xfId="100" xr:uid="{00000000-0005-0000-0000-00005E000000}"/>
    <cellStyle name="Currency 4 3 3" xfId="101" xr:uid="{00000000-0005-0000-0000-00005F000000}"/>
    <cellStyle name="Currency 4 4" xfId="102" xr:uid="{00000000-0005-0000-0000-000060000000}"/>
    <cellStyle name="Currency 40" xfId="103" xr:uid="{00000000-0005-0000-0000-000061000000}"/>
    <cellStyle name="Currency 41" xfId="104" xr:uid="{00000000-0005-0000-0000-000062000000}"/>
    <cellStyle name="Currency 42" xfId="105" xr:uid="{00000000-0005-0000-0000-000063000000}"/>
    <cellStyle name="Currency 43" xfId="106" xr:uid="{00000000-0005-0000-0000-000064000000}"/>
    <cellStyle name="Currency 44" xfId="107" xr:uid="{00000000-0005-0000-0000-000065000000}"/>
    <cellStyle name="Currency 45" xfId="108" xr:uid="{00000000-0005-0000-0000-000066000000}"/>
    <cellStyle name="Currency 46" xfId="109" xr:uid="{00000000-0005-0000-0000-000067000000}"/>
    <cellStyle name="Currency 5" xfId="110" xr:uid="{00000000-0005-0000-0000-000068000000}"/>
    <cellStyle name="Currency 5 2" xfId="111" xr:uid="{00000000-0005-0000-0000-000069000000}"/>
    <cellStyle name="Currency 5 3" xfId="112" xr:uid="{00000000-0005-0000-0000-00006A000000}"/>
    <cellStyle name="Currency 5 4" xfId="113" xr:uid="{00000000-0005-0000-0000-00006B000000}"/>
    <cellStyle name="Currency 5 5" xfId="114" xr:uid="{00000000-0005-0000-0000-00006C000000}"/>
    <cellStyle name="Currency 6" xfId="115" xr:uid="{00000000-0005-0000-0000-00006D000000}"/>
    <cellStyle name="Currency 6 2" xfId="116" xr:uid="{00000000-0005-0000-0000-00006E000000}"/>
    <cellStyle name="Currency 6 3" xfId="117" xr:uid="{00000000-0005-0000-0000-00006F000000}"/>
    <cellStyle name="Currency 7" xfId="118" xr:uid="{00000000-0005-0000-0000-000070000000}"/>
    <cellStyle name="Currency 7 2" xfId="119" xr:uid="{00000000-0005-0000-0000-000071000000}"/>
    <cellStyle name="Currency 7 3" xfId="120" xr:uid="{00000000-0005-0000-0000-000072000000}"/>
    <cellStyle name="Currency 8" xfId="121" xr:uid="{00000000-0005-0000-0000-000073000000}"/>
    <cellStyle name="Currency 8 2" xfId="122" xr:uid="{00000000-0005-0000-0000-000074000000}"/>
    <cellStyle name="Currency 9" xfId="123" xr:uid="{00000000-0005-0000-0000-000075000000}"/>
    <cellStyle name="Explanatory Text 2" xfId="124" xr:uid="{00000000-0005-0000-0000-000076000000}"/>
    <cellStyle name="Explanatory Text 2 2" xfId="125" xr:uid="{00000000-0005-0000-0000-000077000000}"/>
    <cellStyle name="Explanatory Text 2 3" xfId="126" xr:uid="{00000000-0005-0000-0000-000078000000}"/>
    <cellStyle name="Good 2" xfId="127" xr:uid="{00000000-0005-0000-0000-000079000000}"/>
    <cellStyle name="Heading 1 2" xfId="128" xr:uid="{00000000-0005-0000-0000-00007A000000}"/>
    <cellStyle name="Heading 1 2 2" xfId="129" xr:uid="{00000000-0005-0000-0000-00007B000000}"/>
    <cellStyle name="Heading 1 2 3" xfId="130" xr:uid="{00000000-0005-0000-0000-00007C000000}"/>
    <cellStyle name="Heading 2 2" xfId="131" xr:uid="{00000000-0005-0000-0000-00007D000000}"/>
    <cellStyle name="Heading 2 2 2" xfId="132" xr:uid="{00000000-0005-0000-0000-00007E000000}"/>
    <cellStyle name="Heading 2 2 3" xfId="133" xr:uid="{00000000-0005-0000-0000-00007F000000}"/>
    <cellStyle name="Heading 3 2" xfId="134" xr:uid="{00000000-0005-0000-0000-000080000000}"/>
    <cellStyle name="Heading 3 2 2" xfId="135" xr:uid="{00000000-0005-0000-0000-000081000000}"/>
    <cellStyle name="Heading 3 2 3" xfId="136" xr:uid="{00000000-0005-0000-0000-000082000000}"/>
    <cellStyle name="Heading 4 2" xfId="137" xr:uid="{00000000-0005-0000-0000-000083000000}"/>
    <cellStyle name="Heading 4 2 2" xfId="138" xr:uid="{00000000-0005-0000-0000-000084000000}"/>
    <cellStyle name="Heading 4 2 3" xfId="139" xr:uid="{00000000-0005-0000-0000-000085000000}"/>
    <cellStyle name="Input 2" xfId="140" xr:uid="{00000000-0005-0000-0000-000087000000}"/>
    <cellStyle name="Input 2 2" xfId="141" xr:uid="{00000000-0005-0000-0000-000088000000}"/>
    <cellStyle name="Input 2 2 2" xfId="142" xr:uid="{00000000-0005-0000-0000-000089000000}"/>
    <cellStyle name="Input 2 3" xfId="143" xr:uid="{00000000-0005-0000-0000-00008A000000}"/>
    <cellStyle name="Linked Cell 2" xfId="144" xr:uid="{00000000-0005-0000-0000-00008B000000}"/>
    <cellStyle name="Linked Cell 2 2" xfId="145" xr:uid="{00000000-0005-0000-0000-00008C000000}"/>
    <cellStyle name="Linked Cell 2 3" xfId="146" xr:uid="{00000000-0005-0000-0000-00008D000000}"/>
    <cellStyle name="Neutral 2" xfId="147" xr:uid="{00000000-0005-0000-0000-00008E000000}"/>
    <cellStyle name="Normal" xfId="0" builtinId="0"/>
    <cellStyle name="Normal 10" xfId="148" xr:uid="{00000000-0005-0000-0000-000090000000}"/>
    <cellStyle name="Normal 11" xfId="149" xr:uid="{00000000-0005-0000-0000-000091000000}"/>
    <cellStyle name="Normal 12" xfId="150" xr:uid="{00000000-0005-0000-0000-000092000000}"/>
    <cellStyle name="Normal 13" xfId="151" xr:uid="{00000000-0005-0000-0000-000093000000}"/>
    <cellStyle name="Normal 14" xfId="152" xr:uid="{00000000-0005-0000-0000-000094000000}"/>
    <cellStyle name="Normal 15" xfId="153" xr:uid="{00000000-0005-0000-0000-000095000000}"/>
    <cellStyle name="Normal 16" xfId="4" xr:uid="{00000000-0005-0000-0000-000096000000}"/>
    <cellStyle name="Normal 18 2" xfId="244" xr:uid="{06C63533-88B8-4602-A344-D1B1AF5E0E64}"/>
    <cellStyle name="Normal 2" xfId="6" xr:uid="{00000000-0005-0000-0000-000097000000}"/>
    <cellStyle name="Normal 2 2" xfId="154" xr:uid="{00000000-0005-0000-0000-000098000000}"/>
    <cellStyle name="Normal 2 2 2" xfId="155" xr:uid="{00000000-0005-0000-0000-000099000000}"/>
    <cellStyle name="Normal 2 2 3" xfId="156" xr:uid="{00000000-0005-0000-0000-00009A000000}"/>
    <cellStyle name="Normal 2 2 4" xfId="246" xr:uid="{1ACF2F3F-91EC-41C0-8E08-6A20932533A7}"/>
    <cellStyle name="Normal 2 3" xfId="157" xr:uid="{00000000-0005-0000-0000-00009B000000}"/>
    <cellStyle name="Normal 2 4" xfId="158" xr:uid="{00000000-0005-0000-0000-00009C000000}"/>
    <cellStyle name="Normal 2 5" xfId="159" xr:uid="{00000000-0005-0000-0000-00009D000000}"/>
    <cellStyle name="Normal 28" xfId="245" xr:uid="{D5672916-811B-47F3-BDAF-87D47B4214D4}"/>
    <cellStyle name="Normal 3" xfId="160" xr:uid="{00000000-0005-0000-0000-00009E000000}"/>
    <cellStyle name="Normal 3 2" xfId="161" xr:uid="{00000000-0005-0000-0000-00009F000000}"/>
    <cellStyle name="Normal 3 2 2" xfId="162" xr:uid="{00000000-0005-0000-0000-0000A0000000}"/>
    <cellStyle name="Normal 3 2 3" xfId="163" xr:uid="{00000000-0005-0000-0000-0000A1000000}"/>
    <cellStyle name="Normal 3 2 4" xfId="164" xr:uid="{00000000-0005-0000-0000-0000A2000000}"/>
    <cellStyle name="Normal 3 3" xfId="165" xr:uid="{00000000-0005-0000-0000-0000A3000000}"/>
    <cellStyle name="Normal 3 4" xfId="166" xr:uid="{00000000-0005-0000-0000-0000A4000000}"/>
    <cellStyle name="Normal 3 5" xfId="167" xr:uid="{00000000-0005-0000-0000-0000A5000000}"/>
    <cellStyle name="Normal 4" xfId="168" xr:uid="{00000000-0005-0000-0000-0000A6000000}"/>
    <cellStyle name="Normal 4 2" xfId="169" xr:uid="{00000000-0005-0000-0000-0000A7000000}"/>
    <cellStyle name="Normal 4 2 2" xfId="170" xr:uid="{00000000-0005-0000-0000-0000A8000000}"/>
    <cellStyle name="Normal 4 3" xfId="171" xr:uid="{00000000-0005-0000-0000-0000A9000000}"/>
    <cellStyle name="Normal 4 3 2" xfId="172" xr:uid="{00000000-0005-0000-0000-0000AA000000}"/>
    <cellStyle name="Normal 4 3 3" xfId="173" xr:uid="{00000000-0005-0000-0000-0000AB000000}"/>
    <cellStyle name="Normal 4 4" xfId="174" xr:uid="{00000000-0005-0000-0000-0000AC000000}"/>
    <cellStyle name="Normal 4 5 6" xfId="247" xr:uid="{7ADDF27B-888F-48A3-BFA6-99A423B29A8C}"/>
    <cellStyle name="Normal 5" xfId="175" xr:uid="{00000000-0005-0000-0000-0000AD000000}"/>
    <cellStyle name="Normal 5 10" xfId="241" xr:uid="{3F676389-97E6-4535-965F-4FA9109C419C}"/>
    <cellStyle name="Normal 5 2" xfId="176" xr:uid="{00000000-0005-0000-0000-0000AE000000}"/>
    <cellStyle name="Normal 5 5" xfId="249" xr:uid="{16B0820D-4A43-497B-8B41-69DBD766430B}"/>
    <cellStyle name="Normal 6" xfId="177" xr:uid="{00000000-0005-0000-0000-0000AF000000}"/>
    <cellStyle name="Normal 6 2" xfId="178" xr:uid="{00000000-0005-0000-0000-0000B0000000}"/>
    <cellStyle name="Normal 6 2 2" xfId="179" xr:uid="{00000000-0005-0000-0000-0000B1000000}"/>
    <cellStyle name="Normal 6 2 3" xfId="180" xr:uid="{00000000-0005-0000-0000-0000B2000000}"/>
    <cellStyle name="Normal 6 2 4" xfId="181" xr:uid="{00000000-0005-0000-0000-0000B3000000}"/>
    <cellStyle name="Normal 6 3" xfId="182" xr:uid="{00000000-0005-0000-0000-0000B4000000}"/>
    <cellStyle name="Normal 6 4" xfId="183" xr:uid="{00000000-0005-0000-0000-0000B5000000}"/>
    <cellStyle name="Normal 7" xfId="184" xr:uid="{00000000-0005-0000-0000-0000B6000000}"/>
    <cellStyle name="Normal 7 2" xfId="185" xr:uid="{00000000-0005-0000-0000-0000B7000000}"/>
    <cellStyle name="Normal 8" xfId="3" xr:uid="{00000000-0005-0000-0000-0000B8000000}"/>
    <cellStyle name="Normal 8 2" xfId="186" xr:uid="{00000000-0005-0000-0000-0000B9000000}"/>
    <cellStyle name="Normal 8 3" xfId="187" xr:uid="{00000000-0005-0000-0000-0000BA000000}"/>
    <cellStyle name="Normal 8 4" xfId="188" xr:uid="{00000000-0005-0000-0000-0000BB000000}"/>
    <cellStyle name="Normal 9" xfId="189" xr:uid="{00000000-0005-0000-0000-0000BC000000}"/>
    <cellStyle name="Normal 9 2" xfId="190" xr:uid="{00000000-0005-0000-0000-0000BD000000}"/>
    <cellStyle name="Normal 9 3" xfId="191" xr:uid="{00000000-0005-0000-0000-0000BE000000}"/>
    <cellStyle name="Normal_Rates Estimate" xfId="7" xr:uid="{00000000-0005-0000-0000-0000BF000000}"/>
    <cellStyle name="Note 2" xfId="192" xr:uid="{00000000-0005-0000-0000-0000C0000000}"/>
    <cellStyle name="Note 2 2" xfId="193" xr:uid="{00000000-0005-0000-0000-0000C1000000}"/>
    <cellStyle name="Note 2 3" xfId="194" xr:uid="{00000000-0005-0000-0000-0000C2000000}"/>
    <cellStyle name="Output 2" xfId="195" xr:uid="{00000000-0005-0000-0000-0000C3000000}"/>
    <cellStyle name="Output 2 2" xfId="196" xr:uid="{00000000-0005-0000-0000-0000C4000000}"/>
    <cellStyle name="Output 2 2 2" xfId="197" xr:uid="{00000000-0005-0000-0000-0000C5000000}"/>
    <cellStyle name="Output 2 3" xfId="198" xr:uid="{00000000-0005-0000-0000-0000C6000000}"/>
    <cellStyle name="Percent" xfId="2" builtinId="5"/>
    <cellStyle name="Percent 10" xfId="199" xr:uid="{00000000-0005-0000-0000-0000C8000000}"/>
    <cellStyle name="Percent 11" xfId="200" xr:uid="{00000000-0005-0000-0000-0000C9000000}"/>
    <cellStyle name="Percent 13" xfId="242" xr:uid="{14C3D651-982F-46F7-9D28-6E0C01F4CE65}"/>
    <cellStyle name="Percent 2" xfId="201" xr:uid="{00000000-0005-0000-0000-0000CA000000}"/>
    <cellStyle name="Percent 2 2" xfId="202" xr:uid="{00000000-0005-0000-0000-0000CB000000}"/>
    <cellStyle name="Percent 2 2 2" xfId="203" xr:uid="{00000000-0005-0000-0000-0000CC000000}"/>
    <cellStyle name="Percent 2 2 3" xfId="243" xr:uid="{534DEA99-AB0C-4935-B5E4-9E9FCE5034FC}"/>
    <cellStyle name="Percent 2 7" xfId="248" xr:uid="{F9DE33A1-316E-4F8D-8889-B9EB9C2BAD79}"/>
    <cellStyle name="Percent 3" xfId="204" xr:uid="{00000000-0005-0000-0000-0000CD000000}"/>
    <cellStyle name="Percent 3 2" xfId="205" xr:uid="{00000000-0005-0000-0000-0000CE000000}"/>
    <cellStyle name="Percent 3 2 2" xfId="206" xr:uid="{00000000-0005-0000-0000-0000CF000000}"/>
    <cellStyle name="Percent 3 2 3" xfId="207" xr:uid="{00000000-0005-0000-0000-0000D0000000}"/>
    <cellStyle name="Percent 4" xfId="208" xr:uid="{00000000-0005-0000-0000-0000D1000000}"/>
    <cellStyle name="Percent 4 2" xfId="209" xr:uid="{00000000-0005-0000-0000-0000D2000000}"/>
    <cellStyle name="Percent 4 2 2" xfId="210" xr:uid="{00000000-0005-0000-0000-0000D3000000}"/>
    <cellStyle name="Percent 4 2 3" xfId="211" xr:uid="{00000000-0005-0000-0000-0000D4000000}"/>
    <cellStyle name="Percent 4 3" xfId="212" xr:uid="{00000000-0005-0000-0000-0000D5000000}"/>
    <cellStyle name="Percent 5" xfId="213" xr:uid="{00000000-0005-0000-0000-0000D6000000}"/>
    <cellStyle name="Percent 5 2" xfId="214" xr:uid="{00000000-0005-0000-0000-0000D7000000}"/>
    <cellStyle name="Percent 5 3" xfId="215" xr:uid="{00000000-0005-0000-0000-0000D8000000}"/>
    <cellStyle name="Percent 5 4" xfId="216" xr:uid="{00000000-0005-0000-0000-0000D9000000}"/>
    <cellStyle name="Percent 5 5" xfId="217" xr:uid="{00000000-0005-0000-0000-0000DA000000}"/>
    <cellStyle name="Percent 6" xfId="218" xr:uid="{00000000-0005-0000-0000-0000DB000000}"/>
    <cellStyle name="Percent 6 2" xfId="219" xr:uid="{00000000-0005-0000-0000-0000DC000000}"/>
    <cellStyle name="Percent 6 3" xfId="220" xr:uid="{00000000-0005-0000-0000-0000DD000000}"/>
    <cellStyle name="Percent 6 4" xfId="221" xr:uid="{00000000-0005-0000-0000-0000DE000000}"/>
    <cellStyle name="Percent 7" xfId="222" xr:uid="{00000000-0005-0000-0000-0000DF000000}"/>
    <cellStyle name="Percent 7 2" xfId="223" xr:uid="{00000000-0005-0000-0000-0000E0000000}"/>
    <cellStyle name="Percent 7 3" xfId="224" xr:uid="{00000000-0005-0000-0000-0000E1000000}"/>
    <cellStyle name="Percent 7 4" xfId="225" xr:uid="{00000000-0005-0000-0000-0000E2000000}"/>
    <cellStyle name="Percent 8" xfId="226" xr:uid="{00000000-0005-0000-0000-0000E3000000}"/>
    <cellStyle name="Percent 8 2" xfId="227" xr:uid="{00000000-0005-0000-0000-0000E4000000}"/>
    <cellStyle name="Percent 8 3" xfId="228" xr:uid="{00000000-0005-0000-0000-0000E5000000}"/>
    <cellStyle name="Percent 9" xfId="229" xr:uid="{00000000-0005-0000-0000-0000E6000000}"/>
    <cellStyle name="Percent 9 2" xfId="230" xr:uid="{00000000-0005-0000-0000-0000E7000000}"/>
    <cellStyle name="Title 2" xfId="231" xr:uid="{00000000-0005-0000-0000-0000E8000000}"/>
    <cellStyle name="Title 2 2" xfId="232" xr:uid="{00000000-0005-0000-0000-0000E9000000}"/>
    <cellStyle name="Title 2 3" xfId="233" xr:uid="{00000000-0005-0000-0000-0000EA000000}"/>
    <cellStyle name="Total 2" xfId="234" xr:uid="{00000000-0005-0000-0000-0000EB000000}"/>
    <cellStyle name="Total 2 2" xfId="235" xr:uid="{00000000-0005-0000-0000-0000EC000000}"/>
    <cellStyle name="Total 2 3" xfId="236" xr:uid="{00000000-0005-0000-0000-0000ED000000}"/>
    <cellStyle name="Warning Text 2" xfId="237" xr:uid="{00000000-0005-0000-0000-0000EE000000}"/>
    <cellStyle name="Warning Text 2 2" xfId="238" xr:uid="{00000000-0005-0000-0000-0000EF000000}"/>
    <cellStyle name="Warning Text 2 3" xfId="239" xr:uid="{00000000-0005-0000-0000-0000F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sheetMetadata" Target="metadata.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tyles" Target="style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massgov.sharepoint.com/hus_madcfrmu/MA%20DYS/RRO/2016%20Provisional%202014%20Final/2.%20Staff%20Rosters/MA%20DYS%20RO%20Time%20Study%20Staff%20Roster%20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HS.govt.state.ma.us\DFS\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Conor\BLS%20M2024%20Detail.xlsx" TargetMode="External"/><Relationship Id="rId1" Type="http://schemas.openxmlformats.org/officeDocument/2006/relationships/externalLinkPath" Target="file:///D:\Administrative%20Services-POS%20Policy%20Office\Admin%20&amp;%20Staff\Conor\BLS%20M2024%20Deta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ONTRACT\Reports\Attendance%20Summaries\Monthly%20Attendance%20Summary%20FY21%202021_06_10.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govt.state.ma.us\DFS\CONTRACT\Reports\Attendance%20Summaries\Monthly%20Attendance%20Summary%20FY21%202021_06_1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 val="ALL (DC2)"/>
    </sheetNames>
    <sheetDataSet>
      <sheetData sheetId="0"/>
      <sheetData sheetId="1">
        <row r="7">
          <cell r="W7">
            <v>22.0425</v>
          </cell>
          <cell r="X7">
            <v>22.520400000000002</v>
          </cell>
        </row>
        <row r="8">
          <cell r="X8">
            <v>46842.432000000008</v>
          </cell>
        </row>
        <row r="23">
          <cell r="W23">
            <v>26.357999999999997</v>
          </cell>
          <cell r="X23">
            <v>27.109919999999999</v>
          </cell>
        </row>
        <row r="24">
          <cell r="X24">
            <v>56388.633600000001</v>
          </cell>
        </row>
        <row r="27">
          <cell r="W27">
            <v>21.83</v>
          </cell>
          <cell r="X27">
            <v>22.0016</v>
          </cell>
        </row>
        <row r="28">
          <cell r="X28">
            <v>45763.328000000001</v>
          </cell>
        </row>
      </sheetData>
      <sheetData sheetId="2">
        <row r="6">
          <cell r="H6">
            <v>31.14</v>
          </cell>
          <cell r="I6">
            <v>31.989000000000004</v>
          </cell>
        </row>
        <row r="7">
          <cell r="I7">
            <v>66537.12000000001</v>
          </cell>
        </row>
        <row r="16">
          <cell r="H16">
            <v>35.129999999999995</v>
          </cell>
          <cell r="I16">
            <v>36.1419</v>
          </cell>
        </row>
        <row r="17">
          <cell r="I17">
            <v>75175.152000000002</v>
          </cell>
        </row>
        <row r="21">
          <cell r="H21">
            <v>38.01</v>
          </cell>
          <cell r="I21">
            <v>39.176400000000001</v>
          </cell>
        </row>
        <row r="22">
          <cell r="I22">
            <v>81486.911999999997</v>
          </cell>
        </row>
      </sheetData>
      <sheetData sheetId="3">
        <row r="4">
          <cell r="J4">
            <v>36.81</v>
          </cell>
          <cell r="K4">
            <v>37.066800000000001</v>
          </cell>
        </row>
        <row r="5">
          <cell r="K5">
            <v>77098.944000000003</v>
          </cell>
        </row>
        <row r="8">
          <cell r="J8">
            <v>49.03</v>
          </cell>
          <cell r="K8">
            <v>50.818000000000005</v>
          </cell>
        </row>
        <row r="9">
          <cell r="K9">
            <v>105701.44000000002</v>
          </cell>
        </row>
        <row r="12">
          <cell r="J12">
            <v>66.77</v>
          </cell>
          <cell r="K12">
            <v>68.006</v>
          </cell>
        </row>
        <row r="13">
          <cell r="K13">
            <v>141452.48000000001</v>
          </cell>
        </row>
      </sheetData>
      <sheetData sheetId="4">
        <row r="7">
          <cell r="I7">
            <v>39.107500000000002</v>
          </cell>
          <cell r="J7">
            <v>40.468299999999999</v>
          </cell>
        </row>
        <row r="8">
          <cell r="J8">
            <v>84174.063999999998</v>
          </cell>
        </row>
        <row r="13">
          <cell r="I13">
            <v>44.519999999999996</v>
          </cell>
        </row>
      </sheetData>
      <sheetData sheetId="5">
        <row r="6">
          <cell r="J6">
            <v>40.842500000000001</v>
          </cell>
          <cell r="K6">
            <v>41.273300000000006</v>
          </cell>
        </row>
        <row r="7">
          <cell r="K7">
            <v>85848.464000000007</v>
          </cell>
        </row>
        <row r="11">
          <cell r="J11">
            <v>38.86</v>
          </cell>
          <cell r="K11">
            <v>39.5488</v>
          </cell>
        </row>
        <row r="12">
          <cell r="K12">
            <v>82261.504000000001</v>
          </cell>
        </row>
        <row r="20">
          <cell r="J20">
            <v>43.248000000000005</v>
          </cell>
          <cell r="K20">
            <v>43.965600000000002</v>
          </cell>
        </row>
        <row r="21">
          <cell r="K21">
            <v>91448.448000000004</v>
          </cell>
        </row>
        <row r="28">
          <cell r="J28">
            <v>40.14</v>
          </cell>
        </row>
      </sheetData>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Tech Stuff"/>
    </sheetNames>
    <sheetDataSet>
      <sheetData sheetId="0"/>
      <sheetData sheetId="1"/>
      <sheetData sheetId="2"/>
      <sheetData sheetId="3">
        <row r="4">
          <cell r="E4"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Tech Stuff"/>
    </sheetNames>
    <sheetDataSet>
      <sheetData sheetId="0"/>
      <sheetData sheetId="1"/>
      <sheetData sheetId="2"/>
      <sheetData sheetId="3">
        <row r="4">
          <cell r="E4" t="str">
            <v xml:space="preserve">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899942FA-988E-422F-A82C-19128F11E45A}"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0" dT="2025-09-15T18:35:31.13" personId="{899942FA-988E-422F-A82C-19128F11E45A}" id="{74EBD046-D182-450B-8E0A-CA55190D0F35}">
    <text>From MBY 9/15</text>
  </threadedComment>
  <threadedComment ref="D12" dT="2025-08-25T19:53:03.02" personId="{899942FA-988E-422F-A82C-19128F11E45A}" id="{50BF17B1-323E-479C-B83F-07FBE20D9C95}">
    <text>From MCB 8/25</text>
  </threadedComment>
</ThreadedComments>
</file>

<file path=xl/threadedComments/threadedComment2.xml><?xml version="1.0" encoding="utf-8"?>
<ThreadedComments xmlns="http://schemas.microsoft.com/office/spreadsheetml/2018/threadedcomments" xmlns:x="http://schemas.openxmlformats.org/spreadsheetml/2006/main">
  <threadedComment ref="B34" dT="2025-08-21T14:23:27.32" personId="{899942FA-988E-422F-A82C-19128F11E45A}" id="{849A939B-59F1-420F-870B-E60884ED75DC}">
    <text>Was 65K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E5EF3-0889-4C19-A131-DA3D512B39AD}">
  <dimension ref="A1:P54"/>
  <sheetViews>
    <sheetView topLeftCell="A5" zoomScale="80" zoomScaleNormal="80" workbookViewId="0">
      <selection activeCell="A29" activeCellId="1" sqref="A27 A29"/>
    </sheetView>
  </sheetViews>
  <sheetFormatPr defaultColWidth="8.7109375" defaultRowHeight="15"/>
  <cols>
    <col min="2" max="2" width="39.5703125" bestFit="1" customWidth="1"/>
    <col min="3" max="3" width="22.7109375" customWidth="1"/>
    <col min="4" max="4" width="12.42578125" hidden="1" customWidth="1"/>
    <col min="5" max="5" width="12.5703125" hidden="1" customWidth="1"/>
    <col min="6" max="6" width="17.42578125" hidden="1" customWidth="1"/>
    <col min="7" max="8" width="12.5703125" hidden="1" customWidth="1"/>
    <col min="9" max="9" width="9.5703125" hidden="1" customWidth="1"/>
    <col min="10" max="10" width="7.140625" hidden="1" customWidth="1"/>
    <col min="11" max="11" width="37.85546875" customWidth="1"/>
    <col min="12" max="12" width="123.5703125" customWidth="1"/>
    <col min="13" max="13" width="52.28515625" customWidth="1"/>
    <col min="14" max="14" width="16.5703125" hidden="1" customWidth="1"/>
    <col min="15" max="15" width="15.42578125" hidden="1" customWidth="1"/>
    <col min="16" max="16" width="4.28515625" hidden="1" customWidth="1"/>
  </cols>
  <sheetData>
    <row r="1" spans="2:16">
      <c r="L1">
        <v>2080</v>
      </c>
      <c r="M1" t="s">
        <v>839</v>
      </c>
    </row>
    <row r="2" spans="2:16">
      <c r="C2" s="486">
        <v>45413</v>
      </c>
      <c r="D2" s="487">
        <v>45413</v>
      </c>
      <c r="E2" s="488">
        <v>45047</v>
      </c>
      <c r="F2" s="488">
        <v>44682</v>
      </c>
      <c r="G2" s="489"/>
      <c r="N2" s="490">
        <v>45413</v>
      </c>
      <c r="O2" s="490">
        <v>45413</v>
      </c>
      <c r="P2" s="490">
        <v>44682</v>
      </c>
    </row>
    <row r="3" spans="2:16">
      <c r="C3" s="89" t="s">
        <v>510</v>
      </c>
      <c r="D3" s="325" t="s">
        <v>510</v>
      </c>
      <c r="E3" s="89" t="s">
        <v>510</v>
      </c>
      <c r="F3" t="s">
        <v>720</v>
      </c>
      <c r="G3" s="489"/>
      <c r="N3" s="491" t="s">
        <v>510</v>
      </c>
      <c r="O3" s="491" t="s">
        <v>510</v>
      </c>
      <c r="P3" s="491" t="s">
        <v>720</v>
      </c>
    </row>
    <row r="4" spans="2:16" ht="75.75" thickBot="1">
      <c r="B4" s="326" t="s">
        <v>721</v>
      </c>
      <c r="C4" s="89" t="s">
        <v>511</v>
      </c>
      <c r="D4" s="325" t="s">
        <v>722</v>
      </c>
      <c r="E4" s="89" t="s">
        <v>511</v>
      </c>
      <c r="F4" t="s">
        <v>723</v>
      </c>
      <c r="G4" s="489"/>
      <c r="K4" s="326" t="s">
        <v>512</v>
      </c>
      <c r="L4" s="327" t="s">
        <v>513</v>
      </c>
      <c r="M4" s="326" t="s">
        <v>724</v>
      </c>
      <c r="N4" s="346" t="s">
        <v>722</v>
      </c>
      <c r="O4" s="346" t="s">
        <v>749</v>
      </c>
      <c r="P4" s="346" t="s">
        <v>723</v>
      </c>
    </row>
    <row r="5" spans="2:16" ht="14.45" customHeight="1">
      <c r="B5" s="328" t="s">
        <v>514</v>
      </c>
      <c r="C5" s="492">
        <f>'[21]DC.DCIII.CNA'!X7</f>
        <v>22.520400000000002</v>
      </c>
      <c r="D5" s="493">
        <f>'[21]DC.DCIII.CNA'!W7</f>
        <v>22.0425</v>
      </c>
      <c r="E5" s="206">
        <v>20.792100000000001</v>
      </c>
      <c r="F5" s="206">
        <v>20</v>
      </c>
      <c r="G5" s="289">
        <f t="shared" ref="G5:G34" si="0">(C5-E5)/E5</f>
        <v>8.3122916877083161E-2</v>
      </c>
      <c r="H5" s="289">
        <f t="shared" ref="H5:H34" si="1">(D5-E5)/E5</f>
        <v>6.0138225576060092E-2</v>
      </c>
      <c r="I5" s="289">
        <f t="shared" ref="I5:I34" si="2">(C5-F5)/F5</f>
        <v>0.1260200000000001</v>
      </c>
      <c r="J5" s="289">
        <f>(D5-F5)/F5</f>
        <v>0.10212500000000002</v>
      </c>
      <c r="K5" s="511" t="s">
        <v>515</v>
      </c>
      <c r="L5" s="513" t="s">
        <v>516</v>
      </c>
      <c r="M5" s="515" t="s">
        <v>725</v>
      </c>
      <c r="N5" s="494">
        <v>22.0425</v>
      </c>
      <c r="O5" s="494">
        <v>21.031500000000001</v>
      </c>
      <c r="P5" s="206">
        <v>20</v>
      </c>
    </row>
    <row r="6" spans="2:16" ht="15.75" thickBot="1">
      <c r="B6" s="329" t="s">
        <v>517</v>
      </c>
      <c r="C6" s="484">
        <f>'[21]DC.DCIII.CNA'!X8</f>
        <v>46842.432000000008</v>
      </c>
      <c r="D6" s="493">
        <f>D5*$L$1</f>
        <v>45848.4</v>
      </c>
      <c r="E6" s="206">
        <v>43247.567999999999</v>
      </c>
      <c r="F6" s="206">
        <v>41600</v>
      </c>
      <c r="G6" s="289">
        <f t="shared" si="0"/>
        <v>8.3122916877083328E-2</v>
      </c>
      <c r="H6" s="289">
        <f t="shared" si="1"/>
        <v>6.0138225576060189E-2</v>
      </c>
      <c r="I6" s="289">
        <f t="shared" si="2"/>
        <v>0.12602000000000019</v>
      </c>
      <c r="J6" s="289">
        <f t="shared" ref="J6:J34" si="3">(D6-F6)/F6</f>
        <v>0.10212500000000004</v>
      </c>
      <c r="K6" s="512"/>
      <c r="L6" s="514"/>
      <c r="M6" s="516"/>
      <c r="N6" s="330">
        <v>45848.4</v>
      </c>
      <c r="O6" s="330">
        <v>43745.520000000004</v>
      </c>
      <c r="P6" s="206">
        <v>41600</v>
      </c>
    </row>
    <row r="7" spans="2:16">
      <c r="B7" s="495" t="s">
        <v>518</v>
      </c>
      <c r="C7" s="492">
        <f>'[21]DC.DCIII.CNA'!X23</f>
        <v>27.109919999999999</v>
      </c>
      <c r="D7" s="493">
        <f>'[21]DC.DCIII.CNA'!W23</f>
        <v>26.357999999999997</v>
      </c>
      <c r="E7" s="206">
        <v>27.027519999999999</v>
      </c>
      <c r="F7" s="206">
        <v>25.580080000000002</v>
      </c>
      <c r="G7" s="289">
        <f t="shared" si="0"/>
        <v>3.0487443909023031E-3</v>
      </c>
      <c r="H7" s="289">
        <f t="shared" si="1"/>
        <v>-2.4771788162583994E-2</v>
      </c>
      <c r="I7" s="289">
        <f t="shared" si="2"/>
        <v>5.980591147486624E-2</v>
      </c>
      <c r="J7" s="289">
        <f t="shared" si="3"/>
        <v>3.0411163686743535E-2</v>
      </c>
      <c r="K7" s="496" t="s">
        <v>519</v>
      </c>
      <c r="L7" s="513" t="s">
        <v>520</v>
      </c>
      <c r="M7" s="515" t="s">
        <v>521</v>
      </c>
      <c r="N7" s="494">
        <v>26.357999999999997</v>
      </c>
      <c r="O7" s="494">
        <v>24.861200000000004</v>
      </c>
      <c r="P7" s="206">
        <v>25.580080000000002</v>
      </c>
    </row>
    <row r="8" spans="2:16" ht="30.75" thickBot="1">
      <c r="B8" s="497" t="s">
        <v>522</v>
      </c>
      <c r="C8" s="484">
        <f>'[21]DC.DCIII.CNA'!X24</f>
        <v>56388.633600000001</v>
      </c>
      <c r="D8" s="493">
        <f>D7*L1</f>
        <v>54824.639999999992</v>
      </c>
      <c r="E8" s="206">
        <v>56217.241600000001</v>
      </c>
      <c r="F8" s="206">
        <v>53206.566400000003</v>
      </c>
      <c r="G8" s="289">
        <f t="shared" si="0"/>
        <v>3.048744390902307E-3</v>
      </c>
      <c r="H8" s="289">
        <f t="shared" si="1"/>
        <v>-2.4771788162584074E-2</v>
      </c>
      <c r="I8" s="289">
        <f t="shared" si="2"/>
        <v>5.980591147486633E-2</v>
      </c>
      <c r="J8" s="289">
        <f t="shared" si="3"/>
        <v>3.0411163686743535E-2</v>
      </c>
      <c r="K8" s="498" t="s">
        <v>523</v>
      </c>
      <c r="L8" s="514"/>
      <c r="M8" s="516"/>
      <c r="N8" s="330">
        <v>54824.639999999992</v>
      </c>
      <c r="O8" s="330">
        <v>51711.296000000009</v>
      </c>
      <c r="P8" s="206">
        <v>53206.566400000003</v>
      </c>
    </row>
    <row r="9" spans="2:16">
      <c r="B9" s="495" t="s">
        <v>524</v>
      </c>
      <c r="C9" s="492">
        <f>'[21]DC.DCIII.CNA'!X27</f>
        <v>22.0016</v>
      </c>
      <c r="D9" s="493">
        <f>'[21]DC.DCIII.CNA'!W27</f>
        <v>21.83</v>
      </c>
      <c r="E9" s="206">
        <v>21.417999999999999</v>
      </c>
      <c r="F9" s="206">
        <v>19.121599999999997</v>
      </c>
      <c r="G9" s="289">
        <f t="shared" si="0"/>
        <v>2.7248109067139818E-2</v>
      </c>
      <c r="H9" s="289">
        <f t="shared" si="1"/>
        <v>1.9236156503875199E-2</v>
      </c>
      <c r="I9" s="289">
        <f t="shared" si="2"/>
        <v>0.15061501129612601</v>
      </c>
      <c r="J9" s="289">
        <f t="shared" si="3"/>
        <v>0.1416408668730651</v>
      </c>
      <c r="K9" s="496"/>
      <c r="L9" s="513" t="s">
        <v>525</v>
      </c>
      <c r="M9" s="515" t="s">
        <v>726</v>
      </c>
      <c r="N9" s="494">
        <v>21.83</v>
      </c>
      <c r="O9" s="494">
        <v>20.834</v>
      </c>
      <c r="P9" s="347">
        <v>20</v>
      </c>
    </row>
    <row r="10" spans="2:16" ht="15.75" thickBot="1">
      <c r="B10" s="497" t="s">
        <v>526</v>
      </c>
      <c r="C10" s="484">
        <f>'[21]DC.DCIII.CNA'!X28</f>
        <v>45763.328000000001</v>
      </c>
      <c r="D10" s="493">
        <f>D9*L1</f>
        <v>45406.399999999994</v>
      </c>
      <c r="E10" s="206">
        <v>44549.439999999995</v>
      </c>
      <c r="F10" s="206">
        <v>39772.927999999993</v>
      </c>
      <c r="G10" s="289">
        <f t="shared" si="0"/>
        <v>2.7248109067139932E-2</v>
      </c>
      <c r="H10" s="289">
        <f t="shared" si="1"/>
        <v>1.9236156503875227E-2</v>
      </c>
      <c r="I10" s="289">
        <f t="shared" si="2"/>
        <v>0.15061501129612609</v>
      </c>
      <c r="J10" s="289">
        <f t="shared" si="3"/>
        <v>0.14164086687306507</v>
      </c>
      <c r="K10" s="499"/>
      <c r="L10" s="514"/>
      <c r="M10" s="516"/>
      <c r="N10" s="330">
        <v>45406.399999999994</v>
      </c>
      <c r="O10" s="330">
        <v>43334.720000000001</v>
      </c>
      <c r="P10" s="347">
        <v>41600</v>
      </c>
    </row>
    <row r="11" spans="2:16">
      <c r="B11" s="495" t="s">
        <v>527</v>
      </c>
      <c r="C11" s="492">
        <f>'[21]CASE.MGMT'!I6</f>
        <v>31.989000000000004</v>
      </c>
      <c r="D11" s="493">
        <f>'[21]CASE.MGMT'!H6</f>
        <v>31.14</v>
      </c>
      <c r="E11" s="206">
        <v>30.979999999999997</v>
      </c>
      <c r="F11" s="206">
        <v>28.180799999999998</v>
      </c>
      <c r="G11" s="289">
        <f t="shared" si="0"/>
        <v>3.2569399612653566E-2</v>
      </c>
      <c r="H11" s="289">
        <f t="shared" si="1"/>
        <v>5.1646223369917268E-3</v>
      </c>
      <c r="I11" s="289">
        <f t="shared" si="2"/>
        <v>0.13513455970022167</v>
      </c>
      <c r="J11" s="289">
        <f t="shared" si="3"/>
        <v>0.1050076647930507</v>
      </c>
      <c r="K11" s="496" t="s">
        <v>528</v>
      </c>
      <c r="L11" s="513" t="s">
        <v>529</v>
      </c>
      <c r="M11" s="517" t="s">
        <v>530</v>
      </c>
      <c r="N11" s="494">
        <v>31.14</v>
      </c>
      <c r="O11" s="494">
        <v>28.838000000000001</v>
      </c>
      <c r="P11" s="206">
        <v>28.180799999999998</v>
      </c>
    </row>
    <row r="12" spans="2:16" ht="15.75" thickBot="1">
      <c r="B12" s="497" t="s">
        <v>531</v>
      </c>
      <c r="C12" s="500">
        <f>'[21]CASE.MGMT'!I7</f>
        <v>66537.12000000001</v>
      </c>
      <c r="D12" s="493">
        <f>D11*L1</f>
        <v>64771.200000000004</v>
      </c>
      <c r="E12" s="206">
        <v>64438.399999999994</v>
      </c>
      <c r="F12" s="206">
        <v>58616.063999999998</v>
      </c>
      <c r="G12" s="289">
        <f t="shared" si="0"/>
        <v>3.2569399612653573E-2</v>
      </c>
      <c r="H12" s="289">
        <f t="shared" si="1"/>
        <v>5.1646223369917659E-3</v>
      </c>
      <c r="I12" s="289">
        <f t="shared" si="2"/>
        <v>0.13513455970022162</v>
      </c>
      <c r="J12" s="289">
        <f t="shared" si="3"/>
        <v>0.1050076647930507</v>
      </c>
      <c r="K12" s="499" t="s">
        <v>532</v>
      </c>
      <c r="L12" s="514"/>
      <c r="M12" s="517"/>
      <c r="N12" s="501">
        <v>64771.200000000004</v>
      </c>
      <c r="O12" s="501">
        <v>59983.040000000001</v>
      </c>
      <c r="P12" s="206">
        <v>58616.063999999998</v>
      </c>
    </row>
    <row r="13" spans="2:16">
      <c r="B13" s="495" t="s">
        <v>533</v>
      </c>
      <c r="C13" s="492">
        <f>'[21]CASE.MGMT'!I16</f>
        <v>36.1419</v>
      </c>
      <c r="D13" s="493">
        <f>'[21]CASE.MGMT'!H16</f>
        <v>35.129999999999995</v>
      </c>
      <c r="E13" s="206">
        <v>33.755499999999998</v>
      </c>
      <c r="F13" s="206">
        <v>30.9283</v>
      </c>
      <c r="G13" s="289">
        <f t="shared" si="0"/>
        <v>7.0696627216305555E-2</v>
      </c>
      <c r="H13" s="289">
        <f t="shared" si="1"/>
        <v>4.0719290189746786E-2</v>
      </c>
      <c r="I13" s="289">
        <f t="shared" si="2"/>
        <v>0.16857053248966156</v>
      </c>
      <c r="J13" s="289">
        <f t="shared" si="3"/>
        <v>0.13585292434437055</v>
      </c>
      <c r="K13" s="496" t="s">
        <v>534</v>
      </c>
      <c r="L13" s="513" t="s">
        <v>535</v>
      </c>
      <c r="M13" s="515" t="s">
        <v>536</v>
      </c>
      <c r="N13" s="494">
        <v>35.129999999999995</v>
      </c>
      <c r="O13" s="494">
        <v>32.628999999999998</v>
      </c>
      <c r="P13" s="206">
        <v>30.9283</v>
      </c>
    </row>
    <row r="14" spans="2:16" ht="15.75" thickBot="1">
      <c r="B14" s="497" t="s">
        <v>537</v>
      </c>
      <c r="C14" s="484">
        <f>'[21]CASE.MGMT'!I17</f>
        <v>75175.152000000002</v>
      </c>
      <c r="D14" s="493">
        <f>D13*L1</f>
        <v>73070.399999999994</v>
      </c>
      <c r="E14" s="206">
        <v>70211.44</v>
      </c>
      <c r="F14" s="206">
        <v>64330.864000000001</v>
      </c>
      <c r="G14" s="289">
        <f t="shared" si="0"/>
        <v>7.0696627216305485E-2</v>
      </c>
      <c r="H14" s="289">
        <f t="shared" si="1"/>
        <v>4.0719290189746737E-2</v>
      </c>
      <c r="I14" s="289">
        <f t="shared" si="2"/>
        <v>0.16857053248966158</v>
      </c>
      <c r="J14" s="289">
        <f t="shared" si="3"/>
        <v>0.13585292434437057</v>
      </c>
      <c r="K14" s="499" t="s">
        <v>538</v>
      </c>
      <c r="L14" s="514"/>
      <c r="M14" s="516"/>
      <c r="N14" s="330">
        <v>73070.399999999994</v>
      </c>
      <c r="O14" s="330">
        <v>67868.319999999992</v>
      </c>
      <c r="P14" s="206">
        <v>64330.864000000001</v>
      </c>
    </row>
    <row r="15" spans="2:16">
      <c r="B15" s="495" t="s">
        <v>539</v>
      </c>
      <c r="C15" s="492">
        <f>[21]NURSING!K4</f>
        <v>37.066800000000001</v>
      </c>
      <c r="D15" s="493">
        <f>[21]NURSING!J4</f>
        <v>36.81</v>
      </c>
      <c r="E15" s="206">
        <v>35.506799999999998</v>
      </c>
      <c r="F15" s="206">
        <v>31.575200000000002</v>
      </c>
      <c r="G15" s="289">
        <f t="shared" si="0"/>
        <v>4.3935246206360537E-2</v>
      </c>
      <c r="H15" s="289">
        <f t="shared" si="1"/>
        <v>3.670282875392894E-2</v>
      </c>
      <c r="I15" s="289">
        <f t="shared" si="2"/>
        <v>0.17392130532823222</v>
      </c>
      <c r="J15" s="289">
        <f t="shared" si="3"/>
        <v>0.16578834021637232</v>
      </c>
      <c r="K15" s="496"/>
      <c r="L15" s="513" t="s">
        <v>540</v>
      </c>
      <c r="M15" s="515" t="s">
        <v>541</v>
      </c>
      <c r="N15" s="494">
        <v>36.81</v>
      </c>
      <c r="O15" s="494">
        <v>34.962000000000003</v>
      </c>
      <c r="P15" s="206">
        <v>31.575200000000002</v>
      </c>
    </row>
    <row r="16" spans="2:16" ht="15.75" thickBot="1">
      <c r="B16" s="497" t="s">
        <v>542</v>
      </c>
      <c r="C16" s="484">
        <f>[21]NURSING!K5</f>
        <v>77098.944000000003</v>
      </c>
      <c r="D16" s="493">
        <f>D15*L1</f>
        <v>76564.800000000003</v>
      </c>
      <c r="E16" s="206">
        <v>73854.144</v>
      </c>
      <c r="F16" s="206">
        <v>65676.416000000012</v>
      </c>
      <c r="G16" s="289">
        <f t="shared" si="0"/>
        <v>4.3935246206360509E-2</v>
      </c>
      <c r="H16" s="289">
        <f t="shared" si="1"/>
        <v>3.6702828753928864E-2</v>
      </c>
      <c r="I16" s="289">
        <f t="shared" si="2"/>
        <v>0.17392130532823211</v>
      </c>
      <c r="J16" s="289">
        <f t="shared" si="3"/>
        <v>0.16578834021637218</v>
      </c>
      <c r="K16" s="499" t="s">
        <v>543</v>
      </c>
      <c r="L16" s="514"/>
      <c r="M16" s="516"/>
      <c r="N16" s="330">
        <v>76564.800000000003</v>
      </c>
      <c r="O16" s="330">
        <v>72720.960000000006</v>
      </c>
      <c r="P16" s="206">
        <v>65676.416000000012</v>
      </c>
    </row>
    <row r="17" spans="1:16">
      <c r="B17" s="495" t="s">
        <v>544</v>
      </c>
      <c r="C17" s="492">
        <f>[21]CLINICAL!J7</f>
        <v>40.468299999999999</v>
      </c>
      <c r="D17" s="493">
        <f>[21]CLINICAL!I7</f>
        <v>39.107500000000002</v>
      </c>
      <c r="E17" s="206">
        <v>40.211399999999998</v>
      </c>
      <c r="F17" s="206">
        <v>38.753100000000003</v>
      </c>
      <c r="G17" s="289">
        <f t="shared" si="0"/>
        <v>6.3887355327096719E-3</v>
      </c>
      <c r="H17" s="289">
        <f t="shared" si="1"/>
        <v>-2.7452413992051904E-2</v>
      </c>
      <c r="I17" s="289">
        <f t="shared" si="2"/>
        <v>4.4259685031648968E-2</v>
      </c>
      <c r="J17" s="289">
        <f t="shared" si="3"/>
        <v>9.1450748456252083E-3</v>
      </c>
      <c r="K17" s="496" t="s">
        <v>545</v>
      </c>
      <c r="L17" s="513" t="s">
        <v>546</v>
      </c>
      <c r="M17" s="515" t="s">
        <v>547</v>
      </c>
      <c r="N17" s="494">
        <v>39.107500000000002</v>
      </c>
      <c r="O17" s="494">
        <v>36.266500000000001</v>
      </c>
      <c r="P17" s="206">
        <v>38.753100000000003</v>
      </c>
    </row>
    <row r="18" spans="1:16" ht="15.75" thickBot="1">
      <c r="B18" s="497" t="s">
        <v>548</v>
      </c>
      <c r="C18" s="484">
        <f>[21]CLINICAL!J8</f>
        <v>84174.063999999998</v>
      </c>
      <c r="D18" s="493">
        <f>D17*L1</f>
        <v>81343.600000000006</v>
      </c>
      <c r="E18" s="206">
        <v>83639.712</v>
      </c>
      <c r="F18" s="206">
        <v>80606.448000000004</v>
      </c>
      <c r="G18" s="289">
        <f t="shared" si="0"/>
        <v>6.3887355327096173E-3</v>
      </c>
      <c r="H18" s="289">
        <f t="shared" si="1"/>
        <v>-2.7452413992051929E-2</v>
      </c>
      <c r="I18" s="289">
        <f t="shared" si="2"/>
        <v>4.425968503164901E-2</v>
      </c>
      <c r="J18" s="289">
        <f t="shared" si="3"/>
        <v>9.145074845625276E-3</v>
      </c>
      <c r="K18" s="499"/>
      <c r="L18" s="514"/>
      <c r="M18" s="516"/>
      <c r="N18" s="330">
        <v>81343.600000000006</v>
      </c>
      <c r="O18" s="330">
        <v>75434.320000000007</v>
      </c>
      <c r="P18" s="206">
        <v>80606.448000000004</v>
      </c>
    </row>
    <row r="19" spans="1:16">
      <c r="B19" s="495" t="s">
        <v>549</v>
      </c>
      <c r="C19" s="492">
        <f>'[21]THER.PATH.'!K11</f>
        <v>39.5488</v>
      </c>
      <c r="D19" s="493">
        <f>'[21]THER.PATH.'!J11</f>
        <v>38.86</v>
      </c>
      <c r="E19" s="206">
        <v>36.818800000000003</v>
      </c>
      <c r="F19" s="206">
        <v>32.740400000000001</v>
      </c>
      <c r="G19" s="289">
        <f t="shared" si="0"/>
        <v>7.4146903212489179E-2</v>
      </c>
      <c r="H19" s="289">
        <f t="shared" si="1"/>
        <v>5.5439069171184185E-2</v>
      </c>
      <c r="I19" s="289">
        <f t="shared" si="2"/>
        <v>0.20795103297455128</v>
      </c>
      <c r="J19" s="289">
        <f t="shared" si="3"/>
        <v>0.18691280497489335</v>
      </c>
      <c r="K19" s="496"/>
      <c r="L19" s="513" t="s">
        <v>550</v>
      </c>
      <c r="M19" s="515" t="s">
        <v>551</v>
      </c>
      <c r="N19" s="494">
        <v>38.86</v>
      </c>
      <c r="O19" s="494">
        <v>36.143999999999998</v>
      </c>
      <c r="P19" s="206">
        <v>32.740400000000001</v>
      </c>
    </row>
    <row r="20" spans="1:16" ht="15.75" thickBot="1">
      <c r="B20" s="497" t="s">
        <v>552</v>
      </c>
      <c r="C20" s="484">
        <f>'[21]THER.PATH.'!K12</f>
        <v>82261.504000000001</v>
      </c>
      <c r="D20" s="493">
        <f>D19*L1</f>
        <v>80828.800000000003</v>
      </c>
      <c r="E20" s="206">
        <v>76583.104000000007</v>
      </c>
      <c r="F20" s="206">
        <v>68100.032000000007</v>
      </c>
      <c r="G20" s="289">
        <f t="shared" si="0"/>
        <v>7.4146903212489193E-2</v>
      </c>
      <c r="H20" s="289">
        <f t="shared" si="1"/>
        <v>5.5439069171184234E-2</v>
      </c>
      <c r="I20" s="289">
        <f t="shared" si="2"/>
        <v>0.20795103297455123</v>
      </c>
      <c r="J20" s="289">
        <f t="shared" si="3"/>
        <v>0.18691280497489332</v>
      </c>
      <c r="K20" s="499"/>
      <c r="L20" s="514"/>
      <c r="M20" s="516"/>
      <c r="N20" s="330">
        <v>80828.800000000003</v>
      </c>
      <c r="O20" s="330">
        <v>75179.51999999999</v>
      </c>
      <c r="P20" s="206">
        <v>68100.032000000007</v>
      </c>
    </row>
    <row r="21" spans="1:16">
      <c r="B21" s="495" t="s">
        <v>553</v>
      </c>
      <c r="C21" s="492">
        <f>'[21]CASE.MGMT'!I21</f>
        <v>39.176400000000001</v>
      </c>
      <c r="D21" s="493">
        <f>'[21]CASE.MGMT'!H21</f>
        <v>38.01</v>
      </c>
      <c r="E21" s="206">
        <v>38.860399999999998</v>
      </c>
      <c r="F21" s="206">
        <v>38.180400000000006</v>
      </c>
      <c r="G21" s="289">
        <f t="shared" si="0"/>
        <v>8.131671315786829E-3</v>
      </c>
      <c r="H21" s="289">
        <f t="shared" si="1"/>
        <v>-2.188345976881351E-2</v>
      </c>
      <c r="I21" s="289">
        <f t="shared" si="2"/>
        <v>2.6086683219662312E-2</v>
      </c>
      <c r="J21" s="289">
        <f t="shared" si="3"/>
        <v>-4.4630229122798043E-3</v>
      </c>
      <c r="K21" s="496" t="s">
        <v>554</v>
      </c>
      <c r="L21" s="513" t="s">
        <v>555</v>
      </c>
      <c r="M21" s="518" t="s">
        <v>556</v>
      </c>
      <c r="N21" s="494">
        <v>38.01</v>
      </c>
      <c r="O21" s="494">
        <v>35.118000000000002</v>
      </c>
      <c r="P21" s="206">
        <v>38.180400000000006</v>
      </c>
    </row>
    <row r="22" spans="1:16" ht="15.75" thickBot="1">
      <c r="B22" s="497" t="s">
        <v>557</v>
      </c>
      <c r="C22" s="484">
        <f>'[21]CASE.MGMT'!I22</f>
        <v>81486.911999999997</v>
      </c>
      <c r="D22" s="493">
        <f>D21*L1</f>
        <v>79060.800000000003</v>
      </c>
      <c r="E22" s="206">
        <v>80829.631999999998</v>
      </c>
      <c r="F22" s="206">
        <v>79415.232000000018</v>
      </c>
      <c r="G22" s="289">
        <f t="shared" si="0"/>
        <v>8.131671315786751E-3</v>
      </c>
      <c r="H22" s="289">
        <f t="shared" si="1"/>
        <v>-2.1883459768813434E-2</v>
      </c>
      <c r="I22" s="289">
        <f t="shared" si="2"/>
        <v>2.6086683219662166E-2</v>
      </c>
      <c r="J22" s="289">
        <f t="shared" si="3"/>
        <v>-4.4630229122797896E-3</v>
      </c>
      <c r="K22" s="499" t="s">
        <v>558</v>
      </c>
      <c r="L22" s="514"/>
      <c r="M22" s="519"/>
      <c r="N22" s="330">
        <v>79060.800000000003</v>
      </c>
      <c r="O22" s="330">
        <v>73045.440000000002</v>
      </c>
      <c r="P22" s="206">
        <v>79415.232000000018</v>
      </c>
    </row>
    <row r="23" spans="1:16" ht="14.45" customHeight="1">
      <c r="B23" s="331" t="s">
        <v>727</v>
      </c>
      <c r="C23" s="163">
        <f>'[21]THER.PATH.'!K6</f>
        <v>41.273300000000006</v>
      </c>
      <c r="D23" s="493">
        <f>'[21]THER.PATH.'!J6</f>
        <v>40.842500000000001</v>
      </c>
      <c r="E23" s="206">
        <v>39.750500000000002</v>
      </c>
      <c r="F23" s="206">
        <v>38.017499999999998</v>
      </c>
      <c r="G23" s="289">
        <f t="shared" si="0"/>
        <v>3.8308952088653064E-2</v>
      </c>
      <c r="H23" s="289">
        <f t="shared" si="1"/>
        <v>2.7471352561602966E-2</v>
      </c>
      <c r="I23" s="289">
        <f t="shared" si="2"/>
        <v>8.5639508121260158E-2</v>
      </c>
      <c r="J23" s="289">
        <f t="shared" si="3"/>
        <v>7.4307884526862711E-2</v>
      </c>
      <c r="K23" s="502" t="s">
        <v>559</v>
      </c>
      <c r="L23" s="520" t="s">
        <v>535</v>
      </c>
      <c r="M23" s="515" t="s">
        <v>728</v>
      </c>
      <c r="N23" s="503">
        <v>40.842500000000001</v>
      </c>
      <c r="O23" s="503">
        <v>38.588499999999996</v>
      </c>
      <c r="P23" s="206">
        <v>38.017499999999998</v>
      </c>
    </row>
    <row r="24" spans="1:16" ht="15.75" thickBot="1">
      <c r="B24" s="331" t="s">
        <v>729</v>
      </c>
      <c r="C24" s="485">
        <f>'[21]THER.PATH.'!K7</f>
        <v>85848.464000000007</v>
      </c>
      <c r="D24" s="493">
        <f>D23*L1</f>
        <v>84952.400000000009</v>
      </c>
      <c r="E24" s="206">
        <v>82681.040000000008</v>
      </c>
      <c r="F24" s="206">
        <v>79076.399999999994</v>
      </c>
      <c r="G24" s="289">
        <f t="shared" si="0"/>
        <v>3.830895208865296E-2</v>
      </c>
      <c r="H24" s="289">
        <f t="shared" si="1"/>
        <v>2.7471352561603005E-2</v>
      </c>
      <c r="I24" s="289">
        <f t="shared" si="2"/>
        <v>8.5639508121260116E-2</v>
      </c>
      <c r="J24" s="289">
        <f t="shared" si="3"/>
        <v>7.4307884526862822E-2</v>
      </c>
      <c r="K24" s="502"/>
      <c r="L24" s="520"/>
      <c r="M24" s="516"/>
      <c r="N24" s="332">
        <v>84952.400000000009</v>
      </c>
      <c r="O24" s="332">
        <v>80264.079999999987</v>
      </c>
      <c r="P24" s="206">
        <v>79076.399999999994</v>
      </c>
    </row>
    <row r="25" spans="1:16">
      <c r="B25" s="495" t="s">
        <v>560</v>
      </c>
      <c r="C25" s="492">
        <f>'[21]THER.PATH.'!K20</f>
        <v>43.965600000000002</v>
      </c>
      <c r="D25" s="493">
        <f>'[21]THER.PATH.'!J20</f>
        <v>43.248000000000005</v>
      </c>
      <c r="E25" s="206">
        <v>42.784640000000003</v>
      </c>
      <c r="F25" s="206">
        <v>41.25168</v>
      </c>
      <c r="G25" s="289">
        <f t="shared" si="0"/>
        <v>2.7602429283032387E-2</v>
      </c>
      <c r="H25" s="289">
        <f t="shared" si="1"/>
        <v>1.0830054898206494E-2</v>
      </c>
      <c r="I25" s="289">
        <f t="shared" si="2"/>
        <v>6.5789320580398214E-2</v>
      </c>
      <c r="J25" s="289">
        <f t="shared" si="3"/>
        <v>4.8393665421626569E-2</v>
      </c>
      <c r="K25" s="496" t="s">
        <v>561</v>
      </c>
      <c r="L25" s="513" t="s">
        <v>535</v>
      </c>
      <c r="M25" s="515" t="s">
        <v>562</v>
      </c>
      <c r="N25" s="494">
        <v>43.248000000000005</v>
      </c>
      <c r="O25" s="494">
        <v>41.299199999999999</v>
      </c>
      <c r="P25" s="206">
        <v>41.25168</v>
      </c>
    </row>
    <row r="26" spans="1:16" ht="15.75" thickBot="1">
      <c r="B26" s="497" t="s">
        <v>563</v>
      </c>
      <c r="C26" s="484">
        <f>'[21]THER.PATH.'!K21</f>
        <v>91448.448000000004</v>
      </c>
      <c r="D26" s="493">
        <f>D25*L1</f>
        <v>89955.840000000011</v>
      </c>
      <c r="E26" s="206">
        <v>88992.051200000002</v>
      </c>
      <c r="F26" s="206">
        <v>85803.494399999996</v>
      </c>
      <c r="G26" s="289">
        <f t="shared" si="0"/>
        <v>2.7602429283032439E-2</v>
      </c>
      <c r="H26" s="289">
        <f t="shared" si="1"/>
        <v>1.0830054898206563E-2</v>
      </c>
      <c r="I26" s="289">
        <f t="shared" si="2"/>
        <v>6.5789320580398283E-2</v>
      </c>
      <c r="J26" s="289">
        <f t="shared" si="3"/>
        <v>4.8393665421626646E-2</v>
      </c>
      <c r="K26" s="499"/>
      <c r="L26" s="514"/>
      <c r="M26" s="516"/>
      <c r="N26" s="330">
        <v>89955.840000000011</v>
      </c>
      <c r="O26" s="330">
        <v>85902.335999999996</v>
      </c>
      <c r="P26" s="206">
        <v>85803.494399999996</v>
      </c>
    </row>
    <row r="27" spans="1:16">
      <c r="A27" s="569" t="s">
        <v>593</v>
      </c>
      <c r="B27" s="495" t="s">
        <v>564</v>
      </c>
      <c r="C27" s="492">
        <f>P27</f>
        <v>48.742200000000004</v>
      </c>
      <c r="D27" s="493">
        <f>[21]CLINICAL!I13</f>
        <v>44.519999999999996</v>
      </c>
      <c r="E27" s="206">
        <v>48.945399999999999</v>
      </c>
      <c r="F27" s="206">
        <v>48.742200000000004</v>
      </c>
      <c r="G27" s="289">
        <f t="shared" si="0"/>
        <v>-4.1515648048641015E-3</v>
      </c>
      <c r="H27" s="289">
        <f t="shared" si="1"/>
        <v>-9.041503389491154E-2</v>
      </c>
      <c r="I27" s="289">
        <f t="shared" si="2"/>
        <v>0</v>
      </c>
      <c r="J27" s="289">
        <f t="shared" si="3"/>
        <v>-8.6623090463705116E-2</v>
      </c>
      <c r="K27" s="511" t="s">
        <v>565</v>
      </c>
      <c r="L27" s="513" t="s">
        <v>566</v>
      </c>
      <c r="M27" s="515" t="s">
        <v>567</v>
      </c>
      <c r="N27" s="494">
        <v>44.519999999999996</v>
      </c>
      <c r="O27" s="494">
        <v>41.314000000000007</v>
      </c>
      <c r="P27" s="206">
        <v>48.742200000000004</v>
      </c>
    </row>
    <row r="28" spans="1:16" ht="15.75" thickBot="1">
      <c r="A28" s="333"/>
      <c r="B28" s="497" t="s">
        <v>568</v>
      </c>
      <c r="C28" s="500">
        <f>P28</f>
        <v>101383.77600000001</v>
      </c>
      <c r="D28" s="493">
        <f>D27*L1</f>
        <v>92601.599999999991</v>
      </c>
      <c r="E28" s="206">
        <v>101806.432</v>
      </c>
      <c r="F28" s="206">
        <v>101383.77600000001</v>
      </c>
      <c r="G28" s="289">
        <f t="shared" si="0"/>
        <v>-4.151564804864079E-3</v>
      </c>
      <c r="H28" s="289">
        <f t="shared" si="1"/>
        <v>-9.0415033894911567E-2</v>
      </c>
      <c r="I28" s="289">
        <f t="shared" si="2"/>
        <v>0</v>
      </c>
      <c r="J28" s="289">
        <f t="shared" si="3"/>
        <v>-8.6623090463705157E-2</v>
      </c>
      <c r="K28" s="512"/>
      <c r="L28" s="514"/>
      <c r="M28" s="516"/>
      <c r="N28" s="501">
        <v>92601.599999999991</v>
      </c>
      <c r="O28" s="501">
        <v>85933.12000000001</v>
      </c>
      <c r="P28" s="206">
        <v>101383.77600000001</v>
      </c>
    </row>
    <row r="29" spans="1:16" ht="14.45" customHeight="1">
      <c r="A29" s="569" t="s">
        <v>593</v>
      </c>
      <c r="B29" s="328" t="s">
        <v>730</v>
      </c>
      <c r="C29" s="492">
        <f>P29</f>
        <v>42.756720000000001</v>
      </c>
      <c r="D29" s="493">
        <f>'[21]THER.PATH.'!J28</f>
        <v>40.14</v>
      </c>
      <c r="E29" s="206">
        <v>44.301760000000002</v>
      </c>
      <c r="F29" s="206">
        <v>42.756720000000001</v>
      </c>
      <c r="G29" s="289">
        <f t="shared" si="0"/>
        <v>-3.4875363868162354E-2</v>
      </c>
      <c r="H29" s="289">
        <f t="shared" si="1"/>
        <v>-9.3941188792499464E-2</v>
      </c>
      <c r="I29" s="289">
        <f t="shared" si="2"/>
        <v>0</v>
      </c>
      <c r="J29" s="289">
        <f t="shared" si="3"/>
        <v>-6.1200204318759735E-2</v>
      </c>
      <c r="K29" s="496"/>
      <c r="L29" s="513" t="s">
        <v>535</v>
      </c>
      <c r="M29" s="515" t="s">
        <v>731</v>
      </c>
      <c r="N29" s="494">
        <v>40.14</v>
      </c>
      <c r="O29" s="494">
        <v>37.613999999999997</v>
      </c>
      <c r="P29" s="206">
        <v>42.756720000000001</v>
      </c>
    </row>
    <row r="30" spans="1:16" ht="15.75" thickBot="1">
      <c r="B30" s="329" t="s">
        <v>732</v>
      </c>
      <c r="C30" s="500">
        <f>P30</f>
        <v>88933.977599999998</v>
      </c>
      <c r="D30" s="493">
        <f>D29*L1</f>
        <v>83491.199999999997</v>
      </c>
      <c r="E30" s="206">
        <v>92147.660799999998</v>
      </c>
      <c r="F30" s="206">
        <v>88933.977599999998</v>
      </c>
      <c r="G30" s="289">
        <f t="shared" si="0"/>
        <v>-3.4875363868162347E-2</v>
      </c>
      <c r="H30" s="289">
        <f t="shared" si="1"/>
        <v>-9.394118879249945E-2</v>
      </c>
      <c r="I30" s="289">
        <f t="shared" si="2"/>
        <v>0</v>
      </c>
      <c r="J30" s="289">
        <f t="shared" si="3"/>
        <v>-6.1200204318759735E-2</v>
      </c>
      <c r="K30" s="499"/>
      <c r="L30" s="514"/>
      <c r="M30" s="516"/>
      <c r="N30" s="501">
        <v>83491.199999999997</v>
      </c>
      <c r="O30" s="501">
        <v>78237.119999999995</v>
      </c>
      <c r="P30" s="206">
        <v>88933.977599999998</v>
      </c>
    </row>
    <row r="31" spans="1:16">
      <c r="B31" s="495" t="s">
        <v>569</v>
      </c>
      <c r="C31" s="492">
        <f>[21]NURSING!K8</f>
        <v>50.818000000000005</v>
      </c>
      <c r="D31" s="493">
        <f>[21]NURSING!J8</f>
        <v>49.03</v>
      </c>
      <c r="E31" s="206">
        <v>49.818400000000004</v>
      </c>
      <c r="F31" s="206">
        <v>49.162799999999997</v>
      </c>
      <c r="G31" s="289">
        <f t="shared" si="0"/>
        <v>2.0064875628281936E-2</v>
      </c>
      <c r="H31" s="289">
        <f t="shared" si="1"/>
        <v>-1.5825478136592158E-2</v>
      </c>
      <c r="I31" s="289">
        <f t="shared" si="2"/>
        <v>3.3667732513201196E-2</v>
      </c>
      <c r="J31" s="289">
        <f t="shared" si="3"/>
        <v>-2.7012293848193356E-3</v>
      </c>
      <c r="K31" s="496"/>
      <c r="L31" s="513" t="s">
        <v>570</v>
      </c>
      <c r="M31" s="515" t="s">
        <v>571</v>
      </c>
      <c r="N31" s="494">
        <v>49.03</v>
      </c>
      <c r="O31" s="494">
        <v>45.57</v>
      </c>
      <c r="P31" s="206">
        <v>49.162799999999997</v>
      </c>
    </row>
    <row r="32" spans="1:16" ht="15.75" thickBot="1">
      <c r="B32" s="497" t="s">
        <v>572</v>
      </c>
      <c r="C32" s="484">
        <f>[21]NURSING!K9</f>
        <v>105701.44000000002</v>
      </c>
      <c r="D32" s="493">
        <f>D31*L1</f>
        <v>101982.40000000001</v>
      </c>
      <c r="E32" s="206">
        <v>103622.27200000001</v>
      </c>
      <c r="F32" s="206">
        <v>102258.624</v>
      </c>
      <c r="G32" s="289">
        <f t="shared" si="0"/>
        <v>2.0064875628281967E-2</v>
      </c>
      <c r="H32" s="289">
        <f t="shared" si="1"/>
        <v>-1.582547813659213E-2</v>
      </c>
      <c r="I32" s="289">
        <f t="shared" si="2"/>
        <v>3.3667732513201244E-2</v>
      </c>
      <c r="J32" s="289">
        <f t="shared" si="3"/>
        <v>-2.7012293848192935E-3</v>
      </c>
      <c r="K32" s="499"/>
      <c r="L32" s="514"/>
      <c r="M32" s="516"/>
      <c r="N32" s="330">
        <v>101982.40000000001</v>
      </c>
      <c r="O32" s="330">
        <v>94785.600000000006</v>
      </c>
      <c r="P32" s="206">
        <v>102258.624</v>
      </c>
    </row>
    <row r="33" spans="2:16">
      <c r="B33" s="495" t="s">
        <v>573</v>
      </c>
      <c r="C33" s="492">
        <f>[21]NURSING!K12</f>
        <v>68.006</v>
      </c>
      <c r="D33" s="493">
        <f>[21]NURSING!J12</f>
        <v>66.77</v>
      </c>
      <c r="E33" s="206">
        <v>67.710800000000006</v>
      </c>
      <c r="F33" s="206">
        <v>65.162400000000005</v>
      </c>
      <c r="G33" s="289">
        <f t="shared" si="0"/>
        <v>4.3597180951929987E-3</v>
      </c>
      <c r="H33" s="289">
        <f t="shared" si="1"/>
        <v>-1.389438612451795E-2</v>
      </c>
      <c r="I33" s="289">
        <f t="shared" si="2"/>
        <v>4.363866278712869E-2</v>
      </c>
      <c r="J33" s="289">
        <f t="shared" si="3"/>
        <v>2.467066897474603E-2</v>
      </c>
      <c r="K33" s="496"/>
      <c r="L33" s="513" t="s">
        <v>574</v>
      </c>
      <c r="M33" s="515" t="s">
        <v>575</v>
      </c>
      <c r="N33" s="494">
        <v>66.77</v>
      </c>
      <c r="O33" s="494">
        <v>68.006</v>
      </c>
      <c r="P33" s="206">
        <v>65.162400000000005</v>
      </c>
    </row>
    <row r="34" spans="2:16" ht="15.75" thickBot="1">
      <c r="B34" s="497" t="s">
        <v>576</v>
      </c>
      <c r="C34" s="484">
        <f>[21]NURSING!K13</f>
        <v>141452.48000000001</v>
      </c>
      <c r="D34" s="493">
        <f>D33*L1</f>
        <v>138881.60000000001</v>
      </c>
      <c r="E34" s="206">
        <v>140838.46400000001</v>
      </c>
      <c r="F34" s="206">
        <v>135537.79200000002</v>
      </c>
      <c r="G34" s="289">
        <f t="shared" si="0"/>
        <v>4.3597180951931089E-3</v>
      </c>
      <c r="H34" s="289">
        <f t="shared" si="1"/>
        <v>-1.3894386124517811E-2</v>
      </c>
      <c r="I34" s="289">
        <f t="shared" si="2"/>
        <v>4.3638662787128732E-2</v>
      </c>
      <c r="J34" s="289">
        <f t="shared" si="3"/>
        <v>2.4670668974746096E-2</v>
      </c>
      <c r="K34" s="499"/>
      <c r="L34" s="514"/>
      <c r="M34" s="516"/>
      <c r="N34" s="330">
        <v>138881.60000000001</v>
      </c>
      <c r="O34" s="330">
        <v>141452.48000000001</v>
      </c>
      <c r="P34" s="206">
        <v>135537.79200000002</v>
      </c>
    </row>
    <row r="35" spans="2:16">
      <c r="D35" s="334"/>
      <c r="G35" s="335">
        <f>AVERAGE(G33,G31,G29,G27,G25,G23,G21,G19,G17,G15,G13,G11,G9,G7,G5)</f>
        <v>2.670649332357097E-2</v>
      </c>
      <c r="H35" s="335">
        <f t="shared" ref="H35:J35" si="4">AVERAGE(H33,H31,H29,H27,H25,H23,H21,H19,H17,H15,H13,H11,H9,H7,H5)</f>
        <v>-2.1654765920249407E-3</v>
      </c>
      <c r="I35" s="335">
        <f t="shared" si="4"/>
        <v>8.8073329701130562E-2</v>
      </c>
      <c r="J35" s="335">
        <f t="shared" si="4"/>
        <v>5.7951234105186142E-2</v>
      </c>
    </row>
    <row r="36" spans="2:16">
      <c r="B36" s="568" t="s">
        <v>762</v>
      </c>
      <c r="J36" s="289"/>
    </row>
    <row r="38" spans="2:16" ht="30">
      <c r="B38" s="336" t="s">
        <v>733</v>
      </c>
      <c r="C38" s="504">
        <f>C6</f>
        <v>46842.432000000008</v>
      </c>
      <c r="D38" s="502"/>
    </row>
    <row r="39" spans="2:16">
      <c r="B39" s="502"/>
      <c r="C39" s="505"/>
      <c r="D39" s="502"/>
    </row>
    <row r="40" spans="2:16">
      <c r="B40" s="506" t="s">
        <v>578</v>
      </c>
      <c r="C40" s="507">
        <v>0.24970000000000001</v>
      </c>
      <c r="D40" s="502" t="s">
        <v>734</v>
      </c>
    </row>
    <row r="41" spans="2:16" ht="24" customHeight="1">
      <c r="B41" s="506"/>
      <c r="C41" s="505"/>
      <c r="D41" s="508" t="s">
        <v>579</v>
      </c>
    </row>
    <row r="42" spans="2:16">
      <c r="B42" s="502"/>
      <c r="C42" s="505"/>
      <c r="D42" s="502"/>
    </row>
    <row r="43" spans="2:16">
      <c r="B43" s="506" t="s">
        <v>94</v>
      </c>
      <c r="C43" s="509">
        <v>0.12</v>
      </c>
      <c r="D43" s="502" t="s">
        <v>580</v>
      </c>
    </row>
    <row r="44" spans="2:16">
      <c r="B44" s="506"/>
      <c r="C44" s="510"/>
      <c r="D44" s="502"/>
    </row>
    <row r="45" spans="2:16">
      <c r="B45" s="685" t="s">
        <v>581</v>
      </c>
      <c r="C45" s="685"/>
      <c r="D45" s="685"/>
    </row>
    <row r="46" spans="2:16">
      <c r="B46" s="337" t="s">
        <v>582</v>
      </c>
      <c r="C46" s="504">
        <v>269120</v>
      </c>
      <c r="D46" s="502" t="s">
        <v>735</v>
      </c>
      <c r="G46" s="206">
        <v>247470</v>
      </c>
      <c r="H46" s="289">
        <f t="shared" ref="H46:H54" si="5">(C46-G46)/G46</f>
        <v>8.7485351759809274E-2</v>
      </c>
    </row>
    <row r="47" spans="2:16">
      <c r="B47" s="506" t="s">
        <v>583</v>
      </c>
      <c r="C47" s="504">
        <v>292160</v>
      </c>
      <c r="D47" s="502" t="s">
        <v>736</v>
      </c>
      <c r="G47" s="206">
        <v>252850</v>
      </c>
      <c r="H47" s="289">
        <f t="shared" si="5"/>
        <v>0.15546766857820843</v>
      </c>
    </row>
    <row r="48" spans="2:16">
      <c r="B48" s="506" t="s">
        <v>584</v>
      </c>
      <c r="C48" s="504">
        <f>C34</f>
        <v>141452.48000000001</v>
      </c>
      <c r="D48" s="502" t="s">
        <v>737</v>
      </c>
      <c r="G48" s="206">
        <v>140838</v>
      </c>
      <c r="H48" s="289">
        <f t="shared" si="5"/>
        <v>4.3630270239566771E-3</v>
      </c>
    </row>
    <row r="49" spans="2:8">
      <c r="B49" s="506" t="s">
        <v>585</v>
      </c>
      <c r="C49" s="504">
        <f>C6</f>
        <v>46842.432000000008</v>
      </c>
      <c r="D49" s="502" t="s">
        <v>378</v>
      </c>
      <c r="G49" s="206">
        <v>43248</v>
      </c>
      <c r="H49" s="289">
        <f t="shared" si="5"/>
        <v>8.3112097669256563E-2</v>
      </c>
    </row>
    <row r="50" spans="2:8">
      <c r="B50" s="506" t="s">
        <v>586</v>
      </c>
      <c r="C50" s="504">
        <f>AVERAGE(C6,C8)</f>
        <v>51615.532800000001</v>
      </c>
      <c r="D50" s="502" t="s">
        <v>587</v>
      </c>
      <c r="G50" s="206">
        <v>49732</v>
      </c>
      <c r="H50" s="289">
        <f t="shared" si="5"/>
        <v>3.78736588112282E-2</v>
      </c>
    </row>
    <row r="51" spans="2:8">
      <c r="B51" s="506" t="s">
        <v>588</v>
      </c>
      <c r="C51" s="504">
        <f>C8</f>
        <v>56388.633600000001</v>
      </c>
      <c r="D51" s="502" t="s">
        <v>589</v>
      </c>
      <c r="G51" s="206">
        <v>56217</v>
      </c>
      <c r="H51" s="289">
        <f t="shared" si="5"/>
        <v>3.0530551256737468E-3</v>
      </c>
    </row>
    <row r="52" spans="2:8">
      <c r="B52" s="506" t="s">
        <v>590</v>
      </c>
      <c r="C52" s="504">
        <v>46904</v>
      </c>
      <c r="D52" s="502" t="s">
        <v>738</v>
      </c>
      <c r="G52" s="206">
        <v>44847.296000000002</v>
      </c>
      <c r="H52" s="289">
        <f t="shared" si="5"/>
        <v>4.5860156206519072E-2</v>
      </c>
    </row>
    <row r="53" spans="2:8">
      <c r="B53" s="506" t="s">
        <v>591</v>
      </c>
      <c r="C53" s="504">
        <v>53768</v>
      </c>
      <c r="D53" s="502" t="s">
        <v>739</v>
      </c>
      <c r="G53" s="206">
        <v>51381.824000000001</v>
      </c>
      <c r="H53" s="289">
        <f t="shared" si="5"/>
        <v>4.6440079667082267E-2</v>
      </c>
    </row>
    <row r="54" spans="2:8">
      <c r="B54" s="506" t="s">
        <v>592</v>
      </c>
      <c r="C54" s="504">
        <v>60257</v>
      </c>
      <c r="D54" s="502" t="s">
        <v>740</v>
      </c>
      <c r="G54" s="206">
        <v>59259.199999999997</v>
      </c>
      <c r="H54" s="289">
        <f t="shared" si="5"/>
        <v>1.6837891837891888E-2</v>
      </c>
    </row>
  </sheetData>
  <mergeCells count="1">
    <mergeCell ref="B45:D45"/>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F6723-2B0E-4244-923F-A134991AEE4E}">
  <dimension ref="B1:BA228"/>
  <sheetViews>
    <sheetView showGridLines="0" zoomScale="80" zoomScaleNormal="80" workbookViewId="0">
      <selection activeCell="K2" sqref="K2:P2"/>
    </sheetView>
  </sheetViews>
  <sheetFormatPr defaultRowHeight="15"/>
  <cols>
    <col min="1" max="1" width="6.5703125" customWidth="1"/>
    <col min="2" max="2" width="8.42578125" customWidth="1"/>
    <col min="3" max="3" width="9.5703125" customWidth="1"/>
    <col min="4" max="4" width="10.85546875" bestFit="1" customWidth="1"/>
    <col min="5" max="5" width="11.5703125" customWidth="1"/>
    <col min="6" max="6" width="11.5703125" bestFit="1" customWidth="1"/>
    <col min="7" max="7" width="11.5703125" customWidth="1"/>
    <col min="8" max="8" width="15.5703125" bestFit="1" customWidth="1"/>
    <col min="9" max="9" width="13.140625" customWidth="1"/>
    <col min="10" max="10" width="12.5703125" customWidth="1"/>
    <col min="11" max="11" width="12.42578125" customWidth="1"/>
    <col min="12" max="12" width="10.85546875" bestFit="1" customWidth="1"/>
    <col min="13" max="13" width="11.42578125" customWidth="1"/>
    <col min="14" max="15" width="11.140625" customWidth="1"/>
    <col min="16" max="16" width="12.5703125" customWidth="1"/>
    <col min="19" max="20" width="11.42578125" customWidth="1"/>
    <col min="21" max="21" width="8.5703125" customWidth="1"/>
    <col min="22" max="22" width="9.5703125" bestFit="1" customWidth="1"/>
    <col min="23" max="23" width="5.42578125" bestFit="1" customWidth="1"/>
    <col min="24" max="24" width="9.5703125" bestFit="1" customWidth="1"/>
    <col min="25" max="25" width="12.85546875" customWidth="1"/>
    <col min="26" max="26" width="11.140625" customWidth="1"/>
    <col min="28" max="28" width="4.140625" style="88" hidden="1" customWidth="1"/>
    <col min="29" max="29" width="6.5703125" style="88" hidden="1" customWidth="1"/>
    <col min="30" max="30" width="7.85546875" style="88" hidden="1" customWidth="1"/>
    <col min="31" max="31" width="9" style="88" hidden="1" customWidth="1"/>
    <col min="32" max="32" width="9.5703125" style="88" hidden="1" customWidth="1"/>
    <col min="33" max="33" width="13.140625" bestFit="1" customWidth="1"/>
    <col min="34" max="34" width="11" bestFit="1" customWidth="1"/>
    <col min="35" max="35" width="13" customWidth="1"/>
    <col min="36" max="36" width="11.85546875" style="88" customWidth="1"/>
    <col min="37" max="37" width="13.42578125" style="88" bestFit="1" customWidth="1"/>
    <col min="41" max="41" width="8.5703125" customWidth="1"/>
    <col min="42" max="42" width="8.5703125" bestFit="1" customWidth="1"/>
    <col min="43" max="43" width="10.85546875" bestFit="1" customWidth="1"/>
    <col min="44" max="44" width="10.140625" bestFit="1" customWidth="1"/>
    <col min="45" max="45" width="10.85546875" bestFit="1" customWidth="1"/>
    <col min="46" max="49" width="10.140625" bestFit="1" customWidth="1"/>
    <col min="50" max="50" width="10.85546875" bestFit="1" customWidth="1"/>
    <col min="51" max="53" width="10.140625" bestFit="1" customWidth="1"/>
  </cols>
  <sheetData>
    <row r="1" spans="2:37" ht="15.75" thickBot="1">
      <c r="G1" s="88">
        <v>1</v>
      </c>
      <c r="H1" s="88">
        <v>2</v>
      </c>
      <c r="I1" s="88">
        <v>3</v>
      </c>
      <c r="J1" s="88"/>
      <c r="K1" s="88"/>
      <c r="L1" s="88"/>
      <c r="M1" s="88">
        <v>1</v>
      </c>
      <c r="N1" s="88">
        <v>2</v>
      </c>
      <c r="O1" s="88">
        <v>3</v>
      </c>
      <c r="P1" s="88"/>
      <c r="AK1" s="90"/>
    </row>
    <row r="2" spans="2:37" ht="15.75" thickBot="1">
      <c r="B2" s="739" t="s">
        <v>107</v>
      </c>
      <c r="C2" s="725" t="s">
        <v>134</v>
      </c>
      <c r="D2" s="726"/>
      <c r="E2" s="473" t="s">
        <v>135</v>
      </c>
      <c r="F2" s="474"/>
      <c r="G2" s="474"/>
      <c r="H2" s="474"/>
      <c r="I2" s="474"/>
      <c r="J2" s="475"/>
      <c r="K2" s="473" t="s">
        <v>136</v>
      </c>
      <c r="L2" s="474"/>
      <c r="M2" s="474"/>
      <c r="N2" s="474"/>
      <c r="O2" s="474"/>
      <c r="P2" s="475"/>
      <c r="S2" s="733" t="s">
        <v>24</v>
      </c>
      <c r="T2" s="734"/>
      <c r="U2" s="734"/>
      <c r="V2" s="734"/>
      <c r="W2" s="734"/>
      <c r="X2" s="734"/>
      <c r="Y2" s="735"/>
      <c r="AG2" s="736" t="s">
        <v>359</v>
      </c>
      <c r="AH2" s="737"/>
      <c r="AI2" s="737"/>
      <c r="AJ2" s="738"/>
    </row>
    <row r="3" spans="2:37" ht="30.75" thickBot="1">
      <c r="B3" s="740"/>
      <c r="C3" s="78" t="s">
        <v>108</v>
      </c>
      <c r="D3" s="80" t="s">
        <v>109</v>
      </c>
      <c r="E3" s="78" t="s">
        <v>108</v>
      </c>
      <c r="F3" s="79" t="s">
        <v>109</v>
      </c>
      <c r="G3" s="79" t="s">
        <v>110</v>
      </c>
      <c r="H3" s="79" t="s">
        <v>111</v>
      </c>
      <c r="I3" s="80" t="s">
        <v>112</v>
      </c>
      <c r="J3" s="229" t="s">
        <v>478</v>
      </c>
      <c r="K3" s="78" t="s">
        <v>108</v>
      </c>
      <c r="L3" s="79" t="s">
        <v>109</v>
      </c>
      <c r="M3" s="79" t="s">
        <v>110</v>
      </c>
      <c r="N3" s="79" t="s">
        <v>111</v>
      </c>
      <c r="O3" s="80" t="s">
        <v>112</v>
      </c>
      <c r="P3" s="231" t="s">
        <v>478</v>
      </c>
      <c r="S3" s="723" t="s">
        <v>340</v>
      </c>
      <c r="T3" s="724"/>
      <c r="U3" s="724"/>
      <c r="V3" s="91" t="s">
        <v>149</v>
      </c>
      <c r="W3" s="92" t="s">
        <v>28</v>
      </c>
      <c r="X3" s="441" t="s">
        <v>746</v>
      </c>
      <c r="Y3" s="442" t="s">
        <v>360</v>
      </c>
      <c r="Z3" s="482">
        <v>8</v>
      </c>
      <c r="AB3" s="95" t="s">
        <v>45</v>
      </c>
      <c r="AC3" s="95" t="s">
        <v>107</v>
      </c>
      <c r="AD3" s="95" t="s">
        <v>98</v>
      </c>
      <c r="AE3" s="96" t="s">
        <v>362</v>
      </c>
      <c r="AF3" s="95" t="s">
        <v>141</v>
      </c>
      <c r="AG3" s="230" t="s">
        <v>142</v>
      </c>
      <c r="AH3" s="252" t="s">
        <v>149</v>
      </c>
      <c r="AI3" s="252" t="s">
        <v>746</v>
      </c>
      <c r="AJ3" s="259" t="s">
        <v>360</v>
      </c>
    </row>
    <row r="4" spans="2:37">
      <c r="B4" s="85" t="s">
        <v>114</v>
      </c>
      <c r="C4" s="97" cm="1">
        <f t="array" ref="C4">IFERROR(INDEX($AI$4:$AI$228,MATCH(LEFT($C$3,1)&amp;B4&amp;LEFT($C$2,1),$AB$4:$AB$228&amp;$AC$4:$AC$208&amp;$AE$4:$AE$228,0))," ")</f>
        <v>835.8</v>
      </c>
      <c r="D4" s="99" cm="1">
        <f t="array" ref="D4">IFERROR(INDEX($AI$4:$AI$228,MATCH(LEFT($D$3,1)&amp;B4&amp;LEFT($C$2,1),$AB$4:$AB$228&amp;$AC$4:$AC$228&amp;$AE$4:$AE$228,0))," ")</f>
        <v>842.44</v>
      </c>
      <c r="E4" s="97" t="str" cm="1">
        <f t="array" ref="E4">IFERROR(INDEX($AI$4:$AI$228,MATCH(LEFT($E$3,1)&amp;B4&amp;LEFT($E$2,1),$AB$4:$AB$228&amp;$AC$4:$AC$208&amp;$AE$4:$AE$228,0))," ")</f>
        <v xml:space="preserve"> </v>
      </c>
      <c r="F4" s="99" t="str" cm="1">
        <f t="array" ref="F4">IFERROR(INDEX($AI$4:$AI$228,MATCH(LEFT($F$3,1)&amp;B4&amp;LEFT($E$2,1),$AB$4:$AB$228&amp;$AC$4:$AC$228&amp;$AE$4:$AE$228,0))," ")</f>
        <v xml:space="preserve"> </v>
      </c>
      <c r="G4" s="99" t="str" cm="1">
        <f t="array" ref="G4">IFERROR(INDEX($AI$4:$AI$228,MATCH(LEFT($G$3,1)&amp;B4&amp;LEFT($E$2,1)&amp;$G$1,$AB$4:$AB$228&amp;$AC$4:$AC$228&amp;$AE$4:$AE$228&amp;$AF$4:$AF$228,0))," ")</f>
        <v xml:space="preserve"> </v>
      </c>
      <c r="H4" s="99" t="str" cm="1">
        <f t="array" ref="H4">IFERROR(INDEX($AI$4:$AI$228,MATCH(LEFT($H$3,1)&amp;B4&amp;LEFT($E$2,1)&amp;$H$1,$AB$4:$AB$228&amp;$AC$4:$AC$228&amp;$AE$4:$AE$228&amp;$AF$4:$AF$228,0))," ")</f>
        <v xml:space="preserve"> </v>
      </c>
      <c r="I4" s="99" t="str" cm="1">
        <f t="array" ref="I4">IFERROR(INDEX($AI$4:$AI$228,MATCH(LEFT($I$3,1)&amp;B4&amp;LEFT($E$2,1)&amp;$I$1,$AB$4:$AB$228&amp;$AC$4:$AC$228&amp;$AE$4:$AE$228&amp;$AF$4:$AF$228,0))," ")</f>
        <v xml:space="preserve"> </v>
      </c>
      <c r="J4" s="263" t="str" cm="1">
        <f t="array" ref="J4">IFERROR(INDEX($AI$4:$AI$228,MATCH(LEFT($J$3,1)&amp;B4&amp;LEFT($E$2,1),$AB$4:$AB$228&amp;$AC$4:$AC$228&amp;$AE$4:$AE$228,0))," ")</f>
        <v xml:space="preserve"> </v>
      </c>
      <c r="K4" s="97" t="str" cm="1">
        <f t="array" ref="K4">IFERROR(INDEX($AI$4:$AI$228,MATCH(LEFT($K$3,1)&amp;B4&amp;LEFT($K$2,2),$AB$4:$AB$228&amp;$AC$4:$AC$228&amp;$AE$4:$AE$228,0))," ")</f>
        <v xml:space="preserve"> </v>
      </c>
      <c r="L4" s="99" t="str" cm="1">
        <f t="array" ref="L4">IFERROR(INDEX($AI$4:$AI$228,MATCH(LEFT($L$3,1)&amp;B4&amp;LEFT($K$2,2),$AB$4:$AB$228&amp;$AC$4:$AC$228&amp;$AE$4:$AE$228,0))," ")</f>
        <v xml:space="preserve"> </v>
      </c>
      <c r="M4" s="99" t="str" cm="1">
        <f t="array" ref="M4">IFERROR(INDEX($AI$4:$AI$228,MATCH(LEFT($M$3,1)&amp;B4&amp;LEFT($K$2,2)&amp;$M$1,$AB$4:$AB$228&amp;$AC$4:$AC$228&amp;$AE$4:$AE$228&amp;$AF$4:$AF$228,0))," ")</f>
        <v xml:space="preserve"> </v>
      </c>
      <c r="N4" s="99" t="str" cm="1">
        <f t="array" ref="N4">IFERROR(INDEX($AI$4:$AI$228,MATCH(LEFT($N$3,1)&amp;B4&amp;LEFT($K$2,2)&amp;$N$1,$AB$4:$AB$228&amp;$AC$4:$AC$2028&amp;$AE$4:$AE$228&amp;$AF$4:$AF$228,0))," ")</f>
        <v xml:space="preserve"> </v>
      </c>
      <c r="O4" s="98" t="str" cm="1">
        <f t="array" ref="O4">IFERROR(INDEX($AI$4:$AI$228,MATCH(LEFT($O$3,1)&amp;B4&amp;LEFT($K$2,2)&amp;$O$1,$AB$4:$AB$228&amp;$AC$4:$AC$228&amp;$AE$4:$AE$228&amp;$AF$4:$AF$228,0))," ")</f>
        <v xml:space="preserve"> </v>
      </c>
      <c r="P4" s="261" t="str" cm="1">
        <f t="array" ref="P4">IFERROR(INDEX($AI$4:$AI$228,MATCH(LEFT($P$3,1)&amp;B4&amp;LEFT($K$2,2),$AB$4:$AB$228&amp;$AC$4:$AC$228&amp;$AE$4:$AE$228,0))," ")</f>
        <v xml:space="preserve"> </v>
      </c>
      <c r="S4" s="731" t="s">
        <v>104</v>
      </c>
      <c r="T4" s="732"/>
      <c r="U4" s="732"/>
      <c r="V4" s="100">
        <v>27.85</v>
      </c>
      <c r="W4" s="439" t="s">
        <v>31</v>
      </c>
      <c r="X4" s="477">
        <f>INDEX('Add Ons'!$L$4:$L$12,MATCH(S4,'Add Ons'!$B$4:$B$12,0))</f>
        <v>31.01</v>
      </c>
      <c r="Y4" s="102">
        <f t="shared" ref="Y4:Y9" si="0">(X4-V4)/V4</f>
        <v>0.11346499102333932</v>
      </c>
      <c r="Z4" s="443">
        <f>X4*$Z$3</f>
        <v>248.08</v>
      </c>
      <c r="AB4" s="103" t="str">
        <f>LEFT(AG4,1)</f>
        <v>B</v>
      </c>
      <c r="AC4" s="104" t="str">
        <f t="shared" ref="AC4:AC40" si="1">IF(AF4&lt;&gt;"",MID(AG4,2,4),MID(AG4,2,4))</f>
        <v>03.0</v>
      </c>
      <c r="AD4" s="104" t="str">
        <f t="shared" ref="AD4:AD40" si="2">IF(LEFT(AG4,1)="M",MID(AG4,6,1),RIGHT(AG4,1))</f>
        <v>A</v>
      </c>
      <c r="AE4" s="104">
        <f>IF(AD4="A",1,IF(AD4="B",2,IF(AD4="C","4+")))</f>
        <v>1</v>
      </c>
      <c r="AF4" s="105" t="str">
        <f>IF(LEFT(AG4,1)="M",RIGHT(AG4,1)," ")</f>
        <v xml:space="preserve"> </v>
      </c>
      <c r="AG4" s="106" t="s">
        <v>155</v>
      </c>
      <c r="AH4" s="256">
        <v>767.36</v>
      </c>
      <c r="AI4" s="83">
        <f>INDEX('Model Calculator'!$AM$2:$AM$226,MATCH(AG4,'Model Calculator'!$A$2:$A$226,0))</f>
        <v>835.8</v>
      </c>
      <c r="AJ4" s="102">
        <f>(AI4-AH4)/AH4</f>
        <v>8.9188907422852293E-2</v>
      </c>
    </row>
    <row r="5" spans="2:37">
      <c r="B5" s="81" t="s">
        <v>115</v>
      </c>
      <c r="C5" s="107" t="str" cm="1">
        <f t="array" ref="C5">IFERROR(INDEX($AI$4:$AI$228,MATCH(LEFT($C$3,1)&amp;B5&amp;LEFT($C$2,1),$AB$4:$AB$228&amp;$AC$4:$AC$208&amp;$AE$4:$AE$228,0))," ")</f>
        <v xml:space="preserve"> </v>
      </c>
      <c r="D5" s="109" cm="1">
        <f t="array" ref="D5">IFERROR(INDEX($AI$4:$AI$228,MATCH(LEFT($D$3,1)&amp;B5&amp;LEFT($C$2,1),$AB$4:$AB$228&amp;$AC$4:$AC$228&amp;$AE$4:$AE$228,0))," ")</f>
        <v>957.38</v>
      </c>
      <c r="E5" s="107" cm="1">
        <f t="array" ref="E5">IFERROR(INDEX($AI$4:$AI$228,MATCH(LEFT($E$3,1)&amp;B5&amp;LEFT($E$2,1),$AB$4:$AB$228&amp;$AC$4:$AC$208&amp;$AE$4:$AE$228,0))," ")</f>
        <v>1119.48</v>
      </c>
      <c r="F5" s="109" cm="1">
        <f t="array" ref="F5">IFERROR(INDEX($AI$4:$AI$228,MATCH(LEFT($F$3,1)&amp;B5&amp;LEFT($E$2,1),$AB$4:$AB$228&amp;$AC$4:$AC$228&amp;$AE$4:$AE$228,0))," ")</f>
        <v>1153.19</v>
      </c>
      <c r="G5" s="109" cm="1">
        <f t="array" ref="G5">IFERROR(INDEX($AI$4:$AI$228,MATCH(LEFT($G$3,1)&amp;B5&amp;LEFT($E$2,1)&amp;$G$1,$AB$4:$AB$228&amp;$AC$4:$AC$228&amp;$AE$4:$AE$228&amp;$AF$4:$AF$228,0))," ")</f>
        <v>1245.0899999999999</v>
      </c>
      <c r="H5" s="109" cm="1">
        <f t="array" ref="H5">IFERROR(INDEX($AI$4:$AI$228,MATCH(LEFT($H$3,1)&amp;B5&amp;LEFT($E$2,1)&amp;$H$1,$AB$4:$AB$228&amp;$AC$4:$AC$228&amp;$AE$4:$AE$228&amp;$AF$4:$AF$228,0))," ")</f>
        <v>1281.52</v>
      </c>
      <c r="I5" s="109" cm="1">
        <f t="array" ref="I5">IFERROR(INDEX($AI$4:$AI$228,MATCH(LEFT($I$3,1)&amp;B5&amp;LEFT($E$2,1)&amp;$I$1,$AB$4:$AB$228&amp;$AC$4:$AC$228&amp;$AE$4:$AE$228&amp;$AF$4:$AF$228,0))," ")</f>
        <v>1326.84</v>
      </c>
      <c r="J5" s="264" cm="1">
        <f t="array" ref="J5">IFERROR(INDEX($AI$4:$AI$228,MATCH(LEFT($J$3,1)&amp;B5&amp;LEFT($E$2,1),$AB$4:$AB$228&amp;$AC$4:$AC$228&amp;$AE$4:$AE$228,0))," ")</f>
        <v>1743.57</v>
      </c>
      <c r="K5" s="107" cm="1">
        <f t="array" ref="K5">IFERROR(INDEX($AI$4:$AI$228,MATCH(LEFT($K$3,1)&amp;B5&amp;LEFT($K$2,2),$AB$4:$AB$228&amp;$AC$4:$AC$228&amp;$AE$4:$AE$228,0))," ")</f>
        <v>1308.8399999999999</v>
      </c>
      <c r="L5" s="109" t="str" cm="1">
        <f t="array" ref="L5">IFERROR(INDEX($AI$4:$AI$228,MATCH(LEFT($L$3,1)&amp;B5&amp;LEFT($K$2,2),$AB$4:$AB$228&amp;$AC$4:$AC$228&amp;$AE$4:$AE$228,0))," ")</f>
        <v xml:space="preserve"> </v>
      </c>
      <c r="M5" s="109" t="str" cm="1">
        <f t="array" ref="M5">IFERROR(INDEX($AI$4:$AI$228,MATCH(LEFT($M$3,1)&amp;B5&amp;LEFT($K$2,2)&amp;$M$1,$AB$4:$AB$228&amp;$AC$4:$AC$228&amp;$AE$4:$AE$228&amp;$AF$4:$AF$228,0))," ")</f>
        <v xml:space="preserve"> </v>
      </c>
      <c r="N5" s="109" t="str" cm="1">
        <f t="array" ref="N5">IFERROR(INDEX($AI$4:$AI$228,MATCH(LEFT($N$3,1)&amp;B5&amp;LEFT($K$2,2)&amp;$N$1,$AB$4:$AB$228&amp;$AC$4:$AC$2028&amp;$AE$4:$AE$228&amp;$AF$4:$AF$228,0))," ")</f>
        <v xml:space="preserve"> </v>
      </c>
      <c r="O5" s="108" t="str" cm="1">
        <f t="array" ref="O5">IFERROR(INDEX($AI$4:$AI$228,MATCH(LEFT($O$3,1)&amp;B5&amp;LEFT($K$2,2)&amp;$O$1,$AB$4:$AB$228&amp;$AC$4:$AC$228&amp;$AE$4:$AE$228&amp;$AF$4:$AF$228,0))," ")</f>
        <v xml:space="preserve"> </v>
      </c>
      <c r="P5" s="260" t="str" cm="1">
        <f t="array" ref="P5">IFERROR(INDEX($AI$4:$AI$228,MATCH(LEFT($P$3,1)&amp;B5&amp;LEFT($K$2,2),$AB$4:$AB$228&amp;$AC$4:$AC$228&amp;$AE$4:$AE$228,0))," ")</f>
        <v xml:space="preserve"> </v>
      </c>
      <c r="S5" s="727" t="s">
        <v>105</v>
      </c>
      <c r="T5" s="728"/>
      <c r="U5" s="728"/>
      <c r="V5" s="100">
        <v>28.78</v>
      </c>
      <c r="W5" s="439" t="s">
        <v>31</v>
      </c>
      <c r="X5" s="478">
        <f>INDEX('Add Ons'!$L$4:$L$12,MATCH(S5,'Add Ons'!$B$4:$B$12,0))</f>
        <v>31.77</v>
      </c>
      <c r="Y5" s="110">
        <f t="shared" si="0"/>
        <v>0.10389159138290474</v>
      </c>
      <c r="Z5" s="444">
        <f t="shared" ref="Z5:Z9" si="3">X5*$Z$3</f>
        <v>254.16</v>
      </c>
      <c r="AB5" s="111" t="str">
        <f t="shared" ref="AB5:AB68" si="4">LEFT(AG5,1)</f>
        <v>I</v>
      </c>
      <c r="AC5" s="88" t="str">
        <f t="shared" si="1"/>
        <v>03.0</v>
      </c>
      <c r="AD5" s="88" t="str">
        <f t="shared" si="2"/>
        <v>A</v>
      </c>
      <c r="AE5" s="88">
        <f t="shared" ref="AE5:AE68" si="5">IF(AD5="A",1,IF(AD5="B",2,IF(AD5="C","4+")))</f>
        <v>1</v>
      </c>
      <c r="AF5" s="112" t="str">
        <f t="shared" ref="AF5:AF68" si="6">IF(LEFT(AG5,1)="M",RIGHT(AG5,1)," ")</f>
        <v xml:space="preserve"> </v>
      </c>
      <c r="AG5" s="106" t="s">
        <v>156</v>
      </c>
      <c r="AH5" s="257">
        <v>775.51</v>
      </c>
      <c r="AI5" s="82">
        <f>INDEX('Model Calculator'!$AM$2:$AM$226,MATCH(AG5,'Model Calculator'!$A$2:$A$226,0))</f>
        <v>842.44</v>
      </c>
      <c r="AJ5" s="110">
        <f t="shared" ref="AJ5:AJ68" si="7">(AI5-AH5)/AH5</f>
        <v>8.6304496395920194E-2</v>
      </c>
    </row>
    <row r="6" spans="2:37">
      <c r="B6" s="81" t="s">
        <v>116</v>
      </c>
      <c r="C6" s="107" t="str" cm="1">
        <f t="array" ref="C6">IFERROR(INDEX($AI$4:$AI$228,MATCH(LEFT($C$3,1)&amp;B6&amp;LEFT($C$2,1),$AB$4:$AB$228&amp;$AC$4:$AC$208&amp;$AE$4:$AE$228,0))," ")</f>
        <v xml:space="preserve"> </v>
      </c>
      <c r="D6" s="109" cm="1">
        <f t="array" ref="D6">IFERROR(INDEX($AI$4:$AI$228,MATCH(LEFT($D$3,1)&amp;B6&amp;LEFT($C$2,1),$AB$4:$AB$228&amp;$AC$4:$AC$228&amp;$AE$4:$AE$228,0))," ")</f>
        <v>1072.32</v>
      </c>
      <c r="E6" s="107" cm="1">
        <f t="array" ref="E6">IFERROR(INDEX($AI$4:$AI$228,MATCH(LEFT($E$3,1)&amp;B6&amp;LEFT($E$2,1),$AB$4:$AB$228&amp;$AC$4:$AC$208&amp;$AE$4:$AE$228,0))," ")</f>
        <v>1232.3499999999999</v>
      </c>
      <c r="F6" s="109" cm="1">
        <f t="array" ref="F6">IFERROR(INDEX($AI$4:$AI$228,MATCH(LEFT($F$3,1)&amp;B6&amp;LEFT($E$2,1),$AB$4:$AB$228&amp;$AC$4:$AC$228&amp;$AE$4:$AE$228,0))," ")</f>
        <v>1268.1300000000001</v>
      </c>
      <c r="G6" s="109" cm="1">
        <f t="array" ref="G6">IFERROR(INDEX($AI$4:$AI$228,MATCH(LEFT($G$3,1)&amp;B6&amp;LEFT($E$2,1)&amp;$G$1,$AB$4:$AB$228&amp;$AC$4:$AC$228&amp;$AE$4:$AE$228&amp;$AF$4:$AF$228,0))," ")</f>
        <v>1381.87</v>
      </c>
      <c r="H6" s="109" cm="1">
        <f t="array" ref="H6">IFERROR(INDEX($AI$4:$AI$228,MATCH(LEFT($H$3,1)&amp;B6&amp;LEFT($E$2,1)&amp;$H$1,$AB$4:$AB$228&amp;$AC$4:$AC$228&amp;$AE$4:$AE$228&amp;$AF$4:$AF$228,0))," ")</f>
        <v>1426.97</v>
      </c>
      <c r="I6" s="109" cm="1">
        <f t="array" ref="I6">IFERROR(INDEX($AI$4:$AI$228,MATCH(LEFT($I$3,1)&amp;B6&amp;LEFT($E$2,1)&amp;$I$1,$AB$4:$AB$228&amp;$AC$4:$AC$228&amp;$AE$4:$AE$228&amp;$AF$4:$AF$228,0))," ")</f>
        <v>1483.05</v>
      </c>
      <c r="J6" s="264" cm="1">
        <f t="array" ref="J6">IFERROR(INDEX($AI$4:$AI$228,MATCH(LEFT($J$3,1)&amp;B6&amp;LEFT($E$2,1),$AB$4:$AB$228&amp;$AC$4:$AC$228&amp;$AE$4:$AE$228,0))," ")</f>
        <v>1903.1</v>
      </c>
      <c r="K6" s="107" cm="1">
        <f t="array" ref="K6">IFERROR(INDEX($AI$4:$AI$228,MATCH(LEFT($K$3,1)&amp;B6&amp;LEFT($K$2,2),$AB$4:$AB$228&amp;$AC$4:$AC$228&amp;$AE$4:$AE$228,0))," ")</f>
        <v>1421.71</v>
      </c>
      <c r="L6" s="109" cm="1">
        <f t="array" ref="L6">IFERROR(INDEX($AI$4:$AI$228,MATCH(LEFT($L$3,1)&amp;B6&amp;LEFT($K$2,2),$AB$4:$AB$228&amp;$AC$4:$AC$228&amp;$AE$4:$AE$228,0))," ")</f>
        <v>1470.53</v>
      </c>
      <c r="M6" s="109" t="str" cm="1">
        <f t="array" ref="M6">IFERROR(INDEX($AI$4:$AI$228,MATCH(LEFT($M$3,1)&amp;B6&amp;LEFT($K$2,2)&amp;$M$1,$AB$4:$AB$228&amp;$AC$4:$AC$228&amp;$AE$4:$AE$228&amp;$AF$4:$AF$228,0))," ")</f>
        <v xml:space="preserve"> </v>
      </c>
      <c r="N6" s="109" t="str" cm="1">
        <f t="array" ref="N6">IFERROR(INDEX($AI$4:$AI$228,MATCH(LEFT($N$3,1)&amp;B6&amp;LEFT($K$2,2)&amp;$N$1,$AB$4:$AB$228&amp;$AC$4:$AC$2028&amp;$AE$4:$AE$228&amp;$AF$4:$AF$228,0))," ")</f>
        <v xml:space="preserve"> </v>
      </c>
      <c r="O6" s="108" t="str" cm="1">
        <f t="array" ref="O6">IFERROR(INDEX($AI$4:$AI$228,MATCH(LEFT($O$3,1)&amp;B6&amp;LEFT($K$2,2)&amp;$O$1,$AB$4:$AB$228&amp;$AC$4:$AC$228&amp;$AE$4:$AE$228&amp;$AF$4:$AF$228,0))," ")</f>
        <v xml:space="preserve"> </v>
      </c>
      <c r="P6" s="260" t="str" cm="1">
        <f t="array" ref="P6">IFERROR(INDEX($AI$4:$AI$228,MATCH(LEFT($P$3,1)&amp;B6&amp;LEFT($K$2,2),$AB$4:$AB$228&amp;$AC$4:$AC$228&amp;$AE$4:$AE$228,0))," ")</f>
        <v xml:space="preserve"> </v>
      </c>
      <c r="S6" s="727" t="s">
        <v>19</v>
      </c>
      <c r="T6" s="728"/>
      <c r="U6" s="728"/>
      <c r="V6" s="100">
        <v>48.76</v>
      </c>
      <c r="W6" s="439" t="s">
        <v>31</v>
      </c>
      <c r="X6" s="478">
        <f>INDEX('Add Ons'!$L$4:$L$12,MATCH(S6,'Add Ons'!$B$4:$B$12,0))</f>
        <v>56.64</v>
      </c>
      <c r="Y6" s="110">
        <f t="shared" si="0"/>
        <v>0.16160787530762927</v>
      </c>
      <c r="Z6" s="444">
        <f t="shared" si="3"/>
        <v>453.12</v>
      </c>
      <c r="AB6" s="111" t="str">
        <f t="shared" si="4"/>
        <v>I</v>
      </c>
      <c r="AC6" s="88" t="str">
        <f t="shared" si="1"/>
        <v>03.5</v>
      </c>
      <c r="AD6" s="88" t="str">
        <f t="shared" si="2"/>
        <v>A</v>
      </c>
      <c r="AE6" s="88">
        <f t="shared" si="5"/>
        <v>1</v>
      </c>
      <c r="AF6" s="112" t="str">
        <f t="shared" si="6"/>
        <v xml:space="preserve"> </v>
      </c>
      <c r="AG6" s="106" t="s">
        <v>157</v>
      </c>
      <c r="AH6" s="257">
        <v>879.82</v>
      </c>
      <c r="AI6" s="82">
        <f>INDEX('Model Calculator'!$AM$2:$AM$226,MATCH(AG6,'Model Calculator'!$A$2:$A$226,0))</f>
        <v>957.38</v>
      </c>
      <c r="AJ6" s="110">
        <f t="shared" si="7"/>
        <v>8.8154395217203446E-2</v>
      </c>
    </row>
    <row r="7" spans="2:37">
      <c r="B7" s="81" t="s">
        <v>117</v>
      </c>
      <c r="C7" s="107" t="str" cm="1">
        <f t="array" ref="C7">IFERROR(INDEX($AI$4:$AI$228,MATCH(LEFT($C$3,1)&amp;B7&amp;LEFT($C$2,1),$AB$4:$AB$228&amp;$AC$4:$AC$208&amp;$AE$4:$AE$228,0))," ")</f>
        <v xml:space="preserve"> </v>
      </c>
      <c r="D7" s="109" cm="1">
        <f t="array" ref="D7">IFERROR(INDEX($AI$4:$AI$228,MATCH(LEFT($D$3,1)&amp;B7&amp;LEFT($C$2,1),$AB$4:$AB$228&amp;$AC$4:$AC$228&amp;$AE$4:$AE$228,0))," ")</f>
        <v>1187.26</v>
      </c>
      <c r="E7" s="107" cm="1">
        <f t="array" ref="E7">IFERROR(INDEX($AI$4:$AI$228,MATCH(LEFT($E$3,1)&amp;B7&amp;LEFT($E$2,1),$AB$4:$AB$228&amp;$AC$4:$AC$208&amp;$AE$4:$AE$228,0))," ")</f>
        <v>1345.22</v>
      </c>
      <c r="F7" s="109" cm="1">
        <f t="array" ref="F7">IFERROR(INDEX($AI$4:$AI$228,MATCH(LEFT($F$3,1)&amp;B7&amp;LEFT($E$2,1),$AB$4:$AB$228&amp;$AC$4:$AC$228&amp;$AE$4:$AE$228,0))," ")</f>
        <v>1383.07</v>
      </c>
      <c r="G7" s="109" cm="1">
        <f t="array" ref="G7">IFERROR(INDEX($AI$4:$AI$228,MATCH(LEFT($G$3,1)&amp;B7&amp;LEFT($E$2,1)&amp;$G$1,$AB$4:$AB$228&amp;$AC$4:$AC$228&amp;$AE$4:$AE$228&amp;$AF$4:$AF$228,0))," ")</f>
        <v>1518.66</v>
      </c>
      <c r="H7" s="109" cm="1">
        <f t="array" ref="H7">IFERROR(INDEX($AI$4:$AI$228,MATCH(LEFT($H$3,1)&amp;B7&amp;LEFT($E$2,1)&amp;$H$1,$AB$4:$AB$228&amp;$AC$4:$AC$228&amp;$AE$4:$AE$228&amp;$AF$4:$AF$228,0))," ")</f>
        <v>1572.42</v>
      </c>
      <c r="I7" s="109" cm="1">
        <f t="array" ref="I7">IFERROR(INDEX($AI$4:$AI$228,MATCH(LEFT($I$3,1)&amp;B7&amp;LEFT($E$2,1)&amp;$I$1,$AB$4:$AB$228&amp;$AC$4:$AC$228&amp;$AE$4:$AE$228&amp;$AF$4:$AF$228,0))," ")</f>
        <v>1639.27</v>
      </c>
      <c r="J7" s="264" cm="1">
        <f t="array" ref="J7">IFERROR(INDEX($AI$4:$AI$228,MATCH(LEFT($J$3,1)&amp;B7&amp;LEFT($E$2,1),$AB$4:$AB$228&amp;$AC$4:$AC$228&amp;$AE$4:$AE$228,0))," ")</f>
        <v>2059.98</v>
      </c>
      <c r="K7" s="107" cm="1">
        <f t="array" ref="K7">IFERROR(INDEX($AI$4:$AI$228,MATCH(LEFT($K$3,1)&amp;B7&amp;LEFT($K$2,2),$AB$4:$AB$228&amp;$AC$4:$AC$228&amp;$AE$4:$AE$228,0))," ")</f>
        <v>1534.58</v>
      </c>
      <c r="L7" s="109" cm="1">
        <f t="array" ref="L7">IFERROR(INDEX($AI$4:$AI$228,MATCH(LEFT($L$3,1)&amp;B7&amp;LEFT($K$2,2),$AB$4:$AB$228&amp;$AC$4:$AC$228&amp;$AE$4:$AE$228,0))," ")</f>
        <v>1585.47</v>
      </c>
      <c r="M7" s="109" t="str" cm="1">
        <f t="array" ref="M7">IFERROR(INDEX($AI$4:$AI$228,MATCH(LEFT($M$3,1)&amp;B7&amp;LEFT($K$2,2)&amp;$M$1,$AB$4:$AB$228&amp;$AC$4:$AC$228&amp;$AE$4:$AE$228&amp;$AF$4:$AF$228,0))," ")</f>
        <v xml:space="preserve"> </v>
      </c>
      <c r="N7" s="109" t="str" cm="1">
        <f t="array" ref="N7">IFERROR(INDEX($AI$4:$AI$228,MATCH(LEFT($N$3,1)&amp;B7&amp;LEFT($K$2,2)&amp;$N$1,$AB$4:$AB$228&amp;$AC$4:$AC$2028&amp;$AE$4:$AE$228&amp;$AF$4:$AF$228,0))," ")</f>
        <v xml:space="preserve"> </v>
      </c>
      <c r="O7" s="108" t="str" cm="1">
        <f t="array" ref="O7">IFERROR(INDEX($AI$4:$AI$228,MATCH(LEFT($O$3,1)&amp;B7&amp;LEFT($K$2,2)&amp;$O$1,$AB$4:$AB$228&amp;$AC$4:$AC$228&amp;$AE$4:$AE$228&amp;$AF$4:$AF$228,0))," ")</f>
        <v xml:space="preserve"> </v>
      </c>
      <c r="P7" s="260" t="str" cm="1">
        <f t="array" ref="P7">IFERROR(INDEX($AI$4:$AI$228,MATCH(LEFT($P$3,1)&amp;B7&amp;LEFT($K$2,2),$AB$4:$AB$228&amp;$AC$4:$AC$228&amp;$AE$4:$AE$228,0))," ")</f>
        <v xml:space="preserve"> </v>
      </c>
      <c r="S7" s="727" t="s">
        <v>20</v>
      </c>
      <c r="T7" s="728"/>
      <c r="U7" s="728"/>
      <c r="V7" s="100">
        <v>75.92</v>
      </c>
      <c r="W7" s="439" t="s">
        <v>31</v>
      </c>
      <c r="X7" s="478">
        <f>INDEX('Add Ons'!$L$4:$L$12,MATCH(S7,'Add Ons'!$B$4:$B$12,0))</f>
        <v>77.66</v>
      </c>
      <c r="Y7" s="110">
        <f t="shared" si="0"/>
        <v>2.2918861959957782E-2</v>
      </c>
      <c r="Z7" s="444">
        <f t="shared" si="3"/>
        <v>621.28</v>
      </c>
      <c r="AB7" s="111" t="str">
        <f t="shared" si="4"/>
        <v>I</v>
      </c>
      <c r="AC7" s="88" t="str">
        <f t="shared" si="1"/>
        <v>04.0</v>
      </c>
      <c r="AD7" s="88" t="str">
        <f t="shared" si="2"/>
        <v>A</v>
      </c>
      <c r="AE7" s="88">
        <f t="shared" si="5"/>
        <v>1</v>
      </c>
      <c r="AF7" s="112" t="str">
        <f t="shared" si="6"/>
        <v xml:space="preserve"> </v>
      </c>
      <c r="AG7" s="106" t="s">
        <v>158</v>
      </c>
      <c r="AH7" s="257">
        <v>984.13</v>
      </c>
      <c r="AI7" s="82">
        <f>INDEX('Model Calculator'!$AM$2:$AM$226,MATCH(AG7,'Model Calculator'!$A$2:$A$226,0))</f>
        <v>1072.32</v>
      </c>
      <c r="AJ7" s="110">
        <f t="shared" si="7"/>
        <v>8.9612144736975749E-2</v>
      </c>
    </row>
    <row r="8" spans="2:37">
      <c r="B8" s="81" t="s">
        <v>118</v>
      </c>
      <c r="C8" s="107" t="str" cm="1">
        <f t="array" ref="C8">IFERROR(INDEX($AI$4:$AI$228,MATCH(LEFT($C$3,1)&amp;B8&amp;LEFT($C$2,1),$AB$4:$AB$228&amp;$AC$4:$AC$208&amp;$AE$4:$AE$228,0))," ")</f>
        <v xml:space="preserve"> </v>
      </c>
      <c r="D8" s="109" cm="1">
        <f t="array" ref="D8">IFERROR(INDEX($AI$4:$AI$228,MATCH(LEFT($D$3,1)&amp;B8&amp;LEFT($C$2,1),$AB$4:$AB$228&amp;$AC$4:$AC$228&amp;$AE$4:$AE$228,0))," ")</f>
        <v>1302.2</v>
      </c>
      <c r="E8" s="107" cm="1">
        <f t="array" ref="E8">IFERROR(INDEX($AI$4:$AI$228,MATCH(LEFT($E$3,1)&amp;B8&amp;LEFT($E$2,1),$AB$4:$AB$228&amp;$AC$4:$AC$208&amp;$AE$4:$AE$228,0))," ")</f>
        <v>1458.09</v>
      </c>
      <c r="F8" s="109" cm="1">
        <f t="array" ref="F8">IFERROR(INDEX($AI$4:$AI$228,MATCH(LEFT($F$3,1)&amp;B8&amp;LEFT($E$2,1),$AB$4:$AB$228&amp;$AC$4:$AC$228&amp;$AE$4:$AE$228,0))," ")</f>
        <v>1498.01</v>
      </c>
      <c r="G8" s="109" cm="1">
        <f t="array" ref="G8">IFERROR(INDEX($AI$4:$AI$228,MATCH(LEFT($G$3,1)&amp;B8&amp;LEFT($E$2,1)&amp;$G$1,$AB$4:$AB$228&amp;$AC$4:$AC$228&amp;$AE$4:$AE$228&amp;$AF$4:$AF$228,0))," ")</f>
        <v>1655.44</v>
      </c>
      <c r="H8" s="109" cm="1">
        <f t="array" ref="H8">IFERROR(INDEX($AI$4:$AI$228,MATCH(LEFT($H$3,1)&amp;B8&amp;LEFT($E$2,1)&amp;$H$1,$AB$4:$AB$228&amp;$AC$4:$AC$228&amp;$AE$4:$AE$228&amp;$AF$4:$AF$228,0))," ")</f>
        <v>1717.86</v>
      </c>
      <c r="I8" s="109" cm="1">
        <f t="array" ref="I8">IFERROR(INDEX($AI$4:$AI$228,MATCH(LEFT($I$3,1)&amp;B8&amp;LEFT($E$2,1)&amp;$I$1,$AB$4:$AB$228&amp;$AC$4:$AC$228&amp;$AE$4:$AE$228&amp;$AF$4:$AF$228,0))," ")</f>
        <v>1795.49</v>
      </c>
      <c r="J8" s="264" cm="1">
        <f t="array" ref="J8">IFERROR(INDEX($AI$4:$AI$228,MATCH(LEFT($J$3,1)&amp;B8&amp;LEFT($E$2,1),$AB$4:$AB$228&amp;$AC$4:$AC$228&amp;$AE$4:$AE$228,0))," ")</f>
        <v>2219.5100000000002</v>
      </c>
      <c r="K8" s="107" cm="1">
        <f t="array" ref="K8">IFERROR(INDEX($AI$4:$AI$228,MATCH(LEFT($K$3,1)&amp;B8&amp;LEFT($K$2,2),$AB$4:$AB$228&amp;$AC$4:$AC$228&amp;$AE$4:$AE$228,0))," ")</f>
        <v>1647.45</v>
      </c>
      <c r="L8" s="109" cm="1">
        <f t="array" ref="L8">IFERROR(INDEX($AI$4:$AI$228,MATCH(LEFT($L$3,1)&amp;B8&amp;LEFT($K$2,2),$AB$4:$AB$228&amp;$AC$4:$AC$228&amp;$AE$4:$AE$228,0))," ")</f>
        <v>1700.41</v>
      </c>
      <c r="M8" s="109" t="str" cm="1">
        <f t="array" ref="M8">IFERROR(INDEX($AI$4:$AI$228,MATCH(LEFT($M$3,1)&amp;B8&amp;LEFT($K$2,2)&amp;$M$1,$AB$4:$AB$228&amp;$AC$4:$AC$228&amp;$AE$4:$AE$228&amp;$AF$4:$AF$228,0))," ")</f>
        <v xml:space="preserve"> </v>
      </c>
      <c r="N8" s="109" t="str" cm="1">
        <f t="array" ref="N8">IFERROR(INDEX($AI$4:$AI$228,MATCH(LEFT($N$3,1)&amp;B8&amp;LEFT($K$2,2)&amp;$N$1,$AB$4:$AB$228&amp;$AC$4:$AC$2028&amp;$AE$4:$AE$228&amp;$AF$4:$AF$228,0))," ")</f>
        <v xml:space="preserve"> </v>
      </c>
      <c r="O8" s="108" t="str" cm="1">
        <f t="array" ref="O8">IFERROR(INDEX($AI$4:$AI$228,MATCH(LEFT($O$3,1)&amp;B8&amp;LEFT($K$2,2)&amp;$O$1,$AB$4:$AB$228&amp;$AC$4:$AC$228&amp;$AE$4:$AE$228&amp;$AF$4:$AF$228,0))," ")</f>
        <v xml:space="preserve"> </v>
      </c>
      <c r="P8" s="260" t="str" cm="1">
        <f t="array" ref="P8">IFERROR(INDEX($AI$4:$AI$228,MATCH(LEFT($P$3,1)&amp;B8&amp;LEFT($K$2,2),$AB$4:$AB$228&amp;$AC$4:$AC$228&amp;$AE$4:$AE$228,0))," ")</f>
        <v xml:space="preserve"> </v>
      </c>
      <c r="S8" s="727" t="s">
        <v>147</v>
      </c>
      <c r="T8" s="728"/>
      <c r="U8" s="728"/>
      <c r="V8" s="100">
        <v>56.45</v>
      </c>
      <c r="W8" s="439" t="s">
        <v>31</v>
      </c>
      <c r="X8" s="478">
        <f>INDEX('Add Ons'!$L$4:$L$12,MATCH(S8,'Add Ons'!$B$4:$B$12,0))</f>
        <v>74.48</v>
      </c>
      <c r="Y8" s="110">
        <f t="shared" si="0"/>
        <v>0.31939769707705934</v>
      </c>
      <c r="Z8" s="444">
        <f t="shared" si="3"/>
        <v>595.84</v>
      </c>
      <c r="AB8" s="111" t="str">
        <f t="shared" si="4"/>
        <v>I</v>
      </c>
      <c r="AC8" s="88" t="str">
        <f t="shared" si="1"/>
        <v>04.5</v>
      </c>
      <c r="AD8" s="88" t="str">
        <f t="shared" si="2"/>
        <v>A</v>
      </c>
      <c r="AE8" s="88">
        <f t="shared" si="5"/>
        <v>1</v>
      </c>
      <c r="AF8" s="112" t="str">
        <f t="shared" si="6"/>
        <v xml:space="preserve"> </v>
      </c>
      <c r="AG8" s="106" t="s">
        <v>159</v>
      </c>
      <c r="AH8" s="257">
        <v>1088.44</v>
      </c>
      <c r="AI8" s="82">
        <f>INDEX('Model Calculator'!$AM$2:$AM$226,MATCH(AG8,'Model Calculator'!$A$2:$A$226,0))</f>
        <v>1187.26</v>
      </c>
      <c r="AJ8" s="110">
        <f t="shared" si="7"/>
        <v>9.0790489140421093E-2</v>
      </c>
    </row>
    <row r="9" spans="2:37" ht="15.75" thickBot="1">
      <c r="B9" s="81" t="s">
        <v>119</v>
      </c>
      <c r="C9" s="107" t="str" cm="1">
        <f t="array" ref="C9">IFERROR(INDEX($AI$4:$AI$228,MATCH(LEFT($C$3,1)&amp;B9&amp;LEFT($C$2,1),$AB$4:$AB$228&amp;$AC$4:$AC$208&amp;$AE$4:$AE$228,0))," ")</f>
        <v xml:space="preserve"> </v>
      </c>
      <c r="D9" s="109" cm="1">
        <f t="array" ref="D9">IFERROR(INDEX($AI$4:$AI$228,MATCH(LEFT($D$3,1)&amp;B9&amp;LEFT($C$2,1),$AB$4:$AB$228&amp;$AC$4:$AC$228&amp;$AE$4:$AE$228,0))," ")</f>
        <v>1417.14</v>
      </c>
      <c r="E9" s="107" cm="1">
        <f t="array" ref="E9">IFERROR(INDEX($AI$4:$AI$228,MATCH(LEFT($E$3,1)&amp;B9&amp;LEFT($E$2,1),$AB$4:$AB$228&amp;$AC$4:$AC$208&amp;$AE$4:$AE$228,0))," ")</f>
        <v>1570.96</v>
      </c>
      <c r="F9" s="109" cm="1">
        <f t="array" ref="F9">IFERROR(INDEX($AI$4:$AI$228,MATCH(LEFT($F$3,1)&amp;B9&amp;LEFT($E$2,1),$AB$4:$AB$228&amp;$AC$4:$AC$228&amp;$AE$4:$AE$228,0))," ")</f>
        <v>1612.95</v>
      </c>
      <c r="G9" s="109" cm="1">
        <f t="array" ref="G9">IFERROR(INDEX($AI$4:$AI$228,MATCH(LEFT($G$3,1)&amp;B9&amp;LEFT($E$2,1)&amp;$G$1,$AB$4:$AB$228&amp;$AC$4:$AC$228&amp;$AE$4:$AE$228&amp;$AF$4:$AF$228,0))," ")</f>
        <v>1792.23</v>
      </c>
      <c r="H9" s="109" cm="1">
        <f t="array" ref="H9">IFERROR(INDEX($AI$4:$AI$228,MATCH(LEFT($H$3,1)&amp;B9&amp;LEFT($E$2,1)&amp;$H$1,$AB$4:$AB$228&amp;$AC$4:$AC$228&amp;$AE$4:$AE$228&amp;$AF$4:$AF$228,0))," ")</f>
        <v>1863.31</v>
      </c>
      <c r="I9" s="109" cm="1">
        <f t="array" ref="I9">IFERROR(INDEX($AI$4:$AI$228,MATCH(LEFT($I$3,1)&amp;B9&amp;LEFT($E$2,1)&amp;$I$1,$AB$4:$AB$228&amp;$AC$4:$AC$228&amp;$AE$4:$AE$228&amp;$AF$4:$AF$228,0))," ")</f>
        <v>1951.7</v>
      </c>
      <c r="J9" s="264" cm="1">
        <f t="array" ref="J9">IFERROR(INDEX($AI$4:$AI$228,MATCH(LEFT($J$3,1)&amp;B9&amp;LEFT($E$2,1),$AB$4:$AB$228&amp;$AC$4:$AC$228&amp;$AE$4:$AE$228,0))," ")</f>
        <v>2376.38</v>
      </c>
      <c r="K9" s="107" cm="1">
        <f t="array" ref="K9">IFERROR(INDEX($AI$4:$AI$228,MATCH(LEFT($K$3,1)&amp;B9&amp;LEFT($K$2,2),$AB$4:$AB$228&amp;$AC$4:$AC$228&amp;$AE$4:$AE$228,0))," ")</f>
        <v>1760.32</v>
      </c>
      <c r="L9" s="109" cm="1">
        <f t="array" ref="L9">IFERROR(INDEX($AI$4:$AI$228,MATCH(LEFT($L$3,1)&amp;B9&amp;LEFT($K$2,2),$AB$4:$AB$228&amp;$AC$4:$AC$228&amp;$AE$4:$AE$228,0))," ")</f>
        <v>1815.35</v>
      </c>
      <c r="M9" s="109" t="str" cm="1">
        <f t="array" ref="M9">IFERROR(INDEX($AI$4:$AI$228,MATCH(LEFT($M$3,1)&amp;B9&amp;LEFT($K$2,2)&amp;$M$1,$AB$4:$AB$228&amp;$AC$4:$AC$228&amp;$AE$4:$AE$228&amp;$AF$4:$AF$228,0))," ")</f>
        <v xml:space="preserve"> </v>
      </c>
      <c r="N9" s="109" t="str" cm="1">
        <f t="array" ref="N9">IFERROR(INDEX($AI$4:$AI$228,MATCH(LEFT($N$3,1)&amp;B9&amp;LEFT($K$2,2)&amp;$N$1,$AB$4:$AB$228&amp;$AC$4:$AC$2028&amp;$AE$4:$AE$228&amp;$AF$4:$AF$228,0))," ")</f>
        <v xml:space="preserve"> </v>
      </c>
      <c r="O9" s="108" t="str" cm="1">
        <f t="array" ref="O9">IFERROR(INDEX($AI$4:$AI$228,MATCH(LEFT($O$3,1)&amp;B9&amp;LEFT($K$2,2)&amp;$O$1,$AB$4:$AB$228&amp;$AC$4:$AC$228&amp;$AE$4:$AE$228&amp;$AF$4:$AF$228,0))," ")</f>
        <v xml:space="preserve"> </v>
      </c>
      <c r="P9" s="260" t="str" cm="1">
        <f t="array" ref="P9">IFERROR(INDEX($AI$4:$AI$228,MATCH(LEFT($P$3,1)&amp;B9&amp;LEFT($K$2,2),$AB$4:$AB$228&amp;$AC$4:$AC$228&amp;$AE$4:$AE$228,0))," ")</f>
        <v xml:space="preserve"> </v>
      </c>
      <c r="S9" s="729" t="s">
        <v>140</v>
      </c>
      <c r="T9" s="730"/>
      <c r="U9" s="730"/>
      <c r="V9" s="114">
        <v>145.05000000000001</v>
      </c>
      <c r="W9" s="440" t="s">
        <v>31</v>
      </c>
      <c r="X9" s="479">
        <f>INDEX('Add Ons'!$L$4:$L$12,MATCH(S9,'Add Ons'!$B$4:$B$12,0))</f>
        <v>197.71</v>
      </c>
      <c r="Y9" s="116">
        <f t="shared" si="0"/>
        <v>0.36304722509479487</v>
      </c>
      <c r="Z9" s="445">
        <f t="shared" si="3"/>
        <v>1581.68</v>
      </c>
      <c r="AB9" s="111" t="str">
        <f t="shared" si="4"/>
        <v>I</v>
      </c>
      <c r="AC9" s="88" t="str">
        <f t="shared" si="1"/>
        <v>05.0</v>
      </c>
      <c r="AD9" s="88" t="str">
        <f t="shared" si="2"/>
        <v>A</v>
      </c>
      <c r="AE9" s="88">
        <f t="shared" si="5"/>
        <v>1</v>
      </c>
      <c r="AF9" s="112" t="str">
        <f t="shared" si="6"/>
        <v xml:space="preserve"> </v>
      </c>
      <c r="AG9" s="106" t="s">
        <v>160</v>
      </c>
      <c r="AH9" s="257">
        <v>1192.75</v>
      </c>
      <c r="AI9" s="82">
        <f>INDEX('Model Calculator'!$AM$2:$AM$226,MATCH(AG9,'Model Calculator'!$A$2:$A$226,0))</f>
        <v>1302.2</v>
      </c>
      <c r="AJ9" s="110">
        <f t="shared" si="7"/>
        <v>9.1762733179626951E-2</v>
      </c>
    </row>
    <row r="10" spans="2:37">
      <c r="B10" s="81" t="s">
        <v>120</v>
      </c>
      <c r="C10" s="107" t="str" cm="1">
        <f t="array" ref="C10">IFERROR(INDEX($AI$4:$AI$228,MATCH(LEFT($C$3,1)&amp;B10&amp;LEFT($C$2,1),$AB$4:$AB$228&amp;$AC$4:$AC$208&amp;$AE$4:$AE$228,0))," ")</f>
        <v xml:space="preserve"> </v>
      </c>
      <c r="D10" s="109" cm="1">
        <f t="array" ref="D10">IFERROR(INDEX($AI$4:$AI$228,MATCH(LEFT($D$3,1)&amp;B10&amp;LEFT($C$2,1),$AB$4:$AB$228&amp;$AC$4:$AC$228&amp;$AE$4:$AE$228,0))," ")</f>
        <v>1534.06</v>
      </c>
      <c r="E10" s="107" cm="1">
        <f t="array" ref="E10">IFERROR(INDEX($AI$4:$AI$228,MATCH(LEFT($E$3,1)&amp;B10&amp;LEFT($E$2,1),$AB$4:$AB$228&amp;$AC$4:$AC$208&amp;$AE$4:$AE$228,0))," ")</f>
        <v>1685.78</v>
      </c>
      <c r="F10" s="109" cm="1">
        <f t="array" ref="F10">IFERROR(INDEX($AI$4:$AI$228,MATCH(LEFT($F$3,1)&amp;B10&amp;LEFT($E$2,1),$AB$4:$AB$228&amp;$AC$4:$AC$228&amp;$AE$4:$AE$228,0))," ")</f>
        <v>1729.88</v>
      </c>
      <c r="G10" s="109" cm="1">
        <f t="array" ref="G10">IFERROR(INDEX($AI$4:$AI$228,MATCH(LEFT($G$3,1)&amp;B10&amp;LEFT($E$2,1)&amp;$G$1,$AB$4:$AB$228&amp;$AC$4:$AC$228&amp;$AE$4:$AE$228&amp;$AF$4:$AF$228,0))," ")</f>
        <v>1931.37</v>
      </c>
      <c r="H10" s="109" cm="1">
        <f t="array" ref="H10">IFERROR(INDEX($AI$4:$AI$228,MATCH(LEFT($H$3,1)&amp;B10&amp;LEFT($E$2,1)&amp;$H$1,$AB$4:$AB$228&amp;$AC$4:$AC$228&amp;$AE$4:$AE$228&amp;$AF$4:$AF$228,0))," ")</f>
        <v>2011.27</v>
      </c>
      <c r="I10" s="109" cm="1">
        <f t="array" ref="I10">IFERROR(INDEX($AI$4:$AI$228,MATCH(LEFT($I$3,1)&amp;B10&amp;LEFT($E$2,1)&amp;$I$1,$AB$4:$AB$228&amp;$AC$4:$AC$228&amp;$AE$4:$AE$228&amp;$AF$4:$AF$228,0))," ")</f>
        <v>2110.62</v>
      </c>
      <c r="J10" s="264" cm="1">
        <f t="array" ref="J10">IFERROR(INDEX($AI$4:$AI$228,MATCH(LEFT($J$3,1)&amp;B10&amp;LEFT($E$2,1),$AB$4:$AB$228&amp;$AC$4:$AC$228&amp;$AE$4:$AE$228,0))," ")</f>
        <v>2533.25</v>
      </c>
      <c r="K10" s="107" cm="1">
        <f t="array" ref="K10">IFERROR(INDEX($AI$4:$AI$228,MATCH(LEFT($K$3,1)&amp;B10&amp;LEFT($K$2,2),$AB$4:$AB$228&amp;$AC$4:$AC$228&amp;$AE$4:$AE$228,0))," ")</f>
        <v>1875.14</v>
      </c>
      <c r="L10" s="109" cm="1">
        <f t="array" ref="L10">IFERROR(INDEX($AI$4:$AI$228,MATCH(LEFT($L$3,1)&amp;B10&amp;LEFT($K$2,2),$AB$4:$AB$228&amp;$AC$4:$AC$228&amp;$AE$4:$AE$228,0))," ")</f>
        <v>1932.27</v>
      </c>
      <c r="M10" s="109" cm="1">
        <f t="array" ref="M10">IFERROR(INDEX($AI$4:$AI$228,MATCH(LEFT($M$3,1)&amp;B10&amp;LEFT($K$2,2)&amp;$M$1,$AB$4:$AB$228&amp;$AC$4:$AC$228&amp;$AE$4:$AE$228&amp;$AF$4:$AF$228,0))," ")</f>
        <v>2133.77</v>
      </c>
      <c r="N10" s="109" cm="1">
        <f t="array" ref="N10">IFERROR(INDEX($AI$4:$AI$228,MATCH(LEFT($N$3,1)&amp;B10&amp;LEFT($K$2,2)&amp;$N$1,$AB$4:$AB$228&amp;$AC$4:$AC$2028&amp;$AE$4:$AE$228&amp;$AF$4:$AF$228,0))," ")</f>
        <v>2213.66</v>
      </c>
      <c r="O10" s="108" cm="1">
        <f t="array" ref="O10">IFERROR(INDEX($AI$4:$AI$228,MATCH(LEFT($O$3,1)&amp;B10&amp;LEFT($K$2,2)&amp;$O$1,$AB$4:$AB$228&amp;$AC$4:$AC$228&amp;$AE$4:$AE$228&amp;$AF$4:$AF$228,0))," ")</f>
        <v>2313.0100000000002</v>
      </c>
      <c r="P10" s="260" cm="1">
        <f t="array" ref="P10">IFERROR(INDEX($AI$4:$AI$228,MATCH(LEFT($P$3,1)&amp;B10&amp;LEFT($K$2,2),$AB$4:$AB$228&amp;$AC$4:$AC$228&amp;$AE$4:$AE$228,0))," ")</f>
        <v>2749.15</v>
      </c>
      <c r="S10" s="117"/>
      <c r="T10" s="117"/>
      <c r="U10" s="117"/>
      <c r="V10" s="118"/>
      <c r="W10" s="119"/>
      <c r="Y10" s="88"/>
      <c r="AB10" s="111" t="str">
        <f t="shared" si="4"/>
        <v>I</v>
      </c>
      <c r="AC10" s="88" t="str">
        <f t="shared" si="1"/>
        <v>05.5</v>
      </c>
      <c r="AD10" s="88" t="str">
        <f t="shared" si="2"/>
        <v>A</v>
      </c>
      <c r="AE10" s="88">
        <f t="shared" si="5"/>
        <v>1</v>
      </c>
      <c r="AF10" s="112" t="str">
        <f t="shared" si="6"/>
        <v xml:space="preserve"> </v>
      </c>
      <c r="AG10" s="106" t="s">
        <v>161</v>
      </c>
      <c r="AH10" s="257">
        <v>1297.06</v>
      </c>
      <c r="AI10" s="82">
        <f>INDEX('Model Calculator'!$AM$2:$AM$226,MATCH(AG10,'Model Calculator'!$A$2:$A$226,0))</f>
        <v>1417.14</v>
      </c>
      <c r="AJ10" s="110">
        <f t="shared" si="7"/>
        <v>9.2578600835736324E-2</v>
      </c>
    </row>
    <row r="11" spans="2:37" ht="15.75" thickBot="1">
      <c r="B11" s="81" t="s">
        <v>121</v>
      </c>
      <c r="C11" s="107" t="str" cm="1">
        <f t="array" ref="C11">IFERROR(INDEX($AI$4:$AI$228,MATCH(LEFT($C$3,1)&amp;B11&amp;LEFT($C$2,1),$AB$4:$AB$228&amp;$AC$4:$AC$208&amp;$AE$4:$AE$228,0))," ")</f>
        <v xml:space="preserve"> </v>
      </c>
      <c r="D11" s="109" cm="1">
        <f t="array" ref="D11">IFERROR(INDEX($AI$4:$AI$228,MATCH(LEFT($D$3,1)&amp;B11&amp;LEFT($C$2,1),$AB$4:$AB$228&amp;$AC$4:$AC$228&amp;$AE$4:$AE$228,0))," ")</f>
        <v>1649.01</v>
      </c>
      <c r="E11" s="107" cm="1">
        <f t="array" ref="E11">IFERROR(INDEX($AI$4:$AI$228,MATCH(LEFT($E$3,1)&amp;B11&amp;LEFT($E$2,1),$AB$4:$AB$228&amp;$AC$4:$AC$208&amp;$AE$4:$AE$228,0))," ")</f>
        <v>1798.65</v>
      </c>
      <c r="F11" s="109" cm="1">
        <f t="array" ref="F11">IFERROR(INDEX($AI$4:$AI$228,MATCH(LEFT($F$3,1)&amp;B11&amp;LEFT($E$2,1),$AB$4:$AB$228&amp;$AC$4:$AC$228&amp;$AE$4:$AE$228,0))," ")</f>
        <v>1844.82</v>
      </c>
      <c r="G11" s="109" cm="1">
        <f t="array" ref="G11">IFERROR(INDEX($AI$4:$AI$228,MATCH(LEFT($G$3,1)&amp;B11&amp;LEFT($E$2,1)&amp;$G$1,$AB$4:$AB$228&amp;$AC$4:$AC$228&amp;$AE$4:$AE$228&amp;$AF$4:$AF$228,0))," ")</f>
        <v>2068.15</v>
      </c>
      <c r="H11" s="109" cm="1">
        <f t="array" ref="H11">IFERROR(INDEX($AI$4:$AI$228,MATCH(LEFT($H$3,1)&amp;B11&amp;LEFT($E$2,1)&amp;$H$1,$AB$4:$AB$228&amp;$AC$4:$AC$228&amp;$AE$4:$AE$228&amp;$AF$4:$AF$228,0))," ")</f>
        <v>2156.71</v>
      </c>
      <c r="I11" s="109" cm="1">
        <f t="array" ref="I11">IFERROR(INDEX($AI$4:$AI$228,MATCH(LEFT($I$3,1)&amp;B11&amp;LEFT($E$2,1)&amp;$I$1,$AB$4:$AB$228&amp;$AC$4:$AC$228&amp;$AE$4:$AE$228&amp;$AF$4:$AF$228,0))," ")</f>
        <v>2266.83</v>
      </c>
      <c r="J11" s="264" cm="1">
        <f t="array" ref="J11">IFERROR(INDEX($AI$4:$AI$228,MATCH(LEFT($J$3,1)&amp;B11&amp;LEFT($E$2,1),$AB$4:$AB$228&amp;$AC$4:$AC$228&amp;$AE$4:$AE$228,0))," ")</f>
        <v>2692.78</v>
      </c>
      <c r="K11" s="107" cm="1">
        <f t="array" ref="K11">IFERROR(INDEX($AI$4:$AI$228,MATCH(LEFT($K$3,1)&amp;B11&amp;LEFT($K$2,2),$AB$4:$AB$228&amp;$AC$4:$AC$228&amp;$AE$4:$AE$228,0))," ")</f>
        <v>1988.01</v>
      </c>
      <c r="L11" s="109" cm="1">
        <f t="array" ref="L11">IFERROR(INDEX($AI$4:$AI$228,MATCH(LEFT($L$3,1)&amp;B11&amp;LEFT($K$2,2),$AB$4:$AB$228&amp;$AC$4:$AC$228&amp;$AE$4:$AE$228,0))," ")</f>
        <v>2047.21</v>
      </c>
      <c r="M11" s="109" cm="1">
        <f t="array" ref="M11">IFERROR(INDEX($AI$4:$AI$228,MATCH(LEFT($M$3,1)&amp;B11&amp;LEFT($K$2,2)&amp;$M$1,$AB$4:$AB$228&amp;$AC$4:$AC$228&amp;$AE$4:$AE$228&amp;$AF$4:$AF$228,0))," ")</f>
        <v>2270.5500000000002</v>
      </c>
      <c r="N11" s="109" cm="1">
        <f t="array" ref="N11">IFERROR(INDEX($AI$4:$AI$228,MATCH(LEFT($N$3,1)&amp;B11&amp;LEFT($K$2,2)&amp;$N$1,$AB$4:$AB$228&amp;$AC$4:$AC$2028&amp;$AE$4:$AE$228&amp;$AF$4:$AF$228,0))," ")</f>
        <v>2359.11</v>
      </c>
      <c r="O11" s="108" cm="1">
        <f t="array" ref="O11">IFERROR(INDEX($AI$4:$AI$228,MATCH(LEFT($O$3,1)&amp;B11&amp;LEFT($K$2,2)&amp;$O$1,$AB$4:$AB$228&amp;$AC$4:$AC$228&amp;$AE$4:$AE$228&amp;$AF$4:$AF$228,0))," ")</f>
        <v>2469.23</v>
      </c>
      <c r="P11" s="260" cm="1">
        <f t="array" ref="P11">IFERROR(INDEX($AI$4:$AI$228,MATCH(LEFT($P$3,1)&amp;B11&amp;LEFT($K$2,2),$AB$4:$AB$228&amp;$AC$4:$AC$228&amp;$AE$4:$AE$228,0))," ")</f>
        <v>2908.68</v>
      </c>
      <c r="S11" s="120"/>
      <c r="T11" s="120"/>
      <c r="U11" s="121"/>
      <c r="V11" s="120"/>
      <c r="W11" s="120"/>
      <c r="Y11" s="88"/>
      <c r="AB11" s="111" t="str">
        <f t="shared" si="4"/>
        <v>I</v>
      </c>
      <c r="AC11" s="88" t="str">
        <f t="shared" si="1"/>
        <v>06.0</v>
      </c>
      <c r="AD11" s="88" t="str">
        <f t="shared" si="2"/>
        <v>A</v>
      </c>
      <c r="AE11" s="88">
        <f t="shared" si="5"/>
        <v>1</v>
      </c>
      <c r="AF11" s="112" t="str">
        <f t="shared" si="6"/>
        <v xml:space="preserve"> </v>
      </c>
      <c r="AG11" s="106" t="s">
        <v>162</v>
      </c>
      <c r="AH11" s="257">
        <v>1401.37</v>
      </c>
      <c r="AI11" s="82">
        <f>INDEX('Model Calculator'!$AM$2:$AM$226,MATCH(AG11,'Model Calculator'!$A$2:$A$226,0))</f>
        <v>1534.06</v>
      </c>
      <c r="AJ11" s="110">
        <f t="shared" si="7"/>
        <v>9.4685914497955617E-2</v>
      </c>
    </row>
    <row r="12" spans="2:37" ht="30.75" thickBot="1">
      <c r="B12" s="81" t="s">
        <v>122</v>
      </c>
      <c r="C12" s="107" t="str" cm="1">
        <f t="array" ref="C12">IFERROR(INDEX($AI$4:$AI$228,MATCH(LEFT($C$3,1)&amp;B12&amp;LEFT($C$2,1),$AB$4:$AB$228&amp;$AC$4:$AC$208&amp;$AE$4:$AE$228,0))," ")</f>
        <v xml:space="preserve"> </v>
      </c>
      <c r="D12" s="109" cm="1">
        <f t="array" ref="D12">IFERROR(INDEX($AI$4:$AI$228,MATCH(LEFT($D$3,1)&amp;B12&amp;LEFT($C$2,1),$AB$4:$AB$228&amp;$AC$4:$AC$228&amp;$AE$4:$AE$228,0))," ")</f>
        <v>1763.95</v>
      </c>
      <c r="E12" s="107" cm="1">
        <f t="array" ref="E12">IFERROR(INDEX($AI$4:$AI$228,MATCH(LEFT($E$3,1)&amp;B12&amp;LEFT($E$2,1),$AB$4:$AB$228&amp;$AC$4:$AC$208&amp;$AE$4:$AE$228,0))," ")</f>
        <v>1911.52</v>
      </c>
      <c r="F12" s="109" cm="1">
        <f t="array" ref="F12">IFERROR(INDEX($AI$4:$AI$228,MATCH(LEFT($F$3,1)&amp;B12&amp;LEFT($E$2,1),$AB$4:$AB$228&amp;$AC$4:$AC$228&amp;$AE$4:$AE$228,0))," ")</f>
        <v>1959.76</v>
      </c>
      <c r="G12" s="109" cm="1">
        <f t="array" ref="G12">IFERROR(INDEX($AI$4:$AI$228,MATCH(LEFT($G$3,1)&amp;B12&amp;LEFT($E$2,1)&amp;$G$1,$AB$4:$AB$228&amp;$AC$4:$AC$228&amp;$AE$4:$AE$228&amp;$AF$4:$AF$228,0))," ")</f>
        <v>2204.94</v>
      </c>
      <c r="H12" s="109" cm="1">
        <f t="array" ref="H12">IFERROR(INDEX($AI$4:$AI$228,MATCH(LEFT($H$3,1)&amp;B12&amp;LEFT($E$2,1)&amp;$H$1,$AB$4:$AB$228&amp;$AC$4:$AC$228&amp;$AE$4:$AE$228&amp;$AF$4:$AF$228,0))," ")</f>
        <v>2302.16</v>
      </c>
      <c r="I12" s="109" cm="1">
        <f t="array" ref="I12">IFERROR(INDEX($AI$4:$AI$228,MATCH(LEFT($I$3,1)&amp;B12&amp;LEFT($E$2,1)&amp;$I$1,$AB$4:$AB$228&amp;$AC$4:$AC$228&amp;$AE$4:$AE$228&amp;$AF$4:$AF$228,0))," ")</f>
        <v>2423.0500000000002</v>
      </c>
      <c r="J12" s="264" cm="1">
        <f t="array" ref="J12">IFERROR(INDEX($AI$4:$AI$228,MATCH(LEFT($J$3,1)&amp;B12&amp;LEFT($E$2,1),$AB$4:$AB$228&amp;$AC$4:$AC$228&amp;$AE$4:$AE$228,0))," ")</f>
        <v>2849.66</v>
      </c>
      <c r="K12" s="107" cm="1">
        <f t="array" ref="K12">IFERROR(INDEX($AI$4:$AI$228,MATCH(LEFT($K$3,1)&amp;B12&amp;LEFT($K$2,2),$AB$4:$AB$228&amp;$AC$4:$AC$228&amp;$AE$4:$AE$228,0))," ")</f>
        <v>2100.88</v>
      </c>
      <c r="L12" s="109" cm="1">
        <f t="array" ref="L12">IFERROR(INDEX($AI$4:$AI$228,MATCH(LEFT($L$3,1)&amp;B12&amp;LEFT($K$2,2),$AB$4:$AB$228&amp;$AC$4:$AC$228&amp;$AE$4:$AE$228,0))," ")</f>
        <v>2162.16</v>
      </c>
      <c r="M12" s="109" cm="1">
        <f t="array" ref="M12">IFERROR(INDEX($AI$4:$AI$228,MATCH(LEFT($M$3,1)&amp;B12&amp;LEFT($K$2,2)&amp;$M$1,$AB$4:$AB$228&amp;$AC$4:$AC$228&amp;$AE$4:$AE$228&amp;$AF$4:$AF$228,0))," ")</f>
        <v>2407.34</v>
      </c>
      <c r="N12" s="109" cm="1">
        <f t="array" ref="N12">IFERROR(INDEX($AI$4:$AI$228,MATCH(LEFT($N$3,1)&amp;B12&amp;LEFT($K$2,2)&amp;$N$1,$AB$4:$AB$228&amp;$AC$4:$AC$2028&amp;$AE$4:$AE$228&amp;$AF$4:$AF$228,0))," ")</f>
        <v>2504.56</v>
      </c>
      <c r="O12" s="108" cm="1">
        <f t="array" ref="O12">IFERROR(INDEX($AI$4:$AI$228,MATCH(LEFT($O$3,1)&amp;B12&amp;LEFT($K$2,2)&amp;$O$1,$AB$4:$AB$228&amp;$AC$4:$AC$228&amp;$AE$4:$AE$228&amp;$AF$4:$AF$228,0))," ")</f>
        <v>2625.45</v>
      </c>
      <c r="P12" s="260" cm="1">
        <f t="array" ref="P12">IFERROR(INDEX($AI$4:$AI$228,MATCH(LEFT($P$3,1)&amp;B12&amp;LEFT($K$2,2),$AB$4:$AB$228&amp;$AC$4:$AC$228&amp;$AE$4:$AE$228,0))," ")</f>
        <v>3065.55</v>
      </c>
      <c r="S12" s="723" t="s">
        <v>361</v>
      </c>
      <c r="T12" s="724"/>
      <c r="U12" s="724"/>
      <c r="V12" s="91" t="s">
        <v>149</v>
      </c>
      <c r="W12" s="92" t="s">
        <v>28</v>
      </c>
      <c r="X12" s="93" t="s">
        <v>746</v>
      </c>
      <c r="Y12" s="94" t="s">
        <v>360</v>
      </c>
      <c r="AB12" s="111" t="str">
        <f t="shared" si="4"/>
        <v>I</v>
      </c>
      <c r="AC12" s="88" t="str">
        <f t="shared" si="1"/>
        <v>06.5</v>
      </c>
      <c r="AD12" s="88" t="str">
        <f t="shared" si="2"/>
        <v>A</v>
      </c>
      <c r="AE12" s="88">
        <f t="shared" si="5"/>
        <v>1</v>
      </c>
      <c r="AF12" s="112" t="str">
        <f t="shared" si="6"/>
        <v xml:space="preserve"> </v>
      </c>
      <c r="AG12" s="106" t="s">
        <v>163</v>
      </c>
      <c r="AH12" s="257">
        <v>1505.68</v>
      </c>
      <c r="AI12" s="82">
        <f>INDEX('Model Calculator'!$AM$2:$AM$226,MATCH(AG12,'Model Calculator'!$A$2:$A$226,0))</f>
        <v>1649.01</v>
      </c>
      <c r="AJ12" s="110">
        <f t="shared" si="7"/>
        <v>9.5192869666861427E-2</v>
      </c>
    </row>
    <row r="13" spans="2:37" ht="15.75" thickBot="1">
      <c r="B13" s="81" t="s">
        <v>123</v>
      </c>
      <c r="C13" s="107" t="str" cm="1">
        <f t="array" ref="C13">IFERROR(INDEX($AI$4:$AI$228,MATCH(LEFT($C$3,1)&amp;B13&amp;LEFT($C$2,1),$AB$4:$AB$228&amp;$AC$4:$AC$208&amp;$AE$4:$AE$228,0))," ")</f>
        <v xml:space="preserve"> </v>
      </c>
      <c r="D13" s="109" t="str" cm="1">
        <f t="array" ref="D13">IFERROR(INDEX($AI$4:$AI$228,MATCH(LEFT($D$3,1)&amp;B13&amp;LEFT($C$2,1),$AB$4:$AB$228&amp;$AC$4:$AC$228&amp;$AE$4:$AE$228,0))," ")</f>
        <v xml:space="preserve"> </v>
      </c>
      <c r="E13" s="107" cm="1">
        <f t="array" ref="E13">IFERROR(INDEX($AI$4:$AI$228,MATCH(LEFT($E$3,1)&amp;B13&amp;LEFT($E$2,1),$AB$4:$AB$228&amp;$AC$4:$AC$208&amp;$AE$4:$AE$228,0))," ")</f>
        <v>2024.39</v>
      </c>
      <c r="F13" s="109" cm="1">
        <f t="array" ref="F13">IFERROR(INDEX($AI$4:$AI$228,MATCH(LEFT($F$3,1)&amp;B13&amp;LEFT($E$2,1),$AB$4:$AB$228&amp;$AC$4:$AC$228&amp;$AE$4:$AE$228,0))," ")</f>
        <v>2074.6999999999998</v>
      </c>
      <c r="G13" s="109" cm="1">
        <f t="array" ref="G13">IFERROR(INDEX($AI$4:$AI$228,MATCH(LEFT($G$3,1)&amp;B13&amp;LEFT($E$2,1)&amp;$G$1,$AB$4:$AB$228&amp;$AC$4:$AC$228&amp;$AE$4:$AE$228&amp;$AF$4:$AF$228,0))," ")</f>
        <v>2341.7199999999998</v>
      </c>
      <c r="H13" s="109" cm="1">
        <f t="array" ref="H13">IFERROR(INDEX($AI$4:$AI$228,MATCH(LEFT($H$3,1)&amp;B13&amp;LEFT($E$2,1)&amp;$H$1,$AB$4:$AB$228&amp;$AC$4:$AC$228&amp;$AE$4:$AE$228&amp;$AF$4:$AF$228,0))," ")</f>
        <v>2447.61</v>
      </c>
      <c r="I13" s="109" cm="1">
        <f t="array" ref="I13">IFERROR(INDEX($AI$4:$AI$228,MATCH(LEFT($I$3,1)&amp;B13&amp;LEFT($E$2,1)&amp;$I$1,$AB$4:$AB$228&amp;$AC$4:$AC$228&amp;$AE$4:$AE$228&amp;$AF$4:$AF$228,0))," ")</f>
        <v>2579.27</v>
      </c>
      <c r="J13" s="264" cm="1">
        <f t="array" ref="J13">IFERROR(INDEX($AI$4:$AI$228,MATCH(LEFT($J$3,1)&amp;B13&amp;LEFT($E$2,1),$AB$4:$AB$228&amp;$AC$4:$AC$228&amp;$AE$4:$AE$228,0))," ")</f>
        <v>3009.19</v>
      </c>
      <c r="K13" s="107" cm="1">
        <f t="array" ref="K13">IFERROR(INDEX($AI$4:$AI$228,MATCH(LEFT($K$3,1)&amp;B13&amp;LEFT($K$2,2),$AB$4:$AB$228&amp;$AC$4:$AC$228&amp;$AE$4:$AE$228,0))," ")</f>
        <v>2213.75</v>
      </c>
      <c r="L13" s="109" cm="1">
        <f t="array" ref="L13">IFERROR(INDEX($AI$4:$AI$228,MATCH(LEFT($L$3,1)&amp;B13&amp;LEFT($K$2,2),$AB$4:$AB$228&amp;$AC$4:$AC$228&amp;$AE$4:$AE$228,0))," ")</f>
        <v>2277.1</v>
      </c>
      <c r="M13" s="109" cm="1">
        <f t="array" ref="M13">IFERROR(INDEX($AI$4:$AI$228,MATCH(LEFT($M$3,1)&amp;B13&amp;LEFT($K$2,2)&amp;$M$1,$AB$4:$AB$228&amp;$AC$4:$AC$228&amp;$AE$4:$AE$228&amp;$AF$4:$AF$228,0))," ")</f>
        <v>2544.12</v>
      </c>
      <c r="N13" s="109" cm="1">
        <f t="array" ref="N13">IFERROR(INDEX($AI$4:$AI$228,MATCH(LEFT($N$3,1)&amp;B13&amp;LEFT($K$2,2)&amp;$N$1,$AB$4:$AB$228&amp;$AC$4:$AC$2028&amp;$AE$4:$AE$228&amp;$AF$4:$AF$228,0))," ")</f>
        <v>2650</v>
      </c>
      <c r="O13" s="108" cm="1">
        <f t="array" ref="O13">IFERROR(INDEX($AI$4:$AI$228,MATCH(LEFT($O$3,1)&amp;B13&amp;LEFT($K$2,2)&amp;$O$1,$AB$4:$AB$228&amp;$AC$4:$AC$228&amp;$AE$4:$AE$228&amp;$AF$4:$AF$228,0))," ")</f>
        <v>2781.66</v>
      </c>
      <c r="P13" s="260" cm="1">
        <f t="array" ref="P13">IFERROR(INDEX($AI$4:$AI$228,MATCH(LEFT($P$3,1)&amp;B13&amp;LEFT($K$2,2),$AB$4:$AB$228&amp;$AC$4:$AC$228&amp;$AE$4:$AE$228,0))," ")</f>
        <v>3225.09</v>
      </c>
      <c r="S13" s="731" t="s">
        <v>32</v>
      </c>
      <c r="T13" s="732"/>
      <c r="U13" s="732"/>
      <c r="V13" s="113">
        <v>37.200000000000003</v>
      </c>
      <c r="W13" s="101" t="s">
        <v>43</v>
      </c>
      <c r="X13" s="122">
        <f>'Vehicle Add-Ons'!D6</f>
        <v>36.869999999999997</v>
      </c>
      <c r="Y13" s="102">
        <f>(X13-V13)/V13</f>
        <v>-8.870967741935628E-3</v>
      </c>
      <c r="AB13" s="123" t="str">
        <f t="shared" si="4"/>
        <v>I</v>
      </c>
      <c r="AC13" s="124" t="str">
        <f t="shared" si="1"/>
        <v>07.0</v>
      </c>
      <c r="AD13" s="124" t="str">
        <f t="shared" si="2"/>
        <v>A</v>
      </c>
      <c r="AE13" s="124">
        <f t="shared" si="5"/>
        <v>1</v>
      </c>
      <c r="AF13" s="125" t="str">
        <f t="shared" si="6"/>
        <v xml:space="preserve"> </v>
      </c>
      <c r="AG13" s="126" t="s">
        <v>164</v>
      </c>
      <c r="AH13" s="258">
        <v>1608.2</v>
      </c>
      <c r="AI13" s="84">
        <f>INDEX('Model Calculator'!$AM$2:$AM$226,MATCH(AG13,'Model Calculator'!$A$2:$A$226,0))</f>
        <v>1763.95</v>
      </c>
      <c r="AJ13" s="116">
        <f t="shared" si="7"/>
        <v>9.6847407038925498E-2</v>
      </c>
    </row>
    <row r="14" spans="2:37">
      <c r="B14" s="81" t="s">
        <v>124</v>
      </c>
      <c r="C14" s="107" t="str" cm="1">
        <f t="array" ref="C14">IFERROR(INDEX($AI$4:$AI$228,MATCH(LEFT($C$3,1)&amp;B14&amp;LEFT($C$2,1),$AB$4:$AB$228&amp;$AC$4:$AC$208&amp;$AE$4:$AE$228,0))," ")</f>
        <v xml:space="preserve"> </v>
      </c>
      <c r="D14" s="109" t="str" cm="1">
        <f t="array" ref="D14">IFERROR(INDEX($AI$4:$AI$228,MATCH(LEFT($D$3,1)&amp;B14&amp;LEFT($C$2,1),$AB$4:$AB$228&amp;$AC$4:$AC$228&amp;$AE$4:$AE$228,0))," ")</f>
        <v xml:space="preserve"> </v>
      </c>
      <c r="E14" s="107" cm="1">
        <f t="array" ref="E14">IFERROR(INDEX($AI$4:$AI$228,MATCH(LEFT($E$3,1)&amp;B14&amp;LEFT($E$2,1),$AB$4:$AB$228&amp;$AC$4:$AC$208&amp;$AE$4:$AE$228,0))," ")</f>
        <v>2137.2600000000002</v>
      </c>
      <c r="F14" s="109" cm="1">
        <f t="array" ref="F14">IFERROR(INDEX($AI$4:$AI$228,MATCH(LEFT($F$3,1)&amp;B14&amp;LEFT($E$2,1),$AB$4:$AB$228&amp;$AC$4:$AC$228&amp;$AE$4:$AE$228,0))," ")</f>
        <v>2189.64</v>
      </c>
      <c r="G14" s="109" cm="1">
        <f t="array" ref="G14">IFERROR(INDEX($AI$4:$AI$228,MATCH(LEFT($G$3,1)&amp;B14&amp;LEFT($E$2,1)&amp;$G$1,$AB$4:$AB$228&amp;$AC$4:$AC$228&amp;$AE$4:$AE$228&amp;$AF$4:$AF$228,0))," ")</f>
        <v>2478.5100000000002</v>
      </c>
      <c r="H14" s="109" cm="1">
        <f t="array" ref="H14">IFERROR(INDEX($AI$4:$AI$228,MATCH(LEFT($H$3,1)&amp;B14&amp;LEFT($E$2,1)&amp;$H$1,$AB$4:$AB$228&amp;$AC$4:$AC$228&amp;$AE$4:$AE$228&amp;$AF$4:$AF$228,0))," ")</f>
        <v>2593.0500000000002</v>
      </c>
      <c r="I14" s="109" cm="1">
        <f t="array" ref="I14">IFERROR(INDEX($AI$4:$AI$228,MATCH(LEFT($I$3,1)&amp;B14&amp;LEFT($E$2,1)&amp;$I$1,$AB$4:$AB$228&amp;$AC$4:$AC$228&amp;$AE$4:$AE$228&amp;$AF$4:$AF$228,0))," ")</f>
        <v>2735.49</v>
      </c>
      <c r="J14" s="264" cm="1">
        <f t="array" ref="J14">IFERROR(INDEX($AI$4:$AI$228,MATCH(LEFT($J$3,1)&amp;B14&amp;LEFT($E$2,1),$AB$4:$AB$228&amp;$AC$4:$AC$228&amp;$AE$4:$AE$228,0))," ")</f>
        <v>3166.06</v>
      </c>
      <c r="K14" s="107" cm="1">
        <f t="array" ref="K14">IFERROR(INDEX($AI$4:$AI$228,MATCH(LEFT($K$3,1)&amp;B14&amp;LEFT($K$2,2),$AB$4:$AB$228&amp;$AC$4:$AC$228&amp;$AE$4:$AE$228,0))," ")</f>
        <v>2326.62</v>
      </c>
      <c r="L14" s="109" cm="1">
        <f t="array" ref="L14">IFERROR(INDEX($AI$4:$AI$228,MATCH(LEFT($L$3,1)&amp;B14&amp;LEFT($K$2,2),$AB$4:$AB$228&amp;$AC$4:$AC$228&amp;$AE$4:$AE$228,0))," ")</f>
        <v>2392.04</v>
      </c>
      <c r="M14" s="109" cm="1">
        <f t="array" ref="M14">IFERROR(INDEX($AI$4:$AI$228,MATCH(LEFT($M$3,1)&amp;B14&amp;LEFT($K$2,2)&amp;$M$1,$AB$4:$AB$228&amp;$AC$4:$AC$228&amp;$AE$4:$AE$228&amp;$AF$4:$AF$228,0))," ")</f>
        <v>2680.91</v>
      </c>
      <c r="N14" s="109" cm="1">
        <f t="array" ref="N14">IFERROR(INDEX($AI$4:$AI$228,MATCH(LEFT($N$3,1)&amp;B14&amp;LEFT($K$2,2)&amp;$N$1,$AB$4:$AB$228&amp;$AC$4:$AC$2028&amp;$AE$4:$AE$228&amp;$AF$4:$AF$228,0))," ")</f>
        <v>2795.45</v>
      </c>
      <c r="O14" s="108" cm="1">
        <f t="array" ref="O14">IFERROR(INDEX($AI$4:$AI$228,MATCH(LEFT($O$3,1)&amp;B14&amp;LEFT($K$2,2)&amp;$O$1,$AB$4:$AB$228&amp;$AC$4:$AC$228&amp;$AE$4:$AE$228&amp;$AF$4:$AF$228,0))," ")</f>
        <v>2937.88</v>
      </c>
      <c r="P14" s="260" cm="1">
        <f t="array" ref="P14">IFERROR(INDEX($AI$4:$AI$228,MATCH(LEFT($P$3,1)&amp;B14&amp;LEFT($K$2,2),$AB$4:$AB$228&amp;$AC$4:$AC$228&amp;$AE$4:$AE$228,0))," ")</f>
        <v>3381.96</v>
      </c>
      <c r="S14" s="727" t="s">
        <v>33</v>
      </c>
      <c r="T14" s="728"/>
      <c r="U14" s="728"/>
      <c r="V14" s="113">
        <v>50.2</v>
      </c>
      <c r="W14" s="101" t="s">
        <v>43</v>
      </c>
      <c r="X14" s="128">
        <f>'Vehicle Add-Ons'!D7</f>
        <v>53.64</v>
      </c>
      <c r="Y14" s="110">
        <f>(X14-V14)/V14</f>
        <v>6.8525896414342577E-2</v>
      </c>
      <c r="AB14" s="103" t="str">
        <f t="shared" si="4"/>
        <v>B</v>
      </c>
      <c r="AC14" s="104" t="str">
        <f t="shared" si="1"/>
        <v>03.5</v>
      </c>
      <c r="AD14" s="104" t="str">
        <f t="shared" si="2"/>
        <v>B</v>
      </c>
      <c r="AE14" s="104">
        <f t="shared" si="5"/>
        <v>2</v>
      </c>
      <c r="AF14" s="105" t="str">
        <f t="shared" si="6"/>
        <v xml:space="preserve"> </v>
      </c>
      <c r="AG14" s="129" t="s">
        <v>165</v>
      </c>
      <c r="AH14" s="256">
        <v>1029.1600000000001</v>
      </c>
      <c r="AI14" s="83">
        <f>INDEX('Model Calculator'!$AM$2:$AM$226,MATCH(AG14,'Model Calculator'!$A$2:$A$226,0))</f>
        <v>1119.48</v>
      </c>
      <c r="AJ14" s="102">
        <f t="shared" si="7"/>
        <v>8.776089237825016E-2</v>
      </c>
    </row>
    <row r="15" spans="2:37">
      <c r="B15" s="81" t="s">
        <v>125</v>
      </c>
      <c r="C15" s="107" t="str" cm="1">
        <f t="array" ref="C15">IFERROR(INDEX($AI$4:$AI$228,MATCH(LEFT($C$3,1)&amp;B15&amp;LEFT($C$2,1),$AB$4:$AB$228&amp;$AC$4:$AC$208&amp;$AE$4:$AE$228,0))," ")</f>
        <v xml:space="preserve"> </v>
      </c>
      <c r="D15" s="109" t="str" cm="1">
        <f t="array" ref="D15">IFERROR(INDEX($AI$4:$AI$228,MATCH(LEFT($D$3,1)&amp;B15&amp;LEFT($C$2,1),$AB$4:$AB$228&amp;$AC$4:$AC$228&amp;$AE$4:$AE$228,0))," ")</f>
        <v xml:space="preserve"> </v>
      </c>
      <c r="E15" s="107" cm="1">
        <f t="array" ref="E15">IFERROR(INDEX($AI$4:$AI$228,MATCH(LEFT($E$3,1)&amp;B15&amp;LEFT($E$2,1),$AB$4:$AB$228&amp;$AC$4:$AC$208&amp;$AE$4:$AE$228,0))," ")</f>
        <v>2250.13</v>
      </c>
      <c r="F15" s="109" cm="1">
        <f t="array" ref="F15">IFERROR(INDEX($AI$4:$AI$228,MATCH(LEFT($F$3,1)&amp;B15&amp;LEFT($E$2,1),$AB$4:$AB$228&amp;$AC$4:$AC$228&amp;$AE$4:$AE$228,0))," ")</f>
        <v>2304.58</v>
      </c>
      <c r="G15" s="109" cm="1">
        <f t="array" ref="G15">IFERROR(INDEX($AI$4:$AI$228,MATCH(LEFT($G$3,1)&amp;B15&amp;LEFT($E$2,1)&amp;$G$1,$AB$4:$AB$228&amp;$AC$4:$AC$228&amp;$AE$4:$AE$228&amp;$AF$4:$AF$228,0))," ")</f>
        <v>2615.3000000000002</v>
      </c>
      <c r="H15" s="109" cm="1">
        <f t="array" ref="H15">IFERROR(INDEX($AI$4:$AI$228,MATCH(LEFT($H$3,1)&amp;B15&amp;LEFT($E$2,1)&amp;$H$1,$AB$4:$AB$228&amp;$AC$4:$AC$228&amp;$AE$4:$AE$228&amp;$AF$4:$AF$228,0))," ")</f>
        <v>2738.5</v>
      </c>
      <c r="I15" s="109" cm="1">
        <f t="array" ref="I15">IFERROR(INDEX($AI$4:$AI$228,MATCH(LEFT($I$3,1)&amp;B15&amp;LEFT($E$2,1)&amp;$I$1,$AB$4:$AB$228&amp;$AC$4:$AC$228&amp;$AE$4:$AE$228&amp;$AF$4:$AF$228,0))," ")</f>
        <v>2891.7</v>
      </c>
      <c r="J15" s="264" cm="1">
        <f t="array" ref="J15">IFERROR(INDEX($AI$4:$AI$228,MATCH(LEFT($J$3,1)&amp;B15&amp;LEFT($E$2,1),$AB$4:$AB$228&amp;$AC$4:$AC$228&amp;$AE$4:$AE$228,0))," ")</f>
        <v>3322.93</v>
      </c>
      <c r="K15" s="107" cm="1">
        <f t="array" ref="K15">IFERROR(INDEX($AI$4:$AI$228,MATCH(LEFT($K$3,1)&amp;B15&amp;LEFT($K$2,2),$AB$4:$AB$228&amp;$AC$4:$AC$228&amp;$AE$4:$AE$228,0))," ")</f>
        <v>2439.4899999999998</v>
      </c>
      <c r="L15" s="109" cm="1">
        <f t="array" ref="L15">IFERROR(INDEX($AI$4:$AI$228,MATCH(LEFT($L$3,1)&amp;B15&amp;LEFT($K$2,2),$AB$4:$AB$228&amp;$AC$4:$AC$228&amp;$AE$4:$AE$228,0))," ")</f>
        <v>2506.98</v>
      </c>
      <c r="M15" s="109" cm="1">
        <f t="array" ref="M15">IFERROR(INDEX($AI$4:$AI$228,MATCH(LEFT($M$3,1)&amp;B15&amp;LEFT($K$2,2)&amp;$M$1,$AB$4:$AB$228&amp;$AC$4:$AC$228&amp;$AE$4:$AE$228&amp;$AF$4:$AF$228,0))," ")</f>
        <v>2817.69</v>
      </c>
      <c r="N15" s="109" cm="1">
        <f t="array" ref="N15">IFERROR(INDEX($AI$4:$AI$228,MATCH(LEFT($N$3,1)&amp;B15&amp;LEFT($K$2,2)&amp;$N$1,$AB$4:$AB$228&amp;$AC$4:$AC$2028&amp;$AE$4:$AE$228&amp;$AF$4:$AF$228,0))," ")</f>
        <v>2940.9</v>
      </c>
      <c r="O15" s="108" cm="1">
        <f t="array" ref="O15">IFERROR(INDEX($AI$4:$AI$228,MATCH(LEFT($O$3,1)&amp;B15&amp;LEFT($K$2,2)&amp;$O$1,$AB$4:$AB$228&amp;$AC$4:$AC$228&amp;$AE$4:$AE$228&amp;$AF$4:$AF$228,0))," ")</f>
        <v>3094.1</v>
      </c>
      <c r="P15" s="260" cm="1">
        <f t="array" ref="P15">IFERROR(INDEX($AI$4:$AI$228,MATCH(LEFT($P$3,1)&amp;B15&amp;LEFT($K$2,2),$AB$4:$AB$228&amp;$AC$4:$AC$228&amp;$AE$4:$AE$228,0))," ")</f>
        <v>3538.83</v>
      </c>
      <c r="S15" s="727" t="s">
        <v>34</v>
      </c>
      <c r="T15" s="728"/>
      <c r="U15" s="728"/>
      <c r="V15" s="113">
        <v>61.97</v>
      </c>
      <c r="W15" s="101" t="s">
        <v>43</v>
      </c>
      <c r="X15" s="128">
        <f>'Vehicle Add-Ons'!D8</f>
        <v>66.63</v>
      </c>
      <c r="Y15" s="110">
        <f>(X15-V15)/V15</f>
        <v>7.5197676294981391E-2</v>
      </c>
      <c r="AB15" s="111" t="str">
        <f t="shared" si="4"/>
        <v>B</v>
      </c>
      <c r="AC15" s="88" t="str">
        <f t="shared" si="1"/>
        <v>04.0</v>
      </c>
      <c r="AD15" s="88" t="str">
        <f t="shared" si="2"/>
        <v>B</v>
      </c>
      <c r="AE15" s="88">
        <f t="shared" si="5"/>
        <v>2</v>
      </c>
      <c r="AF15" s="112" t="str">
        <f t="shared" si="6"/>
        <v xml:space="preserve"> </v>
      </c>
      <c r="AG15" s="106" t="s">
        <v>166</v>
      </c>
      <c r="AH15" s="257">
        <v>1130.92</v>
      </c>
      <c r="AI15" s="82">
        <f>INDEX('Model Calculator'!$AM$2:$AM$226,MATCH(AG15,'Model Calculator'!$A$2:$A$226,0))</f>
        <v>1232.3499999999999</v>
      </c>
      <c r="AJ15" s="110">
        <f t="shared" si="7"/>
        <v>8.9688041594453927E-2</v>
      </c>
    </row>
    <row r="16" spans="2:37" ht="15.75" thickBot="1">
      <c r="B16" s="81" t="s">
        <v>126</v>
      </c>
      <c r="C16" s="107" t="str" cm="1">
        <f t="array" ref="C16">IFERROR(INDEX($AI$4:$AI$228,MATCH(LEFT($C$3,1)&amp;B16&amp;LEFT($C$2,1),$AB$4:$AB$228&amp;$AC$4:$AC$208&amp;$AE$4:$AE$228,0))," ")</f>
        <v xml:space="preserve"> </v>
      </c>
      <c r="D16" s="109" t="str" cm="1">
        <f t="array" ref="D16">IFERROR(INDEX($AI$4:$AI$228,MATCH(LEFT($D$3,1)&amp;B16&amp;LEFT($C$2,1),$AB$4:$AB$228&amp;$AC$4:$AC$228&amp;$AE$4:$AE$228,0))," ")</f>
        <v xml:space="preserve"> </v>
      </c>
      <c r="E16" s="107" cm="1">
        <f t="array" ref="E16">IFERROR(INDEX($AI$4:$AI$228,MATCH(LEFT($E$3,1)&amp;B16&amp;LEFT($E$2,1),$AB$4:$AB$228&amp;$AC$4:$AC$208&amp;$AE$4:$AE$228,0))," ")</f>
        <v>2363</v>
      </c>
      <c r="F16" s="109" cm="1">
        <f t="array" ref="F16">IFERROR(INDEX($AI$4:$AI$228,MATCH(LEFT($F$3,1)&amp;B16&amp;LEFT($E$2,1),$AB$4:$AB$228&amp;$AC$4:$AC$228&amp;$AE$4:$AE$228,0))," ")</f>
        <v>2419.52</v>
      </c>
      <c r="G16" s="109" cm="1">
        <f t="array" ref="G16">IFERROR(INDEX($AI$4:$AI$228,MATCH(LEFT($G$3,1)&amp;B16&amp;LEFT($E$2,1)&amp;$G$1,$AB$4:$AB$228&amp;$AC$4:$AC$228&amp;$AE$4:$AE$228&amp;$AF$4:$AF$228,0))," ")</f>
        <v>2752.08</v>
      </c>
      <c r="H16" s="109" cm="1">
        <f t="array" ref="H16">IFERROR(INDEX($AI$4:$AI$228,MATCH(LEFT($H$3,1)&amp;B16&amp;LEFT($E$2,1)&amp;$H$1,$AB$4:$AB$228&amp;$AC$4:$AC$228&amp;$AE$4:$AE$228&amp;$AF$4:$AF$228,0))," ")</f>
        <v>2883.95</v>
      </c>
      <c r="I16" s="109" cm="1">
        <f t="array" ref="I16">IFERROR(INDEX($AI$4:$AI$228,MATCH(LEFT($I$3,1)&amp;B16&amp;LEFT($E$2,1)&amp;$I$1,$AB$4:$AB$228&amp;$AC$4:$AC$228&amp;$AE$4:$AE$228&amp;$AF$4:$AF$228,0))," ")</f>
        <v>3047.92</v>
      </c>
      <c r="J16" s="264" cm="1">
        <f t="array" ref="J16">IFERROR(INDEX($AI$4:$AI$228,MATCH(LEFT($J$3,1)&amp;B16&amp;LEFT($E$2,1),$AB$4:$AB$228&amp;$AC$4:$AC$228&amp;$AE$4:$AE$228,0))," ")</f>
        <v>3482.46</v>
      </c>
      <c r="K16" s="107" cm="1">
        <f t="array" ref="K16">IFERROR(INDEX($AI$4:$AI$228,MATCH(LEFT($K$3,1)&amp;B16&amp;LEFT($K$2,2),$AB$4:$AB$228&amp;$AC$4:$AC$228&amp;$AE$4:$AE$228,0))," ")</f>
        <v>2552.36</v>
      </c>
      <c r="L16" s="109" cm="1">
        <f t="array" ref="L16">IFERROR(INDEX($AI$4:$AI$228,MATCH(LEFT($L$3,1)&amp;B16&amp;LEFT($K$2,2),$AB$4:$AB$228&amp;$AC$4:$AC$228&amp;$AE$4:$AE$228,0))," ")</f>
        <v>2621.92</v>
      </c>
      <c r="M16" s="109" cm="1">
        <f t="array" ref="M16">IFERROR(INDEX($AI$4:$AI$228,MATCH(LEFT($M$3,1)&amp;B16&amp;LEFT($K$2,2)&amp;$M$1,$AB$4:$AB$228&amp;$AC$4:$AC$228&amp;$AE$4:$AE$228&amp;$AF$4:$AF$228,0))," ")</f>
        <v>2954.48</v>
      </c>
      <c r="N16" s="109" cm="1">
        <f t="array" ref="N16">IFERROR(INDEX($AI$4:$AI$228,MATCH(LEFT($N$3,1)&amp;B16&amp;LEFT($K$2,2)&amp;$N$1,$AB$4:$AB$228&amp;$AC$4:$AC$2028&amp;$AE$4:$AE$228&amp;$AF$4:$AF$228,0))," ")</f>
        <v>3086.34</v>
      </c>
      <c r="O16" s="108" cm="1">
        <f t="array" ref="O16">IFERROR(INDEX($AI$4:$AI$228,MATCH(LEFT($O$3,1)&amp;B16&amp;LEFT($K$2,2)&amp;$O$1,$AB$4:$AB$228&amp;$AC$4:$AC$228&amp;$AE$4:$AE$228&amp;$AF$4:$AF$228,0))," ")</f>
        <v>3250.32</v>
      </c>
      <c r="P16" s="260" cm="1">
        <f t="array" ref="P16">IFERROR(INDEX($AI$4:$AI$228,MATCH(LEFT($P$3,1)&amp;B16&amp;LEFT($K$2,2),$AB$4:$AB$228&amp;$AC$4:$AC$228&amp;$AE$4:$AE$228,0))," ")</f>
        <v>3698.36</v>
      </c>
      <c r="S16" s="721" t="s">
        <v>35</v>
      </c>
      <c r="T16" s="722"/>
      <c r="U16" s="722"/>
      <c r="V16" s="127">
        <v>82.05</v>
      </c>
      <c r="W16" s="115" t="s">
        <v>43</v>
      </c>
      <c r="X16" s="162">
        <f>'Vehicle Add-Ons'!D9</f>
        <v>87.38</v>
      </c>
      <c r="Y16" s="116">
        <f>(X16-V16)/V16</f>
        <v>6.4960390006093827E-2</v>
      </c>
      <c r="AB16" s="111" t="str">
        <f t="shared" si="4"/>
        <v>B</v>
      </c>
      <c r="AC16" s="88" t="str">
        <f t="shared" si="1"/>
        <v>04.5</v>
      </c>
      <c r="AD16" s="88" t="str">
        <f t="shared" si="2"/>
        <v>B</v>
      </c>
      <c r="AE16" s="88">
        <f t="shared" si="5"/>
        <v>2</v>
      </c>
      <c r="AF16" s="112" t="str">
        <f t="shared" si="6"/>
        <v xml:space="preserve"> </v>
      </c>
      <c r="AG16" s="106" t="s">
        <v>167</v>
      </c>
      <c r="AH16" s="257">
        <v>1232.67</v>
      </c>
      <c r="AI16" s="82">
        <f>INDEX('Model Calculator'!$AM$2:$AM$226,MATCH(AG16,'Model Calculator'!$A$2:$A$226,0))</f>
        <v>1345.22</v>
      </c>
      <c r="AJ16" s="110">
        <f t="shared" si="7"/>
        <v>9.1305864505504264E-2</v>
      </c>
    </row>
    <row r="17" spans="2:53" ht="15.75" thickBot="1">
      <c r="B17" s="81" t="s">
        <v>127</v>
      </c>
      <c r="C17" s="107" t="str" cm="1">
        <f t="array" ref="C17">IFERROR(INDEX($AI$4:$AI$228,MATCH(LEFT($C$3,1)&amp;B17&amp;LEFT($C$2,1),$AB$4:$AB$228&amp;$AC$4:$AC$208&amp;$AE$4:$AE$228,0))," ")</f>
        <v xml:space="preserve"> </v>
      </c>
      <c r="D17" s="109" t="str" cm="1">
        <f t="array" ref="D17">IFERROR(INDEX($AI$4:$AI$228,MATCH(LEFT($D$3,1)&amp;B17&amp;LEFT($C$2,1),$AB$4:$AB$228&amp;$AC$4:$AC$228&amp;$AE$4:$AE$228,0))," ")</f>
        <v xml:space="preserve"> </v>
      </c>
      <c r="E17" s="107" t="str" cm="1">
        <f t="array" ref="E17">IFERROR(INDEX($AI$4:$AI$228,MATCH(LEFT($E$3,1)&amp;B17&amp;LEFT($E$2,1),$AB$4:$AB$228&amp;$AC$4:$AC$208&amp;$AE$4:$AE$228,0))," ")</f>
        <v xml:space="preserve"> </v>
      </c>
      <c r="F17" s="109" cm="1">
        <f t="array" ref="F17">IFERROR(INDEX($AI$4:$AI$228,MATCH(LEFT($F$3,1)&amp;B17&amp;LEFT($E$2,1),$AB$4:$AB$228&amp;$AC$4:$AC$228&amp;$AE$4:$AE$228,0))," ")</f>
        <v>2534.46</v>
      </c>
      <c r="G17" s="109" cm="1">
        <f t="array" ref="G17">IFERROR(INDEX($AI$4:$AI$228,MATCH(LEFT($G$3,1)&amp;B17&amp;LEFT($E$2,1)&amp;$G$1,$AB$4:$AB$228&amp;$AC$4:$AC$228&amp;$AE$4:$AE$228&amp;$AF$4:$AF$228,0))," ")</f>
        <v>2888.87</v>
      </c>
      <c r="H17" s="109" cm="1">
        <f t="array" ref="H17">IFERROR(INDEX($AI$4:$AI$228,MATCH(LEFT($H$3,1)&amp;B17&amp;LEFT($E$2,1)&amp;$H$1,$AB$4:$AB$228&amp;$AC$4:$AC$228&amp;$AE$4:$AE$228&amp;$AF$4:$AF$228,0))," ")</f>
        <v>3029.39</v>
      </c>
      <c r="I17" s="109" cm="1">
        <f t="array" ref="I17">IFERROR(INDEX($AI$4:$AI$228,MATCH(LEFT($I$3,1)&amp;B17&amp;LEFT($E$2,1)&amp;$I$1,$AB$4:$AB$228&amp;$AC$4:$AC$228&amp;$AE$4:$AE$228&amp;$AF$4:$AF$228,0))," ")</f>
        <v>3204.14</v>
      </c>
      <c r="J17" s="264" cm="1">
        <f t="array" ref="J17">IFERROR(INDEX($AI$4:$AI$228,MATCH(LEFT($J$3,1)&amp;B17&amp;LEFT($E$2,1),$AB$4:$AB$228&amp;$AC$4:$AC$228&amp;$AE$4:$AE$228,0))," ")</f>
        <v>3639.33</v>
      </c>
      <c r="K17" s="107" cm="1">
        <f t="array" ref="K17">IFERROR(INDEX($AI$4:$AI$228,MATCH(LEFT($K$3,1)&amp;B17&amp;LEFT($K$2,2),$AB$4:$AB$228&amp;$AC$4:$AC$228&amp;$AE$4:$AE$228,0))," ")</f>
        <v>2665.24</v>
      </c>
      <c r="L17" s="109" cm="1">
        <f t="array" ref="L17">IFERROR(INDEX($AI$4:$AI$228,MATCH(LEFT($L$3,1)&amp;B17&amp;LEFT($K$2,2),$AB$4:$AB$228&amp;$AC$4:$AC$228&amp;$AE$4:$AE$228,0))," ")</f>
        <v>2736.86</v>
      </c>
      <c r="M17" s="109" cm="1">
        <f t="array" ref="M17">IFERROR(INDEX($AI$4:$AI$228,MATCH(LEFT($M$3,1)&amp;B17&amp;LEFT($K$2,2)&amp;$M$1,$AB$4:$AB$228&amp;$AC$4:$AC$228&amp;$AE$4:$AE$228&amp;$AF$4:$AF$228,0))," ")</f>
        <v>3091.26</v>
      </c>
      <c r="N17" s="109" cm="1">
        <f t="array" ref="N17">IFERROR(INDEX($AI$4:$AI$228,MATCH(LEFT($N$3,1)&amp;B17&amp;LEFT($K$2,2)&amp;$N$1,$AB$4:$AB$228&amp;$AC$4:$AC$2028&amp;$AE$4:$AE$228&amp;$AF$4:$AF$228,0))," ")</f>
        <v>3231.79</v>
      </c>
      <c r="O17" s="108" cm="1">
        <f t="array" ref="O17">IFERROR(INDEX($AI$4:$AI$228,MATCH(LEFT($O$3,1)&amp;B17&amp;LEFT($K$2,2)&amp;$O$1,$AB$4:$AB$228&amp;$AC$4:$AC$228&amp;$AE$4:$AE$228&amp;$AF$4:$AF$228,0))," ")</f>
        <v>3406.53</v>
      </c>
      <c r="P17" s="260" cm="1">
        <f t="array" ref="P17">IFERROR(INDEX($AI$4:$AI$228,MATCH(LEFT($P$3,1)&amp;B17&amp;LEFT($K$2,2),$AB$4:$AB$228&amp;$AC$4:$AC$228&amp;$AE$4:$AE$228,0))," ")</f>
        <v>3855.23</v>
      </c>
      <c r="S17" s="130"/>
      <c r="T17" s="120"/>
      <c r="U17" s="121"/>
      <c r="V17" s="120"/>
      <c r="W17" s="120"/>
      <c r="Y17" s="88"/>
      <c r="AB17" s="111" t="str">
        <f t="shared" si="4"/>
        <v>B</v>
      </c>
      <c r="AC17" s="88" t="str">
        <f t="shared" si="1"/>
        <v>05.0</v>
      </c>
      <c r="AD17" s="88" t="str">
        <f t="shared" si="2"/>
        <v>B</v>
      </c>
      <c r="AE17" s="88">
        <f t="shared" si="5"/>
        <v>2</v>
      </c>
      <c r="AF17" s="112" t="str">
        <f t="shared" si="6"/>
        <v xml:space="preserve"> </v>
      </c>
      <c r="AG17" s="106" t="s">
        <v>168</v>
      </c>
      <c r="AH17" s="257">
        <v>1334.43</v>
      </c>
      <c r="AI17" s="82">
        <f>INDEX('Model Calculator'!$AM$2:$AM$226,MATCH(AG17,'Model Calculator'!$A$2:$A$226,0))</f>
        <v>1458.09</v>
      </c>
      <c r="AJ17" s="110">
        <f t="shared" si="7"/>
        <v>9.2668779928508693E-2</v>
      </c>
    </row>
    <row r="18" spans="2:53" ht="30.75" thickBot="1">
      <c r="B18" s="81" t="s">
        <v>128</v>
      </c>
      <c r="C18" s="107" t="str" cm="1">
        <f t="array" ref="C18">IFERROR(INDEX($AI$4:$AI$228,MATCH(LEFT($C$3,1)&amp;B18&amp;LEFT($C$2,1),$AB$4:$AB$228&amp;$AC$4:$AC$208&amp;$AE$4:$AE$228,0))," ")</f>
        <v xml:space="preserve"> </v>
      </c>
      <c r="D18" s="109" t="str" cm="1">
        <f t="array" ref="D18">IFERROR(INDEX($AI$4:$AI$228,MATCH(LEFT($D$3,1)&amp;B18&amp;LEFT($C$2,1),$AB$4:$AB$228&amp;$AC$4:$AC$228&amp;$AE$4:$AE$228,0))," ")</f>
        <v xml:space="preserve"> </v>
      </c>
      <c r="E18" s="107" t="str" cm="1">
        <f t="array" ref="E18">IFERROR(INDEX($AI$4:$AI$228,MATCH(LEFT($E$3,1)&amp;B18&amp;LEFT($E$2,1),$AB$4:$AB$228&amp;$AC$4:$AC$208&amp;$AE$4:$AE$228,0))," ")</f>
        <v xml:space="preserve"> </v>
      </c>
      <c r="F18" s="109" cm="1">
        <f t="array" ref="F18">IFERROR(INDEX($AI$4:$AI$228,MATCH(LEFT($F$3,1)&amp;B18&amp;LEFT($E$2,1),$AB$4:$AB$228&amp;$AC$4:$AC$228&amp;$AE$4:$AE$228,0))," ")</f>
        <v>2649.41</v>
      </c>
      <c r="G18" s="109" cm="1">
        <f t="array" ref="G18">IFERROR(INDEX($AI$4:$AI$228,MATCH(LEFT($G$3,1)&amp;B18&amp;LEFT($E$2,1)&amp;$G$1,$AB$4:$AB$228&amp;$AC$4:$AC$228&amp;$AE$4:$AE$228&amp;$AF$4:$AF$228,0))," ")</f>
        <v>3025.65</v>
      </c>
      <c r="H18" s="109" cm="1">
        <f t="array" ref="H18">IFERROR(INDEX($AI$4:$AI$228,MATCH(LEFT($H$3,1)&amp;B18&amp;LEFT($E$2,1)&amp;$H$1,$AB$4:$AB$228&amp;$AC$4:$AC$228&amp;$AE$4:$AE$228&amp;$AF$4:$AF$228,0))," ")</f>
        <v>3174.84</v>
      </c>
      <c r="I18" s="109" cm="1">
        <f t="array" ref="I18">IFERROR(INDEX($AI$4:$AI$228,MATCH(LEFT($I$3,1)&amp;B18&amp;LEFT($E$2,1)&amp;$I$1,$AB$4:$AB$228&amp;$AC$4:$AC$228&amp;$AE$4:$AE$228&amp;$AF$4:$AF$228,0))," ")</f>
        <v>3360.35</v>
      </c>
      <c r="J18" s="264" cm="1">
        <f t="array" ref="J18">IFERROR(INDEX($AI$4:$AI$228,MATCH(LEFT($J$3,1)&amp;B18&amp;LEFT($E$2,1),$AB$4:$AB$228&amp;$AC$4:$AC$228&amp;$AE$4:$AE$228,0))," ")</f>
        <v>3798.87</v>
      </c>
      <c r="K18" s="107" cm="1">
        <f t="array" ref="K18">IFERROR(INDEX($AI$4:$AI$228,MATCH(LEFT($K$3,1)&amp;B18&amp;LEFT($K$2,2),$AB$4:$AB$228&amp;$AC$4:$AC$228&amp;$AE$4:$AE$228,0))," ")</f>
        <v>2778.11</v>
      </c>
      <c r="L18" s="109" cm="1">
        <f t="array" ref="L18">IFERROR(INDEX($AI$4:$AI$228,MATCH(LEFT($L$3,1)&amp;B18&amp;LEFT($K$2,2),$AB$4:$AB$228&amp;$AC$4:$AC$228&amp;$AE$4:$AE$228,0))," ")</f>
        <v>2851.8</v>
      </c>
      <c r="M18" s="109" cm="1">
        <f t="array" ref="M18">IFERROR(INDEX($AI$4:$AI$228,MATCH(LEFT($M$3,1)&amp;B18&amp;LEFT($K$2,2)&amp;$M$1,$AB$4:$AB$228&amp;$AC$4:$AC$228&amp;$AE$4:$AE$228&amp;$AF$4:$AF$228,0))," ")</f>
        <v>3228.05</v>
      </c>
      <c r="N18" s="109" cm="1">
        <f t="array" ref="N18">IFERROR(INDEX($AI$4:$AI$228,MATCH(LEFT($N$3,1)&amp;B18&amp;LEFT($K$2,2)&amp;$N$1,$AB$4:$AB$228&amp;$AC$4:$AC$2028&amp;$AE$4:$AE$228&amp;$AF$4:$AF$228,0))," ")</f>
        <v>3377.24</v>
      </c>
      <c r="O18" s="108" cm="1">
        <f t="array" ref="O18">IFERROR(INDEX($AI$4:$AI$228,MATCH(LEFT($O$3,1)&amp;B18&amp;LEFT($K$2,2)&amp;$O$1,$AB$4:$AB$228&amp;$AC$4:$AC$228&amp;$AE$4:$AE$228&amp;$AF$4:$AF$228,0))," ")</f>
        <v>3562.75</v>
      </c>
      <c r="P18" s="260" cm="1">
        <f t="array" ref="P18">IFERROR(INDEX($AI$4:$AI$228,MATCH(LEFT($P$3,1)&amp;B18&amp;LEFT($K$2,2),$AB$4:$AB$228&amp;$AC$4:$AC$228&amp;$AE$4:$AE$228,0))," ")</f>
        <v>4014.76</v>
      </c>
      <c r="S18" s="723" t="s">
        <v>44</v>
      </c>
      <c r="T18" s="724"/>
      <c r="U18" s="724"/>
      <c r="V18" s="91" t="s">
        <v>149</v>
      </c>
      <c r="W18" s="92" t="s">
        <v>28</v>
      </c>
      <c r="X18" s="93" t="s">
        <v>746</v>
      </c>
      <c r="Y18" s="94" t="s">
        <v>360</v>
      </c>
      <c r="AB18" s="111" t="str">
        <f t="shared" si="4"/>
        <v>B</v>
      </c>
      <c r="AC18" s="88" t="str">
        <f t="shared" si="1"/>
        <v>05.5</v>
      </c>
      <c r="AD18" s="88" t="str">
        <f t="shared" si="2"/>
        <v>B</v>
      </c>
      <c r="AE18" s="88">
        <f t="shared" si="5"/>
        <v>2</v>
      </c>
      <c r="AF18" s="112" t="str">
        <f t="shared" si="6"/>
        <v xml:space="preserve"> </v>
      </c>
      <c r="AG18" s="106" t="s">
        <v>169</v>
      </c>
      <c r="AH18" s="257">
        <v>1436.18</v>
      </c>
      <c r="AI18" s="82">
        <f>INDEX('Model Calculator'!$AM$2:$AM$226,MATCH(AG18,'Model Calculator'!$A$2:$A$226,0))</f>
        <v>1570.96</v>
      </c>
      <c r="AJ18" s="110">
        <f t="shared" si="7"/>
        <v>9.3846175270509244E-2</v>
      </c>
    </row>
    <row r="19" spans="2:53">
      <c r="B19" s="86">
        <v>10.5</v>
      </c>
      <c r="C19" s="107" t="str" cm="1">
        <f t="array" ref="C19">IFERROR(INDEX($AI$4:$AI$228,MATCH(LEFT($C$3,1)&amp;B19&amp;LEFT($C$2,1),$AB$4:$AB$228&amp;$AC$4:$AC$208&amp;$AE$4:$AE$228,0))," ")</f>
        <v xml:space="preserve"> </v>
      </c>
      <c r="D19" s="109" t="str" cm="1">
        <f t="array" ref="D19">IFERROR(INDEX($AI$4:$AI$228,MATCH(LEFT($D$3,1)&amp;B19&amp;LEFT($C$2,1),$AB$4:$AB$228&amp;$AC$4:$AC$228&amp;$AE$4:$AE$228,0))," ")</f>
        <v xml:space="preserve"> </v>
      </c>
      <c r="E19" s="107" t="str" cm="1">
        <f t="array" ref="E19">IFERROR(INDEX($AI$4:$AI$228,MATCH(LEFT($E$3,1)&amp;B19&amp;LEFT($E$2,1),$AB$4:$AB$228&amp;$AC$4:$AC$208&amp;$AE$4:$AE$228,0))," ")</f>
        <v xml:space="preserve"> </v>
      </c>
      <c r="F19" s="109" cm="1">
        <f t="array" ref="F19">IFERROR(INDEX($AI$4:$AI$228,MATCH(LEFT($F$3,1)&amp;B19&amp;LEFT($E$2,1),$AB$4:$AB$228&amp;$AC$4:$AC$228&amp;$AE$4:$AE$228,0))," ")</f>
        <v>2764.35</v>
      </c>
      <c r="G19" s="109" cm="1">
        <f t="array" ref="G19">IFERROR(INDEX($AI$4:$AI$228,MATCH(LEFT($G$3,1)&amp;B19&amp;LEFT($E$2,1)&amp;$G$1,$AB$4:$AB$228&amp;$AC$4:$AC$228&amp;$AE$4:$AE$228&amp;$AF$4:$AF$228,0))," ")</f>
        <v>3162.44</v>
      </c>
      <c r="H19" s="109" cm="1">
        <f t="array" ref="H19">IFERROR(INDEX($AI$4:$AI$228,MATCH(LEFT($H$3,1)&amp;B19&amp;LEFT($E$2,1)&amp;$H$1,$AB$4:$AB$228&amp;$AC$4:$AC$228&amp;$AE$4:$AE$228&amp;$AF$4:$AF$228,0))," ")</f>
        <v>3320.29</v>
      </c>
      <c r="I19" s="109" cm="1">
        <f t="array" ref="I19">IFERROR(INDEX($AI$4:$AI$228,MATCH(LEFT($I$3,1)&amp;B19&amp;LEFT($E$2,1)&amp;$I$1,$AB$4:$AB$228&amp;$AC$4:$AC$228&amp;$AE$4:$AE$228&amp;$AF$4:$AF$228,0))," ")</f>
        <v>3516.57</v>
      </c>
      <c r="J19" s="264" cm="1">
        <f t="array" ref="J19">IFERROR(INDEX($AI$4:$AI$228,MATCH(LEFT($J$3,1)&amp;B19&amp;LEFT($E$2,1),$AB$4:$AB$228&amp;$AC$4:$AC$228&amp;$AE$4:$AE$228,0))," ")</f>
        <v>3955.74</v>
      </c>
      <c r="K19" s="107" cm="1">
        <f t="array" ref="K19">IFERROR(INDEX($AI$4:$AI$228,MATCH(LEFT($K$3,1)&amp;B19&amp;LEFT($K$2,2),$AB$4:$AB$228&amp;$AC$4:$AC$228&amp;$AE$4:$AE$228,0))," ")</f>
        <v>2890.98</v>
      </c>
      <c r="L19" s="109" cm="1">
        <f t="array" ref="L19">IFERROR(INDEX($AI$4:$AI$228,MATCH(LEFT($L$3,1)&amp;B19&amp;LEFT($K$2,2),$AB$4:$AB$228&amp;$AC$4:$AC$228&amp;$AE$4:$AE$228,0))," ")</f>
        <v>2966.74</v>
      </c>
      <c r="M19" s="109" cm="1">
        <f t="array" ref="M19">IFERROR(INDEX($AI$4:$AI$228,MATCH(LEFT($M$3,1)&amp;B19&amp;LEFT($K$2,2)&amp;$M$1,$AB$4:$AB$228&amp;$AC$4:$AC$228&amp;$AE$4:$AE$228&amp;$AF$4:$AF$228,0))," ")</f>
        <v>3364.83</v>
      </c>
      <c r="N19" s="109" cm="1">
        <f t="array" ref="N19">IFERROR(INDEX($AI$4:$AI$228,MATCH(LEFT($N$3,1)&amp;B19&amp;LEFT($K$2,2)&amp;$N$1,$AB$4:$AB$228&amp;$AC$4:$AC$2028&amp;$AE$4:$AE$228&amp;$AF$4:$AF$228,0))," ")</f>
        <v>3522.68</v>
      </c>
      <c r="O19" s="108" cm="1">
        <f t="array" ref="O19">IFERROR(INDEX($AI$4:$AI$228,MATCH(LEFT($O$3,1)&amp;B19&amp;LEFT($K$2,2)&amp;$O$1,$AB$4:$AB$228&amp;$AC$4:$AC$228&amp;$AE$4:$AE$228&amp;$AF$4:$AF$228,0))," ")</f>
        <v>3718.97</v>
      </c>
      <c r="P19" s="260" cm="1">
        <f t="array" ref="P19">IFERROR(INDEX($AI$4:$AI$228,MATCH(LEFT($P$3,1)&amp;B19&amp;LEFT($K$2,2),$AB$4:$AB$228&amp;$AC$4:$AC$228&amp;$AE$4:$AE$228,0))," ")</f>
        <v>4171.6400000000003</v>
      </c>
      <c r="S19" s="745" t="s">
        <v>37</v>
      </c>
      <c r="T19" s="746"/>
      <c r="U19" s="746"/>
      <c r="V19" s="113">
        <v>13</v>
      </c>
      <c r="W19" s="101" t="s">
        <v>43</v>
      </c>
      <c r="X19" s="122">
        <f>'Vehicle Add-Ons'!J4</f>
        <v>16.770000000000003</v>
      </c>
      <c r="Y19" s="102">
        <f t="shared" ref="Y19:Y24" si="8">(X19-V19)/V19</f>
        <v>0.29000000000000026</v>
      </c>
      <c r="AB19" s="111" t="str">
        <f t="shared" si="4"/>
        <v>B</v>
      </c>
      <c r="AC19" s="88" t="str">
        <f t="shared" si="1"/>
        <v>06.0</v>
      </c>
      <c r="AD19" s="88" t="str">
        <f t="shared" si="2"/>
        <v>B</v>
      </c>
      <c r="AE19" s="88">
        <f t="shared" si="5"/>
        <v>2</v>
      </c>
      <c r="AF19" s="112" t="str">
        <f t="shared" si="6"/>
        <v xml:space="preserve"> </v>
      </c>
      <c r="AG19" s="106" t="s">
        <v>170</v>
      </c>
      <c r="AH19" s="257">
        <v>1537.94</v>
      </c>
      <c r="AI19" s="82">
        <f>INDEX('Model Calculator'!$AM$2:$AM$226,MATCH(AG19,'Model Calculator'!$A$2:$A$226,0))</f>
        <v>1685.78</v>
      </c>
      <c r="AJ19" s="110">
        <f t="shared" si="7"/>
        <v>9.612858759119336E-2</v>
      </c>
    </row>
    <row r="20" spans="2:53">
      <c r="B20" s="81" t="s">
        <v>129</v>
      </c>
      <c r="C20" s="107" t="str" cm="1">
        <f t="array" ref="C20">IFERROR(INDEX($AI$4:$AI$228,MATCH(LEFT($C$3,1)&amp;B20&amp;LEFT($C$2,1),$AB$4:$AB$228&amp;$AC$4:$AC$208&amp;$AE$4:$AE$228,0))," ")</f>
        <v xml:space="preserve"> </v>
      </c>
      <c r="D20" s="109" t="str" cm="1">
        <f t="array" ref="D20">IFERROR(INDEX($AI$4:$AI$228,MATCH(LEFT($D$3,1)&amp;B20&amp;LEFT($C$2,1),$AB$4:$AB$228&amp;$AC$4:$AC$228&amp;$AE$4:$AE$228,0))," ")</f>
        <v xml:space="preserve"> </v>
      </c>
      <c r="E20" s="107" t="str" cm="1">
        <f t="array" ref="E20">IFERROR(INDEX($AI$4:$AI$228,MATCH(LEFT($E$3,1)&amp;B20&amp;LEFT($E$2,1),$AB$4:$AB$228&amp;$AC$4:$AC$208&amp;$AE$4:$AE$228,0))," ")</f>
        <v xml:space="preserve"> </v>
      </c>
      <c r="F20" s="109" cm="1">
        <f t="array" ref="F20">IFERROR(INDEX($AI$4:$AI$228,MATCH(LEFT($F$3,1)&amp;B20&amp;LEFT($E$2,1),$AB$4:$AB$228&amp;$AC$4:$AC$228&amp;$AE$4:$AE$228,0))," ")</f>
        <v>2881.27</v>
      </c>
      <c r="G20" s="109" cm="1">
        <f t="array" ref="G20">IFERROR(INDEX($AI$4:$AI$228,MATCH(LEFT($G$3,1)&amp;B20&amp;LEFT($E$2,1)&amp;$G$1,$AB$4:$AB$228&amp;$AC$4:$AC$228&amp;$AE$4:$AE$228&amp;$AF$4:$AF$228,0))," ")</f>
        <v>3301.58</v>
      </c>
      <c r="H20" s="109" cm="1">
        <f t="array" ref="H20">IFERROR(INDEX($AI$4:$AI$228,MATCH(LEFT($H$3,1)&amp;B20&amp;LEFT($E$2,1)&amp;$H$1,$AB$4:$AB$228&amp;$AC$4:$AC$228&amp;$AE$4:$AE$228&amp;$AF$4:$AF$228,0))," ")</f>
        <v>3468.24</v>
      </c>
      <c r="I20" s="109" cm="1">
        <f t="array" ref="I20">IFERROR(INDEX($AI$4:$AI$228,MATCH(LEFT($I$3,1)&amp;B20&amp;LEFT($E$2,1)&amp;$I$1,$AB$4:$AB$228&amp;$AC$4:$AC$228&amp;$AE$4:$AE$228&amp;$AF$4:$AF$228,0))," ")</f>
        <v>3675.48</v>
      </c>
      <c r="J20" s="264" cm="1">
        <f t="array" ref="J20">IFERROR(INDEX($AI$4:$AI$228,MATCH(LEFT($J$3,1)&amp;B20&amp;LEFT($E$2,1),$AB$4:$AB$228&amp;$AC$4:$AC$228&amp;$AE$4:$AE$228,0))," ")</f>
        <v>4112.6099999999997</v>
      </c>
      <c r="K20" s="107" cm="1">
        <f t="array" ref="K20">IFERROR(INDEX($AI$4:$AI$228,MATCH(LEFT($K$3,1)&amp;B20&amp;LEFT($K$2,2),$AB$4:$AB$228&amp;$AC$4:$AC$228&amp;$AE$4:$AE$228,0))," ")</f>
        <v>3005.79</v>
      </c>
      <c r="L20" s="109" cm="1">
        <f t="array" ref="L20">IFERROR(INDEX($AI$4:$AI$228,MATCH(LEFT($L$3,1)&amp;B20&amp;LEFT($K$2,2),$AB$4:$AB$228&amp;$AC$4:$AC$228&amp;$AE$4:$AE$228,0))," ")</f>
        <v>3083.67</v>
      </c>
      <c r="M20" s="109" cm="1">
        <f t="array" ref="M20">IFERROR(INDEX($AI$4:$AI$228,MATCH(LEFT($M$3,1)&amp;B20&amp;LEFT($K$2,2)&amp;$M$1,$AB$4:$AB$228&amp;$AC$4:$AC$228&amp;$AE$4:$AE$228&amp;$AF$4:$AF$228,0))," ")</f>
        <v>3503.98</v>
      </c>
      <c r="N20" s="109" cm="1">
        <f t="array" ref="N20">IFERROR(INDEX($AI$4:$AI$228,MATCH(LEFT($N$3,1)&amp;B20&amp;LEFT($K$2,2)&amp;$N$1,$AB$4:$AB$228&amp;$AC$4:$AC$2028&amp;$AE$4:$AE$228&amp;$AF$4:$AF$228,0))," ")</f>
        <v>3670.64</v>
      </c>
      <c r="O20" s="108" cm="1">
        <f t="array" ref="O20">IFERROR(INDEX($AI$4:$AI$228,MATCH(LEFT($O$3,1)&amp;B20&amp;LEFT($K$2,2)&amp;$O$1,$AB$4:$AB$228&amp;$AC$4:$AC$228&amp;$AE$4:$AE$228&amp;$AF$4:$AF$228,0))," ")</f>
        <v>3877.88</v>
      </c>
      <c r="P20" s="260" cm="1">
        <f t="array" ref="P20">IFERROR(INDEX($AI$4:$AI$228,MATCH(LEFT($P$3,1)&amp;B20&amp;LEFT($K$2,2),$AB$4:$AB$228&amp;$AC$4:$AC$228&amp;$AE$4:$AE$228,0))," ")</f>
        <v>4328.51</v>
      </c>
      <c r="S20" s="748" t="s">
        <v>38</v>
      </c>
      <c r="T20" s="749"/>
      <c r="U20" s="749"/>
      <c r="V20" s="113">
        <v>24.769999999999996</v>
      </c>
      <c r="W20" s="101" t="s">
        <v>43</v>
      </c>
      <c r="X20" s="128">
        <f>'Vehicle Add-Ons'!J5</f>
        <v>29.759999999999998</v>
      </c>
      <c r="Y20" s="110">
        <f t="shared" si="8"/>
        <v>0.20145337101332267</v>
      </c>
      <c r="AB20" s="111" t="str">
        <f t="shared" si="4"/>
        <v>B</v>
      </c>
      <c r="AC20" s="88" t="str">
        <f t="shared" si="1"/>
        <v>06.5</v>
      </c>
      <c r="AD20" s="88" t="str">
        <f t="shared" si="2"/>
        <v>B</v>
      </c>
      <c r="AE20" s="88">
        <f t="shared" si="5"/>
        <v>2</v>
      </c>
      <c r="AF20" s="112" t="str">
        <f t="shared" si="6"/>
        <v xml:space="preserve"> </v>
      </c>
      <c r="AG20" s="106" t="s">
        <v>171</v>
      </c>
      <c r="AH20" s="257">
        <v>1639.69</v>
      </c>
      <c r="AI20" s="82">
        <f>INDEX('Model Calculator'!$AM$2:$AM$226,MATCH(AG20,'Model Calculator'!$A$2:$A$226,0))</f>
        <v>1798.65</v>
      </c>
      <c r="AJ20" s="110">
        <f t="shared" si="7"/>
        <v>9.6945154266965122E-2</v>
      </c>
    </row>
    <row r="21" spans="2:53">
      <c r="B21" s="81">
        <v>11.5</v>
      </c>
      <c r="C21" s="107" t="str" cm="1">
        <f t="array" ref="C21">IFERROR(INDEX($AI$4:$AI$228,MATCH(LEFT($C$3,1)&amp;B21&amp;LEFT($C$2,1),$AB$4:$AB$228&amp;$AC$4:$AC$208&amp;$AE$4:$AE$228,0))," ")</f>
        <v xml:space="preserve"> </v>
      </c>
      <c r="D21" s="109" t="str" cm="1">
        <f t="array" ref="D21">IFERROR(INDEX($AI$4:$AI$228,MATCH(LEFT($D$3,1)&amp;B21&amp;LEFT($C$2,1),$AB$4:$AB$228&amp;$AC$4:$AC$228&amp;$AE$4:$AE$228,0))," ")</f>
        <v xml:space="preserve"> </v>
      </c>
      <c r="E21" s="107" t="str" cm="1">
        <f t="array" ref="E21">IFERROR(INDEX($AI$4:$AI$228,MATCH(LEFT($E$3,1)&amp;B21&amp;LEFT($E$2,1),$AB$4:$AB$228&amp;$AC$4:$AC$208&amp;$AE$4:$AE$228,0))," ")</f>
        <v xml:space="preserve"> </v>
      </c>
      <c r="F21" s="109" t="str" cm="1">
        <f t="array" ref="F21">IFERROR(INDEX($AI$4:$AI$228,MATCH(LEFT($F$3,1)&amp;B21&amp;LEFT($E$2,1),$AB$4:$AB$228&amp;$AC$4:$AC$228&amp;$AE$4:$AE$228,0))," ")</f>
        <v xml:space="preserve"> </v>
      </c>
      <c r="G21" s="109" t="str" cm="1">
        <f t="array" ref="G21">IFERROR(INDEX($AI$4:$AI$228,MATCH(LEFT($G$3,1)&amp;B21&amp;LEFT($E$2,1)&amp;$G$1,$AB$4:$AB$228&amp;$AC$4:$AC$228&amp;$AE$4:$AE$228&amp;$AF$4:$AF$228,0))," ")</f>
        <v xml:space="preserve"> </v>
      </c>
      <c r="H21" s="109" t="str" cm="1">
        <f t="array" ref="H21">IFERROR(INDEX($AI$4:$AI$228,MATCH(LEFT($H$3,1)&amp;B21&amp;LEFT($E$2,1)&amp;$H$1,$AB$4:$AB$228&amp;$AC$4:$AC$228&amp;$AE$4:$AE$228&amp;$AF$4:$AF$228,0))," ")</f>
        <v xml:space="preserve"> </v>
      </c>
      <c r="I21" s="109" t="str" cm="1">
        <f t="array" ref="I21">IFERROR(INDEX($AI$4:$AI$228,MATCH(LEFT($I$3,1)&amp;B21&amp;LEFT($E$2,1)&amp;$I$1,$AB$4:$AB$228&amp;$AC$4:$AC$228&amp;$AE$4:$AE$228&amp;$AF$4:$AF$228,0))," ")</f>
        <v xml:space="preserve"> </v>
      </c>
      <c r="J21" s="264" t="str" cm="1">
        <f t="array" ref="J21">IFERROR(INDEX($AI$4:$AI$228,MATCH(LEFT($J$3,1)&amp;B21&amp;LEFT($E$2,1),$AB$4:$AB$228&amp;$AC$4:$AC$228&amp;$AE$4:$AE$228,0))," ")</f>
        <v xml:space="preserve"> </v>
      </c>
      <c r="K21" s="107" cm="1">
        <f t="array" ref="K21">IFERROR(INDEX($AI$4:$AI$228,MATCH(LEFT($K$3,1)&amp;B21&amp;LEFT($K$2,2),$AB$4:$AB$228&amp;$AC$4:$AC$228&amp;$AE$4:$AE$228,0))," ")</f>
        <v>3118.66</v>
      </c>
      <c r="L21" s="109" cm="1">
        <f t="array" ref="L21">IFERROR(INDEX($AI$4:$AI$228,MATCH(LEFT($L$3,1)&amp;B21&amp;LEFT($K$2,2),$AB$4:$AB$228&amp;$AC$4:$AC$228&amp;$AE$4:$AE$228,0))," ")</f>
        <v>3198.61</v>
      </c>
      <c r="M21" s="109" cm="1">
        <f t="array" ref="M21">IFERROR(INDEX($AI$4:$AI$228,MATCH(LEFT($M$3,1)&amp;B21&amp;LEFT($K$2,2)&amp;$M$1,$AB$4:$AB$228&amp;$AC$4:$AC$228&amp;$AE$4:$AE$228&amp;$AF$4:$AF$228,0))," ")</f>
        <v>3640.76</v>
      </c>
      <c r="N21" s="109" cm="1">
        <f t="array" ref="N21">IFERROR(INDEX($AI$4:$AI$228,MATCH(LEFT($N$3,1)&amp;B21&amp;LEFT($K$2,2)&amp;$N$1,$AB$4:$AB$228&amp;$AC$4:$AC$2028&amp;$AE$4:$AE$228&amp;$AF$4:$AF$228,0))," ")</f>
        <v>3816.08</v>
      </c>
      <c r="O21" s="108" cm="1">
        <f t="array" ref="O21">IFERROR(INDEX($AI$4:$AI$228,MATCH(LEFT($O$3,1)&amp;B21&amp;LEFT($K$2,2)&amp;$O$1,$AB$4:$AB$228&amp;$AC$4:$AC$228&amp;$AE$4:$AE$228&amp;$AF$4:$AF$228,0))," ")</f>
        <v>4034.1</v>
      </c>
      <c r="P21" s="260" cm="1">
        <f t="array" ref="P21">IFERROR(INDEX($AI$4:$AI$228,MATCH(LEFT($P$3,1)&amp;B21&amp;LEFT($K$2,2),$AB$4:$AB$228&amp;$AC$4:$AC$228&amp;$AE$4:$AE$228,0))," ")</f>
        <v>4488.04</v>
      </c>
      <c r="S21" s="748" t="s">
        <v>39</v>
      </c>
      <c r="T21" s="749"/>
      <c r="U21" s="749"/>
      <c r="V21" s="113">
        <v>44.849999999999994</v>
      </c>
      <c r="W21" s="101" t="s">
        <v>43</v>
      </c>
      <c r="X21" s="128">
        <f>'Vehicle Add-Ons'!J6</f>
        <v>50.51</v>
      </c>
      <c r="Y21" s="110">
        <f t="shared" si="8"/>
        <v>0.12619843924191759</v>
      </c>
      <c r="AB21" s="111" t="str">
        <f t="shared" si="4"/>
        <v>B</v>
      </c>
      <c r="AC21" s="88" t="str">
        <f t="shared" si="1"/>
        <v>07.0</v>
      </c>
      <c r="AD21" s="88" t="str">
        <f t="shared" si="2"/>
        <v>B</v>
      </c>
      <c r="AE21" s="88">
        <f t="shared" si="5"/>
        <v>2</v>
      </c>
      <c r="AF21" s="112" t="str">
        <f t="shared" si="6"/>
        <v xml:space="preserve"> </v>
      </c>
      <c r="AG21" s="106" t="s">
        <v>172</v>
      </c>
      <c r="AH21" s="257">
        <v>1739.69</v>
      </c>
      <c r="AI21" s="82">
        <f>INDEX('Model Calculator'!$AM$2:$AM$226,MATCH(AG21,'Model Calculator'!$A$2:$A$226,0))</f>
        <v>1911.52</v>
      </c>
      <c r="AJ21" s="110">
        <f t="shared" si="7"/>
        <v>9.8770470601084057E-2</v>
      </c>
    </row>
    <row r="22" spans="2:53">
      <c r="B22" s="81" t="s">
        <v>130</v>
      </c>
      <c r="C22" s="107" t="str" cm="1">
        <f t="array" ref="C22">IFERROR(INDEX($AI$4:$AI$228,MATCH(LEFT($C$3,1)&amp;B22&amp;LEFT($C$2,1),$AB$4:$AB$228&amp;$AC$4:$AC$208&amp;$AE$4:$AE$228,0))," ")</f>
        <v xml:space="preserve"> </v>
      </c>
      <c r="D22" s="109" t="str" cm="1">
        <f t="array" ref="D22">IFERROR(INDEX($AI$4:$AI$228,MATCH(LEFT($D$3,1)&amp;B22&amp;LEFT($C$2,1),$AB$4:$AB$228&amp;$AC$4:$AC$228&amp;$AE$4:$AE$228,0))," ")</f>
        <v xml:space="preserve"> </v>
      </c>
      <c r="E22" s="107" t="str" cm="1">
        <f t="array" ref="E22">IFERROR(INDEX($AI$4:$AI$228,MATCH(LEFT($E$3,1)&amp;B22&amp;LEFT($E$2,1),$AB$4:$AB$228&amp;$AC$4:$AC$208&amp;$AE$4:$AE$228,0))," ")</f>
        <v xml:space="preserve"> </v>
      </c>
      <c r="F22" s="109" t="str" cm="1">
        <f t="array" ref="F22">IFERROR(INDEX($AI$4:$AI$228,MATCH(LEFT($F$3,1)&amp;B22&amp;LEFT($E$2,1),$AB$4:$AB$228&amp;$AC$4:$AC$228&amp;$AE$4:$AE$228,0))," ")</f>
        <v xml:space="preserve"> </v>
      </c>
      <c r="G22" s="109" t="str" cm="1">
        <f t="array" ref="G22">IFERROR(INDEX($AI$4:$AI$228,MATCH(LEFT($G$3,1)&amp;B22&amp;LEFT($E$2,1)&amp;$G$1,$AB$4:$AB$228&amp;$AC$4:$AC$228&amp;$AE$4:$AE$228&amp;$AF$4:$AF$228,0))," ")</f>
        <v xml:space="preserve"> </v>
      </c>
      <c r="H22" s="109" t="str" cm="1">
        <f t="array" ref="H22">IFERROR(INDEX($AI$4:$AI$228,MATCH(LEFT($H$3,1)&amp;B22&amp;LEFT($E$2,1)&amp;$H$1,$AB$4:$AB$228&amp;$AC$4:$AC$228&amp;$AE$4:$AE$228&amp;$AF$4:$AF$228,0))," ")</f>
        <v xml:space="preserve"> </v>
      </c>
      <c r="I22" s="109" t="str" cm="1">
        <f t="array" ref="I22">IFERROR(INDEX($AI$4:$AI$228,MATCH(LEFT($I$3,1)&amp;B22&amp;LEFT($E$2,1)&amp;$I$1,$AB$4:$AB$228&amp;$AC$4:$AC$228&amp;$AE$4:$AE$228&amp;$AF$4:$AF$228,0))," ")</f>
        <v xml:space="preserve"> </v>
      </c>
      <c r="J22" s="264" t="str" cm="1">
        <f t="array" ref="J22">IFERROR(INDEX($AI$4:$AI$228,MATCH(LEFT($J$3,1)&amp;B22&amp;LEFT($E$2,1),$AB$4:$AB$228&amp;$AC$4:$AC$228&amp;$AE$4:$AE$228,0))," ")</f>
        <v xml:space="preserve"> </v>
      </c>
      <c r="K22" s="107" cm="1">
        <f t="array" ref="K22">IFERROR(INDEX($AI$4:$AI$228,MATCH(LEFT($K$3,1)&amp;B22&amp;LEFT($K$2,2),$AB$4:$AB$228&amp;$AC$4:$AC$228&amp;$AE$4:$AE$228,0))," ")</f>
        <v>3231.54</v>
      </c>
      <c r="L22" s="109" cm="1">
        <f t="array" ref="L22">IFERROR(INDEX($AI$4:$AI$228,MATCH(LEFT($L$3,1)&amp;B22&amp;LEFT($K$2,2),$AB$4:$AB$228&amp;$AC$4:$AC$228&amp;$AE$4:$AE$228,0))," ")</f>
        <v>3313.55</v>
      </c>
      <c r="M22" s="109" cm="1">
        <f t="array" ref="M22">IFERROR(INDEX($AI$4:$AI$228,MATCH(LEFT($M$3,1)&amp;B22&amp;LEFT($K$2,2)&amp;$M$1,$AB$4:$AB$228&amp;$AC$4:$AC$228&amp;$AE$4:$AE$228&amp;$AF$4:$AF$228,0))," ")</f>
        <v>3777.55</v>
      </c>
      <c r="N22" s="109" cm="1">
        <f t="array" ref="N22">IFERROR(INDEX($AI$4:$AI$228,MATCH(LEFT($N$3,1)&amp;B22&amp;LEFT($K$2,2)&amp;$N$1,$AB$4:$AB$228&amp;$AC$4:$AC$2028&amp;$AE$4:$AE$228&amp;$AF$4:$AF$228,0))," ")</f>
        <v>3961.53</v>
      </c>
      <c r="O22" s="108" cm="1">
        <f t="array" ref="O22">IFERROR(INDEX($AI$4:$AI$228,MATCH(LEFT($O$3,1)&amp;B22&amp;LEFT($K$2,2)&amp;$O$1,$AB$4:$AB$228&amp;$AC$4:$AC$228&amp;$AE$4:$AE$228&amp;$AF$4:$AF$228,0))," ")</f>
        <v>4190.3100000000004</v>
      </c>
      <c r="P22" s="260" cm="1">
        <f t="array" ref="P22">IFERROR(INDEX($AI$4:$AI$228,MATCH(LEFT($P$3,1)&amp;B22&amp;LEFT($K$2,2),$AB$4:$AB$228&amp;$AC$4:$AC$228&amp;$AE$4:$AE$228,0))," ")</f>
        <v>4644.91</v>
      </c>
      <c r="S22" s="748" t="s">
        <v>40</v>
      </c>
      <c r="T22" s="749"/>
      <c r="U22" s="749"/>
      <c r="V22" s="113">
        <v>11.769999999999996</v>
      </c>
      <c r="W22" s="101" t="s">
        <v>43</v>
      </c>
      <c r="X22" s="128">
        <f>'Vehicle Add-Ons'!J7</f>
        <v>12.989999999999995</v>
      </c>
      <c r="Y22" s="110">
        <f t="shared" si="8"/>
        <v>0.10365335598980453</v>
      </c>
      <c r="AB22" s="111" t="str">
        <f t="shared" si="4"/>
        <v>B</v>
      </c>
      <c r="AC22" s="88" t="str">
        <f t="shared" si="1"/>
        <v>07.5</v>
      </c>
      <c r="AD22" s="88" t="str">
        <f t="shared" si="2"/>
        <v>B</v>
      </c>
      <c r="AE22" s="88">
        <f t="shared" si="5"/>
        <v>2</v>
      </c>
      <c r="AF22" s="112" t="str">
        <f t="shared" si="6"/>
        <v xml:space="preserve"> </v>
      </c>
      <c r="AG22" s="106" t="s">
        <v>173</v>
      </c>
      <c r="AH22" s="257">
        <v>1841.45</v>
      </c>
      <c r="AI22" s="82">
        <f>INDEX('Model Calculator'!$AM$2:$AM$226,MATCH(AG22,'Model Calculator'!$A$2:$A$226,0))</f>
        <v>2024.39</v>
      </c>
      <c r="AJ22" s="110">
        <f t="shared" si="7"/>
        <v>9.9345624372098096E-2</v>
      </c>
    </row>
    <row r="23" spans="2:53">
      <c r="B23" s="81">
        <v>12.5</v>
      </c>
      <c r="C23" s="107" t="str" cm="1">
        <f t="array" ref="C23">IFERROR(INDEX($AI$4:$AI$228,MATCH(LEFT($C$3,1)&amp;B23&amp;LEFT($C$2,1),$AB$4:$AB$228&amp;$AC$4:$AC$208&amp;$AE$4:$AE$228,0))," ")</f>
        <v xml:space="preserve"> </v>
      </c>
      <c r="D23" s="109" t="str" cm="1">
        <f t="array" ref="D23">IFERROR(INDEX($AI$4:$AI$228,MATCH(LEFT($D$3,1)&amp;B23&amp;LEFT($C$2,1),$AB$4:$AB$228&amp;$AC$4:$AC$228&amp;$AE$4:$AE$228,0))," ")</f>
        <v xml:space="preserve"> </v>
      </c>
      <c r="E23" s="107" t="str" cm="1">
        <f t="array" ref="E23">IFERROR(INDEX($AI$4:$AI$228,MATCH(LEFT($E$3,1)&amp;B23&amp;LEFT($E$2,1),$AB$4:$AB$228&amp;$AC$4:$AC$208&amp;$AE$4:$AE$228,0))," ")</f>
        <v xml:space="preserve"> </v>
      </c>
      <c r="F23" s="109" t="str" cm="1">
        <f t="array" ref="F23">IFERROR(INDEX($AI$4:$AI$228,MATCH(LEFT($F$3,1)&amp;B23&amp;LEFT($E$2,1),$AB$4:$AB$228&amp;$AC$4:$AC$228&amp;$AE$4:$AE$228,0))," ")</f>
        <v xml:space="preserve"> </v>
      </c>
      <c r="G23" s="109" t="str" cm="1">
        <f t="array" ref="G23">IFERROR(INDEX($AI$4:$AI$228,MATCH(LEFT($G$3,1)&amp;B23&amp;LEFT($E$2,1)&amp;$G$1,$AB$4:$AB$228&amp;$AC$4:$AC$228&amp;$AE$4:$AE$228&amp;$AF$4:$AF$228,0))," ")</f>
        <v xml:space="preserve"> </v>
      </c>
      <c r="H23" s="109" t="str" cm="1">
        <f t="array" ref="H23">IFERROR(INDEX($AI$4:$AI$228,MATCH(LEFT($H$3,1)&amp;B23&amp;LEFT($E$2,1)&amp;$H$1,$AB$4:$AB$228&amp;$AC$4:$AC$228&amp;$AE$4:$AE$228&amp;$AF$4:$AF$228,0))," ")</f>
        <v xml:space="preserve"> </v>
      </c>
      <c r="I23" s="109" t="str" cm="1">
        <f t="array" ref="I23">IFERROR(INDEX($AI$4:$AI$228,MATCH(LEFT($I$3,1)&amp;B23&amp;LEFT($E$2,1)&amp;$I$1,$AB$4:$AB$228&amp;$AC$4:$AC$228&amp;$AE$4:$AE$228&amp;$AF$4:$AF$228,0))," ")</f>
        <v xml:space="preserve"> </v>
      </c>
      <c r="J23" s="264" t="str" cm="1">
        <f t="array" ref="J23">IFERROR(INDEX($AI$4:$AI$228,MATCH(LEFT($J$3,1)&amp;B23&amp;LEFT($E$2,1),$AB$4:$AB$228&amp;$AC$4:$AC$228&amp;$AE$4:$AE$228,0))," ")</f>
        <v xml:space="preserve"> </v>
      </c>
      <c r="K23" s="107" cm="1">
        <f t="array" ref="K23">IFERROR(INDEX($AI$4:$AI$228,MATCH(LEFT($K$3,1)&amp;B23&amp;LEFT($K$2,2),$AB$4:$AB$228&amp;$AC$4:$AC$228&amp;$AE$4:$AE$228,0))," ")</f>
        <v>3344.41</v>
      </c>
      <c r="L23" s="109" cm="1">
        <f t="array" ref="L23">IFERROR(INDEX($AI$4:$AI$228,MATCH(LEFT($L$3,1)&amp;B23&amp;LEFT($K$2,2),$AB$4:$AB$228&amp;$AC$4:$AC$228&amp;$AE$4:$AE$228,0))," ")</f>
        <v>3428.49</v>
      </c>
      <c r="M23" s="109" cm="1">
        <f t="array" ref="M23">IFERROR(INDEX($AI$4:$AI$228,MATCH(LEFT($M$3,1)&amp;B23&amp;LEFT($K$2,2)&amp;$M$1,$AB$4:$AB$228&amp;$AC$4:$AC$228&amp;$AE$4:$AE$228&amp;$AF$4:$AF$228,0))," ")</f>
        <v>3914.33</v>
      </c>
      <c r="N23" s="109" cm="1">
        <f t="array" ref="N23">IFERROR(INDEX($AI$4:$AI$228,MATCH(LEFT($N$3,1)&amp;B23&amp;LEFT($K$2,2)&amp;$N$1,$AB$4:$AB$228&amp;$AC$4:$AC$2028&amp;$AE$4:$AE$228&amp;$AF$4:$AF$228,0))," ")</f>
        <v>4106.9799999999996</v>
      </c>
      <c r="O23" s="108" cm="1">
        <f t="array" ref="O23">IFERROR(INDEX($AI$4:$AI$228,MATCH(LEFT($O$3,1)&amp;B23&amp;LEFT($K$2,2)&amp;$O$1,$AB$4:$AB$228&amp;$AC$4:$AC$228&amp;$AE$4:$AE$228&amp;$AF$4:$AF$228,0))," ")</f>
        <v>4346.53</v>
      </c>
      <c r="P23" s="260" cm="1">
        <f t="array" ref="P23">IFERROR(INDEX($AI$4:$AI$228,MATCH(LEFT($P$3,1)&amp;B23&amp;LEFT($K$2,2),$AB$4:$AB$228&amp;$AC$4:$AC$228&amp;$AE$4:$AE$228,0))," ")</f>
        <v>4804.4399999999996</v>
      </c>
      <c r="S23" s="748" t="s">
        <v>41</v>
      </c>
      <c r="T23" s="749"/>
      <c r="U23" s="749"/>
      <c r="V23" s="113">
        <v>31.849999999999994</v>
      </c>
      <c r="W23" s="101" t="s">
        <v>43</v>
      </c>
      <c r="X23" s="128">
        <f>'Vehicle Add-Ons'!J8</f>
        <v>33.739999999999995</v>
      </c>
      <c r="Y23" s="110">
        <f t="shared" si="8"/>
        <v>5.9340659340659366E-2</v>
      </c>
      <c r="AB23" s="111" t="str">
        <f t="shared" si="4"/>
        <v>B</v>
      </c>
      <c r="AC23" s="88" t="str">
        <f t="shared" si="1"/>
        <v>08.0</v>
      </c>
      <c r="AD23" s="88" t="str">
        <f t="shared" si="2"/>
        <v>B</v>
      </c>
      <c r="AE23" s="88">
        <f t="shared" si="5"/>
        <v>2</v>
      </c>
      <c r="AF23" s="112" t="str">
        <f t="shared" si="6"/>
        <v xml:space="preserve"> </v>
      </c>
      <c r="AG23" s="106" t="s">
        <v>174</v>
      </c>
      <c r="AH23" s="257">
        <v>1943.2</v>
      </c>
      <c r="AI23" s="82">
        <f>INDEX('Model Calculator'!$AM$2:$AM$226,MATCH(AG23,'Model Calculator'!$A$2:$A$226,0))</f>
        <v>2137.2600000000002</v>
      </c>
      <c r="AJ23" s="110">
        <f t="shared" si="7"/>
        <v>9.9866200082338499E-2</v>
      </c>
    </row>
    <row r="24" spans="2:53" ht="15.75" thickBot="1">
      <c r="B24" s="81" t="s">
        <v>131</v>
      </c>
      <c r="C24" s="107" t="str" cm="1">
        <f t="array" ref="C24">IFERROR(INDEX($AI$4:$AI$228,MATCH(LEFT($C$3,1)&amp;B24&amp;LEFT($C$2,1),$AB$4:$AB$228&amp;$AC$4:$AC$208&amp;$AE$4:$AE$228,0))," ")</f>
        <v xml:space="preserve"> </v>
      </c>
      <c r="D24" s="109" t="str" cm="1">
        <f t="array" ref="D24">IFERROR(INDEX($AI$4:$AI$228,MATCH(LEFT($D$3,1)&amp;B24&amp;LEFT($C$2,1),$AB$4:$AB$228&amp;$AC$4:$AC$228&amp;$AE$4:$AE$228,0))," ")</f>
        <v xml:space="preserve"> </v>
      </c>
      <c r="E24" s="107" t="str" cm="1">
        <f t="array" ref="E24">IFERROR(INDEX($AI$4:$AI$228,MATCH(LEFT($E$3,1)&amp;B24&amp;LEFT($E$2,1),$AB$4:$AB$228&amp;$AC$4:$AC$208&amp;$AE$4:$AE$228,0))," ")</f>
        <v xml:space="preserve"> </v>
      </c>
      <c r="F24" s="109" t="str" cm="1">
        <f t="array" ref="F24">IFERROR(INDEX($AI$4:$AI$228,MATCH(LEFT($F$3,1)&amp;B24&amp;LEFT($E$2,1),$AB$4:$AB$228&amp;$AC$4:$AC$228&amp;$AE$4:$AE$228,0))," ")</f>
        <v xml:space="preserve"> </v>
      </c>
      <c r="G24" s="109" t="str" cm="1">
        <f t="array" ref="G24">IFERROR(INDEX($AI$4:$AI$228,MATCH(LEFT($G$3,1)&amp;B24&amp;LEFT($E$2,1)&amp;$G$1,$AB$4:$AB$228&amp;$AC$4:$AC$228&amp;$AE$4:$AE$228&amp;$AF$4:$AF$228,0))," ")</f>
        <v xml:space="preserve"> </v>
      </c>
      <c r="H24" s="109" t="str" cm="1">
        <f t="array" ref="H24">IFERROR(INDEX($AI$4:$AI$228,MATCH(LEFT($H$3,1)&amp;B24&amp;LEFT($E$2,1)&amp;$H$1,$AB$4:$AB$228&amp;$AC$4:$AC$228&amp;$AE$4:$AE$228&amp;$AF$4:$AF$228,0))," ")</f>
        <v xml:space="preserve"> </v>
      </c>
      <c r="I24" s="109" t="str" cm="1">
        <f t="array" ref="I24">IFERROR(INDEX($AI$4:$AI$228,MATCH(LEFT($I$3,1)&amp;B24&amp;LEFT($E$2,1)&amp;$I$1,$AB$4:$AB$228&amp;$AC$4:$AC$228&amp;$AE$4:$AE$228&amp;$AF$4:$AF$228,0))," ")</f>
        <v xml:space="preserve"> </v>
      </c>
      <c r="J24" s="264" t="str" cm="1">
        <f t="array" ref="J24">IFERROR(INDEX($AI$4:$AI$228,MATCH(LEFT($J$3,1)&amp;B24&amp;LEFT($E$2,1),$AB$4:$AB$228&amp;$AC$4:$AC$228&amp;$AE$4:$AE$228,0))," ")</f>
        <v xml:space="preserve"> </v>
      </c>
      <c r="K24" s="107" t="str" cm="1">
        <f t="array" ref="K24">IFERROR(INDEX($AI$4:$AI$228,MATCH(LEFT($K$3,1)&amp;B24&amp;LEFT($K$2,2),$AB$4:$AB$228&amp;$AC$4:$AC$228&amp;$AE$4:$AE$228,0))," ")</f>
        <v xml:space="preserve"> </v>
      </c>
      <c r="L24" s="109" cm="1">
        <f t="array" ref="L24">IFERROR(INDEX($AI$4:$AI$228,MATCH(LEFT($L$3,1)&amp;B24&amp;LEFT($K$2,2),$AB$4:$AB$228&amp;$AC$4:$AC$228&amp;$AE$4:$AE$228,0))," ")</f>
        <v>3543.43</v>
      </c>
      <c r="M24" s="109" cm="1">
        <f t="array" ref="M24">IFERROR(INDEX($AI$4:$AI$228,MATCH(LEFT($M$3,1)&amp;B24&amp;LEFT($K$2,2)&amp;$M$1,$AB$4:$AB$228&amp;$AC$4:$AC$228&amp;$AE$4:$AE$228&amp;$AF$4:$AF$228,0))," ")</f>
        <v>4051.12</v>
      </c>
      <c r="N24" s="109" cm="1">
        <f t="array" ref="N24">IFERROR(INDEX($AI$4:$AI$228,MATCH(LEFT($N$3,1)&amp;B24&amp;LEFT($K$2,2)&amp;$N$1,$AB$4:$AB$228&amp;$AC$4:$AC$2028&amp;$AE$4:$AE$228&amp;$AF$4:$AF$228,0))," ")</f>
        <v>4252.42</v>
      </c>
      <c r="O24" s="108" cm="1">
        <f t="array" ref="O24">IFERROR(INDEX($AI$4:$AI$228,MATCH(LEFT($O$3,1)&amp;B24&amp;LEFT($K$2,2)&amp;$O$1,$AB$4:$AB$228&amp;$AC$4:$AC$228&amp;$AE$4:$AE$228&amp;$AF$4:$AF$228,0))," ")</f>
        <v>4502.75</v>
      </c>
      <c r="P24" s="260" cm="1">
        <f t="array" ref="P24">IFERROR(INDEX($AI$4:$AI$228,MATCH(LEFT($P$3,1)&amp;B24&amp;LEFT($K$2,2),$AB$4:$AB$228&amp;$AC$4:$AC$228&amp;$AE$4:$AE$228,0))," ")</f>
        <v>4961.32</v>
      </c>
      <c r="S24" s="747" t="s">
        <v>42</v>
      </c>
      <c r="T24" s="744"/>
      <c r="U24" s="744"/>
      <c r="V24" s="272">
        <v>20.079999999999998</v>
      </c>
      <c r="W24" s="115" t="s">
        <v>43</v>
      </c>
      <c r="X24" s="162">
        <f>'Vehicle Add-Ons'!J9</f>
        <v>20.75</v>
      </c>
      <c r="Y24" s="273">
        <f t="shared" si="8"/>
        <v>3.3366533864541921E-2</v>
      </c>
      <c r="AB24" s="111" t="str">
        <f t="shared" si="4"/>
        <v>B</v>
      </c>
      <c r="AC24" s="88" t="str">
        <f t="shared" si="1"/>
        <v>08.5</v>
      </c>
      <c r="AD24" s="88" t="str">
        <f t="shared" si="2"/>
        <v>B</v>
      </c>
      <c r="AE24" s="88">
        <f t="shared" si="5"/>
        <v>2</v>
      </c>
      <c r="AF24" s="112" t="str">
        <f t="shared" si="6"/>
        <v xml:space="preserve"> </v>
      </c>
      <c r="AG24" s="106" t="s">
        <v>175</v>
      </c>
      <c r="AH24" s="257">
        <v>2044.96</v>
      </c>
      <c r="AI24" s="82">
        <f>INDEX('Model Calculator'!$AM$2:$AM$226,MATCH(AG24,'Model Calculator'!$A$2:$A$226,0))</f>
        <v>2250.13</v>
      </c>
      <c r="AJ24" s="110">
        <f t="shared" si="7"/>
        <v>0.10032959079884206</v>
      </c>
    </row>
    <row r="25" spans="2:53" ht="15.75" thickBot="1">
      <c r="B25" s="81">
        <v>13.5</v>
      </c>
      <c r="C25" s="107" t="str" cm="1">
        <f t="array" ref="C25">IFERROR(INDEX($AI$4:$AI$228,MATCH(LEFT($C$3,1)&amp;B25&amp;LEFT($C$2,1),$AB$4:$AB$228&amp;$AC$4:$AC$208&amp;$AE$4:$AE$228,0))," ")</f>
        <v xml:space="preserve"> </v>
      </c>
      <c r="D25" s="109" t="str" cm="1">
        <f t="array" ref="D25">IFERROR(INDEX($AI$4:$AI$228,MATCH(LEFT($D$3,1)&amp;B25&amp;LEFT($C$2,1),$AB$4:$AB$228&amp;$AC$4:$AC$228&amp;$AE$4:$AE$228,0))," ")</f>
        <v xml:space="preserve"> </v>
      </c>
      <c r="E25" s="107" t="str" cm="1">
        <f t="array" ref="E25">IFERROR(INDEX($AI$4:$AI$228,MATCH(LEFT($E$3,1)&amp;B25&amp;LEFT($E$2,1),$AB$4:$AB$228&amp;$AC$4:$AC$208&amp;$AE$4:$AE$228,0))," ")</f>
        <v xml:space="preserve"> </v>
      </c>
      <c r="F25" s="109" t="str" cm="1">
        <f t="array" ref="F25">IFERROR(INDEX($AI$4:$AI$228,MATCH(LEFT($F$3,1)&amp;B25&amp;LEFT($E$2,1),$AB$4:$AB$228&amp;$AC$4:$AC$228&amp;$AE$4:$AE$228,0))," ")</f>
        <v xml:space="preserve"> </v>
      </c>
      <c r="G25" s="109" t="str" cm="1">
        <f t="array" ref="G25">IFERROR(INDEX($AI$4:$AI$228,MATCH(LEFT($G$3,1)&amp;B25&amp;LEFT($E$2,1)&amp;$G$1,$AB$4:$AB$228&amp;$AC$4:$AC$228&amp;$AE$4:$AE$228&amp;$AF$4:$AF$228,0))," ")</f>
        <v xml:space="preserve"> </v>
      </c>
      <c r="H25" s="109" t="str" cm="1">
        <f t="array" ref="H25">IFERROR(INDEX($AI$4:$AI$228,MATCH(LEFT($H$3,1)&amp;B25&amp;LEFT($E$2,1)&amp;$H$1,$AB$4:$AB$228&amp;$AC$4:$AC$228&amp;$AE$4:$AE$228&amp;$AF$4:$AF$228,0))," ")</f>
        <v xml:space="preserve"> </v>
      </c>
      <c r="I25" s="109" t="str" cm="1">
        <f t="array" ref="I25">IFERROR(INDEX($AI$4:$AI$228,MATCH(LEFT($I$3,1)&amp;B25&amp;LEFT($E$2,1)&amp;$I$1,$AB$4:$AB$228&amp;$AC$4:$AC$228&amp;$AE$4:$AE$228&amp;$AF$4:$AF$228,0))," ")</f>
        <v xml:space="preserve"> </v>
      </c>
      <c r="J25" s="264" t="str" cm="1">
        <f t="array" ref="J25">IFERROR(INDEX($AI$4:$AI$228,MATCH(LEFT($J$3,1)&amp;B25&amp;LEFT($E$2,1),$AB$4:$AB$228&amp;$AC$4:$AC$228&amp;$AE$4:$AE$228,0))," ")</f>
        <v xml:space="preserve"> </v>
      </c>
      <c r="K25" s="107" t="str" cm="1">
        <f t="array" ref="K25">IFERROR(INDEX($AI$4:$AI$228,MATCH(LEFT($K$3,1)&amp;B25&amp;LEFT($K$2,2),$AB$4:$AB$228&amp;$AC$4:$AC$228&amp;$AE$4:$AE$228,0))," ")</f>
        <v xml:space="preserve"> </v>
      </c>
      <c r="L25" s="109" cm="1">
        <f t="array" ref="L25">IFERROR(INDEX($AI$4:$AI$228,MATCH(LEFT($L$3,1)&amp;B25&amp;LEFT($K$2,2),$AB$4:$AB$228&amp;$AC$4:$AC$228&amp;$AE$4:$AE$228,0))," ")</f>
        <v>3658.37</v>
      </c>
      <c r="M25" s="109" cm="1">
        <f t="array" ref="M25">IFERROR(INDEX($AI$4:$AI$228,MATCH(LEFT($M$3,1)&amp;B25&amp;LEFT($K$2,2)&amp;$M$1,$AB$4:$AB$228&amp;$AC$4:$AC$228&amp;$AE$4:$AE$228&amp;$AF$4:$AF$228,0))," ")</f>
        <v>4187.8999999999996</v>
      </c>
      <c r="N25" s="109" cm="1">
        <f t="array" ref="N25">IFERROR(INDEX($AI$4:$AI$228,MATCH(LEFT($N$3,1)&amp;B25&amp;LEFT($K$2,2)&amp;$N$1,$AB$4:$AB$228&amp;$AC$4:$AC$2028&amp;$AE$4:$AE$228&amp;$AF$4:$AF$228,0))," ")</f>
        <v>4397.87</v>
      </c>
      <c r="O25" s="108" cm="1">
        <f t="array" ref="O25">IFERROR(INDEX($AI$4:$AI$228,MATCH(LEFT($O$3,1)&amp;B25&amp;LEFT($K$2,2)&amp;$O$1,$AB$4:$AB$228&amp;$AC$4:$AC$228&amp;$AE$4:$AE$228&amp;$AF$4:$AF$228,0))," ")</f>
        <v>4658.97</v>
      </c>
      <c r="P25" s="260" cm="1">
        <f t="array" ref="P25">IFERROR(INDEX($AI$4:$AI$228,MATCH(LEFT($P$3,1)&amp;B25&amp;LEFT($K$2,2),$AB$4:$AB$228&amp;$AC$4:$AC$228&amp;$AE$4:$AE$228,0))," ")</f>
        <v>5118.1899999999996</v>
      </c>
      <c r="AB25" s="111" t="str">
        <f t="shared" si="4"/>
        <v>B</v>
      </c>
      <c r="AC25" s="88" t="str">
        <f t="shared" si="1"/>
        <v>09.0</v>
      </c>
      <c r="AD25" s="88" t="str">
        <f t="shared" si="2"/>
        <v>B</v>
      </c>
      <c r="AE25" s="88">
        <f t="shared" si="5"/>
        <v>2</v>
      </c>
      <c r="AF25" s="112" t="str">
        <f t="shared" si="6"/>
        <v xml:space="preserve"> </v>
      </c>
      <c r="AG25" s="106" t="s">
        <v>176</v>
      </c>
      <c r="AH25" s="257">
        <v>2146.71</v>
      </c>
      <c r="AI25" s="82">
        <f>INDEX('Model Calculator'!$AM$2:$AM$226,MATCH(AG25,'Model Calculator'!$A$2:$A$226,0))</f>
        <v>2363</v>
      </c>
      <c r="AJ25" s="110">
        <f t="shared" si="7"/>
        <v>0.10075417732250745</v>
      </c>
    </row>
    <row r="26" spans="2:53" ht="30.75" thickBot="1">
      <c r="B26" s="81" t="s">
        <v>132</v>
      </c>
      <c r="C26" s="107" t="str" cm="1">
        <f t="array" ref="C26">IFERROR(INDEX($AI$4:$AI$228,MATCH(LEFT($C$3,1)&amp;B26&amp;LEFT($C$2,1),$AB$4:$AB$228&amp;$AC$4:$AC$208&amp;$AE$4:$AE$228,0))," ")</f>
        <v xml:space="preserve"> </v>
      </c>
      <c r="D26" s="109" t="str" cm="1">
        <f t="array" ref="D26">IFERROR(INDEX($AI$4:$AI$228,MATCH(LEFT($D$3,1)&amp;B26&amp;LEFT($C$2,1),$AB$4:$AB$228&amp;$AC$4:$AC$228&amp;$AE$4:$AE$228,0))," ")</f>
        <v xml:space="preserve"> </v>
      </c>
      <c r="E26" s="107" t="str" cm="1">
        <f t="array" ref="E26">IFERROR(INDEX($AI$4:$AI$228,MATCH(LEFT($E$3,1)&amp;B26&amp;LEFT($E$2,1),$AB$4:$AB$228&amp;$AC$4:$AC$208&amp;$AE$4:$AE$228,0))," ")</f>
        <v xml:space="preserve"> </v>
      </c>
      <c r="F26" s="109" t="str" cm="1">
        <f t="array" ref="F26">IFERROR(INDEX($AI$4:$AI$228,MATCH(LEFT($F$3,1)&amp;B26&amp;LEFT($E$2,1),$AB$4:$AB$228&amp;$AC$4:$AC$228&amp;$AE$4:$AE$228,0))," ")</f>
        <v xml:space="preserve"> </v>
      </c>
      <c r="G26" s="109" t="str" cm="1">
        <f t="array" ref="G26">IFERROR(INDEX($AI$4:$AI$228,MATCH(LEFT($G$3,1)&amp;B26&amp;LEFT($E$2,1)&amp;$G$1,$AB$4:$AB$228&amp;$AC$4:$AC$228&amp;$AE$4:$AE$228&amp;$AF$4:$AF$228,0))," ")</f>
        <v xml:space="preserve"> </v>
      </c>
      <c r="H26" s="109" t="str" cm="1">
        <f t="array" ref="H26">IFERROR(INDEX($AI$4:$AI$228,MATCH(LEFT($H$3,1)&amp;B26&amp;LEFT($E$2,1)&amp;$H$1,$AB$4:$AB$228&amp;$AC$4:$AC$228&amp;$AE$4:$AE$228&amp;$AF$4:$AF$228,0))," ")</f>
        <v xml:space="preserve"> </v>
      </c>
      <c r="I26" s="109" t="str" cm="1">
        <f t="array" ref="I26">IFERROR(INDEX($AI$4:$AI$228,MATCH(LEFT($I$3,1)&amp;B26&amp;LEFT($E$2,1)&amp;$I$1,$AB$4:$AB$228&amp;$AC$4:$AC$228&amp;$AE$4:$AE$228&amp;$AF$4:$AF$228,0))," ")</f>
        <v xml:space="preserve"> </v>
      </c>
      <c r="J26" s="264" t="str" cm="1">
        <f t="array" ref="J26">IFERROR(INDEX($AI$4:$AI$228,MATCH(LEFT($J$3,1)&amp;B26&amp;LEFT($E$2,1),$AB$4:$AB$228&amp;$AC$4:$AC$228&amp;$AE$4:$AE$228,0))," ")</f>
        <v xml:space="preserve"> </v>
      </c>
      <c r="K26" s="107" t="str" cm="1">
        <f t="array" ref="K26">IFERROR(INDEX($AI$4:$AI$228,MATCH(LEFT($K$3,1)&amp;B26&amp;LEFT($K$2,2),$AB$4:$AB$228&amp;$AC$4:$AC$228&amp;$AE$4:$AE$228,0))," ")</f>
        <v xml:space="preserve"> </v>
      </c>
      <c r="L26" s="109" cm="1">
        <f t="array" ref="L26">IFERROR(INDEX($AI$4:$AI$228,MATCH(LEFT($L$3,1)&amp;B26&amp;LEFT($K$2,2),$AB$4:$AB$228&amp;$AC$4:$AC$228&amp;$AE$4:$AE$228,0))," ")</f>
        <v>3773.31</v>
      </c>
      <c r="M26" s="109" cm="1">
        <f t="array" ref="M26">IFERROR(INDEX($AI$4:$AI$228,MATCH(LEFT($M$3,1)&amp;B26&amp;LEFT($K$2,2)&amp;$M$1,$AB$4:$AB$228&amp;$AC$4:$AC$228&amp;$AE$4:$AE$228&amp;$AF$4:$AF$228,0))," ")</f>
        <v>4324.6899999999996</v>
      </c>
      <c r="N26" s="109" cm="1">
        <f t="array" ref="N26">IFERROR(INDEX($AI$4:$AI$228,MATCH(LEFT($N$3,1)&amp;B26&amp;LEFT($K$2,2)&amp;$N$1,$AB$4:$AB$228&amp;$AC$4:$AC$2028&amp;$AE$4:$AE$228&amp;$AF$4:$AF$228,0))," ")</f>
        <v>4543.32</v>
      </c>
      <c r="O26" s="108" cm="1">
        <f t="array" ref="O26">IFERROR(INDEX($AI$4:$AI$228,MATCH(LEFT($O$3,1)&amp;B26&amp;LEFT($K$2,2)&amp;$O$1,$AB$4:$AB$228&amp;$AC$4:$AC$228&amp;$AE$4:$AE$228&amp;$AF$4:$AF$228,0))," ")</f>
        <v>4815.18</v>
      </c>
      <c r="P26" s="260" cm="1">
        <f t="array" ref="P26">IFERROR(INDEX($AI$4:$AI$228,MATCH(LEFT($P$3,1)&amp;B26&amp;LEFT($K$2,2),$AB$4:$AB$228&amp;$AC$4:$AC$228&amp;$AE$4:$AE$228,0))," ")</f>
        <v>5277.72</v>
      </c>
      <c r="S26" s="741" t="s">
        <v>506</v>
      </c>
      <c r="T26" s="742"/>
      <c r="U26" s="742"/>
      <c r="V26" s="91" t="s">
        <v>149</v>
      </c>
      <c r="W26" s="92" t="s">
        <v>28</v>
      </c>
      <c r="X26" s="93" t="s">
        <v>746</v>
      </c>
      <c r="Y26" s="94" t="s">
        <v>360</v>
      </c>
      <c r="AB26" s="111" t="str">
        <f t="shared" si="4"/>
        <v>I</v>
      </c>
      <c r="AC26" s="88" t="str">
        <f t="shared" si="1"/>
        <v>03.5</v>
      </c>
      <c r="AD26" s="88" t="str">
        <f t="shared" si="2"/>
        <v>B</v>
      </c>
      <c r="AE26" s="88">
        <f t="shared" si="5"/>
        <v>2</v>
      </c>
      <c r="AF26" s="112" t="str">
        <f t="shared" si="6"/>
        <v xml:space="preserve"> </v>
      </c>
      <c r="AG26" s="106" t="s">
        <v>177</v>
      </c>
      <c r="AH26" s="257">
        <v>1065.1300000000001</v>
      </c>
      <c r="AI26" s="82">
        <f>INDEX('Model Calculator'!$AM$2:$AM$226,MATCH(AG26,'Model Calculator'!$A$2:$A$226,0))</f>
        <v>1153.19</v>
      </c>
      <c r="AJ26" s="110">
        <f t="shared" si="7"/>
        <v>8.2675354182118549E-2</v>
      </c>
    </row>
    <row r="27" spans="2:53" ht="15.75" thickBot="1">
      <c r="B27" s="81">
        <v>14.5</v>
      </c>
      <c r="C27" s="107" t="str" cm="1">
        <f t="array" ref="C27">IFERROR(INDEX($AI$4:$AI$228,MATCH(LEFT($C$3,1)&amp;B27&amp;LEFT($C$2,1),$AB$4:$AB$228&amp;$AC$4:$AC$208&amp;$AE$4:$AE$228,0))," ")</f>
        <v xml:space="preserve"> </v>
      </c>
      <c r="D27" s="109" t="str" cm="1">
        <f t="array" ref="D27">IFERROR(INDEX($AI$4:$AI$228,MATCH(LEFT($D$3,1)&amp;B27&amp;LEFT($C$2,1),$AB$4:$AB$228&amp;$AC$4:$AC$228&amp;$AE$4:$AE$228,0))," ")</f>
        <v xml:space="preserve"> </v>
      </c>
      <c r="E27" s="107" t="str" cm="1">
        <f t="array" ref="E27">IFERROR(INDEX($AI$4:$AI$228,MATCH(LEFT($E$3,1)&amp;B27&amp;LEFT($E$2,1),$AB$4:$AB$228&amp;$AC$4:$AC$208&amp;$AE$4:$AE$228,0))," ")</f>
        <v xml:space="preserve"> </v>
      </c>
      <c r="F27" s="109" t="str" cm="1">
        <f t="array" ref="F27">IFERROR(INDEX($AI$4:$AI$228,MATCH(LEFT($F$3,1)&amp;B27&amp;LEFT($E$2,1),$AB$4:$AB$228&amp;$AC$4:$AC$228&amp;$AE$4:$AE$228,0))," ")</f>
        <v xml:space="preserve"> </v>
      </c>
      <c r="G27" s="109" t="str" cm="1">
        <f t="array" ref="G27">IFERROR(INDEX($AI$4:$AI$228,MATCH(LEFT($G$3,1)&amp;B27&amp;LEFT($E$2,1)&amp;$G$1,$AB$4:$AB$228&amp;$AC$4:$AC$228&amp;$AE$4:$AE$228&amp;$AF$4:$AF$228,0))," ")</f>
        <v xml:space="preserve"> </v>
      </c>
      <c r="H27" s="109" t="str" cm="1">
        <f t="array" ref="H27">IFERROR(INDEX($AI$4:$AI$228,MATCH(LEFT($H$3,1)&amp;B27&amp;LEFT($E$2,1)&amp;$H$1,$AB$4:$AB$228&amp;$AC$4:$AC$228&amp;$AE$4:$AE$228&amp;$AF$4:$AF$228,0))," ")</f>
        <v xml:space="preserve"> </v>
      </c>
      <c r="I27" s="109" t="str" cm="1">
        <f t="array" ref="I27">IFERROR(INDEX($AI$4:$AI$228,MATCH(LEFT($I$3,1)&amp;B27&amp;LEFT($E$2,1)&amp;$I$1,$AB$4:$AB$228&amp;$AC$4:$AC$228&amp;$AE$4:$AE$228&amp;$AF$4:$AF$228,0))," ")</f>
        <v xml:space="preserve"> </v>
      </c>
      <c r="J27" s="264" t="str" cm="1">
        <f t="array" ref="J27">IFERROR(INDEX($AI$4:$AI$228,MATCH(LEFT($J$3,1)&amp;B27&amp;LEFT($E$2,1),$AB$4:$AB$228&amp;$AC$4:$AC$228&amp;$AE$4:$AE$228,0))," ")</f>
        <v xml:space="preserve"> </v>
      </c>
      <c r="K27" s="107" t="str" cm="1">
        <f t="array" ref="K27">IFERROR(INDEX($AI$4:$AI$228,MATCH(LEFT($K$3,1)&amp;B27&amp;LEFT($K$2,2),$AB$4:$AB$228&amp;$AC$4:$AC$228&amp;$AE$4:$AE$228,0))," ")</f>
        <v xml:space="preserve"> </v>
      </c>
      <c r="L27" s="109" cm="1">
        <f t="array" ref="L27">IFERROR(INDEX($AI$4:$AI$228,MATCH(LEFT($L$3,1)&amp;B27&amp;LEFT($K$2,2),$AB$4:$AB$228&amp;$AC$4:$AC$228&amp;$AE$4:$AE$228,0))," ")</f>
        <v>3888.25</v>
      </c>
      <c r="M27" s="109" cm="1">
        <f t="array" ref="M27">IFERROR(INDEX($AI$4:$AI$228,MATCH(LEFT($M$3,1)&amp;B27&amp;LEFT($K$2,2)&amp;$M$1,$AB$4:$AB$228&amp;$AC$4:$AC$228&amp;$AE$4:$AE$228&amp;$AF$4:$AF$228,0))," ")</f>
        <v>4461.47</v>
      </c>
      <c r="N27" s="109" cm="1">
        <f t="array" ref="N27">IFERROR(INDEX($AI$4:$AI$228,MATCH(LEFT($N$3,1)&amp;B27&amp;LEFT($K$2,2)&amp;$N$1,$AB$4:$AB$228&amp;$AC$4:$AC$2028&amp;$AE$4:$AE$228&amp;$AF$4:$AF$228,0))," ")</f>
        <v>4688.76</v>
      </c>
      <c r="O27" s="108" cm="1">
        <f t="array" ref="O27">IFERROR(INDEX($AI$4:$AI$228,MATCH(LEFT($O$3,1)&amp;B27&amp;LEFT($K$2,2)&amp;$O$1,$AB$4:$AB$228&amp;$AC$4:$AC$228&amp;$AE$4:$AE$228&amp;$AF$4:$AF$228,0))," ")</f>
        <v>4971.3999999999996</v>
      </c>
      <c r="P27" s="260" cm="1">
        <f t="array" ref="P27">IFERROR(INDEX($AI$4:$AI$228,MATCH(LEFT($P$3,1)&amp;B27&amp;LEFT($K$2,2),$AB$4:$AB$228&amp;$AC$4:$AC$228&amp;$AE$4:$AE$228,0))," ")</f>
        <v>5434.59</v>
      </c>
      <c r="S27" s="743" t="s">
        <v>505</v>
      </c>
      <c r="T27" s="744"/>
      <c r="U27" s="744"/>
      <c r="V27" s="127">
        <v>20.149999999999999</v>
      </c>
      <c r="W27" s="115" t="s">
        <v>31</v>
      </c>
      <c r="X27" s="274">
        <f>'RDP Add On Model'!F42</f>
        <v>21.47</v>
      </c>
      <c r="Y27" s="481">
        <f>IFERROR((X27-V27)/X27,0)</f>
        <v>6.1481136469492333E-2</v>
      </c>
      <c r="AB27" s="111" t="str">
        <f t="shared" si="4"/>
        <v>I</v>
      </c>
      <c r="AC27" s="88" t="str">
        <f t="shared" si="1"/>
        <v>04.0</v>
      </c>
      <c r="AD27" s="88" t="str">
        <f t="shared" si="2"/>
        <v>B</v>
      </c>
      <c r="AE27" s="88">
        <f t="shared" si="5"/>
        <v>2</v>
      </c>
      <c r="AF27" s="112" t="str">
        <f t="shared" si="6"/>
        <v xml:space="preserve"> </v>
      </c>
      <c r="AG27" s="106" t="s">
        <v>178</v>
      </c>
      <c r="AH27" s="257">
        <v>1169.44</v>
      </c>
      <c r="AI27" s="82">
        <f>INDEX('Model Calculator'!$AM$2:$AM$226,MATCH(AG27,'Model Calculator'!$A$2:$A$226,0))</f>
        <v>1268.1300000000001</v>
      </c>
      <c r="AJ27" s="110">
        <f t="shared" si="7"/>
        <v>8.4390819537556477E-2</v>
      </c>
    </row>
    <row r="28" spans="2:53">
      <c r="B28" s="81" t="s">
        <v>133</v>
      </c>
      <c r="C28" s="107" t="str" cm="1">
        <f t="array" ref="C28">IFERROR(INDEX($AI$4:$AI$228,MATCH(LEFT($C$3,1)&amp;B28&amp;LEFT($C$2,1),$AB$4:$AB$228&amp;$AC$4:$AC$208&amp;$AE$4:$AE$228,0))," ")</f>
        <v xml:space="preserve"> </v>
      </c>
      <c r="D28" s="109" t="str" cm="1">
        <f t="array" ref="D28">IFERROR(INDEX($AI$4:$AI$228,MATCH(LEFT($D$3,1)&amp;B28&amp;LEFT($C$2,1),$AB$4:$AB$228&amp;$AC$4:$AC$228&amp;$AE$4:$AE$228,0))," ")</f>
        <v xml:space="preserve"> </v>
      </c>
      <c r="E28" s="107" t="str" cm="1">
        <f t="array" ref="E28">IFERROR(INDEX($AI$4:$AI$228,MATCH(LEFT($E$3,1)&amp;B28&amp;LEFT($E$2,1),$AB$4:$AB$228&amp;$AC$4:$AC$208&amp;$AE$4:$AE$228,0))," ")</f>
        <v xml:space="preserve"> </v>
      </c>
      <c r="F28" s="109" t="str" cm="1">
        <f t="array" ref="F28">IFERROR(INDEX($AI$4:$AI$228,MATCH(LEFT($F$3,1)&amp;B28&amp;LEFT($E$2,1),$AB$4:$AB$228&amp;$AC$4:$AC$228&amp;$AE$4:$AE$228,0))," ")</f>
        <v xml:space="preserve"> </v>
      </c>
      <c r="G28" s="109" t="str" cm="1">
        <f t="array" ref="G28">IFERROR(INDEX($AI$4:$AI$228,MATCH(LEFT($G$3,1)&amp;B28&amp;LEFT($E$2,1)&amp;$G$1,$AB$4:$AB$228&amp;$AC$4:$AC$228&amp;$AE$4:$AE$228&amp;$AF$4:$AF$228,0))," ")</f>
        <v xml:space="preserve"> </v>
      </c>
      <c r="H28" s="109" t="str" cm="1">
        <f t="array" ref="H28">IFERROR(INDEX($AI$4:$AI$228,MATCH(LEFT($H$3,1)&amp;B28&amp;LEFT($E$2,1)&amp;$H$1,$AB$4:$AB$228&amp;$AC$4:$AC$228&amp;$AE$4:$AE$228&amp;$AF$4:$AF$228,0))," ")</f>
        <v xml:space="preserve"> </v>
      </c>
      <c r="I28" s="109" t="str" cm="1">
        <f t="array" ref="I28">IFERROR(INDEX($AI$4:$AI$228,MATCH(LEFT($I$3,1)&amp;B28&amp;LEFT($E$2,1)&amp;$I$1,$AB$4:$AB$228&amp;$AC$4:$AC$228&amp;$AE$4:$AE$228&amp;$AF$4:$AF$228,0))," ")</f>
        <v xml:space="preserve"> </v>
      </c>
      <c r="J28" s="264" t="str" cm="1">
        <f t="array" ref="J28">IFERROR(INDEX($AI$4:$AI$228,MATCH(LEFT($J$3,1)&amp;B28&amp;LEFT($E$2,1),$AB$4:$AB$228&amp;$AC$4:$AC$228&amp;$AE$4:$AE$228,0))," ")</f>
        <v xml:space="preserve"> </v>
      </c>
      <c r="K28" s="107" t="str" cm="1">
        <f t="array" ref="K28">IFERROR(INDEX($AI$4:$AI$228,MATCH(LEFT($K$3,1)&amp;B28&amp;LEFT($K$2,2),$AB$4:$AB$228&amp;$AC$4:$AC$228&amp;$AE$4:$AE$228,0))," ")</f>
        <v xml:space="preserve"> </v>
      </c>
      <c r="L28" s="109" cm="1">
        <f t="array" ref="L28">IFERROR(INDEX($AI$4:$AI$228,MATCH(LEFT($L$3,1)&amp;B28&amp;LEFT($K$2,2),$AB$4:$AB$228&amp;$AC$4:$AC$228&amp;$AE$4:$AE$228,0))," ")</f>
        <v>4003.19</v>
      </c>
      <c r="M28" s="109" cm="1">
        <f t="array" ref="M28">IFERROR(INDEX($AI$4:$AI$228,MATCH(LEFT($M$3,1)&amp;B28&amp;LEFT($K$2,2)&amp;$M$1,$AB$4:$AB$228&amp;$AC$4:$AC$228&amp;$AE$4:$AE$228&amp;$AF$4:$AF$228,0))," ")</f>
        <v>4598.26</v>
      </c>
      <c r="N28" s="109" cm="1">
        <f t="array" ref="N28">IFERROR(INDEX($AI$4:$AI$228,MATCH(LEFT($N$3,1)&amp;B28&amp;LEFT($K$2,2)&amp;$N$1,$AB$4:$AB$228&amp;$AC$4:$AC$2028&amp;$AE$4:$AE$228&amp;$AF$4:$AF$228,0))," ")</f>
        <v>4834.21</v>
      </c>
      <c r="O28" s="108" cm="1">
        <f t="array" ref="O28">IFERROR(INDEX($AI$4:$AI$228,MATCH(LEFT($O$3,1)&amp;B28&amp;LEFT($K$2,2)&amp;$O$1,$AB$4:$AB$228&amp;$AC$4:$AC$228&amp;$AE$4:$AE$228&amp;$AF$4:$AF$228,0))," ")</f>
        <v>5127.62</v>
      </c>
      <c r="P28" s="260" cm="1">
        <f t="array" ref="P28">IFERROR(INDEX($AI$4:$AI$228,MATCH(LEFT($P$3,1)&amp;B28&amp;LEFT($K$2,2),$AB$4:$AB$228&amp;$AC$4:$AC$228&amp;$AE$4:$AE$228,0))," ")</f>
        <v>5594.12</v>
      </c>
      <c r="AB28" s="111" t="str">
        <f t="shared" si="4"/>
        <v>I</v>
      </c>
      <c r="AC28" s="88" t="str">
        <f t="shared" si="1"/>
        <v>04.5</v>
      </c>
      <c r="AD28" s="88" t="str">
        <f t="shared" si="2"/>
        <v>B</v>
      </c>
      <c r="AE28" s="88">
        <f t="shared" si="5"/>
        <v>2</v>
      </c>
      <c r="AF28" s="112" t="str">
        <f t="shared" si="6"/>
        <v xml:space="preserve"> </v>
      </c>
      <c r="AG28" s="106" t="s">
        <v>179</v>
      </c>
      <c r="AH28" s="257">
        <v>1273.75</v>
      </c>
      <c r="AI28" s="82">
        <f>INDEX('Model Calculator'!$AM$2:$AM$226,MATCH(AG28,'Model Calculator'!$A$2:$A$226,0))</f>
        <v>1383.07</v>
      </c>
      <c r="AJ28" s="110">
        <f t="shared" si="7"/>
        <v>8.5825318940137341E-2</v>
      </c>
    </row>
    <row r="29" spans="2:53" ht="15.75" thickBot="1">
      <c r="B29" s="87">
        <v>15.5</v>
      </c>
      <c r="C29" s="131" t="str" cm="1">
        <f t="array" ref="C29">IFERROR(INDEX($AI$4:$AI$228,MATCH(LEFT($C$3,1)&amp;B29&amp;LEFT($C$2,1),$AB$4:$AB$228&amp;$AC$4:$AC$208&amp;$AE$4:$AE$228,0))," ")</f>
        <v xml:space="preserve"> </v>
      </c>
      <c r="D29" s="133" t="str" cm="1">
        <f t="array" ref="D29">IFERROR(INDEX($AI$4:$AI$228,MATCH(LEFT($D$3,1)&amp;B29&amp;LEFT($C$2,1),$AB$4:$AB$228&amp;$AC$4:$AC$228&amp;$AE$4:$AE$228,0))," ")</f>
        <v xml:space="preserve"> </v>
      </c>
      <c r="E29" s="131" t="str" cm="1">
        <f t="array" ref="E29">IFERROR(INDEX($AI$4:$AI$228,MATCH(LEFT($E$3,1)&amp;B29&amp;LEFT($E$2,1),$AB$4:$AB$228&amp;$AC$4:$AC$208&amp;$AE$4:$AE$228,0))," ")</f>
        <v xml:space="preserve"> </v>
      </c>
      <c r="F29" s="133" t="str" cm="1">
        <f t="array" ref="F29">IFERROR(INDEX($AI$4:$AI$228,MATCH(LEFT($F$3,1)&amp;B29&amp;LEFT($E$2,1),$AB$4:$AB$228&amp;$AC$4:$AC$228&amp;$AE$4:$AE$228,0))," ")</f>
        <v xml:space="preserve"> </v>
      </c>
      <c r="G29" s="133" t="str" cm="1">
        <f t="array" ref="G29">IFERROR(INDEX($AI$4:$AI$228,MATCH(LEFT($G$3,1)&amp;B29&amp;LEFT($E$2,1)&amp;$G$1,$AB$4:$AB$228&amp;$AC$4:$AC$228&amp;$AE$4:$AE$228&amp;$AF$4:$AF$228,0))," ")</f>
        <v xml:space="preserve"> </v>
      </c>
      <c r="H29" s="133" t="str" cm="1">
        <f t="array" ref="H29">IFERROR(INDEX($AI$4:$AI$228,MATCH(LEFT($H$3,1)&amp;B29&amp;LEFT($E$2,1)&amp;$H$1,$AB$4:$AB$228&amp;$AC$4:$AC$228&amp;$AE$4:$AE$228&amp;$AF$4:$AF$228,0))," ")</f>
        <v xml:space="preserve"> </v>
      </c>
      <c r="I29" s="133" t="str" cm="1">
        <f t="array" ref="I29">IFERROR(INDEX($AI$4:$AI$228,MATCH(LEFT($I$3,1)&amp;B29&amp;LEFT($E$2,1)&amp;$I$1,$AB$4:$AB$228&amp;$AC$4:$AC$228&amp;$AE$4:$AE$228&amp;$AF$4:$AF$228,0))," ")</f>
        <v xml:space="preserve"> </v>
      </c>
      <c r="J29" s="265" t="str" cm="1">
        <f t="array" ref="J29">IFERROR(INDEX($AI$4:$AI$228,MATCH(LEFT($J$3,1)&amp;B29&amp;LEFT($E$2,1),$AB$4:$AB$228&amp;$AC$4:$AC$228&amp;$AE$4:$AE$228,0))," ")</f>
        <v xml:space="preserve"> </v>
      </c>
      <c r="K29" s="131" t="str" cm="1">
        <f t="array" ref="K29">IFERROR(INDEX($AI$4:$AI$228,MATCH(LEFT($K$3,1)&amp;B29&amp;LEFT($K$2,2),$AB$4:$AB$228&amp;$AC$4:$AC$228&amp;$AE$4:$AE$228,0))," ")</f>
        <v xml:space="preserve"> </v>
      </c>
      <c r="L29" s="133" cm="1">
        <f t="array" ref="L29">IFERROR(INDEX($AI$4:$AI$228,MATCH(LEFT($L$3,1)&amp;B29&amp;LEFT($K$2,2),$AB$4:$AB$228&amp;$AC$4:$AC$228&amp;$AE$4:$AE$228,0))," ")</f>
        <v>4118.13</v>
      </c>
      <c r="M29" s="133" cm="1">
        <f t="array" ref="M29">IFERROR(INDEX($AI$4:$AI$228,MATCH(LEFT($M$3,1)&amp;B29&amp;LEFT($K$2,2)&amp;$M$1,$AB$4:$AB$228&amp;$AC$4:$AC$228&amp;$AE$4:$AE$228&amp;$AF$4:$AF$228,0))," ")</f>
        <v>4735.04</v>
      </c>
      <c r="N29" s="133" cm="1">
        <f t="array" ref="N29">IFERROR(INDEX($AI$4:$AI$228,MATCH(LEFT($N$3,1)&amp;B29&amp;LEFT($K$2,2)&amp;$N$1,$AB$4:$AB$228&amp;$AC$4:$AC$2028&amp;$AE$4:$AE$228&amp;$AF$4:$AF$228,0))," ")</f>
        <v>4979.66</v>
      </c>
      <c r="O29" s="132" cm="1">
        <f t="array" ref="O29">IFERROR(INDEX($AI$4:$AI$228,MATCH(LEFT($O$3,1)&amp;B29&amp;LEFT($K$2,2)&amp;$O$1,$AB$4:$AB$228&amp;$AC$4:$AC$228&amp;$AE$4:$AE$228&amp;$AF$4:$AF$228,0))," ")</f>
        <v>5283.84</v>
      </c>
      <c r="P29" s="262" cm="1">
        <f t="array" ref="P29">IFERROR(INDEX($AI$4:$AI$228,MATCH(LEFT($P$3,1)&amp;B29&amp;LEFT($K$2,2),$AB$4:$AB$228&amp;$AC$4:$AC$228&amp;$AE$4:$AE$228,0))," ")</f>
        <v>5750.99</v>
      </c>
      <c r="AB29" s="111" t="str">
        <f t="shared" si="4"/>
        <v>I</v>
      </c>
      <c r="AC29" s="88" t="str">
        <f t="shared" si="1"/>
        <v>05.0</v>
      </c>
      <c r="AD29" s="88" t="str">
        <f t="shared" si="2"/>
        <v>B</v>
      </c>
      <c r="AE29" s="88">
        <f t="shared" si="5"/>
        <v>2</v>
      </c>
      <c r="AF29" s="112" t="str">
        <f t="shared" si="6"/>
        <v xml:space="preserve"> </v>
      </c>
      <c r="AG29" s="106" t="s">
        <v>180</v>
      </c>
      <c r="AH29" s="257">
        <v>1378.06</v>
      </c>
      <c r="AI29" s="82">
        <f>INDEX('Model Calculator'!$AM$2:$AM$226,MATCH(AG29,'Model Calculator'!$A$2:$A$226,0))</f>
        <v>1498.01</v>
      </c>
      <c r="AJ29" s="110">
        <f t="shared" si="7"/>
        <v>8.7042654166001515E-2</v>
      </c>
    </row>
    <row r="30" spans="2:53">
      <c r="AB30" s="111" t="str">
        <f t="shared" si="4"/>
        <v>I</v>
      </c>
      <c r="AC30" s="88" t="str">
        <f t="shared" si="1"/>
        <v>05.5</v>
      </c>
      <c r="AD30" s="88" t="str">
        <f t="shared" si="2"/>
        <v>B</v>
      </c>
      <c r="AE30" s="88">
        <f t="shared" si="5"/>
        <v>2</v>
      </c>
      <c r="AF30" s="112" t="str">
        <f t="shared" si="6"/>
        <v xml:space="preserve"> </v>
      </c>
      <c r="AG30" s="106" t="s">
        <v>181</v>
      </c>
      <c r="AH30" s="257">
        <v>1482.38</v>
      </c>
      <c r="AI30" s="82">
        <f>INDEX('Model Calculator'!$AM$2:$AM$226,MATCH(AG30,'Model Calculator'!$A$2:$A$226,0))</f>
        <v>1612.95</v>
      </c>
      <c r="AJ30" s="110">
        <f t="shared" si="7"/>
        <v>8.8081328674159076E-2</v>
      </c>
      <c r="AW30" s="109" t="str">
        <f t="array" ref="AW30">IFERROR(INDEX($AI$4:$AI$208,MATCH(LEFT($K$3,1)&amp;AO30&amp;LEFT($K$2,2),$AB$4:$AB$208&amp;$AC$4:$AC$208&amp;$AE$4:$AE$208,0))," ")</f>
        <v xml:space="preserve"> </v>
      </c>
      <c r="AX30" s="109" t="str">
        <f t="array" ref="AX30">IFERROR(INDEX($AI$4:$AI$208,MATCH(LEFT($L$3,1)&amp;AO30&amp;LEFT($K$2,1),$AB$4:$AB$208&amp;$AC$4:$AC$208&amp;$AE$4:$AE$208,0))," ")</f>
        <v xml:space="preserve"> </v>
      </c>
      <c r="AY30" s="109" t="str">
        <f t="array" ref="AY30">IFERROR(INDEX($AI$4:$AI$208,MATCH(LEFT($M$3,1)&amp;AO30&amp;LEFT($K$2,1)&amp;$M$1,$AB$4:$AB$208&amp;$AC$4:$AC$208&amp;$AE$4:$AE$208&amp;$AF$4:$AF$208,0))," ")</f>
        <v xml:space="preserve"> </v>
      </c>
      <c r="AZ30" s="109" t="str">
        <f t="array" ref="AZ30">IFERROR(INDEX($AI$4:$AI$208,MATCH(LEFT($N$3,1)&amp;AO30&amp;LEFT($K$2,2)&amp;$N$1,$AB$4:$AB$208&amp;$AC$4:$AC$208&amp;$AE$4:$AE$208&amp;$AF$4:$AF$208,0))," ")</f>
        <v xml:space="preserve"> </v>
      </c>
      <c r="BA30" s="109" t="str">
        <f t="array" ref="BA30">IFERROR(INDEX($AI$4:$AI$208,MATCH(LEFT($O$3,1)&amp;AO30&amp;LEFT($K$2,2)&amp;$O$1,$AB$4:$AB$208&amp;$AC$4:$AC$208&amp;$AE$4:$AE$208&amp;$AF$4:$AF$208,0))," ")</f>
        <v xml:space="preserve"> </v>
      </c>
    </row>
    <row r="31" spans="2:53">
      <c r="AB31" s="111" t="str">
        <f t="shared" si="4"/>
        <v>I</v>
      </c>
      <c r="AC31" s="88" t="str">
        <f t="shared" si="1"/>
        <v>06.0</v>
      </c>
      <c r="AD31" s="88" t="str">
        <f t="shared" si="2"/>
        <v>B</v>
      </c>
      <c r="AE31" s="88">
        <f t="shared" si="5"/>
        <v>2</v>
      </c>
      <c r="AF31" s="112" t="str">
        <f t="shared" si="6"/>
        <v xml:space="preserve"> </v>
      </c>
      <c r="AG31" s="106" t="s">
        <v>182</v>
      </c>
      <c r="AH31" s="257">
        <v>1586.69</v>
      </c>
      <c r="AI31" s="82">
        <f>INDEX('Model Calculator'!$AM$2:$AM$226,MATCH(AG31,'Model Calculator'!$A$2:$A$226,0))</f>
        <v>1729.88</v>
      </c>
      <c r="AJ31" s="110">
        <f t="shared" si="7"/>
        <v>9.0244471194751374E-2</v>
      </c>
    </row>
    <row r="32" spans="2:53">
      <c r="AB32" s="111" t="str">
        <f t="shared" si="4"/>
        <v>I</v>
      </c>
      <c r="AC32" s="88" t="str">
        <f t="shared" si="1"/>
        <v>06.5</v>
      </c>
      <c r="AD32" s="88" t="str">
        <f t="shared" si="2"/>
        <v>B</v>
      </c>
      <c r="AE32" s="88">
        <f t="shared" si="5"/>
        <v>2</v>
      </c>
      <c r="AF32" s="112" t="str">
        <f t="shared" si="6"/>
        <v xml:space="preserve"> </v>
      </c>
      <c r="AG32" s="106" t="s">
        <v>183</v>
      </c>
      <c r="AH32" s="257">
        <v>1691</v>
      </c>
      <c r="AI32" s="82">
        <f>INDEX('Model Calculator'!$AM$2:$AM$226,MATCH(AG32,'Model Calculator'!$A$2:$A$226,0))</f>
        <v>1844.82</v>
      </c>
      <c r="AJ32" s="110">
        <f t="shared" si="7"/>
        <v>9.0963926670609069E-2</v>
      </c>
    </row>
    <row r="33" spans="5:36">
      <c r="AB33" s="111" t="str">
        <f t="shared" si="4"/>
        <v>I</v>
      </c>
      <c r="AC33" s="88" t="str">
        <f t="shared" si="1"/>
        <v>07.0</v>
      </c>
      <c r="AD33" s="88" t="str">
        <f t="shared" si="2"/>
        <v>B</v>
      </c>
      <c r="AE33" s="88">
        <f t="shared" si="5"/>
        <v>2</v>
      </c>
      <c r="AF33" s="112" t="str">
        <f t="shared" si="6"/>
        <v xml:space="preserve"> </v>
      </c>
      <c r="AG33" s="106" t="s">
        <v>184</v>
      </c>
      <c r="AH33" s="257">
        <v>1793.51</v>
      </c>
      <c r="AI33" s="82">
        <f>INDEX('Model Calculator'!$AM$2:$AM$226,MATCH(AG33,'Model Calculator'!$A$2:$A$226,0))</f>
        <v>1959.76</v>
      </c>
      <c r="AJ33" s="110">
        <f t="shared" si="7"/>
        <v>9.2695329270536544E-2</v>
      </c>
    </row>
    <row r="34" spans="5:36">
      <c r="AB34" s="111" t="str">
        <f t="shared" si="4"/>
        <v>I</v>
      </c>
      <c r="AC34" s="88" t="str">
        <f t="shared" si="1"/>
        <v>07.5</v>
      </c>
      <c r="AD34" s="88" t="str">
        <f t="shared" si="2"/>
        <v>B</v>
      </c>
      <c r="AE34" s="88">
        <f t="shared" si="5"/>
        <v>2</v>
      </c>
      <c r="AF34" s="112" t="str">
        <f t="shared" si="6"/>
        <v xml:space="preserve"> </v>
      </c>
      <c r="AG34" s="106" t="s">
        <v>185</v>
      </c>
      <c r="AH34" s="257">
        <v>1897.82</v>
      </c>
      <c r="AI34" s="82">
        <f>INDEX('Model Calculator'!$AM$2:$AM$226,MATCH(AG34,'Model Calculator'!$A$2:$A$226,0))</f>
        <v>2074.6999999999998</v>
      </c>
      <c r="AJ34" s="110">
        <f t="shared" si="7"/>
        <v>9.3201673499067286E-2</v>
      </c>
    </row>
    <row r="35" spans="5:36">
      <c r="AB35" s="111" t="str">
        <f t="shared" si="4"/>
        <v>I</v>
      </c>
      <c r="AC35" s="88" t="str">
        <f t="shared" si="1"/>
        <v>08.0</v>
      </c>
      <c r="AD35" s="88" t="str">
        <f t="shared" si="2"/>
        <v>B</v>
      </c>
      <c r="AE35" s="88">
        <f t="shared" si="5"/>
        <v>2</v>
      </c>
      <c r="AF35" s="112" t="str">
        <f t="shared" si="6"/>
        <v xml:space="preserve"> </v>
      </c>
      <c r="AG35" s="106" t="s">
        <v>186</v>
      </c>
      <c r="AH35" s="257">
        <v>2002.13</v>
      </c>
      <c r="AI35" s="82">
        <f>INDEX('Model Calculator'!$AM$2:$AM$226,MATCH(AG35,'Model Calculator'!$A$2:$A$226,0))</f>
        <v>2189.64</v>
      </c>
      <c r="AJ35" s="110">
        <f t="shared" si="7"/>
        <v>9.3655257151133917E-2</v>
      </c>
    </row>
    <row r="36" spans="5:36">
      <c r="F36" s="268"/>
      <c r="G36" s="268"/>
      <c r="H36" s="159"/>
      <c r="AB36" s="111" t="str">
        <f t="shared" si="4"/>
        <v>I</v>
      </c>
      <c r="AC36" s="88" t="str">
        <f t="shared" si="1"/>
        <v>08.5</v>
      </c>
      <c r="AD36" s="88" t="str">
        <f t="shared" si="2"/>
        <v>B</v>
      </c>
      <c r="AE36" s="88">
        <f t="shared" si="5"/>
        <v>2</v>
      </c>
      <c r="AF36" s="112" t="str">
        <f t="shared" si="6"/>
        <v xml:space="preserve"> </v>
      </c>
      <c r="AG36" s="106" t="s">
        <v>187</v>
      </c>
      <c r="AH36" s="257">
        <v>2106.44</v>
      </c>
      <c r="AI36" s="82">
        <f>INDEX('Model Calculator'!$AM$2:$AM$226,MATCH(AG36,'Model Calculator'!$A$2:$A$226,0))</f>
        <v>2304.58</v>
      </c>
      <c r="AJ36" s="110">
        <f t="shared" si="7"/>
        <v>9.4063918269687186E-2</v>
      </c>
    </row>
    <row r="37" spans="5:36">
      <c r="E37" s="269"/>
      <c r="F37" s="159"/>
      <c r="G37" s="159"/>
      <c r="AB37" s="111" t="str">
        <f t="shared" si="4"/>
        <v>I</v>
      </c>
      <c r="AC37" s="88" t="str">
        <f t="shared" si="1"/>
        <v>09.0</v>
      </c>
      <c r="AD37" s="88" t="str">
        <f t="shared" si="2"/>
        <v>B</v>
      </c>
      <c r="AE37" s="88">
        <f t="shared" si="5"/>
        <v>2</v>
      </c>
      <c r="AF37" s="112" t="str">
        <f t="shared" si="6"/>
        <v xml:space="preserve"> </v>
      </c>
      <c r="AG37" s="106" t="s">
        <v>188</v>
      </c>
      <c r="AH37" s="257">
        <v>2210.75</v>
      </c>
      <c r="AI37" s="82">
        <f>INDEX('Model Calculator'!$AM$2:$AM$226,MATCH(AG37,'Model Calculator'!$A$2:$A$226,0))</f>
        <v>2419.52</v>
      </c>
      <c r="AJ37" s="110">
        <f t="shared" si="7"/>
        <v>9.443401560556372E-2</v>
      </c>
    </row>
    <row r="38" spans="5:36">
      <c r="E38" s="269"/>
      <c r="F38" s="159"/>
      <c r="G38" s="159"/>
      <c r="AB38" s="111" t="str">
        <f t="shared" si="4"/>
        <v>I</v>
      </c>
      <c r="AC38" s="88" t="str">
        <f t="shared" si="1"/>
        <v>09.5</v>
      </c>
      <c r="AD38" s="88" t="str">
        <f t="shared" si="2"/>
        <v>B</v>
      </c>
      <c r="AE38" s="88">
        <f t="shared" si="5"/>
        <v>2</v>
      </c>
      <c r="AF38" s="112" t="str">
        <f t="shared" si="6"/>
        <v xml:space="preserve"> </v>
      </c>
      <c r="AG38" s="106" t="s">
        <v>189</v>
      </c>
      <c r="AH38" s="257">
        <v>2315.06</v>
      </c>
      <c r="AI38" s="82">
        <f>INDEX('Model Calculator'!$AM$2:$AM$226,MATCH(AG38,'Model Calculator'!$A$2:$A$226,0))</f>
        <v>2534.46</v>
      </c>
      <c r="AJ38" s="110">
        <f t="shared" si="7"/>
        <v>9.4770761880901611E-2</v>
      </c>
    </row>
    <row r="39" spans="5:36">
      <c r="E39" s="269"/>
      <c r="F39" s="159"/>
      <c r="G39" s="159"/>
      <c r="AB39" s="111" t="str">
        <f t="shared" si="4"/>
        <v>I</v>
      </c>
      <c r="AC39" s="88" t="str">
        <f t="shared" si="1"/>
        <v>10.0</v>
      </c>
      <c r="AD39" s="88" t="str">
        <f t="shared" si="2"/>
        <v>B</v>
      </c>
      <c r="AE39" s="88">
        <f t="shared" si="5"/>
        <v>2</v>
      </c>
      <c r="AF39" s="112" t="str">
        <f t="shared" si="6"/>
        <v xml:space="preserve"> </v>
      </c>
      <c r="AG39" s="106" t="s">
        <v>190</v>
      </c>
      <c r="AH39" s="257">
        <v>2419.37</v>
      </c>
      <c r="AI39" s="82">
        <f>INDEX('Model Calculator'!$AM$2:$AM$226,MATCH(AG39,'Model Calculator'!$A$2:$A$226,0))</f>
        <v>2649.41</v>
      </c>
      <c r="AJ39" s="110">
        <f t="shared" si="7"/>
        <v>9.5082604149013983E-2</v>
      </c>
    </row>
    <row r="40" spans="5:36">
      <c r="E40" s="269"/>
      <c r="F40" s="159"/>
      <c r="G40" s="159"/>
      <c r="AB40" s="111" t="str">
        <f t="shared" si="4"/>
        <v>I</v>
      </c>
      <c r="AC40" s="88" t="str">
        <f t="shared" si="1"/>
        <v>10.5</v>
      </c>
      <c r="AD40" s="88" t="str">
        <f t="shared" si="2"/>
        <v>B</v>
      </c>
      <c r="AE40" s="88">
        <f t="shared" si="5"/>
        <v>2</v>
      </c>
      <c r="AF40" s="112" t="str">
        <f t="shared" si="6"/>
        <v xml:space="preserve"> </v>
      </c>
      <c r="AG40" s="106" t="s">
        <v>191</v>
      </c>
      <c r="AH40" s="257">
        <v>2523.6799999999998</v>
      </c>
      <c r="AI40" s="82">
        <f>INDEX('Model Calculator'!$AM$2:$AM$226,MATCH(AG40,'Model Calculator'!$A$2:$A$226,0))</f>
        <v>2764.35</v>
      </c>
      <c r="AJ40" s="110">
        <f t="shared" si="7"/>
        <v>9.5364705509414852E-2</v>
      </c>
    </row>
    <row r="41" spans="5:36">
      <c r="E41" s="269"/>
      <c r="F41" s="159"/>
      <c r="G41" s="159"/>
      <c r="AA41" s="480"/>
      <c r="AB41" s="111" t="str">
        <f t="shared" si="4"/>
        <v>I</v>
      </c>
      <c r="AC41" s="88" t="str">
        <f t="shared" ref="AC41:AC53" si="9">IF(AF41&lt;&gt;"",MID(AG41,2,4),MID(AG41,2,4))</f>
        <v>11.0</v>
      </c>
      <c r="AD41" s="88" t="str">
        <f>IF(LEFT(AG41,1)="M",MID(AG41,6,1),RIGHT(AG41,1))</f>
        <v>B</v>
      </c>
      <c r="AE41" s="88">
        <f t="shared" si="5"/>
        <v>2</v>
      </c>
      <c r="AF41" s="112" t="str">
        <f t="shared" si="6"/>
        <v xml:space="preserve"> </v>
      </c>
      <c r="AG41" s="106" t="s">
        <v>192</v>
      </c>
      <c r="AH41" s="257">
        <v>2627.99</v>
      </c>
      <c r="AI41" s="82">
        <f>INDEX('Model Calculator'!$AM$2:$AM$226,MATCH(AG41,'Model Calculator'!$A$2:$A$226,0))</f>
        <v>2881.27</v>
      </c>
      <c r="AJ41" s="110">
        <f t="shared" si="7"/>
        <v>9.6377840098326187E-2</v>
      </c>
    </row>
    <row r="42" spans="5:36">
      <c r="E42" s="269"/>
      <c r="F42" s="159"/>
      <c r="G42" s="159"/>
      <c r="AB42" s="111" t="str">
        <f t="shared" si="4"/>
        <v>M</v>
      </c>
      <c r="AC42" s="88" t="str">
        <f t="shared" si="9"/>
        <v>03.5</v>
      </c>
      <c r="AD42" s="88" t="str">
        <f>IF(LEFT(AG42,1)="M",MID(AG42,6,1),RIGHT(AG42,1))</f>
        <v>B</v>
      </c>
      <c r="AE42" s="88">
        <f t="shared" si="5"/>
        <v>2</v>
      </c>
      <c r="AF42" s="112" t="str">
        <f>IF(LEFT(AG42,1)="M",RIGHT(AG42,1)," ")</f>
        <v>1</v>
      </c>
      <c r="AG42" s="106" t="s">
        <v>193</v>
      </c>
      <c r="AH42" s="257">
        <v>1146.6400000000001</v>
      </c>
      <c r="AI42" s="82">
        <f>INDEX('Model Calculator'!$AM$2:$AM$226,MATCH(AG42,'Model Calculator'!$A$2:$A$226,0))</f>
        <v>1245.0899999999999</v>
      </c>
      <c r="AJ42" s="110">
        <f t="shared" si="7"/>
        <v>8.5859554873368979E-2</v>
      </c>
    </row>
    <row r="43" spans="5:36">
      <c r="F43" s="270"/>
      <c r="G43" s="270"/>
      <c r="AB43" s="111" t="str">
        <f t="shared" si="4"/>
        <v>M</v>
      </c>
      <c r="AC43" s="88" t="str">
        <f t="shared" si="9"/>
        <v>04.0</v>
      </c>
      <c r="AD43" s="88" t="str">
        <f t="shared" ref="AD43:AD122" si="10">IF(LEFT(AG43,1)="M",MID(AG43,6,1),RIGHT(AG43,1))</f>
        <v>B</v>
      </c>
      <c r="AE43" s="88">
        <f t="shared" si="5"/>
        <v>2</v>
      </c>
      <c r="AF43" s="112" t="str">
        <f t="shared" si="6"/>
        <v>1</v>
      </c>
      <c r="AG43" s="106" t="s">
        <v>194</v>
      </c>
      <c r="AH43" s="257">
        <v>1270.4000000000001</v>
      </c>
      <c r="AI43" s="82">
        <f>INDEX('Model Calculator'!$AM$2:$AM$226,MATCH(AG43,'Model Calculator'!$A$2:$A$226,0))</f>
        <v>1381.87</v>
      </c>
      <c r="AJ43" s="110">
        <f t="shared" si="7"/>
        <v>8.7744017632241655E-2</v>
      </c>
    </row>
    <row r="44" spans="5:36">
      <c r="F44" s="271"/>
      <c r="G44" s="271"/>
      <c r="AB44" s="111" t="str">
        <f t="shared" si="4"/>
        <v>M</v>
      </c>
      <c r="AC44" s="88" t="str">
        <f t="shared" si="9"/>
        <v>04.5</v>
      </c>
      <c r="AD44" s="88" t="str">
        <f t="shared" si="10"/>
        <v>B</v>
      </c>
      <c r="AE44" s="88">
        <f t="shared" si="5"/>
        <v>2</v>
      </c>
      <c r="AF44" s="112" t="str">
        <f t="shared" si="6"/>
        <v>1</v>
      </c>
      <c r="AG44" s="106" t="s">
        <v>195</v>
      </c>
      <c r="AH44" s="257">
        <v>1394.16</v>
      </c>
      <c r="AI44" s="82">
        <f>INDEX('Model Calculator'!$AM$2:$AM$226,MATCH(AG44,'Model Calculator'!$A$2:$A$226,0))</f>
        <v>1518.66</v>
      </c>
      <c r="AJ44" s="110">
        <f t="shared" si="7"/>
        <v>8.930108452401446E-2</v>
      </c>
    </row>
    <row r="45" spans="5:36">
      <c r="AB45" s="111" t="str">
        <f t="shared" si="4"/>
        <v>M</v>
      </c>
      <c r="AC45" s="88" t="str">
        <f t="shared" si="9"/>
        <v>05.0</v>
      </c>
      <c r="AD45" s="88" t="str">
        <f t="shared" si="10"/>
        <v>B</v>
      </c>
      <c r="AE45" s="88">
        <f t="shared" si="5"/>
        <v>2</v>
      </c>
      <c r="AF45" s="112" t="str">
        <f t="shared" si="6"/>
        <v>1</v>
      </c>
      <c r="AG45" s="106" t="s">
        <v>196</v>
      </c>
      <c r="AH45" s="257">
        <v>1517.93</v>
      </c>
      <c r="AI45" s="82">
        <f>INDEX('Model Calculator'!$AM$2:$AM$226,MATCH(AG45,'Model Calculator'!$A$2:$A$226,0))</f>
        <v>1655.44</v>
      </c>
      <c r="AJ45" s="110">
        <f t="shared" si="7"/>
        <v>9.0590475186602792E-2</v>
      </c>
    </row>
    <row r="46" spans="5:36">
      <c r="AB46" s="111" t="str">
        <f t="shared" si="4"/>
        <v>M</v>
      </c>
      <c r="AC46" s="88" t="str">
        <f t="shared" si="9"/>
        <v>05.5</v>
      </c>
      <c r="AD46" s="88" t="str">
        <f t="shared" si="10"/>
        <v>B</v>
      </c>
      <c r="AE46" s="88">
        <f t="shared" si="5"/>
        <v>2</v>
      </c>
      <c r="AF46" s="112" t="str">
        <f t="shared" si="6"/>
        <v>1</v>
      </c>
      <c r="AG46" s="106" t="s">
        <v>197</v>
      </c>
      <c r="AH46" s="257">
        <v>1641.69</v>
      </c>
      <c r="AI46" s="82">
        <f>INDEX('Model Calculator'!$AM$2:$AM$226,MATCH(AG46,'Model Calculator'!$A$2:$A$226,0))</f>
        <v>1792.23</v>
      </c>
      <c r="AJ46" s="110">
        <f t="shared" si="7"/>
        <v>9.1698189061272195E-2</v>
      </c>
    </row>
    <row r="47" spans="5:36">
      <c r="AB47" s="111" t="str">
        <f t="shared" si="4"/>
        <v>M</v>
      </c>
      <c r="AC47" s="88" t="str">
        <f t="shared" si="9"/>
        <v>06.0</v>
      </c>
      <c r="AD47" s="88" t="str">
        <f t="shared" si="10"/>
        <v>B</v>
      </c>
      <c r="AE47" s="88">
        <f t="shared" si="5"/>
        <v>2</v>
      </c>
      <c r="AF47" s="112" t="str">
        <f t="shared" si="6"/>
        <v>1</v>
      </c>
      <c r="AG47" s="106" t="s">
        <v>198</v>
      </c>
      <c r="AH47" s="257">
        <v>1765.45</v>
      </c>
      <c r="AI47" s="82">
        <f>INDEX('Model Calculator'!$AM$2:$AM$226,MATCH(AG47,'Model Calculator'!$A$2:$A$226,0))</f>
        <v>1931.37</v>
      </c>
      <c r="AJ47" s="110">
        <f t="shared" si="7"/>
        <v>9.3981704381319114E-2</v>
      </c>
    </row>
    <row r="48" spans="5:36">
      <c r="AB48" s="111" t="str">
        <f t="shared" si="4"/>
        <v>M</v>
      </c>
      <c r="AC48" s="88" t="str">
        <f t="shared" si="9"/>
        <v>06.5</v>
      </c>
      <c r="AD48" s="88" t="str">
        <f t="shared" si="10"/>
        <v>B</v>
      </c>
      <c r="AE48" s="88">
        <f t="shared" si="5"/>
        <v>2</v>
      </c>
      <c r="AF48" s="112" t="str">
        <f t="shared" si="6"/>
        <v>1</v>
      </c>
      <c r="AG48" s="106" t="s">
        <v>199</v>
      </c>
      <c r="AH48" s="257">
        <v>1889.22</v>
      </c>
      <c r="AI48" s="82">
        <f>INDEX('Model Calculator'!$AM$2:$AM$226,MATCH(AG48,'Model Calculator'!$A$2:$A$226,0))</f>
        <v>2068.15</v>
      </c>
      <c r="AJ48" s="110">
        <f t="shared" si="7"/>
        <v>9.4711044769799205E-2</v>
      </c>
    </row>
    <row r="49" spans="28:36">
      <c r="AB49" s="111" t="str">
        <f t="shared" si="4"/>
        <v>M</v>
      </c>
      <c r="AC49" s="88" t="str">
        <f t="shared" si="9"/>
        <v>07.0</v>
      </c>
      <c r="AD49" s="88" t="str">
        <f t="shared" si="10"/>
        <v>B</v>
      </c>
      <c r="AE49" s="88">
        <f t="shared" si="5"/>
        <v>2</v>
      </c>
      <c r="AF49" s="112" t="str">
        <f t="shared" si="6"/>
        <v>1</v>
      </c>
      <c r="AG49" s="106" t="s">
        <v>200</v>
      </c>
      <c r="AH49" s="257">
        <v>2010.84</v>
      </c>
      <c r="AI49" s="82">
        <f>INDEX('Model Calculator'!$AM$2:$AM$226,MATCH(AG49,'Model Calculator'!$A$2:$A$226,0))</f>
        <v>2204.94</v>
      </c>
      <c r="AJ49" s="110">
        <f t="shared" si="7"/>
        <v>9.6526824610610559E-2</v>
      </c>
    </row>
    <row r="50" spans="28:36">
      <c r="AB50" s="111" t="str">
        <f t="shared" si="4"/>
        <v>M</v>
      </c>
      <c r="AC50" s="88" t="str">
        <f t="shared" si="9"/>
        <v>07.5</v>
      </c>
      <c r="AD50" s="88" t="str">
        <f t="shared" si="10"/>
        <v>B</v>
      </c>
      <c r="AE50" s="88">
        <f t="shared" si="5"/>
        <v>2</v>
      </c>
      <c r="AF50" s="112" t="str">
        <f t="shared" si="6"/>
        <v>1</v>
      </c>
      <c r="AG50" s="106" t="s">
        <v>201</v>
      </c>
      <c r="AH50" s="257">
        <v>2134.61</v>
      </c>
      <c r="AI50" s="82">
        <f>INDEX('Model Calculator'!$AM$2:$AM$226,MATCH(AG50,'Model Calculator'!$A$2:$A$226,0))</f>
        <v>2341.7199999999998</v>
      </c>
      <c r="AJ50" s="110">
        <f t="shared" si="7"/>
        <v>9.702474925161958E-2</v>
      </c>
    </row>
    <row r="51" spans="28:36">
      <c r="AB51" s="111" t="str">
        <f t="shared" si="4"/>
        <v>M</v>
      </c>
      <c r="AC51" s="88" t="str">
        <f t="shared" si="9"/>
        <v>08.0</v>
      </c>
      <c r="AD51" s="88" t="str">
        <f t="shared" si="10"/>
        <v>B</v>
      </c>
      <c r="AE51" s="88">
        <f t="shared" si="5"/>
        <v>2</v>
      </c>
      <c r="AF51" s="112" t="str">
        <f t="shared" si="6"/>
        <v>1</v>
      </c>
      <c r="AG51" s="106" t="s">
        <v>202</v>
      </c>
      <c r="AH51" s="257">
        <v>2258.37</v>
      </c>
      <c r="AI51" s="82">
        <f>INDEX('Model Calculator'!$AM$2:$AM$226,MATCH(AG51,'Model Calculator'!$A$2:$A$226,0))</f>
        <v>2478.5100000000002</v>
      </c>
      <c r="AJ51" s="110">
        <f t="shared" si="7"/>
        <v>9.7477384131032713E-2</v>
      </c>
    </row>
    <row r="52" spans="28:36">
      <c r="AB52" s="111" t="str">
        <f t="shared" si="4"/>
        <v>M</v>
      </c>
      <c r="AC52" s="88" t="str">
        <f t="shared" si="9"/>
        <v>08.5</v>
      </c>
      <c r="AD52" s="88" t="str">
        <f t="shared" si="10"/>
        <v>B</v>
      </c>
      <c r="AE52" s="88">
        <f t="shared" si="5"/>
        <v>2</v>
      </c>
      <c r="AF52" s="112" t="str">
        <f t="shared" si="6"/>
        <v>1</v>
      </c>
      <c r="AG52" s="106" t="s">
        <v>203</v>
      </c>
      <c r="AH52" s="257">
        <v>2382.13</v>
      </c>
      <c r="AI52" s="82">
        <f>INDEX('Model Calculator'!$AM$2:$AM$226,MATCH(AG52,'Model Calculator'!$A$2:$A$226,0))</f>
        <v>2615.3000000000002</v>
      </c>
      <c r="AJ52" s="110">
        <f t="shared" si="7"/>
        <v>9.7882987074592934E-2</v>
      </c>
    </row>
    <row r="53" spans="28:36">
      <c r="AB53" s="111" t="str">
        <f t="shared" si="4"/>
        <v>M</v>
      </c>
      <c r="AC53" s="88" t="str">
        <f t="shared" si="9"/>
        <v>09.0</v>
      </c>
      <c r="AD53" s="88" t="str">
        <f t="shared" si="10"/>
        <v>B</v>
      </c>
      <c r="AE53" s="88">
        <f t="shared" si="5"/>
        <v>2</v>
      </c>
      <c r="AF53" s="112" t="str">
        <f t="shared" si="6"/>
        <v>1</v>
      </c>
      <c r="AG53" s="106" t="s">
        <v>204</v>
      </c>
      <c r="AH53" s="257">
        <v>2505.9</v>
      </c>
      <c r="AI53" s="82">
        <f>INDEX('Model Calculator'!$AM$2:$AM$226,MATCH(AG53,'Model Calculator'!$A$2:$A$226,0))</f>
        <v>2752.08</v>
      </c>
      <c r="AJ53" s="110">
        <f t="shared" si="7"/>
        <v>9.8240153238357414E-2</v>
      </c>
    </row>
    <row r="54" spans="28:36">
      <c r="AB54" s="111" t="str">
        <f t="shared" si="4"/>
        <v>M</v>
      </c>
      <c r="AC54" s="88" t="str">
        <f>IF(AF54&lt;&gt;"",MID(AG54,2,4),MID(AG54,2,4))</f>
        <v>09.5</v>
      </c>
      <c r="AD54" s="88" t="str">
        <f t="shared" si="10"/>
        <v>B</v>
      </c>
      <c r="AE54" s="88">
        <f t="shared" si="5"/>
        <v>2</v>
      </c>
      <c r="AF54" s="112" t="str">
        <f t="shared" si="6"/>
        <v>1</v>
      </c>
      <c r="AG54" s="106" t="s">
        <v>205</v>
      </c>
      <c r="AH54" s="257">
        <v>2629.66</v>
      </c>
      <c r="AI54" s="82">
        <f>INDEX('Model Calculator'!$AM$2:$AM$226,MATCH(AG54,'Model Calculator'!$A$2:$A$226,0))</f>
        <v>2888.87</v>
      </c>
      <c r="AJ54" s="110">
        <f t="shared" si="7"/>
        <v>9.8571678467938836E-2</v>
      </c>
    </row>
    <row r="55" spans="28:36">
      <c r="AB55" s="111" t="str">
        <f t="shared" si="4"/>
        <v>M</v>
      </c>
      <c r="AC55" s="88" t="str">
        <f t="shared" ref="AC55:AC134" si="11">IF(AF55&lt;&gt;"",MID(AG55,2,4),MID(AG55,2,4))</f>
        <v>10.0</v>
      </c>
      <c r="AD55" s="88" t="str">
        <f t="shared" si="10"/>
        <v>B</v>
      </c>
      <c r="AE55" s="88">
        <f t="shared" si="5"/>
        <v>2</v>
      </c>
      <c r="AF55" s="112" t="str">
        <f t="shared" si="6"/>
        <v>1</v>
      </c>
      <c r="AG55" s="106" t="s">
        <v>206</v>
      </c>
      <c r="AH55" s="257">
        <v>2753.42</v>
      </c>
      <c r="AI55" s="82">
        <f>INDEX('Model Calculator'!$AM$2:$AM$226,MATCH(AG55,'Model Calculator'!$A$2:$A$226,0))</f>
        <v>3025.65</v>
      </c>
      <c r="AJ55" s="110">
        <f t="shared" si="7"/>
        <v>9.8869769232445476E-2</v>
      </c>
    </row>
    <row r="56" spans="28:36">
      <c r="AB56" s="111" t="str">
        <f t="shared" si="4"/>
        <v>M</v>
      </c>
      <c r="AC56" s="88" t="str">
        <f t="shared" si="11"/>
        <v>10.5</v>
      </c>
      <c r="AD56" s="88" t="str">
        <f t="shared" si="10"/>
        <v>B</v>
      </c>
      <c r="AE56" s="88">
        <f t="shared" si="5"/>
        <v>2</v>
      </c>
      <c r="AF56" s="112" t="str">
        <f t="shared" si="6"/>
        <v>1</v>
      </c>
      <c r="AG56" s="106" t="s">
        <v>207</v>
      </c>
      <c r="AH56" s="257">
        <v>2877.19</v>
      </c>
      <c r="AI56" s="82">
        <f>INDEX('Model Calculator'!$AM$2:$AM$226,MATCH(AG56,'Model Calculator'!$A$2:$A$226,0))</f>
        <v>3162.44</v>
      </c>
      <c r="AJ56" s="110">
        <f t="shared" si="7"/>
        <v>9.9141871061695613E-2</v>
      </c>
    </row>
    <row r="57" spans="28:36">
      <c r="AB57" s="111" t="str">
        <f t="shared" si="4"/>
        <v>M</v>
      </c>
      <c r="AC57" s="88" t="str">
        <f t="shared" si="11"/>
        <v>11.0</v>
      </c>
      <c r="AD57" s="88" t="str">
        <f t="shared" si="10"/>
        <v>B</v>
      </c>
      <c r="AE57" s="88">
        <f t="shared" si="5"/>
        <v>2</v>
      </c>
      <c r="AF57" s="112" t="str">
        <f t="shared" si="6"/>
        <v>1</v>
      </c>
      <c r="AG57" s="106" t="s">
        <v>208</v>
      </c>
      <c r="AH57" s="257">
        <v>3000.95</v>
      </c>
      <c r="AI57" s="82">
        <f>INDEX('Model Calculator'!$AM$2:$AM$226,MATCH(AG57,'Model Calculator'!$A$2:$A$226,0))</f>
        <v>3301.58</v>
      </c>
      <c r="AJ57" s="110">
        <f t="shared" si="7"/>
        <v>0.10017827687898836</v>
      </c>
    </row>
    <row r="58" spans="28:36">
      <c r="AB58" s="111" t="str">
        <f t="shared" si="4"/>
        <v>M</v>
      </c>
      <c r="AC58" s="88" t="str">
        <f t="shared" si="11"/>
        <v>03.5</v>
      </c>
      <c r="AD58" s="88" t="str">
        <f t="shared" si="10"/>
        <v>B</v>
      </c>
      <c r="AE58" s="88">
        <f t="shared" si="5"/>
        <v>2</v>
      </c>
      <c r="AF58" s="112" t="str">
        <f t="shared" si="6"/>
        <v>2</v>
      </c>
      <c r="AG58" s="106" t="s">
        <v>209</v>
      </c>
      <c r="AH58" s="257">
        <v>1178.8599999999999</v>
      </c>
      <c r="AI58" s="82">
        <f>INDEX('Model Calculator'!$AM$2:$AM$226,MATCH(AG58,'Model Calculator'!$A$2:$A$226,0))</f>
        <v>1281.52</v>
      </c>
      <c r="AJ58" s="110">
        <f t="shared" si="7"/>
        <v>8.7084132127648817E-2</v>
      </c>
    </row>
    <row r="59" spans="28:36">
      <c r="AB59" s="111" t="str">
        <f t="shared" si="4"/>
        <v>M</v>
      </c>
      <c r="AC59" s="88" t="str">
        <f t="shared" si="11"/>
        <v>04.0</v>
      </c>
      <c r="AD59" s="88" t="str">
        <f t="shared" si="10"/>
        <v>B</v>
      </c>
      <c r="AE59" s="88">
        <f t="shared" si="5"/>
        <v>2</v>
      </c>
      <c r="AF59" s="112" t="str">
        <f t="shared" si="6"/>
        <v>2</v>
      </c>
      <c r="AG59" s="106" t="s">
        <v>210</v>
      </c>
      <c r="AH59" s="257">
        <v>1310.32</v>
      </c>
      <c r="AI59" s="82">
        <f>INDEX('Model Calculator'!$AM$2:$AM$226,MATCH(AG59,'Model Calculator'!$A$2:$A$226,0))</f>
        <v>1426.97</v>
      </c>
      <c r="AJ59" s="110">
        <f t="shared" si="7"/>
        <v>8.9024055192624782E-2</v>
      </c>
    </row>
    <row r="60" spans="28:36">
      <c r="AB60" s="111" t="str">
        <f t="shared" si="4"/>
        <v>M</v>
      </c>
      <c r="AC60" s="88" t="str">
        <f t="shared" si="11"/>
        <v>04.5</v>
      </c>
      <c r="AD60" s="88" t="str">
        <f t="shared" si="10"/>
        <v>B</v>
      </c>
      <c r="AE60" s="88">
        <f t="shared" si="5"/>
        <v>2</v>
      </c>
      <c r="AF60" s="112" t="str">
        <f t="shared" si="6"/>
        <v>2</v>
      </c>
      <c r="AG60" s="106" t="s">
        <v>211</v>
      </c>
      <c r="AH60" s="257">
        <v>1441.77</v>
      </c>
      <c r="AI60" s="82">
        <f>INDEX('Model Calculator'!$AM$2:$AM$226,MATCH(AG60,'Model Calculator'!$A$2:$A$226,0))</f>
        <v>1572.42</v>
      </c>
      <c r="AJ60" s="110">
        <f t="shared" si="7"/>
        <v>9.0617782309244957E-2</v>
      </c>
    </row>
    <row r="61" spans="28:36">
      <c r="AB61" s="111" t="str">
        <f t="shared" si="4"/>
        <v>M</v>
      </c>
      <c r="AC61" s="88" t="str">
        <f t="shared" si="11"/>
        <v>05.0</v>
      </c>
      <c r="AD61" s="88" t="str">
        <f t="shared" si="10"/>
        <v>B</v>
      </c>
      <c r="AE61" s="88">
        <f t="shared" si="5"/>
        <v>2</v>
      </c>
      <c r="AF61" s="112" t="str">
        <f t="shared" si="6"/>
        <v>2</v>
      </c>
      <c r="AG61" s="106" t="s">
        <v>212</v>
      </c>
      <c r="AH61" s="257">
        <v>1573.23</v>
      </c>
      <c r="AI61" s="82">
        <f>INDEX('Model Calculator'!$AM$2:$AM$226,MATCH(AG61,'Model Calculator'!$A$2:$A$226,0))</f>
        <v>1717.86</v>
      </c>
      <c r="AJ61" s="110">
        <f t="shared" si="7"/>
        <v>9.1931885356877172E-2</v>
      </c>
    </row>
    <row r="62" spans="28:36">
      <c r="AB62" s="111" t="str">
        <f t="shared" si="4"/>
        <v>M</v>
      </c>
      <c r="AC62" s="88" t="str">
        <f t="shared" si="11"/>
        <v>05.5</v>
      </c>
      <c r="AD62" s="88" t="str">
        <f t="shared" si="10"/>
        <v>B</v>
      </c>
      <c r="AE62" s="88">
        <f t="shared" si="5"/>
        <v>2</v>
      </c>
      <c r="AF62" s="112" t="str">
        <f t="shared" si="6"/>
        <v>2</v>
      </c>
      <c r="AG62" s="106" t="s">
        <v>213</v>
      </c>
      <c r="AH62" s="257">
        <v>1704.68</v>
      </c>
      <c r="AI62" s="82">
        <f>INDEX('Model Calculator'!$AM$2:$AM$226,MATCH(AG62,'Model Calculator'!$A$2:$A$226,0))</f>
        <v>1863.31</v>
      </c>
      <c r="AJ62" s="110">
        <f t="shared" si="7"/>
        <v>9.305558814557563E-2</v>
      </c>
    </row>
    <row r="63" spans="28:36">
      <c r="AB63" s="111" t="str">
        <f t="shared" si="4"/>
        <v>M</v>
      </c>
      <c r="AC63" s="88" t="str">
        <f t="shared" si="11"/>
        <v>06.0</v>
      </c>
      <c r="AD63" s="88" t="str">
        <f t="shared" si="10"/>
        <v>B</v>
      </c>
      <c r="AE63" s="88">
        <f t="shared" si="5"/>
        <v>2</v>
      </c>
      <c r="AF63" s="112" t="str">
        <f t="shared" si="6"/>
        <v>2</v>
      </c>
      <c r="AG63" s="106" t="s">
        <v>214</v>
      </c>
      <c r="AH63" s="257">
        <v>1836.14</v>
      </c>
      <c r="AI63" s="82">
        <f>INDEX('Model Calculator'!$AM$2:$AM$226,MATCH(AG63,'Model Calculator'!$A$2:$A$226,0))</f>
        <v>2011.27</v>
      </c>
      <c r="AJ63" s="110">
        <f t="shared" si="7"/>
        <v>9.5379437297809469E-2</v>
      </c>
    </row>
    <row r="64" spans="28:36">
      <c r="AB64" s="111" t="str">
        <f t="shared" si="4"/>
        <v>M</v>
      </c>
      <c r="AC64" s="88" t="str">
        <f t="shared" si="11"/>
        <v>06.5</v>
      </c>
      <c r="AD64" s="88" t="str">
        <f t="shared" si="10"/>
        <v>B</v>
      </c>
      <c r="AE64" s="88">
        <f t="shared" si="5"/>
        <v>2</v>
      </c>
      <c r="AF64" s="112" t="str">
        <f t="shared" si="6"/>
        <v>2</v>
      </c>
      <c r="AG64" s="106" t="s">
        <v>215</v>
      </c>
      <c r="AH64" s="257">
        <v>1967.59</v>
      </c>
      <c r="AI64" s="82">
        <f>INDEX('Model Calculator'!$AM$2:$AM$226,MATCH(AG64,'Model Calculator'!$A$2:$A$226,0))</f>
        <v>2156.71</v>
      </c>
      <c r="AJ64" s="110">
        <f t="shared" si="7"/>
        <v>9.611758547258327E-2</v>
      </c>
    </row>
    <row r="65" spans="28:36">
      <c r="AB65" s="111" t="str">
        <f t="shared" si="4"/>
        <v>M</v>
      </c>
      <c r="AC65" s="88" t="str">
        <f t="shared" si="11"/>
        <v>07.0</v>
      </c>
      <c r="AD65" s="88" t="str">
        <f t="shared" si="10"/>
        <v>B</v>
      </c>
      <c r="AE65" s="88">
        <f t="shared" si="5"/>
        <v>2</v>
      </c>
      <c r="AF65" s="112" t="str">
        <f t="shared" si="6"/>
        <v>2</v>
      </c>
      <c r="AG65" s="106" t="s">
        <v>216</v>
      </c>
      <c r="AH65" s="257">
        <v>2096.7800000000002</v>
      </c>
      <c r="AI65" s="82">
        <f>INDEX('Model Calculator'!$AM$2:$AM$226,MATCH(AG65,'Model Calculator'!$A$2:$A$226,0))</f>
        <v>2302.16</v>
      </c>
      <c r="AJ65" s="110">
        <f t="shared" si="7"/>
        <v>9.7950190291780551E-2</v>
      </c>
    </row>
    <row r="66" spans="28:36">
      <c r="AB66" s="111" t="str">
        <f t="shared" si="4"/>
        <v>M</v>
      </c>
      <c r="AC66" s="88" t="str">
        <f t="shared" si="11"/>
        <v>07.5</v>
      </c>
      <c r="AD66" s="88" t="str">
        <f t="shared" si="10"/>
        <v>B</v>
      </c>
      <c r="AE66" s="88">
        <f t="shared" si="5"/>
        <v>2</v>
      </c>
      <c r="AF66" s="112" t="str">
        <f t="shared" si="6"/>
        <v>2</v>
      </c>
      <c r="AG66" s="106" t="s">
        <v>217</v>
      </c>
      <c r="AH66" s="257">
        <v>2228.2399999999998</v>
      </c>
      <c r="AI66" s="82">
        <f>INDEX('Model Calculator'!$AM$2:$AM$226,MATCH(AG66,'Model Calculator'!$A$2:$A$226,0))</f>
        <v>2447.61</v>
      </c>
      <c r="AJ66" s="110">
        <f t="shared" si="7"/>
        <v>9.84498976770906E-2</v>
      </c>
    </row>
    <row r="67" spans="28:36">
      <c r="AB67" s="111" t="str">
        <f t="shared" si="4"/>
        <v>M</v>
      </c>
      <c r="AC67" s="88" t="str">
        <f t="shared" si="11"/>
        <v>08.0</v>
      </c>
      <c r="AD67" s="88" t="str">
        <f t="shared" si="10"/>
        <v>B</v>
      </c>
      <c r="AE67" s="88">
        <f t="shared" si="5"/>
        <v>2</v>
      </c>
      <c r="AF67" s="112" t="str">
        <f t="shared" si="6"/>
        <v>2</v>
      </c>
      <c r="AG67" s="106" t="s">
        <v>218</v>
      </c>
      <c r="AH67" s="257">
        <v>2359.69</v>
      </c>
      <c r="AI67" s="82">
        <f>INDEX('Model Calculator'!$AM$2:$AM$226,MATCH(AG67,'Model Calculator'!$A$2:$A$226,0))</f>
        <v>2593.0500000000002</v>
      </c>
      <c r="AJ67" s="110">
        <f t="shared" si="7"/>
        <v>9.8894346291250171E-2</v>
      </c>
    </row>
    <row r="68" spans="28:36">
      <c r="AB68" s="111" t="str">
        <f t="shared" si="4"/>
        <v>M</v>
      </c>
      <c r="AC68" s="88" t="str">
        <f t="shared" si="11"/>
        <v>08.5</v>
      </c>
      <c r="AD68" s="88" t="str">
        <f t="shared" si="10"/>
        <v>B</v>
      </c>
      <c r="AE68" s="88">
        <f t="shared" si="5"/>
        <v>2</v>
      </c>
      <c r="AF68" s="112" t="str">
        <f t="shared" si="6"/>
        <v>2</v>
      </c>
      <c r="AG68" s="106" t="s">
        <v>219</v>
      </c>
      <c r="AH68" s="257">
        <v>2491.15</v>
      </c>
      <c r="AI68" s="82">
        <f>INDEX('Model Calculator'!$AM$2:$AM$226,MATCH(AG68,'Model Calculator'!$A$2:$A$226,0))</f>
        <v>2738.5</v>
      </c>
      <c r="AJ68" s="110">
        <f t="shared" si="7"/>
        <v>9.9291491881259616E-2</v>
      </c>
    </row>
    <row r="69" spans="28:36">
      <c r="AB69" s="111" t="str">
        <f t="shared" ref="AB69:AB148" si="12">LEFT(AG69,1)</f>
        <v>M</v>
      </c>
      <c r="AC69" s="88" t="str">
        <f t="shared" si="11"/>
        <v>09.0</v>
      </c>
      <c r="AD69" s="88" t="str">
        <f t="shared" si="10"/>
        <v>B</v>
      </c>
      <c r="AE69" s="88">
        <f t="shared" ref="AE69:AE148" si="13">IF(AD69="A",1,IF(AD69="B",2,IF(AD69="C","4+")))</f>
        <v>2</v>
      </c>
      <c r="AF69" s="112" t="str">
        <f t="shared" ref="AF69:AF148" si="14">IF(LEFT(AG69,1)="M",RIGHT(AG69,1)," ")</f>
        <v>2</v>
      </c>
      <c r="AG69" s="106" t="s">
        <v>220</v>
      </c>
      <c r="AH69" s="257">
        <v>2622.6</v>
      </c>
      <c r="AI69" s="82">
        <f>INDEX('Model Calculator'!$AM$2:$AM$226,MATCH(AG69,'Model Calculator'!$A$2:$A$226,0))</f>
        <v>2883.95</v>
      </c>
      <c r="AJ69" s="110">
        <f t="shared" ref="AJ69:AJ148" si="15">(AI69-AH69)/AH69</f>
        <v>9.965301609090213E-2</v>
      </c>
    </row>
    <row r="70" spans="28:36">
      <c r="AB70" s="111" t="str">
        <f t="shared" si="12"/>
        <v>M</v>
      </c>
      <c r="AC70" s="88" t="str">
        <f t="shared" si="11"/>
        <v>09.5</v>
      </c>
      <c r="AD70" s="88" t="str">
        <f t="shared" si="10"/>
        <v>B</v>
      </c>
      <c r="AE70" s="88">
        <f t="shared" si="13"/>
        <v>2</v>
      </c>
      <c r="AF70" s="112" t="str">
        <f t="shared" si="14"/>
        <v>2</v>
      </c>
      <c r="AG70" s="106" t="s">
        <v>221</v>
      </c>
      <c r="AH70" s="257">
        <v>2754.06</v>
      </c>
      <c r="AI70" s="82">
        <f>INDEX('Model Calculator'!$AM$2:$AM$226,MATCH(AG70,'Model Calculator'!$A$2:$A$226,0))</f>
        <v>3029.39</v>
      </c>
      <c r="AJ70" s="110">
        <f t="shared" si="15"/>
        <v>9.9972404377537141E-2</v>
      </c>
    </row>
    <row r="71" spans="28:36">
      <c r="AB71" s="111" t="str">
        <f t="shared" si="12"/>
        <v>M</v>
      </c>
      <c r="AC71" s="88" t="str">
        <f t="shared" si="11"/>
        <v>10.0</v>
      </c>
      <c r="AD71" s="88" t="str">
        <f t="shared" si="10"/>
        <v>B</v>
      </c>
      <c r="AE71" s="88">
        <f t="shared" si="13"/>
        <v>2</v>
      </c>
      <c r="AF71" s="112" t="str">
        <f t="shared" si="14"/>
        <v>2</v>
      </c>
      <c r="AG71" s="106" t="s">
        <v>222</v>
      </c>
      <c r="AH71" s="257">
        <v>2885.51</v>
      </c>
      <c r="AI71" s="82">
        <f>INDEX('Model Calculator'!$AM$2:$AM$226,MATCH(AG71,'Model Calculator'!$A$2:$A$226,0))</f>
        <v>3174.84</v>
      </c>
      <c r="AJ71" s="110">
        <f t="shared" si="15"/>
        <v>0.10026996960675925</v>
      </c>
    </row>
    <row r="72" spans="28:36">
      <c r="AB72" s="111" t="str">
        <f t="shared" si="12"/>
        <v>M</v>
      </c>
      <c r="AC72" s="88" t="str">
        <f t="shared" si="11"/>
        <v>10.5</v>
      </c>
      <c r="AD72" s="88" t="str">
        <f t="shared" si="10"/>
        <v>B</v>
      </c>
      <c r="AE72" s="88">
        <f t="shared" si="13"/>
        <v>2</v>
      </c>
      <c r="AF72" s="112" t="str">
        <f t="shared" si="14"/>
        <v>2</v>
      </c>
      <c r="AG72" s="106" t="s">
        <v>223</v>
      </c>
      <c r="AH72" s="257">
        <v>3016.97</v>
      </c>
      <c r="AI72" s="82">
        <f>INDEX('Model Calculator'!$AM$2:$AM$226,MATCH(AG72,'Model Calculator'!$A$2:$A$226,0))</f>
        <v>3320.29</v>
      </c>
      <c r="AJ72" s="110">
        <f t="shared" si="15"/>
        <v>0.10053795695681435</v>
      </c>
    </row>
    <row r="73" spans="28:36">
      <c r="AB73" s="111" t="str">
        <f t="shared" si="12"/>
        <v>M</v>
      </c>
      <c r="AC73" s="88" t="str">
        <f t="shared" si="11"/>
        <v>11.0</v>
      </c>
      <c r="AD73" s="88" t="str">
        <f t="shared" si="10"/>
        <v>B</v>
      </c>
      <c r="AE73" s="88">
        <f t="shared" si="13"/>
        <v>2</v>
      </c>
      <c r="AF73" s="112" t="str">
        <f t="shared" si="14"/>
        <v>2</v>
      </c>
      <c r="AG73" s="106" t="s">
        <v>224</v>
      </c>
      <c r="AH73" s="257">
        <v>3148.42</v>
      </c>
      <c r="AI73" s="82">
        <f>INDEX('Model Calculator'!$AM$2:$AM$226,MATCH(AG73,'Model Calculator'!$A$2:$A$226,0))</f>
        <v>3468.24</v>
      </c>
      <c r="AJ73" s="110">
        <f t="shared" si="15"/>
        <v>0.10158111052527925</v>
      </c>
    </row>
    <row r="74" spans="28:36">
      <c r="AB74" s="111" t="str">
        <f t="shared" si="12"/>
        <v>M</v>
      </c>
      <c r="AC74" s="88" t="str">
        <f t="shared" si="11"/>
        <v>03.5</v>
      </c>
      <c r="AD74" s="88" t="str">
        <f t="shared" si="10"/>
        <v>B</v>
      </c>
      <c r="AE74" s="88">
        <f t="shared" si="13"/>
        <v>2</v>
      </c>
      <c r="AF74" s="112" t="str">
        <f t="shared" si="14"/>
        <v>3</v>
      </c>
      <c r="AG74" s="106" t="s">
        <v>225</v>
      </c>
      <c r="AH74" s="257">
        <v>1222.55</v>
      </c>
      <c r="AI74" s="82">
        <f>INDEX('Model Calculator'!$AM$2:$AM$226,MATCH(AG74,'Model Calculator'!$A$2:$A$226,0))</f>
        <v>1326.84</v>
      </c>
      <c r="AJ74" s="110">
        <f t="shared" si="15"/>
        <v>8.5305304486524042E-2</v>
      </c>
    </row>
    <row r="75" spans="28:36">
      <c r="AB75" s="111" t="str">
        <f t="shared" si="12"/>
        <v>M</v>
      </c>
      <c r="AC75" s="88" t="str">
        <f t="shared" si="11"/>
        <v>04.0</v>
      </c>
      <c r="AD75" s="88" t="str">
        <f t="shared" si="10"/>
        <v>B</v>
      </c>
      <c r="AE75" s="88">
        <f t="shared" si="13"/>
        <v>2</v>
      </c>
      <c r="AF75" s="112" t="str">
        <f t="shared" si="14"/>
        <v>3</v>
      </c>
      <c r="AG75" s="106" t="s">
        <v>226</v>
      </c>
      <c r="AH75" s="257">
        <v>1364.43</v>
      </c>
      <c r="AI75" s="82">
        <f>INDEX('Model Calculator'!$AM$2:$AM$226,MATCH(AG75,'Model Calculator'!$A$2:$A$226,0))</f>
        <v>1483.05</v>
      </c>
      <c r="AJ75" s="110">
        <f t="shared" si="15"/>
        <v>8.6937402431784619E-2</v>
      </c>
    </row>
    <row r="76" spans="28:36">
      <c r="AB76" s="111" t="str">
        <f t="shared" si="12"/>
        <v>M</v>
      </c>
      <c r="AC76" s="88" t="str">
        <f t="shared" si="11"/>
        <v>04.5</v>
      </c>
      <c r="AD76" s="88" t="str">
        <f t="shared" si="10"/>
        <v>B</v>
      </c>
      <c r="AE76" s="88">
        <f t="shared" si="13"/>
        <v>2</v>
      </c>
      <c r="AF76" s="112" t="str">
        <f t="shared" si="14"/>
        <v>3</v>
      </c>
      <c r="AG76" s="106" t="s">
        <v>227</v>
      </c>
      <c r="AH76" s="257">
        <v>1506.31</v>
      </c>
      <c r="AI76" s="82">
        <f>INDEX('Model Calculator'!$AM$2:$AM$226,MATCH(AG76,'Model Calculator'!$A$2:$A$226,0))</f>
        <v>1639.27</v>
      </c>
      <c r="AJ76" s="110">
        <f t="shared" si="15"/>
        <v>8.8268683073205415E-2</v>
      </c>
    </row>
    <row r="77" spans="28:36">
      <c r="AB77" s="111" t="str">
        <f t="shared" si="12"/>
        <v>M</v>
      </c>
      <c r="AC77" s="88" t="str">
        <f t="shared" si="11"/>
        <v>05.0</v>
      </c>
      <c r="AD77" s="88" t="str">
        <f t="shared" si="10"/>
        <v>B</v>
      </c>
      <c r="AE77" s="88">
        <f t="shared" si="13"/>
        <v>2</v>
      </c>
      <c r="AF77" s="112" t="str">
        <f t="shared" si="14"/>
        <v>3</v>
      </c>
      <c r="AG77" s="106" t="s">
        <v>228</v>
      </c>
      <c r="AH77" s="257">
        <v>1648.2</v>
      </c>
      <c r="AI77" s="82">
        <f>INDEX('Model Calculator'!$AM$2:$AM$226,MATCH(AG77,'Model Calculator'!$A$2:$A$226,0))</f>
        <v>1795.49</v>
      </c>
      <c r="AJ77" s="110">
        <f t="shared" si="15"/>
        <v>8.9364154835578177E-2</v>
      </c>
    </row>
    <row r="78" spans="28:36">
      <c r="AB78" s="111" t="str">
        <f t="shared" si="12"/>
        <v>M</v>
      </c>
      <c r="AC78" s="88" t="str">
        <f t="shared" si="11"/>
        <v>05.5</v>
      </c>
      <c r="AD78" s="88" t="str">
        <f t="shared" si="10"/>
        <v>B</v>
      </c>
      <c r="AE78" s="88">
        <f t="shared" si="13"/>
        <v>2</v>
      </c>
      <c r="AF78" s="112" t="str">
        <f t="shared" si="14"/>
        <v>3</v>
      </c>
      <c r="AG78" s="106" t="s">
        <v>229</v>
      </c>
      <c r="AH78" s="257">
        <v>1790.08</v>
      </c>
      <c r="AI78" s="82">
        <f>INDEX('Model Calculator'!$AM$2:$AM$226,MATCH(AG78,'Model Calculator'!$A$2:$A$226,0))</f>
        <v>1951.7</v>
      </c>
      <c r="AJ78" s="110">
        <f t="shared" si="15"/>
        <v>9.0286467643904258E-2</v>
      </c>
    </row>
    <row r="79" spans="28:36">
      <c r="AB79" s="111" t="str">
        <f t="shared" si="12"/>
        <v>M</v>
      </c>
      <c r="AC79" s="88" t="str">
        <f t="shared" si="11"/>
        <v>06.0</v>
      </c>
      <c r="AD79" s="88" t="str">
        <f t="shared" si="10"/>
        <v>B</v>
      </c>
      <c r="AE79" s="88">
        <f t="shared" si="13"/>
        <v>2</v>
      </c>
      <c r="AF79" s="112" t="str">
        <f t="shared" si="14"/>
        <v>3</v>
      </c>
      <c r="AG79" s="106" t="s">
        <v>230</v>
      </c>
      <c r="AH79" s="257">
        <v>1931.96</v>
      </c>
      <c r="AI79" s="82">
        <f>INDEX('Model Calculator'!$AM$2:$AM$226,MATCH(AG79,'Model Calculator'!$A$2:$A$226,0))</f>
        <v>2110.62</v>
      </c>
      <c r="AJ79" s="110">
        <f t="shared" si="15"/>
        <v>9.2476034700511314E-2</v>
      </c>
    </row>
    <row r="80" spans="28:36">
      <c r="AB80" s="111" t="str">
        <f t="shared" si="12"/>
        <v>M</v>
      </c>
      <c r="AC80" s="88" t="str">
        <f t="shared" si="11"/>
        <v>06.5</v>
      </c>
      <c r="AD80" s="88" t="str">
        <f t="shared" si="10"/>
        <v>B</v>
      </c>
      <c r="AE80" s="88">
        <f t="shared" si="13"/>
        <v>2</v>
      </c>
      <c r="AF80" s="112" t="str">
        <f t="shared" si="14"/>
        <v>3</v>
      </c>
      <c r="AG80" s="106" t="s">
        <v>231</v>
      </c>
      <c r="AH80" s="257">
        <v>2073.84</v>
      </c>
      <c r="AI80" s="82">
        <f>INDEX('Model Calculator'!$AM$2:$AM$226,MATCH(AG80,'Model Calculator'!$A$2:$A$226,0))</f>
        <v>2266.83</v>
      </c>
      <c r="AJ80" s="110">
        <f t="shared" si="15"/>
        <v>9.3059252401342329E-2</v>
      </c>
    </row>
    <row r="81" spans="28:36">
      <c r="AB81" s="111" t="str">
        <f t="shared" si="12"/>
        <v>M</v>
      </c>
      <c r="AC81" s="88" t="str">
        <f t="shared" si="11"/>
        <v>07.0</v>
      </c>
      <c r="AD81" s="88" t="str">
        <f t="shared" si="10"/>
        <v>B</v>
      </c>
      <c r="AE81" s="88">
        <f t="shared" si="13"/>
        <v>2</v>
      </c>
      <c r="AF81" s="112" t="str">
        <f t="shared" si="14"/>
        <v>3</v>
      </c>
      <c r="AG81" s="106" t="s">
        <v>232</v>
      </c>
      <c r="AH81" s="257">
        <v>2213.2800000000002</v>
      </c>
      <c r="AI81" s="82">
        <f>INDEX('Model Calculator'!$AM$2:$AM$226,MATCH(AG81,'Model Calculator'!$A$2:$A$226,0))</f>
        <v>2423.0500000000002</v>
      </c>
      <c r="AJ81" s="110">
        <f t="shared" si="15"/>
        <v>9.4777886214125626E-2</v>
      </c>
    </row>
    <row r="82" spans="28:36">
      <c r="AB82" s="111" t="str">
        <f t="shared" si="12"/>
        <v>M</v>
      </c>
      <c r="AC82" s="88" t="str">
        <f t="shared" si="11"/>
        <v>07.5</v>
      </c>
      <c r="AD82" s="88" t="str">
        <f t="shared" si="10"/>
        <v>B</v>
      </c>
      <c r="AE82" s="88">
        <f t="shared" si="13"/>
        <v>2</v>
      </c>
      <c r="AF82" s="112" t="str">
        <f t="shared" si="14"/>
        <v>3</v>
      </c>
      <c r="AG82" s="106" t="s">
        <v>233</v>
      </c>
      <c r="AH82" s="257">
        <v>2355.16</v>
      </c>
      <c r="AI82" s="82">
        <f>INDEX('Model Calculator'!$AM$2:$AM$226,MATCH(AG82,'Model Calculator'!$A$2:$A$226,0))</f>
        <v>2579.27</v>
      </c>
      <c r="AJ82" s="110">
        <f t="shared" si="15"/>
        <v>9.5157016933032204E-2</v>
      </c>
    </row>
    <row r="83" spans="28:36">
      <c r="AB83" s="111" t="str">
        <f t="shared" si="12"/>
        <v>M</v>
      </c>
      <c r="AC83" s="88" t="str">
        <f t="shared" si="11"/>
        <v>08.0</v>
      </c>
      <c r="AD83" s="88" t="str">
        <f t="shared" si="10"/>
        <v>B</v>
      </c>
      <c r="AE83" s="88">
        <f t="shared" si="13"/>
        <v>2</v>
      </c>
      <c r="AF83" s="112" t="str">
        <f t="shared" si="14"/>
        <v>3</v>
      </c>
      <c r="AG83" s="106" t="s">
        <v>234</v>
      </c>
      <c r="AH83" s="257">
        <v>2497.0500000000002</v>
      </c>
      <c r="AI83" s="82">
        <f>INDEX('Model Calculator'!$AM$2:$AM$226,MATCH(AG83,'Model Calculator'!$A$2:$A$226,0))</f>
        <v>2735.49</v>
      </c>
      <c r="AJ83" s="110">
        <f t="shared" si="15"/>
        <v>9.548867663843319E-2</v>
      </c>
    </row>
    <row r="84" spans="28:36">
      <c r="AB84" s="111" t="str">
        <f t="shared" si="12"/>
        <v>M</v>
      </c>
      <c r="AC84" s="88" t="str">
        <f t="shared" si="11"/>
        <v>08.5</v>
      </c>
      <c r="AD84" s="88" t="str">
        <f t="shared" si="10"/>
        <v>B</v>
      </c>
      <c r="AE84" s="88">
        <f t="shared" si="13"/>
        <v>2</v>
      </c>
      <c r="AF84" s="112" t="str">
        <f t="shared" si="14"/>
        <v>3</v>
      </c>
      <c r="AG84" s="106" t="s">
        <v>235</v>
      </c>
      <c r="AH84" s="257">
        <v>2638.93</v>
      </c>
      <c r="AI84" s="82">
        <f>INDEX('Model Calculator'!$AM$2:$AM$226,MATCH(AG84,'Model Calculator'!$A$2:$A$226,0))</f>
        <v>2891.7</v>
      </c>
      <c r="AJ84" s="110">
        <f t="shared" si="15"/>
        <v>9.5785034085784773E-2</v>
      </c>
    </row>
    <row r="85" spans="28:36">
      <c r="AB85" s="111" t="str">
        <f t="shared" si="12"/>
        <v>M</v>
      </c>
      <c r="AC85" s="88" t="str">
        <f t="shared" si="11"/>
        <v>09.0</v>
      </c>
      <c r="AD85" s="88" t="str">
        <f t="shared" si="10"/>
        <v>B</v>
      </c>
      <c r="AE85" s="88">
        <f t="shared" si="13"/>
        <v>2</v>
      </c>
      <c r="AF85" s="112" t="str">
        <f t="shared" si="14"/>
        <v>3</v>
      </c>
      <c r="AG85" s="106" t="s">
        <v>236</v>
      </c>
      <c r="AH85" s="257">
        <v>2780.81</v>
      </c>
      <c r="AI85" s="82">
        <f>INDEX('Model Calculator'!$AM$2:$AM$226,MATCH(AG85,'Model Calculator'!$A$2:$A$226,0))</f>
        <v>3047.92</v>
      </c>
      <c r="AJ85" s="110">
        <f t="shared" si="15"/>
        <v>9.6054746638569388E-2</v>
      </c>
    </row>
    <row r="86" spans="28:36">
      <c r="AB86" s="111" t="str">
        <f t="shared" si="12"/>
        <v>M</v>
      </c>
      <c r="AC86" s="88" t="str">
        <f t="shared" si="11"/>
        <v>09.5</v>
      </c>
      <c r="AD86" s="88" t="str">
        <f t="shared" si="10"/>
        <v>B</v>
      </c>
      <c r="AE86" s="88">
        <f t="shared" si="13"/>
        <v>2</v>
      </c>
      <c r="AF86" s="112" t="str">
        <f t="shared" si="14"/>
        <v>3</v>
      </c>
      <c r="AG86" s="106" t="s">
        <v>237</v>
      </c>
      <c r="AH86" s="257">
        <v>2922.69</v>
      </c>
      <c r="AI86" s="82">
        <f>INDEX('Model Calculator'!$AM$2:$AM$226,MATCH(AG86,'Model Calculator'!$A$2:$A$226,0))</f>
        <v>3204.14</v>
      </c>
      <c r="AJ86" s="110">
        <f t="shared" si="15"/>
        <v>9.6298273166158507E-2</v>
      </c>
    </row>
    <row r="87" spans="28:36">
      <c r="AB87" s="111" t="str">
        <f t="shared" si="12"/>
        <v>M</v>
      </c>
      <c r="AC87" s="88" t="str">
        <f t="shared" si="11"/>
        <v>10.0</v>
      </c>
      <c r="AD87" s="88" t="str">
        <f t="shared" si="10"/>
        <v>B</v>
      </c>
      <c r="AE87" s="88">
        <f t="shared" si="13"/>
        <v>2</v>
      </c>
      <c r="AF87" s="112" t="str">
        <f t="shared" si="14"/>
        <v>3</v>
      </c>
      <c r="AG87" s="106" t="s">
        <v>238</v>
      </c>
      <c r="AH87" s="257">
        <v>3064.57</v>
      </c>
      <c r="AI87" s="82">
        <f>INDEX('Model Calculator'!$AM$2:$AM$226,MATCH(AG87,'Model Calculator'!$A$2:$A$226,0))</f>
        <v>3360.35</v>
      </c>
      <c r="AJ87" s="110">
        <f t="shared" si="15"/>
        <v>9.6515987561060682E-2</v>
      </c>
    </row>
    <row r="88" spans="28:36">
      <c r="AB88" s="111" t="str">
        <f t="shared" si="12"/>
        <v>M</v>
      </c>
      <c r="AC88" s="88" t="str">
        <f t="shared" si="11"/>
        <v>10.5</v>
      </c>
      <c r="AD88" s="88" t="str">
        <f t="shared" si="10"/>
        <v>B</v>
      </c>
      <c r="AE88" s="88">
        <f t="shared" si="13"/>
        <v>2</v>
      </c>
      <c r="AF88" s="112" t="str">
        <f t="shared" si="14"/>
        <v>3</v>
      </c>
      <c r="AG88" s="106" t="s">
        <v>239</v>
      </c>
      <c r="AH88" s="257">
        <v>3206.46</v>
      </c>
      <c r="AI88" s="82">
        <f>INDEX('Model Calculator'!$AM$2:$AM$226,MATCH(AG88,'Model Calculator'!$A$2:$A$226,0))</f>
        <v>3516.57</v>
      </c>
      <c r="AJ88" s="110">
        <f t="shared" si="15"/>
        <v>9.6714133343313219E-2</v>
      </c>
    </row>
    <row r="89" spans="28:36" ht="15.75" thickBot="1">
      <c r="AB89" s="111" t="str">
        <f t="shared" si="12"/>
        <v>M</v>
      </c>
      <c r="AC89" s="88" t="str">
        <f t="shared" si="11"/>
        <v>11.0</v>
      </c>
      <c r="AD89" s="88" t="str">
        <f t="shared" si="10"/>
        <v>B</v>
      </c>
      <c r="AE89" s="88">
        <f t="shared" si="13"/>
        <v>2</v>
      </c>
      <c r="AF89" s="112" t="str">
        <f t="shared" si="14"/>
        <v>3</v>
      </c>
      <c r="AG89" s="106" t="s">
        <v>240</v>
      </c>
      <c r="AH89" s="258">
        <v>3348.34</v>
      </c>
      <c r="AI89" s="84">
        <f>INDEX('Model Calculator'!$AM$2:$AM$226,MATCH(AG89,'Model Calculator'!$A$2:$A$226,0))</f>
        <v>3675.48</v>
      </c>
      <c r="AJ89" s="116">
        <f t="shared" si="15"/>
        <v>9.7702144943464478E-2</v>
      </c>
    </row>
    <row r="90" spans="28:36">
      <c r="AB90" s="237" t="str">
        <f t="shared" si="12"/>
        <v>S</v>
      </c>
      <c r="AC90" s="238" t="str">
        <f t="shared" si="11"/>
        <v>03.5</v>
      </c>
      <c r="AD90" s="238" t="str">
        <f t="shared" ref="AD90:AD105" si="16">IF(LEFT(AG90,1)="M",MID(AG90,6,1),RIGHT(AG90,1))</f>
        <v>B</v>
      </c>
      <c r="AE90" s="238">
        <f t="shared" ref="AE90:AE105" si="17">IF(AD90="A",1,IF(AD90="B",2,IF(AD90="C","4+")))</f>
        <v>2</v>
      </c>
      <c r="AF90" s="239" t="str">
        <f t="shared" ref="AF90:AF105" si="18">IF(LEFT(AG90,1)="M",RIGHT(AG90,1)," ")</f>
        <v xml:space="preserve"> </v>
      </c>
      <c r="AG90" s="235" t="s">
        <v>428</v>
      </c>
      <c r="AH90" s="253">
        <v>1571.31</v>
      </c>
      <c r="AI90" s="240">
        <f>INDEX('Model Calculator'!$AM$2:$AM$226,MATCH(AG90,'Model Calculator'!$A$2:$A$226,0))</f>
        <v>1743.57</v>
      </c>
      <c r="AJ90" s="241">
        <f>IFERROR((AI90-AH90)/AH90,1)</f>
        <v>0.10962827195142906</v>
      </c>
    </row>
    <row r="91" spans="28:36">
      <c r="AB91" s="242" t="str">
        <f t="shared" si="12"/>
        <v>S</v>
      </c>
      <c r="AC91" s="243" t="str">
        <f t="shared" si="11"/>
        <v>04.0</v>
      </c>
      <c r="AD91" s="243" t="str">
        <f t="shared" si="16"/>
        <v>B</v>
      </c>
      <c r="AE91" s="243">
        <f t="shared" si="17"/>
        <v>2</v>
      </c>
      <c r="AF91" s="244" t="str">
        <f t="shared" si="18"/>
        <v xml:space="preserve"> </v>
      </c>
      <c r="AG91" s="234" t="s">
        <v>430</v>
      </c>
      <c r="AH91" s="254">
        <v>1713.79</v>
      </c>
      <c r="AI91" s="245">
        <f>INDEX('Model Calculator'!$AM$2:$AM$226,MATCH(AG91,'Model Calculator'!$A$2:$A$226,0))</f>
        <v>1903.1</v>
      </c>
      <c r="AJ91" s="246">
        <f t="shared" ref="AJ91:AJ105" si="19">IFERROR((AI91-AH91)/AH91,1)</f>
        <v>0.11046277548591131</v>
      </c>
    </row>
    <row r="92" spans="28:36">
      <c r="AB92" s="242" t="str">
        <f t="shared" si="12"/>
        <v>S</v>
      </c>
      <c r="AC92" s="243" t="str">
        <f t="shared" si="11"/>
        <v>04.5</v>
      </c>
      <c r="AD92" s="243" t="str">
        <f t="shared" si="16"/>
        <v>B</v>
      </c>
      <c r="AE92" s="243">
        <f t="shared" si="17"/>
        <v>2</v>
      </c>
      <c r="AF92" s="244" t="str">
        <f t="shared" si="18"/>
        <v xml:space="preserve"> </v>
      </c>
      <c r="AG92" s="234" t="s">
        <v>431</v>
      </c>
      <c r="AH92" s="254">
        <v>1856.27</v>
      </c>
      <c r="AI92" s="245">
        <f>INDEX('Model Calculator'!$AM$2:$AM$226,MATCH(AG92,'Model Calculator'!$A$2:$A$226,0))</f>
        <v>2059.98</v>
      </c>
      <c r="AJ92" s="246">
        <f t="shared" si="19"/>
        <v>0.10974157854191471</v>
      </c>
    </row>
    <row r="93" spans="28:36">
      <c r="AB93" s="242" t="str">
        <f t="shared" si="12"/>
        <v>S</v>
      </c>
      <c r="AC93" s="243" t="str">
        <f t="shared" si="11"/>
        <v>05.0</v>
      </c>
      <c r="AD93" s="243" t="str">
        <f t="shared" si="16"/>
        <v>B</v>
      </c>
      <c r="AE93" s="243">
        <f t="shared" si="17"/>
        <v>2</v>
      </c>
      <c r="AF93" s="244" t="str">
        <f t="shared" si="18"/>
        <v xml:space="preserve"> </v>
      </c>
      <c r="AG93" s="234" t="s">
        <v>432</v>
      </c>
      <c r="AH93" s="254">
        <v>2001.17</v>
      </c>
      <c r="AI93" s="245">
        <f>INDEX('Model Calculator'!$AM$2:$AM$226,MATCH(AG93,'Model Calculator'!$A$2:$A$226,0))</f>
        <v>2219.5100000000002</v>
      </c>
      <c r="AJ93" s="246">
        <f t="shared" si="19"/>
        <v>0.10910617288886008</v>
      </c>
    </row>
    <row r="94" spans="28:36">
      <c r="AB94" s="242" t="str">
        <f t="shared" si="12"/>
        <v>S</v>
      </c>
      <c r="AC94" s="243" t="str">
        <f t="shared" si="11"/>
        <v>05.5</v>
      </c>
      <c r="AD94" s="243" t="str">
        <f t="shared" si="16"/>
        <v>B</v>
      </c>
      <c r="AE94" s="243">
        <f t="shared" si="17"/>
        <v>2</v>
      </c>
      <c r="AF94" s="244" t="str">
        <f t="shared" si="18"/>
        <v xml:space="preserve"> </v>
      </c>
      <c r="AG94" s="234" t="s">
        <v>433</v>
      </c>
      <c r="AH94" s="254">
        <v>2143.66</v>
      </c>
      <c r="AI94" s="245">
        <f>INDEX('Model Calculator'!$AM$2:$AM$226,MATCH(AG94,'Model Calculator'!$A$2:$A$226,0))</f>
        <v>2376.38</v>
      </c>
      <c r="AJ94" s="246">
        <f t="shared" si="19"/>
        <v>0.10856199210695738</v>
      </c>
    </row>
    <row r="95" spans="28:36">
      <c r="AB95" s="242" t="str">
        <f t="shared" si="12"/>
        <v>S</v>
      </c>
      <c r="AC95" s="243" t="str">
        <f t="shared" si="11"/>
        <v>06.0</v>
      </c>
      <c r="AD95" s="243" t="str">
        <f t="shared" si="16"/>
        <v>B</v>
      </c>
      <c r="AE95" s="243">
        <f t="shared" si="17"/>
        <v>2</v>
      </c>
      <c r="AF95" s="244" t="str">
        <f t="shared" si="18"/>
        <v xml:space="preserve"> </v>
      </c>
      <c r="AG95" s="234" t="s">
        <v>434</v>
      </c>
      <c r="AH95" s="254">
        <v>2286.14</v>
      </c>
      <c r="AI95" s="245">
        <f>INDEX('Model Calculator'!$AM$2:$AM$226,MATCH(AG95,'Model Calculator'!$A$2:$A$226,0))</f>
        <v>2533.25</v>
      </c>
      <c r="AJ95" s="246">
        <f t="shared" si="19"/>
        <v>0.10809049314565168</v>
      </c>
    </row>
    <row r="96" spans="28:36">
      <c r="AB96" s="242" t="str">
        <f t="shared" si="12"/>
        <v>S</v>
      </c>
      <c r="AC96" s="243" t="str">
        <f t="shared" si="11"/>
        <v>06.5</v>
      </c>
      <c r="AD96" s="243" t="str">
        <f t="shared" si="16"/>
        <v>B</v>
      </c>
      <c r="AE96" s="243">
        <f t="shared" si="17"/>
        <v>2</v>
      </c>
      <c r="AF96" s="244" t="str">
        <f t="shared" si="18"/>
        <v xml:space="preserve"> </v>
      </c>
      <c r="AG96" s="234" t="s">
        <v>435</v>
      </c>
      <c r="AH96" s="254">
        <v>2428.62</v>
      </c>
      <c r="AI96" s="245">
        <f>INDEX('Model Calculator'!$AM$2:$AM$226,MATCH(AG96,'Model Calculator'!$A$2:$A$226,0))</f>
        <v>2692.78</v>
      </c>
      <c r="AJ96" s="246">
        <f t="shared" si="19"/>
        <v>0.10876958931409621</v>
      </c>
    </row>
    <row r="97" spans="28:36">
      <c r="AB97" s="242" t="str">
        <f t="shared" si="12"/>
        <v>S</v>
      </c>
      <c r="AC97" s="243" t="str">
        <f t="shared" si="11"/>
        <v>07.0</v>
      </c>
      <c r="AD97" s="243" t="str">
        <f t="shared" si="16"/>
        <v>B</v>
      </c>
      <c r="AE97" s="243">
        <f t="shared" si="17"/>
        <v>2</v>
      </c>
      <c r="AF97" s="244" t="str">
        <f t="shared" si="18"/>
        <v xml:space="preserve"> </v>
      </c>
      <c r="AG97" s="234" t="s">
        <v>436</v>
      </c>
      <c r="AH97" s="254">
        <v>2573.52</v>
      </c>
      <c r="AI97" s="245">
        <f>INDEX('Model Calculator'!$AM$2:$AM$226,MATCH(AG97,'Model Calculator'!$A$2:$A$226,0))</f>
        <v>2849.66</v>
      </c>
      <c r="AJ97" s="246">
        <f t="shared" si="19"/>
        <v>0.10730050669899588</v>
      </c>
    </row>
    <row r="98" spans="28:36">
      <c r="AB98" s="242" t="str">
        <f t="shared" si="12"/>
        <v>S</v>
      </c>
      <c r="AC98" s="243" t="str">
        <f t="shared" si="11"/>
        <v>07.5</v>
      </c>
      <c r="AD98" s="243" t="str">
        <f t="shared" si="16"/>
        <v>B</v>
      </c>
      <c r="AE98" s="243">
        <f t="shared" si="17"/>
        <v>2</v>
      </c>
      <c r="AF98" s="244" t="str">
        <f t="shared" si="18"/>
        <v xml:space="preserve"> </v>
      </c>
      <c r="AG98" s="234" t="s">
        <v>437</v>
      </c>
      <c r="AH98" s="254">
        <v>2716.01</v>
      </c>
      <c r="AI98" s="245">
        <f>INDEX('Model Calculator'!$AM$2:$AM$226,MATCH(AG98,'Model Calculator'!$A$2:$A$226,0))</f>
        <v>3009.19</v>
      </c>
      <c r="AJ98" s="246">
        <f t="shared" si="19"/>
        <v>0.10794511065864994</v>
      </c>
    </row>
    <row r="99" spans="28:36">
      <c r="AB99" s="242" t="str">
        <f t="shared" si="12"/>
        <v>S</v>
      </c>
      <c r="AC99" s="243" t="str">
        <f t="shared" si="11"/>
        <v>08.0</v>
      </c>
      <c r="AD99" s="243" t="str">
        <f t="shared" si="16"/>
        <v>B</v>
      </c>
      <c r="AE99" s="243">
        <f t="shared" si="17"/>
        <v>2</v>
      </c>
      <c r="AF99" s="244" t="str">
        <f t="shared" si="18"/>
        <v xml:space="preserve"> </v>
      </c>
      <c r="AG99" s="234" t="s">
        <v>438</v>
      </c>
      <c r="AH99" s="254">
        <v>2858.49</v>
      </c>
      <c r="AI99" s="245">
        <f>INDEX('Model Calculator'!$AM$2:$AM$226,MATCH(AG99,'Model Calculator'!$A$2:$A$226,0))</f>
        <v>3166.06</v>
      </c>
      <c r="AJ99" s="246">
        <f t="shared" si="19"/>
        <v>0.10759876718127409</v>
      </c>
    </row>
    <row r="100" spans="28:36">
      <c r="AB100" s="242" t="str">
        <f t="shared" si="12"/>
        <v>S</v>
      </c>
      <c r="AC100" s="243" t="str">
        <f t="shared" si="11"/>
        <v>08.5</v>
      </c>
      <c r="AD100" s="243" t="str">
        <f t="shared" si="16"/>
        <v>B</v>
      </c>
      <c r="AE100" s="243">
        <f t="shared" si="17"/>
        <v>2</v>
      </c>
      <c r="AF100" s="244" t="str">
        <f t="shared" si="18"/>
        <v xml:space="preserve"> </v>
      </c>
      <c r="AG100" s="234" t="s">
        <v>439</v>
      </c>
      <c r="AH100" s="254">
        <v>3000.98</v>
      </c>
      <c r="AI100" s="245">
        <f>INDEX('Model Calculator'!$AM$2:$AM$226,MATCH(AG100,'Model Calculator'!$A$2:$A$226,0))</f>
        <v>3322.93</v>
      </c>
      <c r="AJ100" s="246">
        <f t="shared" si="19"/>
        <v>0.10728162133702984</v>
      </c>
    </row>
    <row r="101" spans="28:36">
      <c r="AB101" s="242" t="str">
        <f t="shared" si="12"/>
        <v>S</v>
      </c>
      <c r="AC101" s="243" t="str">
        <f t="shared" si="11"/>
        <v>09.0</v>
      </c>
      <c r="AD101" s="243" t="str">
        <f t="shared" si="16"/>
        <v>B</v>
      </c>
      <c r="AE101" s="243">
        <f t="shared" si="17"/>
        <v>2</v>
      </c>
      <c r="AF101" s="244" t="str">
        <f t="shared" si="18"/>
        <v xml:space="preserve"> </v>
      </c>
      <c r="AG101" s="234" t="s">
        <v>440</v>
      </c>
      <c r="AH101" s="254">
        <v>3145.87</v>
      </c>
      <c r="AI101" s="245">
        <f>INDEX('Model Calculator'!$AM$2:$AM$226,MATCH(AG101,'Model Calculator'!$A$2:$A$226,0))</f>
        <v>3482.46</v>
      </c>
      <c r="AJ101" s="246">
        <f t="shared" si="19"/>
        <v>0.10699424960344837</v>
      </c>
    </row>
    <row r="102" spans="28:36">
      <c r="AB102" s="242" t="str">
        <f t="shared" si="12"/>
        <v>S</v>
      </c>
      <c r="AC102" s="243" t="str">
        <f t="shared" si="11"/>
        <v>09.5</v>
      </c>
      <c r="AD102" s="243" t="str">
        <f t="shared" si="16"/>
        <v>B</v>
      </c>
      <c r="AE102" s="243">
        <f t="shared" si="17"/>
        <v>2</v>
      </c>
      <c r="AF102" s="244" t="str">
        <f t="shared" si="18"/>
        <v xml:space="preserve"> </v>
      </c>
      <c r="AG102" s="234" t="s">
        <v>441</v>
      </c>
      <c r="AH102" s="254">
        <v>3288.36</v>
      </c>
      <c r="AI102" s="245">
        <f>INDEX('Model Calculator'!$AM$2:$AM$226,MATCH(AG102,'Model Calculator'!$A$2:$A$226,0))</f>
        <v>3639.33</v>
      </c>
      <c r="AJ102" s="246">
        <f t="shared" si="19"/>
        <v>0.10673101485238835</v>
      </c>
    </row>
    <row r="103" spans="28:36">
      <c r="AB103" s="242" t="str">
        <f t="shared" si="12"/>
        <v>S</v>
      </c>
      <c r="AC103" s="243" t="str">
        <f t="shared" si="11"/>
        <v>10.0</v>
      </c>
      <c r="AD103" s="243" t="str">
        <f t="shared" si="16"/>
        <v>B</v>
      </c>
      <c r="AE103" s="243">
        <f t="shared" si="17"/>
        <v>2</v>
      </c>
      <c r="AF103" s="244" t="str">
        <f t="shared" si="18"/>
        <v xml:space="preserve"> </v>
      </c>
      <c r="AG103" s="234" t="s">
        <v>463</v>
      </c>
      <c r="AH103" s="254">
        <v>3430.84</v>
      </c>
      <c r="AI103" s="245">
        <f>INDEX('Model Calculator'!$AM$2:$AM$226,MATCH(AG103,'Model Calculator'!$A$2:$A$226,0))</f>
        <v>3798.87</v>
      </c>
      <c r="AJ103" s="246">
        <f t="shared" si="19"/>
        <v>0.10727110561844905</v>
      </c>
    </row>
    <row r="104" spans="28:36">
      <c r="AB104" s="242" t="str">
        <f t="shared" si="12"/>
        <v>S</v>
      </c>
      <c r="AC104" s="243" t="str">
        <f t="shared" si="11"/>
        <v>10.5</v>
      </c>
      <c r="AD104" s="243" t="str">
        <f t="shared" si="16"/>
        <v>B</v>
      </c>
      <c r="AE104" s="243">
        <f t="shared" si="17"/>
        <v>2</v>
      </c>
      <c r="AF104" s="244" t="str">
        <f t="shared" si="18"/>
        <v xml:space="preserve"> </v>
      </c>
      <c r="AG104" s="234" t="s">
        <v>464</v>
      </c>
      <c r="AH104" s="254">
        <v>3573.33</v>
      </c>
      <c r="AI104" s="245">
        <f>INDEX('Model Calculator'!$AM$2:$AM$226,MATCH(AG104,'Model Calculator'!$A$2:$A$226,0))</f>
        <v>3955.74</v>
      </c>
      <c r="AJ104" s="246">
        <f t="shared" si="19"/>
        <v>0.10701782371065641</v>
      </c>
    </row>
    <row r="105" spans="28:36" ht="15.75" thickBot="1">
      <c r="AB105" s="247" t="str">
        <f t="shared" si="12"/>
        <v>S</v>
      </c>
      <c r="AC105" s="248" t="str">
        <f t="shared" si="11"/>
        <v>11.0</v>
      </c>
      <c r="AD105" s="248" t="str">
        <f t="shared" si="16"/>
        <v>B</v>
      </c>
      <c r="AE105" s="248">
        <f t="shared" si="17"/>
        <v>2</v>
      </c>
      <c r="AF105" s="249" t="str">
        <f t="shared" si="18"/>
        <v xml:space="preserve"> </v>
      </c>
      <c r="AG105" s="236" t="s">
        <v>465</v>
      </c>
      <c r="AH105" s="255">
        <v>3718.22</v>
      </c>
      <c r="AI105" s="250">
        <f>INDEX('Model Calculator'!$AM$2:$AM$226,MATCH(AG105,'Model Calculator'!$A$2:$A$226,0))</f>
        <v>4112.6099999999997</v>
      </c>
      <c r="AJ105" s="251">
        <f t="shared" si="19"/>
        <v>0.10606957092372153</v>
      </c>
    </row>
    <row r="106" spans="28:36">
      <c r="AB106" s="111" t="str">
        <f t="shared" si="12"/>
        <v>B</v>
      </c>
      <c r="AC106" s="88" t="str">
        <f t="shared" si="11"/>
        <v>03.5</v>
      </c>
      <c r="AD106" s="88" t="str">
        <f t="shared" si="10"/>
        <v>C</v>
      </c>
      <c r="AE106" s="88" t="str">
        <f t="shared" si="13"/>
        <v>4+</v>
      </c>
      <c r="AF106" s="112" t="str">
        <f t="shared" si="14"/>
        <v xml:space="preserve"> </v>
      </c>
      <c r="AG106" s="106" t="s">
        <v>241</v>
      </c>
      <c r="AH106" s="256">
        <v>1212.72</v>
      </c>
      <c r="AI106" s="83">
        <f>INDEX('Model Calculator'!$AM$2:$AM$226,MATCH(AG106,'Model Calculator'!$A$2:$A$226,0))</f>
        <v>1308.8399999999999</v>
      </c>
      <c r="AJ106" s="102">
        <f t="shared" si="15"/>
        <v>7.9259845636255599E-2</v>
      </c>
    </row>
    <row r="107" spans="28:36">
      <c r="AB107" s="111" t="str">
        <f t="shared" si="12"/>
        <v>B</v>
      </c>
      <c r="AC107" s="88" t="str">
        <f t="shared" si="11"/>
        <v>04.0</v>
      </c>
      <c r="AD107" s="88" t="str">
        <f t="shared" si="10"/>
        <v>C</v>
      </c>
      <c r="AE107" s="88" t="str">
        <f t="shared" si="13"/>
        <v>4+</v>
      </c>
      <c r="AF107" s="112" t="str">
        <f t="shared" si="14"/>
        <v xml:space="preserve"> </v>
      </c>
      <c r="AG107" s="106" t="s">
        <v>242</v>
      </c>
      <c r="AH107" s="257">
        <v>1314.48</v>
      </c>
      <c r="AI107" s="82">
        <f>INDEX('Model Calculator'!$AM$2:$AM$226,MATCH(AG107,'Model Calculator'!$A$2:$A$226,0))</f>
        <v>1421.71</v>
      </c>
      <c r="AJ107" s="110">
        <f t="shared" si="15"/>
        <v>8.1575984419694492E-2</v>
      </c>
    </row>
    <row r="108" spans="28:36">
      <c r="AB108" s="111" t="str">
        <f t="shared" si="12"/>
        <v>B</v>
      </c>
      <c r="AC108" s="88" t="str">
        <f t="shared" si="11"/>
        <v>04.5</v>
      </c>
      <c r="AD108" s="88" t="str">
        <f t="shared" si="10"/>
        <v>C</v>
      </c>
      <c r="AE108" s="88" t="str">
        <f t="shared" si="13"/>
        <v>4+</v>
      </c>
      <c r="AF108" s="112" t="str">
        <f t="shared" si="14"/>
        <v xml:space="preserve"> </v>
      </c>
      <c r="AG108" s="106" t="s">
        <v>243</v>
      </c>
      <c r="AH108" s="257">
        <v>1416.23</v>
      </c>
      <c r="AI108" s="82">
        <f>INDEX('Model Calculator'!$AM$2:$AM$226,MATCH(AG108,'Model Calculator'!$A$2:$A$226,0))</f>
        <v>1534.58</v>
      </c>
      <c r="AJ108" s="110">
        <f t="shared" si="15"/>
        <v>8.3566934749299132E-2</v>
      </c>
    </row>
    <row r="109" spans="28:36">
      <c r="AB109" s="111" t="str">
        <f t="shared" si="12"/>
        <v>B</v>
      </c>
      <c r="AC109" s="88" t="str">
        <f t="shared" si="11"/>
        <v>05.0</v>
      </c>
      <c r="AD109" s="88" t="str">
        <f t="shared" si="10"/>
        <v>C</v>
      </c>
      <c r="AE109" s="88" t="str">
        <f t="shared" si="13"/>
        <v>4+</v>
      </c>
      <c r="AF109" s="112" t="str">
        <f t="shared" si="14"/>
        <v xml:space="preserve"> </v>
      </c>
      <c r="AG109" s="106" t="s">
        <v>244</v>
      </c>
      <c r="AH109" s="257">
        <v>1517.99</v>
      </c>
      <c r="AI109" s="82">
        <f>INDEX('Model Calculator'!$AM$2:$AM$226,MATCH(AG109,'Model Calculator'!$A$2:$A$226,0))</f>
        <v>1647.45</v>
      </c>
      <c r="AJ109" s="110">
        <f t="shared" si="15"/>
        <v>8.5283829274237666E-2</v>
      </c>
    </row>
    <row r="110" spans="28:36">
      <c r="AB110" s="111" t="str">
        <f t="shared" si="12"/>
        <v>B</v>
      </c>
      <c r="AC110" s="88" t="str">
        <f t="shared" si="11"/>
        <v>05.5</v>
      </c>
      <c r="AD110" s="88" t="str">
        <f t="shared" si="10"/>
        <v>C</v>
      </c>
      <c r="AE110" s="88" t="str">
        <f t="shared" si="13"/>
        <v>4+</v>
      </c>
      <c r="AF110" s="112" t="str">
        <f t="shared" si="14"/>
        <v xml:space="preserve"> </v>
      </c>
      <c r="AG110" s="106" t="s">
        <v>245</v>
      </c>
      <c r="AH110" s="257">
        <v>1619.74</v>
      </c>
      <c r="AI110" s="82">
        <f>INDEX('Model Calculator'!$AM$2:$AM$226,MATCH(AG110,'Model Calculator'!$A$2:$A$226,0))</f>
        <v>1760.32</v>
      </c>
      <c r="AJ110" s="110">
        <f t="shared" si="15"/>
        <v>8.6791707311049876E-2</v>
      </c>
    </row>
    <row r="111" spans="28:36">
      <c r="AB111" s="111" t="str">
        <f t="shared" si="12"/>
        <v>B</v>
      </c>
      <c r="AC111" s="88" t="str">
        <f t="shared" si="11"/>
        <v>06.0</v>
      </c>
      <c r="AD111" s="88" t="str">
        <f t="shared" si="10"/>
        <v>C</v>
      </c>
      <c r="AE111" s="88" t="str">
        <f t="shared" si="13"/>
        <v>4+</v>
      </c>
      <c r="AF111" s="112" t="str">
        <f t="shared" si="14"/>
        <v xml:space="preserve"> </v>
      </c>
      <c r="AG111" s="106" t="s">
        <v>246</v>
      </c>
      <c r="AH111" s="257">
        <v>1721.5</v>
      </c>
      <c r="AI111" s="82">
        <f>INDEX('Model Calculator'!$AM$2:$AM$226,MATCH(AG111,'Model Calculator'!$A$2:$A$226,0))</f>
        <v>1875.14</v>
      </c>
      <c r="AJ111" s="110">
        <f t="shared" si="15"/>
        <v>8.9247749056055828E-2</v>
      </c>
    </row>
    <row r="112" spans="28:36">
      <c r="AB112" s="111" t="str">
        <f t="shared" si="12"/>
        <v>B</v>
      </c>
      <c r="AC112" s="88" t="str">
        <f t="shared" si="11"/>
        <v>06.5</v>
      </c>
      <c r="AD112" s="88" t="str">
        <f t="shared" si="10"/>
        <v>C</v>
      </c>
      <c r="AE112" s="88" t="str">
        <f t="shared" si="13"/>
        <v>4+</v>
      </c>
      <c r="AF112" s="112" t="str">
        <f t="shared" si="14"/>
        <v xml:space="preserve"> </v>
      </c>
      <c r="AG112" s="106" t="s">
        <v>247</v>
      </c>
      <c r="AH112" s="257">
        <v>1823.25</v>
      </c>
      <c r="AI112" s="82">
        <f>INDEX('Model Calculator'!$AM$2:$AM$226,MATCH(AG112,'Model Calculator'!$A$2:$A$226,0))</f>
        <v>1988.01</v>
      </c>
      <c r="AJ112" s="110">
        <f t="shared" si="15"/>
        <v>9.0366104483751541E-2</v>
      </c>
    </row>
    <row r="113" spans="28:36">
      <c r="AB113" s="111" t="str">
        <f t="shared" si="12"/>
        <v>B</v>
      </c>
      <c r="AC113" s="88" t="str">
        <f t="shared" si="11"/>
        <v>07.0</v>
      </c>
      <c r="AD113" s="88" t="str">
        <f t="shared" si="10"/>
        <v>C</v>
      </c>
      <c r="AE113" s="88" t="str">
        <f t="shared" si="13"/>
        <v>4+</v>
      </c>
      <c r="AF113" s="112" t="str">
        <f t="shared" si="14"/>
        <v xml:space="preserve"> </v>
      </c>
      <c r="AG113" s="106" t="s">
        <v>248</v>
      </c>
      <c r="AH113" s="257">
        <v>1923.25</v>
      </c>
      <c r="AI113" s="82">
        <f>INDEX('Model Calculator'!$AM$2:$AM$226,MATCH(AG113,'Model Calculator'!$A$2:$A$226,0))</f>
        <v>2100.88</v>
      </c>
      <c r="AJ113" s="110">
        <f t="shared" si="15"/>
        <v>9.2359287664110293E-2</v>
      </c>
    </row>
    <row r="114" spans="28:36">
      <c r="AB114" s="111" t="str">
        <f t="shared" si="12"/>
        <v>B</v>
      </c>
      <c r="AC114" s="88" t="str">
        <f t="shared" si="11"/>
        <v>07.5</v>
      </c>
      <c r="AD114" s="88" t="str">
        <f t="shared" si="10"/>
        <v>C</v>
      </c>
      <c r="AE114" s="88" t="str">
        <f t="shared" si="13"/>
        <v>4+</v>
      </c>
      <c r="AF114" s="112" t="str">
        <f t="shared" si="14"/>
        <v xml:space="preserve"> </v>
      </c>
      <c r="AG114" s="106" t="s">
        <v>249</v>
      </c>
      <c r="AH114" s="257">
        <v>2025.01</v>
      </c>
      <c r="AI114" s="82">
        <f>INDEX('Model Calculator'!$AM$2:$AM$226,MATCH(AG114,'Model Calculator'!$A$2:$A$226,0))</f>
        <v>2213.75</v>
      </c>
      <c r="AJ114" s="110">
        <f t="shared" si="15"/>
        <v>9.3204478002577765E-2</v>
      </c>
    </row>
    <row r="115" spans="28:36">
      <c r="AB115" s="111" t="str">
        <f t="shared" si="12"/>
        <v>B</v>
      </c>
      <c r="AC115" s="88" t="str">
        <f t="shared" si="11"/>
        <v>08.0</v>
      </c>
      <c r="AD115" s="88" t="str">
        <f t="shared" si="10"/>
        <v>C</v>
      </c>
      <c r="AE115" s="88" t="str">
        <f t="shared" si="13"/>
        <v>4+</v>
      </c>
      <c r="AF115" s="112" t="str">
        <f t="shared" si="14"/>
        <v xml:space="preserve"> </v>
      </c>
      <c r="AG115" s="106" t="s">
        <v>250</v>
      </c>
      <c r="AH115" s="257">
        <v>2126.7600000000002</v>
      </c>
      <c r="AI115" s="82">
        <f>INDEX('Model Calculator'!$AM$2:$AM$226,MATCH(AG115,'Model Calculator'!$A$2:$A$226,0))</f>
        <v>2326.62</v>
      </c>
      <c r="AJ115" s="110">
        <f t="shared" si="15"/>
        <v>9.3973932178524913E-2</v>
      </c>
    </row>
    <row r="116" spans="28:36">
      <c r="AB116" s="111" t="str">
        <f t="shared" si="12"/>
        <v>B</v>
      </c>
      <c r="AC116" s="88" t="str">
        <f t="shared" si="11"/>
        <v>08.5</v>
      </c>
      <c r="AD116" s="88" t="str">
        <f t="shared" si="10"/>
        <v>C</v>
      </c>
      <c r="AE116" s="88" t="str">
        <f t="shared" si="13"/>
        <v>4+</v>
      </c>
      <c r="AF116" s="112" t="str">
        <f t="shared" si="14"/>
        <v xml:space="preserve"> </v>
      </c>
      <c r="AG116" s="106" t="s">
        <v>251</v>
      </c>
      <c r="AH116" s="257">
        <v>2228.52</v>
      </c>
      <c r="AI116" s="82">
        <f>INDEX('Model Calculator'!$AM$2:$AM$226,MATCH(AG116,'Model Calculator'!$A$2:$A$226,0))</f>
        <v>2439.4899999999998</v>
      </c>
      <c r="AJ116" s="110">
        <f t="shared" si="15"/>
        <v>9.466821029203229E-2</v>
      </c>
    </row>
    <row r="117" spans="28:36">
      <c r="AB117" s="111" t="str">
        <f t="shared" si="12"/>
        <v>B</v>
      </c>
      <c r="AC117" s="88" t="str">
        <f t="shared" si="11"/>
        <v>09.0</v>
      </c>
      <c r="AD117" s="88" t="str">
        <f t="shared" si="10"/>
        <v>C</v>
      </c>
      <c r="AE117" s="88" t="str">
        <f t="shared" si="13"/>
        <v>4+</v>
      </c>
      <c r="AF117" s="112" t="str">
        <f t="shared" si="14"/>
        <v xml:space="preserve"> </v>
      </c>
      <c r="AG117" s="106" t="s">
        <v>252</v>
      </c>
      <c r="AH117" s="257">
        <v>2330.27</v>
      </c>
      <c r="AI117" s="82">
        <f>INDEX('Model Calculator'!$AM$2:$AM$226,MATCH(AG117,'Model Calculator'!$A$2:$A$226,0))</f>
        <v>2552.36</v>
      </c>
      <c r="AJ117" s="110">
        <f t="shared" si="15"/>
        <v>9.5306552459586288E-2</v>
      </c>
    </row>
    <row r="118" spans="28:36">
      <c r="AB118" s="111" t="str">
        <f t="shared" si="12"/>
        <v>B</v>
      </c>
      <c r="AC118" s="88" t="str">
        <f t="shared" si="11"/>
        <v>09.5</v>
      </c>
      <c r="AD118" s="88" t="str">
        <f t="shared" si="10"/>
        <v>C</v>
      </c>
      <c r="AE118" s="88" t="str">
        <f t="shared" si="13"/>
        <v>4+</v>
      </c>
      <c r="AF118" s="112" t="str">
        <f t="shared" si="14"/>
        <v xml:space="preserve"> </v>
      </c>
      <c r="AG118" s="106" t="s">
        <v>253</v>
      </c>
      <c r="AH118" s="257">
        <v>2432.0300000000002</v>
      </c>
      <c r="AI118" s="82">
        <f>INDEX('Model Calculator'!$AM$2:$AM$226,MATCH(AG118,'Model Calculator'!$A$2:$A$226,0))</f>
        <v>2665.24</v>
      </c>
      <c r="AJ118" s="110">
        <f t="shared" si="15"/>
        <v>9.58910868698164E-2</v>
      </c>
    </row>
    <row r="119" spans="28:36">
      <c r="AB119" s="111" t="str">
        <f t="shared" si="12"/>
        <v>B</v>
      </c>
      <c r="AC119" s="88" t="str">
        <f t="shared" si="11"/>
        <v>10.0</v>
      </c>
      <c r="AD119" s="88" t="str">
        <f t="shared" si="10"/>
        <v>C</v>
      </c>
      <c r="AE119" s="88" t="str">
        <f t="shared" si="13"/>
        <v>4+</v>
      </c>
      <c r="AF119" s="112" t="str">
        <f t="shared" si="14"/>
        <v xml:space="preserve"> </v>
      </c>
      <c r="AG119" s="106" t="s">
        <v>254</v>
      </c>
      <c r="AH119" s="257">
        <v>2533.7800000000002</v>
      </c>
      <c r="AI119" s="82">
        <f>INDEX('Model Calculator'!$AM$2:$AM$226,MATCH(AG119,'Model Calculator'!$A$2:$A$226,0))</f>
        <v>2778.11</v>
      </c>
      <c r="AJ119" s="110">
        <f t="shared" si="15"/>
        <v>9.6429050667382291E-2</v>
      </c>
    </row>
    <row r="120" spans="28:36">
      <c r="AB120" s="111" t="str">
        <f t="shared" si="12"/>
        <v>B</v>
      </c>
      <c r="AC120" s="88" t="str">
        <f t="shared" si="11"/>
        <v>10.5</v>
      </c>
      <c r="AD120" s="88" t="str">
        <f t="shared" si="10"/>
        <v>C</v>
      </c>
      <c r="AE120" s="88" t="str">
        <f t="shared" si="13"/>
        <v>4+</v>
      </c>
      <c r="AF120" s="112" t="str">
        <f t="shared" si="14"/>
        <v xml:space="preserve"> </v>
      </c>
      <c r="AG120" s="106" t="s">
        <v>255</v>
      </c>
      <c r="AH120" s="257">
        <v>2635.54</v>
      </c>
      <c r="AI120" s="82">
        <f>INDEX('Model Calculator'!$AM$2:$AM$226,MATCH(AG120,'Model Calculator'!$A$2:$A$226,0))</f>
        <v>2890.98</v>
      </c>
      <c r="AJ120" s="110">
        <f t="shared" si="15"/>
        <v>9.6921314038109857E-2</v>
      </c>
    </row>
    <row r="121" spans="28:36">
      <c r="AB121" s="111" t="str">
        <f t="shared" si="12"/>
        <v>B</v>
      </c>
      <c r="AC121" s="88" t="str">
        <f t="shared" si="11"/>
        <v>11.0</v>
      </c>
      <c r="AD121" s="88" t="str">
        <f t="shared" si="10"/>
        <v>C</v>
      </c>
      <c r="AE121" s="88" t="str">
        <f t="shared" si="13"/>
        <v>4+</v>
      </c>
      <c r="AF121" s="112" t="str">
        <f t="shared" si="14"/>
        <v xml:space="preserve"> </v>
      </c>
      <c r="AG121" s="106" t="s">
        <v>256</v>
      </c>
      <c r="AH121" s="257">
        <v>2737.29</v>
      </c>
      <c r="AI121" s="82">
        <f>INDEX('Model Calculator'!$AM$2:$AM$226,MATCH(AG121,'Model Calculator'!$A$2:$A$226,0))</f>
        <v>3005.79</v>
      </c>
      <c r="AJ121" s="110">
        <f t="shared" si="15"/>
        <v>9.8089716471400551E-2</v>
      </c>
    </row>
    <row r="122" spans="28:36">
      <c r="AB122" s="111" t="str">
        <f t="shared" si="12"/>
        <v>B</v>
      </c>
      <c r="AC122" s="88" t="str">
        <f t="shared" si="11"/>
        <v>11.5</v>
      </c>
      <c r="AD122" s="88" t="str">
        <f t="shared" si="10"/>
        <v>C</v>
      </c>
      <c r="AE122" s="88" t="str">
        <f t="shared" si="13"/>
        <v>4+</v>
      </c>
      <c r="AF122" s="112" t="str">
        <f t="shared" si="14"/>
        <v xml:space="preserve"> </v>
      </c>
      <c r="AG122" s="106" t="s">
        <v>257</v>
      </c>
      <c r="AH122" s="257">
        <v>2839.05</v>
      </c>
      <c r="AI122" s="82">
        <f>INDEX('Model Calculator'!$AM$2:$AM$226,MATCH(AG122,'Model Calculator'!$A$2:$A$226,0))</f>
        <v>3118.66</v>
      </c>
      <c r="AJ122" s="110">
        <f t="shared" si="15"/>
        <v>9.8487170004050523E-2</v>
      </c>
    </row>
    <row r="123" spans="28:36">
      <c r="AB123" s="111" t="str">
        <f t="shared" si="12"/>
        <v>B</v>
      </c>
      <c r="AC123" s="88" t="str">
        <f t="shared" si="11"/>
        <v>12.0</v>
      </c>
      <c r="AD123" s="88" t="str">
        <f t="shared" ref="AD123:AD186" si="20">IF(LEFT(AG123,1)="M",MID(AG123,6,1),RIGHT(AG123,1))</f>
        <v>C</v>
      </c>
      <c r="AE123" s="88" t="str">
        <f t="shared" si="13"/>
        <v>4+</v>
      </c>
      <c r="AF123" s="112" t="str">
        <f t="shared" si="14"/>
        <v xml:space="preserve"> </v>
      </c>
      <c r="AG123" s="106" t="s">
        <v>258</v>
      </c>
      <c r="AH123" s="257">
        <v>2939.05</v>
      </c>
      <c r="AI123" s="82">
        <f>INDEX('Model Calculator'!$AM$2:$AM$226,MATCH(AG123,'Model Calculator'!$A$2:$A$226,0))</f>
        <v>3231.54</v>
      </c>
      <c r="AJ123" s="110">
        <f t="shared" si="15"/>
        <v>9.9518551913033049E-2</v>
      </c>
    </row>
    <row r="124" spans="28:36">
      <c r="AB124" s="111" t="str">
        <f t="shared" si="12"/>
        <v>B</v>
      </c>
      <c r="AC124" s="88" t="str">
        <f t="shared" si="11"/>
        <v>12.5</v>
      </c>
      <c r="AD124" s="88" t="str">
        <f t="shared" si="20"/>
        <v>C</v>
      </c>
      <c r="AE124" s="88" t="str">
        <f t="shared" si="13"/>
        <v>4+</v>
      </c>
      <c r="AF124" s="112" t="str">
        <f t="shared" si="14"/>
        <v xml:space="preserve"> </v>
      </c>
      <c r="AG124" s="106" t="s">
        <v>259</v>
      </c>
      <c r="AH124" s="257">
        <v>3040.81</v>
      </c>
      <c r="AI124" s="82">
        <f>INDEX('Model Calculator'!$AM$2:$AM$226,MATCH(AG124,'Model Calculator'!$A$2:$A$226,0))</f>
        <v>3344.41</v>
      </c>
      <c r="AJ124" s="110">
        <f t="shared" si="15"/>
        <v>9.9841818462843748E-2</v>
      </c>
    </row>
    <row r="125" spans="28:36">
      <c r="AB125" s="111" t="str">
        <f t="shared" si="12"/>
        <v>I</v>
      </c>
      <c r="AC125" s="88" t="str">
        <f t="shared" si="11"/>
        <v>04.0</v>
      </c>
      <c r="AD125" s="88" t="str">
        <f t="shared" si="20"/>
        <v>C</v>
      </c>
      <c r="AE125" s="88" t="str">
        <f t="shared" si="13"/>
        <v>4+</v>
      </c>
      <c r="AF125" s="112" t="str">
        <f t="shared" si="14"/>
        <v xml:space="preserve"> </v>
      </c>
      <c r="AG125" s="106" t="s">
        <v>146</v>
      </c>
      <c r="AH125" s="257">
        <v>1365.75</v>
      </c>
      <c r="AI125" s="82">
        <f>INDEX('Model Calculator'!$AM$2:$AM$226,MATCH(AG125,'Model Calculator'!$A$2:$A$226,0))</f>
        <v>1470.53</v>
      </c>
      <c r="AJ125" s="110">
        <f t="shared" si="15"/>
        <v>7.6719751052535215E-2</v>
      </c>
    </row>
    <row r="126" spans="28:36">
      <c r="AB126" s="111" t="str">
        <f t="shared" si="12"/>
        <v>I</v>
      </c>
      <c r="AC126" s="88" t="str">
        <f t="shared" si="11"/>
        <v>04.5</v>
      </c>
      <c r="AD126" s="88" t="str">
        <f t="shared" si="20"/>
        <v>C</v>
      </c>
      <c r="AE126" s="88" t="str">
        <f t="shared" si="13"/>
        <v>4+</v>
      </c>
      <c r="AF126" s="112" t="str">
        <f t="shared" si="14"/>
        <v xml:space="preserve"> </v>
      </c>
      <c r="AG126" s="106" t="s">
        <v>145</v>
      </c>
      <c r="AH126" s="257">
        <v>1470.06</v>
      </c>
      <c r="AI126" s="82">
        <f>INDEX('Model Calculator'!$AM$2:$AM$226,MATCH(AG126,'Model Calculator'!$A$2:$A$226,0))</f>
        <v>1585.47</v>
      </c>
      <c r="AJ126" s="110">
        <f t="shared" si="15"/>
        <v>7.8506999714297435E-2</v>
      </c>
    </row>
    <row r="127" spans="28:36">
      <c r="AB127" s="111" t="str">
        <f t="shared" si="12"/>
        <v>I</v>
      </c>
      <c r="AC127" s="88" t="str">
        <f t="shared" si="11"/>
        <v>05.0</v>
      </c>
      <c r="AD127" s="88" t="str">
        <f t="shared" si="20"/>
        <v>C</v>
      </c>
      <c r="AE127" s="88" t="str">
        <f t="shared" si="13"/>
        <v>4+</v>
      </c>
      <c r="AF127" s="112" t="str">
        <f t="shared" si="14"/>
        <v xml:space="preserve"> </v>
      </c>
      <c r="AG127" s="106" t="s">
        <v>144</v>
      </c>
      <c r="AH127" s="257">
        <v>1574.37</v>
      </c>
      <c r="AI127" s="82">
        <f>INDEX('Model Calculator'!$AM$2:$AM$226,MATCH(AG127,'Model Calculator'!$A$2:$A$226,0))</f>
        <v>1700.41</v>
      </c>
      <c r="AJ127" s="110">
        <f t="shared" si="15"/>
        <v>8.005741979331428E-2</v>
      </c>
    </row>
    <row r="128" spans="28:36">
      <c r="AB128" s="111" t="str">
        <f t="shared" si="12"/>
        <v>I</v>
      </c>
      <c r="AC128" s="88" t="str">
        <f t="shared" si="11"/>
        <v>05.5</v>
      </c>
      <c r="AD128" s="88" t="str">
        <f t="shared" si="20"/>
        <v>C</v>
      </c>
      <c r="AE128" s="88" t="str">
        <f t="shared" si="13"/>
        <v>4+</v>
      </c>
      <c r="AF128" s="112" t="str">
        <f t="shared" si="14"/>
        <v xml:space="preserve"> </v>
      </c>
      <c r="AG128" s="106" t="s">
        <v>143</v>
      </c>
      <c r="AH128" s="257">
        <v>1678.68</v>
      </c>
      <c r="AI128" s="82">
        <f>INDEX('Model Calculator'!$AM$2:$AM$226,MATCH(AG128,'Model Calculator'!$A$2:$A$226,0))</f>
        <v>1815.35</v>
      </c>
      <c r="AJ128" s="110">
        <f t="shared" si="15"/>
        <v>8.141515953010689E-2</v>
      </c>
    </row>
    <row r="129" spans="28:36">
      <c r="AB129" s="111" t="str">
        <f t="shared" si="12"/>
        <v>I</v>
      </c>
      <c r="AC129" s="88" t="str">
        <f t="shared" si="11"/>
        <v>06.0</v>
      </c>
      <c r="AD129" s="88" t="str">
        <f t="shared" si="20"/>
        <v>C</v>
      </c>
      <c r="AE129" s="88" t="str">
        <f t="shared" si="13"/>
        <v>4+</v>
      </c>
      <c r="AF129" s="112" t="str">
        <f t="shared" si="14"/>
        <v xml:space="preserve"> </v>
      </c>
      <c r="AG129" s="106" t="s">
        <v>260</v>
      </c>
      <c r="AH129" s="257">
        <v>1782.99</v>
      </c>
      <c r="AI129" s="82">
        <f>INDEX('Model Calculator'!$AM$2:$AM$226,MATCH(AG129,'Model Calculator'!$A$2:$A$226,0))</f>
        <v>1932.27</v>
      </c>
      <c r="AJ129" s="110">
        <f t="shared" si="15"/>
        <v>8.3724530143186426E-2</v>
      </c>
    </row>
    <row r="130" spans="28:36">
      <c r="AB130" s="111" t="str">
        <f t="shared" si="12"/>
        <v>I</v>
      </c>
      <c r="AC130" s="88" t="str">
        <f t="shared" si="11"/>
        <v>06.5</v>
      </c>
      <c r="AD130" s="88" t="str">
        <f t="shared" si="20"/>
        <v>C</v>
      </c>
      <c r="AE130" s="88" t="str">
        <f t="shared" si="13"/>
        <v>4+</v>
      </c>
      <c r="AF130" s="112" t="str">
        <f t="shared" si="14"/>
        <v xml:space="preserve"> </v>
      </c>
      <c r="AG130" s="106" t="s">
        <v>261</v>
      </c>
      <c r="AH130" s="257">
        <v>1887.3</v>
      </c>
      <c r="AI130" s="82">
        <f>INDEX('Model Calculator'!$AM$2:$AM$226,MATCH(AG130,'Model Calculator'!$A$2:$A$226,0))</f>
        <v>2047.21</v>
      </c>
      <c r="AJ130" s="110">
        <f t="shared" si="15"/>
        <v>8.4729507762411962E-2</v>
      </c>
    </row>
    <row r="131" spans="28:36">
      <c r="AB131" s="111" t="str">
        <f t="shared" si="12"/>
        <v>I</v>
      </c>
      <c r="AC131" s="88" t="str">
        <f t="shared" si="11"/>
        <v>07.0</v>
      </c>
      <c r="AD131" s="88" t="str">
        <f t="shared" si="20"/>
        <v>C</v>
      </c>
      <c r="AE131" s="88" t="str">
        <f t="shared" si="13"/>
        <v>4+</v>
      </c>
      <c r="AF131" s="112" t="str">
        <f t="shared" si="14"/>
        <v xml:space="preserve"> </v>
      </c>
      <c r="AG131" s="106" t="s">
        <v>262</v>
      </c>
      <c r="AH131" s="257">
        <v>1989.81</v>
      </c>
      <c r="AI131" s="82">
        <f>INDEX('Model Calculator'!$AM$2:$AM$226,MATCH(AG131,'Model Calculator'!$A$2:$A$226,0))</f>
        <v>2162.16</v>
      </c>
      <c r="AJ131" s="110">
        <f t="shared" si="15"/>
        <v>8.6616310099959251E-2</v>
      </c>
    </row>
    <row r="132" spans="28:36">
      <c r="AB132" s="111" t="str">
        <f t="shared" si="12"/>
        <v>I</v>
      </c>
      <c r="AC132" s="88" t="str">
        <f t="shared" si="11"/>
        <v>07.5</v>
      </c>
      <c r="AD132" s="88" t="str">
        <f t="shared" si="20"/>
        <v>C</v>
      </c>
      <c r="AE132" s="88" t="str">
        <f t="shared" si="13"/>
        <v>4+</v>
      </c>
      <c r="AF132" s="112" t="str">
        <f t="shared" si="14"/>
        <v xml:space="preserve"> </v>
      </c>
      <c r="AG132" s="106" t="s">
        <v>263</v>
      </c>
      <c r="AH132" s="257">
        <v>2094.12</v>
      </c>
      <c r="AI132" s="82">
        <f>INDEX('Model Calculator'!$AM$2:$AM$226,MATCH(AG132,'Model Calculator'!$A$2:$A$226,0))</f>
        <v>2277.1</v>
      </c>
      <c r="AJ132" s="110">
        <f t="shared" si="15"/>
        <v>8.7377991710121686E-2</v>
      </c>
    </row>
    <row r="133" spans="28:36">
      <c r="AB133" s="111" t="str">
        <f t="shared" si="12"/>
        <v>I</v>
      </c>
      <c r="AC133" s="88" t="str">
        <f t="shared" si="11"/>
        <v>08.0</v>
      </c>
      <c r="AD133" s="88" t="str">
        <f t="shared" si="20"/>
        <v>C</v>
      </c>
      <c r="AE133" s="88" t="str">
        <f t="shared" si="13"/>
        <v>4+</v>
      </c>
      <c r="AF133" s="112" t="str">
        <f t="shared" si="14"/>
        <v xml:space="preserve"> </v>
      </c>
      <c r="AG133" s="106" t="s">
        <v>264</v>
      </c>
      <c r="AH133" s="257">
        <v>2198.4299999999998</v>
      </c>
      <c r="AI133" s="82">
        <f>INDEX('Model Calculator'!$AM$2:$AM$226,MATCH(AG133,'Model Calculator'!$A$2:$A$226,0))</f>
        <v>2392.04</v>
      </c>
      <c r="AJ133" s="110">
        <f t="shared" si="15"/>
        <v>8.8067393549032785E-2</v>
      </c>
    </row>
    <row r="134" spans="28:36">
      <c r="AB134" s="111" t="str">
        <f t="shared" si="12"/>
        <v>I</v>
      </c>
      <c r="AC134" s="88" t="str">
        <f t="shared" si="11"/>
        <v>08.5</v>
      </c>
      <c r="AD134" s="88" t="str">
        <f t="shared" si="20"/>
        <v>C</v>
      </c>
      <c r="AE134" s="88" t="str">
        <f t="shared" si="13"/>
        <v>4+</v>
      </c>
      <c r="AF134" s="112" t="str">
        <f t="shared" si="14"/>
        <v xml:space="preserve"> </v>
      </c>
      <c r="AG134" s="106" t="s">
        <v>265</v>
      </c>
      <c r="AH134" s="257">
        <v>2302.7399999999998</v>
      </c>
      <c r="AI134" s="82">
        <f>INDEX('Model Calculator'!$AM$2:$AM$226,MATCH(AG134,'Model Calculator'!$A$2:$A$226,0))</f>
        <v>2506.98</v>
      </c>
      <c r="AJ134" s="110">
        <f t="shared" si="15"/>
        <v>8.8694338049454244E-2</v>
      </c>
    </row>
    <row r="135" spans="28:36">
      <c r="AB135" s="111" t="str">
        <f t="shared" si="12"/>
        <v>I</v>
      </c>
      <c r="AC135" s="88" t="str">
        <f t="shared" ref="AC135:AC198" si="21">IF(AF135&lt;&gt;"",MID(AG135,2,4),MID(AG135,2,4))</f>
        <v>09.0</v>
      </c>
      <c r="AD135" s="88" t="str">
        <f t="shared" si="20"/>
        <v>C</v>
      </c>
      <c r="AE135" s="88" t="str">
        <f t="shared" si="13"/>
        <v>4+</v>
      </c>
      <c r="AF135" s="112" t="str">
        <f t="shared" si="14"/>
        <v xml:space="preserve"> </v>
      </c>
      <c r="AG135" s="106" t="s">
        <v>266</v>
      </c>
      <c r="AH135" s="257">
        <v>2407.0500000000002</v>
      </c>
      <c r="AI135" s="82">
        <f>INDEX('Model Calculator'!$AM$2:$AM$226,MATCH(AG135,'Model Calculator'!$A$2:$A$226,0))</f>
        <v>2621.92</v>
      </c>
      <c r="AJ135" s="110">
        <f t="shared" si="15"/>
        <v>8.9266945015683052E-2</v>
      </c>
    </row>
    <row r="136" spans="28:36">
      <c r="AB136" s="111" t="str">
        <f t="shared" si="12"/>
        <v>I</v>
      </c>
      <c r="AC136" s="88" t="str">
        <f t="shared" si="21"/>
        <v>09.5</v>
      </c>
      <c r="AD136" s="88" t="str">
        <f t="shared" si="20"/>
        <v>C</v>
      </c>
      <c r="AE136" s="88" t="str">
        <f t="shared" si="13"/>
        <v>4+</v>
      </c>
      <c r="AF136" s="112" t="str">
        <f t="shared" si="14"/>
        <v xml:space="preserve"> </v>
      </c>
      <c r="AG136" s="106" t="s">
        <v>267</v>
      </c>
      <c r="AH136" s="257">
        <v>2511.36</v>
      </c>
      <c r="AI136" s="82">
        <f>INDEX('Model Calculator'!$AM$2:$AM$226,MATCH(AG136,'Model Calculator'!$A$2:$A$226,0))</f>
        <v>2736.86</v>
      </c>
      <c r="AJ136" s="110">
        <f t="shared" si="15"/>
        <v>8.9791985219164108E-2</v>
      </c>
    </row>
    <row r="137" spans="28:36">
      <c r="AB137" s="111" t="str">
        <f t="shared" si="12"/>
        <v>I</v>
      </c>
      <c r="AC137" s="88" t="str">
        <f t="shared" si="21"/>
        <v>10.0</v>
      </c>
      <c r="AD137" s="88" t="str">
        <f t="shared" si="20"/>
        <v>C</v>
      </c>
      <c r="AE137" s="88" t="str">
        <f t="shared" si="13"/>
        <v>4+</v>
      </c>
      <c r="AF137" s="112" t="str">
        <f t="shared" si="14"/>
        <v xml:space="preserve"> </v>
      </c>
      <c r="AG137" s="106" t="s">
        <v>268</v>
      </c>
      <c r="AH137" s="257">
        <v>2615.67</v>
      </c>
      <c r="AI137" s="82">
        <f>INDEX('Model Calculator'!$AM$2:$AM$226,MATCH(AG137,'Model Calculator'!$A$2:$A$226,0))</f>
        <v>2851.8</v>
      </c>
      <c r="AJ137" s="110">
        <f t="shared" si="15"/>
        <v>9.0275149388110931E-2</v>
      </c>
    </row>
    <row r="138" spans="28:36">
      <c r="AB138" s="111" t="str">
        <f t="shared" si="12"/>
        <v>I</v>
      </c>
      <c r="AC138" s="88" t="str">
        <f t="shared" si="21"/>
        <v>10.5</v>
      </c>
      <c r="AD138" s="88" t="str">
        <f t="shared" si="20"/>
        <v>C</v>
      </c>
      <c r="AE138" s="88" t="str">
        <f t="shared" si="13"/>
        <v>4+</v>
      </c>
      <c r="AF138" s="112" t="str">
        <f t="shared" si="14"/>
        <v xml:space="preserve"> </v>
      </c>
      <c r="AG138" s="106" t="s">
        <v>269</v>
      </c>
      <c r="AH138" s="257">
        <v>2719.98</v>
      </c>
      <c r="AI138" s="82">
        <f>INDEX('Model Calculator'!$AM$2:$AM$226,MATCH(AG138,'Model Calculator'!$A$2:$A$226,0))</f>
        <v>2966.74</v>
      </c>
      <c r="AJ138" s="110">
        <f t="shared" si="15"/>
        <v>9.0721255303347736E-2</v>
      </c>
    </row>
    <row r="139" spans="28:36">
      <c r="AB139" s="111" t="str">
        <f t="shared" si="12"/>
        <v>I</v>
      </c>
      <c r="AC139" s="88" t="str">
        <f t="shared" si="21"/>
        <v>11.0</v>
      </c>
      <c r="AD139" s="88" t="str">
        <f t="shared" si="20"/>
        <v>C</v>
      </c>
      <c r="AE139" s="88" t="str">
        <f t="shared" si="13"/>
        <v>4+</v>
      </c>
      <c r="AF139" s="112" t="str">
        <f t="shared" si="14"/>
        <v xml:space="preserve"> </v>
      </c>
      <c r="AG139" s="106" t="s">
        <v>270</v>
      </c>
      <c r="AH139" s="257">
        <v>2824.29</v>
      </c>
      <c r="AI139" s="82">
        <f>INDEX('Model Calculator'!$AM$2:$AM$226,MATCH(AG139,'Model Calculator'!$A$2:$A$226,0))</f>
        <v>3083.67</v>
      </c>
      <c r="AJ139" s="110">
        <f t="shared" si="15"/>
        <v>9.1839010866447884E-2</v>
      </c>
    </row>
    <row r="140" spans="28:36">
      <c r="AB140" s="111" t="str">
        <f t="shared" si="12"/>
        <v>I</v>
      </c>
      <c r="AC140" s="88" t="str">
        <f t="shared" si="21"/>
        <v>11.5</v>
      </c>
      <c r="AD140" s="88" t="str">
        <f t="shared" si="20"/>
        <v>C</v>
      </c>
      <c r="AE140" s="88" t="str">
        <f t="shared" si="13"/>
        <v>4+</v>
      </c>
      <c r="AF140" s="112" t="str">
        <f t="shared" si="14"/>
        <v xml:space="preserve"> </v>
      </c>
      <c r="AG140" s="106" t="s">
        <v>271</v>
      </c>
      <c r="AH140" s="257">
        <v>2928.6</v>
      </c>
      <c r="AI140" s="82">
        <f>INDEX('Model Calculator'!$AM$2:$AM$226,MATCH(AG140,'Model Calculator'!$A$2:$A$226,0))</f>
        <v>3198.61</v>
      </c>
      <c r="AJ140" s="110">
        <f t="shared" si="15"/>
        <v>9.2197637096223528E-2</v>
      </c>
    </row>
    <row r="141" spans="28:36">
      <c r="AB141" s="111" t="str">
        <f t="shared" si="12"/>
        <v>I</v>
      </c>
      <c r="AC141" s="88" t="str">
        <f t="shared" si="21"/>
        <v>12.0</v>
      </c>
      <c r="AD141" s="88" t="str">
        <f t="shared" si="20"/>
        <v>C</v>
      </c>
      <c r="AE141" s="88" t="str">
        <f t="shared" si="13"/>
        <v>4+</v>
      </c>
      <c r="AF141" s="112" t="str">
        <f t="shared" si="14"/>
        <v xml:space="preserve"> </v>
      </c>
      <c r="AG141" s="106" t="s">
        <v>272</v>
      </c>
      <c r="AH141" s="257">
        <v>3031.11</v>
      </c>
      <c r="AI141" s="82">
        <f>INDEX('Model Calculator'!$AM$2:$AM$226,MATCH(AG141,'Model Calculator'!$A$2:$A$226,0))</f>
        <v>3313.55</v>
      </c>
      <c r="AJ141" s="110">
        <f t="shared" si="15"/>
        <v>9.3180386063191387E-2</v>
      </c>
    </row>
    <row r="142" spans="28:36">
      <c r="AB142" s="111" t="str">
        <f t="shared" si="12"/>
        <v>I</v>
      </c>
      <c r="AC142" s="88" t="str">
        <f t="shared" si="21"/>
        <v>12.5</v>
      </c>
      <c r="AD142" s="88" t="str">
        <f t="shared" si="20"/>
        <v>C</v>
      </c>
      <c r="AE142" s="88" t="str">
        <f t="shared" si="13"/>
        <v>4+</v>
      </c>
      <c r="AF142" s="112" t="str">
        <f t="shared" si="14"/>
        <v xml:space="preserve"> </v>
      </c>
      <c r="AG142" s="106" t="s">
        <v>273</v>
      </c>
      <c r="AH142" s="257">
        <v>3135.42</v>
      </c>
      <c r="AI142" s="82">
        <f>INDEX('Model Calculator'!$AM$2:$AM$226,MATCH(AG142,'Model Calculator'!$A$2:$A$226,0))</f>
        <v>3428.49</v>
      </c>
      <c r="AJ142" s="110">
        <f t="shared" si="15"/>
        <v>9.3470731193906947E-2</v>
      </c>
    </row>
    <row r="143" spans="28:36">
      <c r="AB143" s="111" t="str">
        <f t="shared" si="12"/>
        <v>I</v>
      </c>
      <c r="AC143" s="88" t="str">
        <f t="shared" si="21"/>
        <v>13.0</v>
      </c>
      <c r="AD143" s="88" t="str">
        <f t="shared" si="20"/>
        <v>C</v>
      </c>
      <c r="AE143" s="88" t="str">
        <f t="shared" si="13"/>
        <v>4+</v>
      </c>
      <c r="AF143" s="112" t="str">
        <f t="shared" si="14"/>
        <v xml:space="preserve"> </v>
      </c>
      <c r="AG143" s="106" t="s">
        <v>274</v>
      </c>
      <c r="AH143" s="257">
        <v>3239.73</v>
      </c>
      <c r="AI143" s="82">
        <f>INDEX('Model Calculator'!$AM$2:$AM$226,MATCH(AG143,'Model Calculator'!$A$2:$A$226,0))</f>
        <v>3543.43</v>
      </c>
      <c r="AJ143" s="110">
        <f t="shared" si="15"/>
        <v>9.3742379766215023E-2</v>
      </c>
    </row>
    <row r="144" spans="28:36">
      <c r="AB144" s="111" t="str">
        <f t="shared" si="12"/>
        <v>I</v>
      </c>
      <c r="AC144" s="88" t="str">
        <f t="shared" si="21"/>
        <v>13.5</v>
      </c>
      <c r="AD144" s="88" t="str">
        <f t="shared" si="20"/>
        <v>C</v>
      </c>
      <c r="AE144" s="88" t="str">
        <f t="shared" si="13"/>
        <v>4+</v>
      </c>
      <c r="AF144" s="112" t="str">
        <f t="shared" si="14"/>
        <v xml:space="preserve"> </v>
      </c>
      <c r="AG144" s="106" t="s">
        <v>275</v>
      </c>
      <c r="AH144" s="257">
        <v>3344.04</v>
      </c>
      <c r="AI144" s="82">
        <f>INDEX('Model Calculator'!$AM$2:$AM$226,MATCH(AG144,'Model Calculator'!$A$2:$A$226,0))</f>
        <v>3658.37</v>
      </c>
      <c r="AJ144" s="110">
        <f t="shared" si="15"/>
        <v>9.3997081374624689E-2</v>
      </c>
    </row>
    <row r="145" spans="28:36">
      <c r="AB145" s="111" t="str">
        <f t="shared" si="12"/>
        <v>I</v>
      </c>
      <c r="AC145" s="88" t="str">
        <f t="shared" si="21"/>
        <v>14.0</v>
      </c>
      <c r="AD145" s="88" t="str">
        <f t="shared" si="20"/>
        <v>C</v>
      </c>
      <c r="AE145" s="88" t="str">
        <f t="shared" si="13"/>
        <v>4+</v>
      </c>
      <c r="AF145" s="112" t="str">
        <f t="shared" si="14"/>
        <v xml:space="preserve"> </v>
      </c>
      <c r="AG145" s="106" t="s">
        <v>276</v>
      </c>
      <c r="AH145" s="257">
        <v>3448.35</v>
      </c>
      <c r="AI145" s="82">
        <f>INDEX('Model Calculator'!$AM$2:$AM$226,MATCH(AG145,'Model Calculator'!$A$2:$A$226,0))</f>
        <v>3773.31</v>
      </c>
      <c r="AJ145" s="110">
        <f t="shared" si="15"/>
        <v>9.4236373917960775E-2</v>
      </c>
    </row>
    <row r="146" spans="28:36">
      <c r="AB146" s="111" t="str">
        <f t="shared" si="12"/>
        <v>I</v>
      </c>
      <c r="AC146" s="88" t="str">
        <f t="shared" si="21"/>
        <v>14.5</v>
      </c>
      <c r="AD146" s="88" t="str">
        <f t="shared" si="20"/>
        <v>C</v>
      </c>
      <c r="AE146" s="88" t="str">
        <f t="shared" si="13"/>
        <v>4+</v>
      </c>
      <c r="AF146" s="112" t="str">
        <f t="shared" si="14"/>
        <v xml:space="preserve"> </v>
      </c>
      <c r="AG146" s="106" t="s">
        <v>277</v>
      </c>
      <c r="AH146" s="257">
        <v>3552.66</v>
      </c>
      <c r="AI146" s="82">
        <f>INDEX('Model Calculator'!$AM$2:$AM$226,MATCH(AG146,'Model Calculator'!$A$2:$A$226,0))</f>
        <v>3888.25</v>
      </c>
      <c r="AJ146" s="110">
        <f t="shared" si="15"/>
        <v>9.4461614677452996E-2</v>
      </c>
    </row>
    <row r="147" spans="28:36">
      <c r="AB147" s="111" t="str">
        <f t="shared" si="12"/>
        <v>I</v>
      </c>
      <c r="AC147" s="88" t="str">
        <f t="shared" si="21"/>
        <v>15.0</v>
      </c>
      <c r="AD147" s="88" t="str">
        <f t="shared" si="20"/>
        <v>C</v>
      </c>
      <c r="AE147" s="88" t="str">
        <f t="shared" si="13"/>
        <v>4+</v>
      </c>
      <c r="AF147" s="112" t="str">
        <f t="shared" si="14"/>
        <v xml:space="preserve"> </v>
      </c>
      <c r="AG147" s="106" t="s">
        <v>278</v>
      </c>
      <c r="AH147" s="257">
        <v>3656.97</v>
      </c>
      <c r="AI147" s="82">
        <f>INDEX('Model Calculator'!$AM$2:$AM$226,MATCH(AG147,'Model Calculator'!$A$2:$A$226,0))</f>
        <v>4003.19</v>
      </c>
      <c r="AJ147" s="110">
        <f t="shared" si="15"/>
        <v>9.4674006076068518E-2</v>
      </c>
    </row>
    <row r="148" spans="28:36">
      <c r="AB148" s="111" t="str">
        <f t="shared" si="12"/>
        <v>I</v>
      </c>
      <c r="AC148" s="88" t="str">
        <f t="shared" si="21"/>
        <v>15.5</v>
      </c>
      <c r="AD148" s="88" t="str">
        <f t="shared" si="20"/>
        <v>C</v>
      </c>
      <c r="AE148" s="88" t="str">
        <f t="shared" si="13"/>
        <v>4+</v>
      </c>
      <c r="AF148" s="112" t="str">
        <f t="shared" si="14"/>
        <v xml:space="preserve"> </v>
      </c>
      <c r="AG148" s="106" t="s">
        <v>279</v>
      </c>
      <c r="AH148" s="257">
        <v>3761.28</v>
      </c>
      <c r="AI148" s="82">
        <f>INDEX('Model Calculator'!$AM$2:$AM$226,MATCH(AG148,'Model Calculator'!$A$2:$A$226,0))</f>
        <v>4118.13</v>
      </c>
      <c r="AJ148" s="110">
        <f t="shared" si="15"/>
        <v>9.4874617151607929E-2</v>
      </c>
    </row>
    <row r="149" spans="28:36">
      <c r="AB149" s="111" t="str">
        <f t="shared" ref="AB149:AB208" si="22">LEFT(AG149,1)</f>
        <v>M</v>
      </c>
      <c r="AC149" s="88" t="str">
        <f t="shared" si="21"/>
        <v>06.0</v>
      </c>
      <c r="AD149" s="88" t="str">
        <f t="shared" si="20"/>
        <v>C</v>
      </c>
      <c r="AE149" s="88" t="str">
        <f t="shared" ref="AE149:AE208" si="23">IF(AD149="A",1,IF(AD149="B",2,IF(AD149="C","4+")))</f>
        <v>4+</v>
      </c>
      <c r="AF149" s="112" t="str">
        <f t="shared" ref="AF149:AF208" si="24">IF(LEFT(AG149,1)="M",RIGHT(AG149,1)," ")</f>
        <v>1</v>
      </c>
      <c r="AG149" s="106" t="s">
        <v>280</v>
      </c>
      <c r="AH149" s="257">
        <v>1961.75</v>
      </c>
      <c r="AI149" s="82">
        <f>INDEX('Model Calculator'!$AM$2:$AM$226,MATCH(AG149,'Model Calculator'!$A$2:$A$226,0))</f>
        <v>2133.77</v>
      </c>
      <c r="AJ149" s="110">
        <f t="shared" ref="AJ149:AJ208" si="25">(AI149-AH149)/AH149</f>
        <v>8.7687014145533315E-2</v>
      </c>
    </row>
    <row r="150" spans="28:36">
      <c r="AB150" s="111" t="str">
        <f t="shared" si="22"/>
        <v>M</v>
      </c>
      <c r="AC150" s="88" t="str">
        <f t="shared" si="21"/>
        <v>06.5</v>
      </c>
      <c r="AD150" s="88" t="str">
        <f t="shared" si="20"/>
        <v>C</v>
      </c>
      <c r="AE150" s="88" t="str">
        <f t="shared" si="23"/>
        <v>4+</v>
      </c>
      <c r="AF150" s="112" t="str">
        <f t="shared" si="24"/>
        <v>1</v>
      </c>
      <c r="AG150" s="106" t="s">
        <v>281</v>
      </c>
      <c r="AH150" s="257">
        <v>2085.52</v>
      </c>
      <c r="AI150" s="82">
        <f>INDEX('Model Calculator'!$AM$2:$AM$226,MATCH(AG150,'Model Calculator'!$A$2:$A$226,0))</f>
        <v>2270.5500000000002</v>
      </c>
      <c r="AJ150" s="110">
        <f t="shared" si="25"/>
        <v>8.8721278146457569E-2</v>
      </c>
    </row>
    <row r="151" spans="28:36">
      <c r="AB151" s="111" t="str">
        <f t="shared" si="22"/>
        <v>M</v>
      </c>
      <c r="AC151" s="88" t="str">
        <f t="shared" si="21"/>
        <v>07.0</v>
      </c>
      <c r="AD151" s="88" t="str">
        <f t="shared" si="20"/>
        <v>C</v>
      </c>
      <c r="AE151" s="88" t="str">
        <f t="shared" si="23"/>
        <v>4+</v>
      </c>
      <c r="AF151" s="112" t="str">
        <f t="shared" si="24"/>
        <v>1</v>
      </c>
      <c r="AG151" s="106" t="s">
        <v>282</v>
      </c>
      <c r="AH151" s="257">
        <v>2207.15</v>
      </c>
      <c r="AI151" s="82">
        <f>INDEX('Model Calculator'!$AM$2:$AM$226,MATCH(AG151,'Model Calculator'!$A$2:$A$226,0))</f>
        <v>2407.34</v>
      </c>
      <c r="AJ151" s="110">
        <f t="shared" si="25"/>
        <v>9.0700677344086281E-2</v>
      </c>
    </row>
    <row r="152" spans="28:36">
      <c r="AB152" s="111" t="str">
        <f t="shared" si="22"/>
        <v>M</v>
      </c>
      <c r="AC152" s="88" t="str">
        <f t="shared" si="21"/>
        <v>07.5</v>
      </c>
      <c r="AD152" s="88" t="str">
        <f t="shared" si="20"/>
        <v>C</v>
      </c>
      <c r="AE152" s="88" t="str">
        <f t="shared" si="23"/>
        <v>4+</v>
      </c>
      <c r="AF152" s="112" t="str">
        <f t="shared" si="24"/>
        <v>1</v>
      </c>
      <c r="AG152" s="106" t="s">
        <v>283</v>
      </c>
      <c r="AH152" s="257">
        <v>2330.91</v>
      </c>
      <c r="AI152" s="82">
        <f>INDEX('Model Calculator'!$AM$2:$AM$226,MATCH(AG152,'Model Calculator'!$A$2:$A$226,0))</f>
        <v>2544.12</v>
      </c>
      <c r="AJ152" s="110">
        <f t="shared" si="25"/>
        <v>9.1470713154948091E-2</v>
      </c>
    </row>
    <row r="153" spans="28:36">
      <c r="AB153" s="111" t="str">
        <f t="shared" si="22"/>
        <v>M</v>
      </c>
      <c r="AC153" s="88" t="str">
        <f t="shared" si="21"/>
        <v>08.0</v>
      </c>
      <c r="AD153" s="88" t="str">
        <f t="shared" si="20"/>
        <v>C</v>
      </c>
      <c r="AE153" s="88" t="str">
        <f t="shared" si="23"/>
        <v>4+</v>
      </c>
      <c r="AF153" s="112" t="str">
        <f t="shared" si="24"/>
        <v>1</v>
      </c>
      <c r="AG153" s="106" t="s">
        <v>284</v>
      </c>
      <c r="AH153" s="257">
        <v>2454.67</v>
      </c>
      <c r="AI153" s="82">
        <f>INDEX('Model Calculator'!$AM$2:$AM$226,MATCH(AG153,'Model Calculator'!$A$2:$A$226,0))</f>
        <v>2680.91</v>
      </c>
      <c r="AJ153" s="110">
        <f t="shared" si="25"/>
        <v>9.2167175221109066E-2</v>
      </c>
    </row>
    <row r="154" spans="28:36">
      <c r="AB154" s="111" t="str">
        <f t="shared" si="22"/>
        <v>M</v>
      </c>
      <c r="AC154" s="88" t="str">
        <f t="shared" si="21"/>
        <v>08.5</v>
      </c>
      <c r="AD154" s="88" t="str">
        <f t="shared" si="20"/>
        <v>C</v>
      </c>
      <c r="AE154" s="88" t="str">
        <f t="shared" si="23"/>
        <v>4+</v>
      </c>
      <c r="AF154" s="112" t="str">
        <f t="shared" si="24"/>
        <v>1</v>
      </c>
      <c r="AG154" s="106" t="s">
        <v>285</v>
      </c>
      <c r="AH154" s="257">
        <v>2578.44</v>
      </c>
      <c r="AI154" s="82">
        <f>INDEX('Model Calculator'!$AM$2:$AM$226,MATCH(AG154,'Model Calculator'!$A$2:$A$226,0))</f>
        <v>2817.69</v>
      </c>
      <c r="AJ154" s="110">
        <f t="shared" si="25"/>
        <v>9.27886629124587E-2</v>
      </c>
    </row>
    <row r="155" spans="28:36">
      <c r="AB155" s="111" t="str">
        <f t="shared" si="22"/>
        <v>M</v>
      </c>
      <c r="AC155" s="88" t="str">
        <f t="shared" si="21"/>
        <v>09.0</v>
      </c>
      <c r="AD155" s="88" t="str">
        <f t="shared" si="20"/>
        <v>C</v>
      </c>
      <c r="AE155" s="88" t="str">
        <f t="shared" si="23"/>
        <v>4+</v>
      </c>
      <c r="AF155" s="112" t="str">
        <f t="shared" si="24"/>
        <v>1</v>
      </c>
      <c r="AG155" s="106" t="s">
        <v>286</v>
      </c>
      <c r="AH155" s="257">
        <v>2702.2</v>
      </c>
      <c r="AI155" s="82">
        <f>INDEX('Model Calculator'!$AM$2:$AM$226,MATCH(AG155,'Model Calculator'!$A$2:$A$226,0))</f>
        <v>2954.48</v>
      </c>
      <c r="AJ155" s="110">
        <f t="shared" si="25"/>
        <v>9.3360965139516028E-2</v>
      </c>
    </row>
    <row r="156" spans="28:36">
      <c r="AB156" s="111" t="str">
        <f t="shared" si="22"/>
        <v>M</v>
      </c>
      <c r="AC156" s="88" t="str">
        <f t="shared" si="21"/>
        <v>09.5</v>
      </c>
      <c r="AD156" s="88" t="str">
        <f t="shared" si="20"/>
        <v>C</v>
      </c>
      <c r="AE156" s="88" t="str">
        <f t="shared" si="23"/>
        <v>4+</v>
      </c>
      <c r="AF156" s="112" t="str">
        <f t="shared" si="24"/>
        <v>1</v>
      </c>
      <c r="AG156" s="106" t="s">
        <v>287</v>
      </c>
      <c r="AH156" s="257">
        <v>2825.96</v>
      </c>
      <c r="AI156" s="82">
        <f>INDEX('Model Calculator'!$AM$2:$AM$226,MATCH(AG156,'Model Calculator'!$A$2:$A$226,0))</f>
        <v>3091.26</v>
      </c>
      <c r="AJ156" s="110">
        <f t="shared" si="25"/>
        <v>9.387960197596576E-2</v>
      </c>
    </row>
    <row r="157" spans="28:36">
      <c r="AB157" s="111" t="str">
        <f t="shared" si="22"/>
        <v>M</v>
      </c>
      <c r="AC157" s="88" t="str">
        <f t="shared" si="21"/>
        <v>10.0</v>
      </c>
      <c r="AD157" s="88" t="str">
        <f t="shared" si="20"/>
        <v>C</v>
      </c>
      <c r="AE157" s="88" t="str">
        <f t="shared" si="23"/>
        <v>4+</v>
      </c>
      <c r="AF157" s="112" t="str">
        <f t="shared" si="24"/>
        <v>1</v>
      </c>
      <c r="AG157" s="106" t="s">
        <v>288</v>
      </c>
      <c r="AH157" s="257">
        <v>2949.73</v>
      </c>
      <c r="AI157" s="82">
        <f>INDEX('Model Calculator'!$AM$2:$AM$226,MATCH(AG157,'Model Calculator'!$A$2:$A$226,0))</f>
        <v>3228.05</v>
      </c>
      <c r="AJ157" s="110">
        <f t="shared" si="25"/>
        <v>9.4354398538171347E-2</v>
      </c>
    </row>
    <row r="158" spans="28:36">
      <c r="AB158" s="111" t="str">
        <f t="shared" si="22"/>
        <v>M</v>
      </c>
      <c r="AC158" s="88" t="str">
        <f t="shared" si="21"/>
        <v>10.5</v>
      </c>
      <c r="AD158" s="88" t="str">
        <f t="shared" si="20"/>
        <v>C</v>
      </c>
      <c r="AE158" s="88" t="str">
        <f t="shared" si="23"/>
        <v>4+</v>
      </c>
      <c r="AF158" s="112" t="str">
        <f t="shared" si="24"/>
        <v>1</v>
      </c>
      <c r="AG158" s="106" t="s">
        <v>289</v>
      </c>
      <c r="AH158" s="257">
        <v>3073.49</v>
      </c>
      <c r="AI158" s="82">
        <f>INDEX('Model Calculator'!$AM$2:$AM$226,MATCH(AG158,'Model Calculator'!$A$2:$A$226,0))</f>
        <v>3364.83</v>
      </c>
      <c r="AJ158" s="110">
        <f t="shared" si="25"/>
        <v>9.4791263352085139E-2</v>
      </c>
    </row>
    <row r="159" spans="28:36">
      <c r="AB159" s="111" t="str">
        <f t="shared" si="22"/>
        <v>M</v>
      </c>
      <c r="AC159" s="88" t="str">
        <f t="shared" si="21"/>
        <v>11.0</v>
      </c>
      <c r="AD159" s="88" t="str">
        <f t="shared" si="20"/>
        <v>C</v>
      </c>
      <c r="AE159" s="88" t="str">
        <f t="shared" si="23"/>
        <v>4+</v>
      </c>
      <c r="AF159" s="112" t="str">
        <f t="shared" si="24"/>
        <v>1</v>
      </c>
      <c r="AG159" s="106" t="s">
        <v>290</v>
      </c>
      <c r="AH159" s="257">
        <v>3197.25</v>
      </c>
      <c r="AI159" s="82">
        <f>INDEX('Model Calculator'!$AM$2:$AM$226,MATCH(AG159,'Model Calculator'!$A$2:$A$226,0))</f>
        <v>3503.98</v>
      </c>
      <c r="AJ159" s="110">
        <f t="shared" si="25"/>
        <v>9.5935569630150916E-2</v>
      </c>
    </row>
    <row r="160" spans="28:36">
      <c r="AB160" s="111" t="str">
        <f t="shared" si="22"/>
        <v>M</v>
      </c>
      <c r="AC160" s="88" t="str">
        <f t="shared" si="21"/>
        <v>11.5</v>
      </c>
      <c r="AD160" s="88" t="str">
        <f t="shared" si="20"/>
        <v>C</v>
      </c>
      <c r="AE160" s="88" t="str">
        <f t="shared" si="23"/>
        <v>4+</v>
      </c>
      <c r="AF160" s="112" t="str">
        <f t="shared" si="24"/>
        <v>1</v>
      </c>
      <c r="AG160" s="106" t="s">
        <v>291</v>
      </c>
      <c r="AH160" s="257">
        <v>3321.02</v>
      </c>
      <c r="AI160" s="82">
        <f>INDEX('Model Calculator'!$AM$2:$AM$226,MATCH(AG160,'Model Calculator'!$A$2:$A$226,0))</f>
        <v>3640.76</v>
      </c>
      <c r="AJ160" s="110">
        <f t="shared" si="25"/>
        <v>9.6277649637761961E-2</v>
      </c>
    </row>
    <row r="161" spans="28:36">
      <c r="AB161" s="111" t="str">
        <f t="shared" si="22"/>
        <v>M</v>
      </c>
      <c r="AC161" s="88" t="str">
        <f t="shared" si="21"/>
        <v>12.0</v>
      </c>
      <c r="AD161" s="88" t="str">
        <f t="shared" si="20"/>
        <v>C</v>
      </c>
      <c r="AE161" s="88" t="str">
        <f t="shared" si="23"/>
        <v>4+</v>
      </c>
      <c r="AF161" s="112" t="str">
        <f t="shared" si="24"/>
        <v>1</v>
      </c>
      <c r="AG161" s="106" t="s">
        <v>292</v>
      </c>
      <c r="AH161" s="257">
        <v>3442.64</v>
      </c>
      <c r="AI161" s="82">
        <f>INDEX('Model Calculator'!$AM$2:$AM$226,MATCH(AG161,'Model Calculator'!$A$2:$A$226,0))</f>
        <v>3777.55</v>
      </c>
      <c r="AJ161" s="110">
        <f t="shared" si="25"/>
        <v>9.7282899170404197E-2</v>
      </c>
    </row>
    <row r="162" spans="28:36">
      <c r="AB162" s="111" t="str">
        <f t="shared" si="22"/>
        <v>M</v>
      </c>
      <c r="AC162" s="88" t="str">
        <f t="shared" si="21"/>
        <v>12.5</v>
      </c>
      <c r="AD162" s="88" t="str">
        <f t="shared" si="20"/>
        <v>C</v>
      </c>
      <c r="AE162" s="88" t="str">
        <f t="shared" si="23"/>
        <v>4+</v>
      </c>
      <c r="AF162" s="112" t="str">
        <f t="shared" si="24"/>
        <v>1</v>
      </c>
      <c r="AG162" s="106" t="s">
        <v>293</v>
      </c>
      <c r="AH162" s="257">
        <v>3566.41</v>
      </c>
      <c r="AI162" s="82">
        <f>INDEX('Model Calculator'!$AM$2:$AM$226,MATCH(AG162,'Model Calculator'!$A$2:$A$226,0))</f>
        <v>3914.33</v>
      </c>
      <c r="AJ162" s="110">
        <f t="shared" si="25"/>
        <v>9.7554683841734435E-2</v>
      </c>
    </row>
    <row r="163" spans="28:36">
      <c r="AB163" s="111" t="str">
        <f t="shared" si="22"/>
        <v>M</v>
      </c>
      <c r="AC163" s="88" t="str">
        <f t="shared" si="21"/>
        <v>13.0</v>
      </c>
      <c r="AD163" s="88" t="str">
        <f t="shared" si="20"/>
        <v>C</v>
      </c>
      <c r="AE163" s="88" t="str">
        <f t="shared" si="23"/>
        <v>4+</v>
      </c>
      <c r="AF163" s="112" t="str">
        <f t="shared" si="24"/>
        <v>1</v>
      </c>
      <c r="AG163" s="106" t="s">
        <v>294</v>
      </c>
      <c r="AH163" s="257">
        <v>3690.17</v>
      </c>
      <c r="AI163" s="82">
        <f>INDEX('Model Calculator'!$AM$2:$AM$226,MATCH(AG163,'Model Calculator'!$A$2:$A$226,0))</f>
        <v>4051.12</v>
      </c>
      <c r="AJ163" s="110">
        <f t="shared" si="25"/>
        <v>9.781392185183875E-2</v>
      </c>
    </row>
    <row r="164" spans="28:36">
      <c r="AB164" s="111" t="str">
        <f t="shared" si="22"/>
        <v>M</v>
      </c>
      <c r="AC164" s="88" t="str">
        <f t="shared" si="21"/>
        <v>13.5</v>
      </c>
      <c r="AD164" s="88" t="str">
        <f t="shared" si="20"/>
        <v>C</v>
      </c>
      <c r="AE164" s="88" t="str">
        <f t="shared" si="23"/>
        <v>4+</v>
      </c>
      <c r="AF164" s="112" t="str">
        <f t="shared" si="24"/>
        <v>1</v>
      </c>
      <c r="AG164" s="106" t="s">
        <v>295</v>
      </c>
      <c r="AH164" s="257">
        <v>3813.93</v>
      </c>
      <c r="AI164" s="82">
        <f>INDEX('Model Calculator'!$AM$2:$AM$226,MATCH(AG164,'Model Calculator'!$A$2:$A$226,0))</f>
        <v>4187.8999999999996</v>
      </c>
      <c r="AJ164" s="110">
        <f t="shared" si="25"/>
        <v>9.8053713623480199E-2</v>
      </c>
    </row>
    <row r="165" spans="28:36">
      <c r="AB165" s="111" t="str">
        <f t="shared" si="22"/>
        <v>M</v>
      </c>
      <c r="AC165" s="88" t="str">
        <f t="shared" si="21"/>
        <v>14.0</v>
      </c>
      <c r="AD165" s="88" t="str">
        <f t="shared" si="20"/>
        <v>C</v>
      </c>
      <c r="AE165" s="88" t="str">
        <f t="shared" si="23"/>
        <v>4+</v>
      </c>
      <c r="AF165" s="112" t="str">
        <f t="shared" si="24"/>
        <v>1</v>
      </c>
      <c r="AG165" s="106" t="s">
        <v>296</v>
      </c>
      <c r="AH165" s="257">
        <v>3937.7</v>
      </c>
      <c r="AI165" s="82">
        <f>INDEX('Model Calculator'!$AM$2:$AM$226,MATCH(AG165,'Model Calculator'!$A$2:$A$226,0))</f>
        <v>4324.6899999999996</v>
      </c>
      <c r="AJ165" s="110">
        <f t="shared" si="25"/>
        <v>9.827818269548208E-2</v>
      </c>
    </row>
    <row r="166" spans="28:36">
      <c r="AB166" s="111" t="str">
        <f t="shared" si="22"/>
        <v>M</v>
      </c>
      <c r="AC166" s="88" t="str">
        <f t="shared" si="21"/>
        <v>14.5</v>
      </c>
      <c r="AD166" s="88" t="str">
        <f t="shared" si="20"/>
        <v>C</v>
      </c>
      <c r="AE166" s="88" t="str">
        <f t="shared" si="23"/>
        <v>4+</v>
      </c>
      <c r="AF166" s="112" t="str">
        <f t="shared" si="24"/>
        <v>1</v>
      </c>
      <c r="AG166" s="106" t="s">
        <v>297</v>
      </c>
      <c r="AH166" s="257">
        <v>4061.46</v>
      </c>
      <c r="AI166" s="82">
        <f>INDEX('Model Calculator'!$AM$2:$AM$226,MATCH(AG166,'Model Calculator'!$A$2:$A$226,0))</f>
        <v>4461.47</v>
      </c>
      <c r="AJ166" s="110">
        <f t="shared" si="25"/>
        <v>9.8489213238589127E-2</v>
      </c>
    </row>
    <row r="167" spans="28:36">
      <c r="AB167" s="111" t="str">
        <f t="shared" si="22"/>
        <v>M</v>
      </c>
      <c r="AC167" s="88" t="str">
        <f t="shared" si="21"/>
        <v>15.0</v>
      </c>
      <c r="AD167" s="88" t="str">
        <f t="shared" si="20"/>
        <v>C</v>
      </c>
      <c r="AE167" s="88" t="str">
        <f t="shared" si="23"/>
        <v>4+</v>
      </c>
      <c r="AF167" s="112" t="str">
        <f t="shared" si="24"/>
        <v>1</v>
      </c>
      <c r="AG167" s="106" t="s">
        <v>298</v>
      </c>
      <c r="AH167" s="257">
        <v>4185.22</v>
      </c>
      <c r="AI167" s="82">
        <f>INDEX('Model Calculator'!$AM$2:$AM$226,MATCH(AG167,'Model Calculator'!$A$2:$A$226,0))</f>
        <v>4598.26</v>
      </c>
      <c r="AJ167" s="110">
        <f t="shared" si="25"/>
        <v>9.8690152488996985E-2</v>
      </c>
    </row>
    <row r="168" spans="28:36">
      <c r="AB168" s="111" t="str">
        <f t="shared" si="22"/>
        <v>M</v>
      </c>
      <c r="AC168" s="88" t="str">
        <f t="shared" si="21"/>
        <v>15.5</v>
      </c>
      <c r="AD168" s="88" t="str">
        <f t="shared" si="20"/>
        <v>C</v>
      </c>
      <c r="AE168" s="88" t="str">
        <f t="shared" si="23"/>
        <v>4+</v>
      </c>
      <c r="AF168" s="112" t="str">
        <f t="shared" si="24"/>
        <v>1</v>
      </c>
      <c r="AG168" s="106" t="s">
        <v>299</v>
      </c>
      <c r="AH168" s="257">
        <v>4308.99</v>
      </c>
      <c r="AI168" s="82">
        <f>INDEX('Model Calculator'!$AM$2:$AM$226,MATCH(AG168,'Model Calculator'!$A$2:$A$226,0))</f>
        <v>4735.04</v>
      </c>
      <c r="AJ168" s="110">
        <f t="shared" si="25"/>
        <v>9.8874678288879803E-2</v>
      </c>
    </row>
    <row r="169" spans="28:36">
      <c r="AB169" s="111" t="str">
        <f t="shared" si="22"/>
        <v>M</v>
      </c>
      <c r="AC169" s="88" t="str">
        <f t="shared" si="21"/>
        <v>06.0</v>
      </c>
      <c r="AD169" s="88" t="str">
        <f t="shared" si="20"/>
        <v>C</v>
      </c>
      <c r="AE169" s="88" t="str">
        <f t="shared" si="23"/>
        <v>4+</v>
      </c>
      <c r="AF169" s="112" t="str">
        <f t="shared" si="24"/>
        <v>2</v>
      </c>
      <c r="AG169" s="106" t="s">
        <v>300</v>
      </c>
      <c r="AH169" s="257">
        <v>2032.44</v>
      </c>
      <c r="AI169" s="82">
        <f>INDEX('Model Calculator'!$AM$2:$AM$226,MATCH(AG169,'Model Calculator'!$A$2:$A$226,0))</f>
        <v>2213.66</v>
      </c>
      <c r="AJ169" s="110">
        <f t="shared" si="25"/>
        <v>8.9163763751943376E-2</v>
      </c>
    </row>
    <row r="170" spans="28:36">
      <c r="AB170" s="111" t="str">
        <f t="shared" si="22"/>
        <v>M</v>
      </c>
      <c r="AC170" s="88" t="str">
        <f t="shared" si="21"/>
        <v>06.5</v>
      </c>
      <c r="AD170" s="88" t="str">
        <f t="shared" si="20"/>
        <v>C</v>
      </c>
      <c r="AE170" s="88" t="str">
        <f t="shared" si="23"/>
        <v>4+</v>
      </c>
      <c r="AF170" s="112" t="str">
        <f t="shared" si="24"/>
        <v>2</v>
      </c>
      <c r="AG170" s="106" t="s">
        <v>301</v>
      </c>
      <c r="AH170" s="257">
        <v>2163.89</v>
      </c>
      <c r="AI170" s="82">
        <f>INDEX('Model Calculator'!$AM$2:$AM$226,MATCH(AG170,'Model Calculator'!$A$2:$A$226,0))</f>
        <v>2359.11</v>
      </c>
      <c r="AJ170" s="110">
        <f t="shared" si="25"/>
        <v>9.0217155215838271E-2</v>
      </c>
    </row>
    <row r="171" spans="28:36">
      <c r="AB171" s="111" t="str">
        <f t="shared" si="22"/>
        <v>M</v>
      </c>
      <c r="AC171" s="88" t="str">
        <f t="shared" si="21"/>
        <v>07.0</v>
      </c>
      <c r="AD171" s="88" t="str">
        <f t="shared" si="20"/>
        <v>C</v>
      </c>
      <c r="AE171" s="88" t="str">
        <f t="shared" si="23"/>
        <v>4+</v>
      </c>
      <c r="AF171" s="112" t="str">
        <f t="shared" si="24"/>
        <v>2</v>
      </c>
      <c r="AG171" s="106" t="s">
        <v>302</v>
      </c>
      <c r="AH171" s="257">
        <v>2293.08</v>
      </c>
      <c r="AI171" s="82">
        <f>INDEX('Model Calculator'!$AM$2:$AM$226,MATCH(AG171,'Model Calculator'!$A$2:$A$226,0))</f>
        <v>2504.56</v>
      </c>
      <c r="AJ171" s="110">
        <f t="shared" si="25"/>
        <v>9.2225303957995372E-2</v>
      </c>
    </row>
    <row r="172" spans="28:36">
      <c r="AB172" s="111" t="str">
        <f t="shared" si="22"/>
        <v>M</v>
      </c>
      <c r="AC172" s="88" t="str">
        <f t="shared" si="21"/>
        <v>07.5</v>
      </c>
      <c r="AD172" s="88" t="str">
        <f t="shared" si="20"/>
        <v>C</v>
      </c>
      <c r="AE172" s="88" t="str">
        <f t="shared" si="23"/>
        <v>4+</v>
      </c>
      <c r="AF172" s="112" t="str">
        <f t="shared" si="24"/>
        <v>2</v>
      </c>
      <c r="AG172" s="106" t="s">
        <v>303</v>
      </c>
      <c r="AH172" s="257">
        <v>2424.54</v>
      </c>
      <c r="AI172" s="82">
        <f>INDEX('Model Calculator'!$AM$2:$AM$226,MATCH(AG172,'Model Calculator'!$A$2:$A$226,0))</f>
        <v>2650</v>
      </c>
      <c r="AJ172" s="110">
        <f t="shared" si="25"/>
        <v>9.2990835374957739E-2</v>
      </c>
    </row>
    <row r="173" spans="28:36">
      <c r="AB173" s="111" t="str">
        <f t="shared" si="22"/>
        <v>M</v>
      </c>
      <c r="AC173" s="88" t="str">
        <f t="shared" si="21"/>
        <v>08.0</v>
      </c>
      <c r="AD173" s="88" t="str">
        <f t="shared" si="20"/>
        <v>C</v>
      </c>
      <c r="AE173" s="88" t="str">
        <f t="shared" si="23"/>
        <v>4+</v>
      </c>
      <c r="AF173" s="112" t="str">
        <f t="shared" si="24"/>
        <v>2</v>
      </c>
      <c r="AG173" s="106" t="s">
        <v>304</v>
      </c>
      <c r="AH173" s="257">
        <v>2555.9899999999998</v>
      </c>
      <c r="AI173" s="82">
        <f>INDEX('Model Calculator'!$AM$2:$AM$226,MATCH(AG173,'Model Calculator'!$A$2:$A$226,0))</f>
        <v>2795.45</v>
      </c>
      <c r="AJ173" s="110">
        <f t="shared" si="25"/>
        <v>9.3685812542302613E-2</v>
      </c>
    </row>
    <row r="174" spans="28:36">
      <c r="AB174" s="111" t="str">
        <f t="shared" si="22"/>
        <v>M</v>
      </c>
      <c r="AC174" s="88" t="str">
        <f t="shared" si="21"/>
        <v>08.5</v>
      </c>
      <c r="AD174" s="88" t="str">
        <f t="shared" si="20"/>
        <v>C</v>
      </c>
      <c r="AE174" s="88" t="str">
        <f t="shared" si="23"/>
        <v>4+</v>
      </c>
      <c r="AF174" s="112" t="str">
        <f t="shared" si="24"/>
        <v>2</v>
      </c>
      <c r="AG174" s="106" t="s">
        <v>305</v>
      </c>
      <c r="AH174" s="257">
        <v>2687.45</v>
      </c>
      <c r="AI174" s="82">
        <f>INDEX('Model Calculator'!$AM$2:$AM$226,MATCH(AG174,'Model Calculator'!$A$2:$A$226,0))</f>
        <v>2940.9</v>
      </c>
      <c r="AJ174" s="110">
        <f t="shared" si="25"/>
        <v>9.4308731325234069E-2</v>
      </c>
    </row>
    <row r="175" spans="28:36">
      <c r="AB175" s="111" t="str">
        <f t="shared" si="22"/>
        <v>M</v>
      </c>
      <c r="AC175" s="88" t="str">
        <f t="shared" si="21"/>
        <v>09.0</v>
      </c>
      <c r="AD175" s="88" t="str">
        <f t="shared" si="20"/>
        <v>C</v>
      </c>
      <c r="AE175" s="88" t="str">
        <f t="shared" si="23"/>
        <v>4+</v>
      </c>
      <c r="AF175" s="112" t="str">
        <f t="shared" si="24"/>
        <v>2</v>
      </c>
      <c r="AG175" s="106" t="s">
        <v>306</v>
      </c>
      <c r="AH175" s="257">
        <v>2818.9</v>
      </c>
      <c r="AI175" s="82">
        <f>INDEX('Model Calculator'!$AM$2:$AM$226,MATCH(AG175,'Model Calculator'!$A$2:$A$226,0))</f>
        <v>3086.34</v>
      </c>
      <c r="AJ175" s="110">
        <f t="shared" si="25"/>
        <v>9.4873886977189695E-2</v>
      </c>
    </row>
    <row r="176" spans="28:36">
      <c r="AB176" s="111" t="str">
        <f t="shared" si="22"/>
        <v>M</v>
      </c>
      <c r="AC176" s="88" t="str">
        <f t="shared" si="21"/>
        <v>09.5</v>
      </c>
      <c r="AD176" s="88" t="str">
        <f t="shared" si="20"/>
        <v>C</v>
      </c>
      <c r="AE176" s="88" t="str">
        <f t="shared" si="23"/>
        <v>4+</v>
      </c>
      <c r="AF176" s="112" t="str">
        <f t="shared" si="24"/>
        <v>2</v>
      </c>
      <c r="AG176" s="106" t="s">
        <v>307</v>
      </c>
      <c r="AH176" s="257">
        <v>2950.36</v>
      </c>
      <c r="AI176" s="82">
        <f>INDEX('Model Calculator'!$AM$2:$AM$226,MATCH(AG176,'Model Calculator'!$A$2:$A$226,0))</f>
        <v>3231.79</v>
      </c>
      <c r="AJ176" s="110">
        <f t="shared" si="25"/>
        <v>9.5388359386651064E-2</v>
      </c>
    </row>
    <row r="177" spans="28:36">
      <c r="AB177" s="111" t="str">
        <f t="shared" si="22"/>
        <v>M</v>
      </c>
      <c r="AC177" s="88" t="str">
        <f t="shared" si="21"/>
        <v>10.0</v>
      </c>
      <c r="AD177" s="88" t="str">
        <f t="shared" si="20"/>
        <v>C</v>
      </c>
      <c r="AE177" s="88" t="str">
        <f t="shared" si="23"/>
        <v>4+</v>
      </c>
      <c r="AF177" s="112" t="str">
        <f t="shared" si="24"/>
        <v>2</v>
      </c>
      <c r="AG177" s="106" t="s">
        <v>308</v>
      </c>
      <c r="AH177" s="257">
        <v>3081.81</v>
      </c>
      <c r="AI177" s="82">
        <f>INDEX('Model Calculator'!$AM$2:$AM$226,MATCH(AG177,'Model Calculator'!$A$2:$A$226,0))</f>
        <v>3377.24</v>
      </c>
      <c r="AJ177" s="110">
        <f t="shared" si="25"/>
        <v>9.5862496390108354E-2</v>
      </c>
    </row>
    <row r="178" spans="28:36">
      <c r="AB178" s="111" t="str">
        <f t="shared" si="22"/>
        <v>M</v>
      </c>
      <c r="AC178" s="88" t="str">
        <f t="shared" si="21"/>
        <v>10.5</v>
      </c>
      <c r="AD178" s="88" t="str">
        <f t="shared" si="20"/>
        <v>C</v>
      </c>
      <c r="AE178" s="88" t="str">
        <f t="shared" si="23"/>
        <v>4+</v>
      </c>
      <c r="AF178" s="112" t="str">
        <f t="shared" si="24"/>
        <v>2</v>
      </c>
      <c r="AG178" s="106" t="s">
        <v>309</v>
      </c>
      <c r="AH178" s="257">
        <v>3213.27</v>
      </c>
      <c r="AI178" s="82">
        <f>INDEX('Model Calculator'!$AM$2:$AM$226,MATCH(AG178,'Model Calculator'!$A$2:$A$226,0))</f>
        <v>3522.68</v>
      </c>
      <c r="AJ178" s="110">
        <f t="shared" si="25"/>
        <v>9.6291316945043476E-2</v>
      </c>
    </row>
    <row r="179" spans="28:36">
      <c r="AB179" s="111" t="str">
        <f t="shared" si="22"/>
        <v>M</v>
      </c>
      <c r="AC179" s="88" t="str">
        <f t="shared" si="21"/>
        <v>11.0</v>
      </c>
      <c r="AD179" s="88" t="str">
        <f t="shared" si="20"/>
        <v>C</v>
      </c>
      <c r="AE179" s="88" t="str">
        <f t="shared" si="23"/>
        <v>4+</v>
      </c>
      <c r="AF179" s="112" t="str">
        <f t="shared" si="24"/>
        <v>2</v>
      </c>
      <c r="AG179" s="106" t="s">
        <v>310</v>
      </c>
      <c r="AH179" s="257">
        <v>3344.72</v>
      </c>
      <c r="AI179" s="82">
        <f>INDEX('Model Calculator'!$AM$2:$AM$226,MATCH(AG179,'Model Calculator'!$A$2:$A$226,0))</f>
        <v>3670.64</v>
      </c>
      <c r="AJ179" s="110">
        <f t="shared" si="25"/>
        <v>9.7443134253390448E-2</v>
      </c>
    </row>
    <row r="180" spans="28:36">
      <c r="AB180" s="111" t="str">
        <f t="shared" si="22"/>
        <v>M</v>
      </c>
      <c r="AC180" s="88" t="str">
        <f t="shared" si="21"/>
        <v>11.5</v>
      </c>
      <c r="AD180" s="88" t="str">
        <f t="shared" si="20"/>
        <v>C</v>
      </c>
      <c r="AE180" s="88" t="str">
        <f t="shared" si="23"/>
        <v>4+</v>
      </c>
      <c r="AF180" s="112" t="str">
        <f t="shared" si="24"/>
        <v>2</v>
      </c>
      <c r="AG180" s="106" t="s">
        <v>311</v>
      </c>
      <c r="AH180" s="257">
        <v>3476.18</v>
      </c>
      <c r="AI180" s="82">
        <f>INDEX('Model Calculator'!$AM$2:$AM$226,MATCH(AG180,'Model Calculator'!$A$2:$A$226,0))</f>
        <v>3816.08</v>
      </c>
      <c r="AJ180" s="110">
        <f t="shared" si="25"/>
        <v>9.777974673348333E-2</v>
      </c>
    </row>
    <row r="181" spans="28:36">
      <c r="AB181" s="111" t="str">
        <f t="shared" si="22"/>
        <v>M</v>
      </c>
      <c r="AC181" s="88" t="str">
        <f t="shared" si="21"/>
        <v>12.0</v>
      </c>
      <c r="AD181" s="88" t="str">
        <f t="shared" si="20"/>
        <v>C</v>
      </c>
      <c r="AE181" s="88" t="str">
        <f t="shared" si="23"/>
        <v>4+</v>
      </c>
      <c r="AF181" s="112" t="str">
        <f t="shared" si="24"/>
        <v>2</v>
      </c>
      <c r="AG181" s="106" t="s">
        <v>312</v>
      </c>
      <c r="AH181" s="257">
        <v>3605.37</v>
      </c>
      <c r="AI181" s="82">
        <f>INDEX('Model Calculator'!$AM$2:$AM$226,MATCH(AG181,'Model Calculator'!$A$2:$A$226,0))</f>
        <v>3961.53</v>
      </c>
      <c r="AJ181" s="110">
        <f t="shared" si="25"/>
        <v>9.8785977583438128E-2</v>
      </c>
    </row>
    <row r="182" spans="28:36">
      <c r="AB182" s="111" t="str">
        <f t="shared" si="22"/>
        <v>M</v>
      </c>
      <c r="AC182" s="88" t="str">
        <f t="shared" si="21"/>
        <v>12.5</v>
      </c>
      <c r="AD182" s="88" t="str">
        <f t="shared" si="20"/>
        <v>C</v>
      </c>
      <c r="AE182" s="88" t="str">
        <f t="shared" si="23"/>
        <v>4+</v>
      </c>
      <c r="AF182" s="112" t="str">
        <f t="shared" si="24"/>
        <v>2</v>
      </c>
      <c r="AG182" s="106" t="s">
        <v>313</v>
      </c>
      <c r="AH182" s="257">
        <v>3736.82</v>
      </c>
      <c r="AI182" s="82">
        <f>INDEX('Model Calculator'!$AM$2:$AM$226,MATCH(AG182,'Model Calculator'!$A$2:$A$226,0))</f>
        <v>4106.9799999999996</v>
      </c>
      <c r="AJ182" s="110">
        <f t="shared" si="25"/>
        <v>9.9057487382319565E-2</v>
      </c>
    </row>
    <row r="183" spans="28:36">
      <c r="AB183" s="111" t="str">
        <f t="shared" si="22"/>
        <v>M</v>
      </c>
      <c r="AC183" s="88" t="str">
        <f t="shared" si="21"/>
        <v>13.0</v>
      </c>
      <c r="AD183" s="88" t="str">
        <f t="shared" si="20"/>
        <v>C</v>
      </c>
      <c r="AE183" s="88" t="str">
        <f t="shared" si="23"/>
        <v>4+</v>
      </c>
      <c r="AF183" s="112" t="str">
        <f t="shared" si="24"/>
        <v>2</v>
      </c>
      <c r="AG183" s="106" t="s">
        <v>314</v>
      </c>
      <c r="AH183" s="257">
        <v>3868.28</v>
      </c>
      <c r="AI183" s="82">
        <f>INDEX('Model Calculator'!$AM$2:$AM$226,MATCH(AG183,'Model Calculator'!$A$2:$A$226,0))</f>
        <v>4252.42</v>
      </c>
      <c r="AJ183" s="110">
        <f t="shared" si="25"/>
        <v>9.9305117519931305E-2</v>
      </c>
    </row>
    <row r="184" spans="28:36">
      <c r="AB184" s="111" t="str">
        <f t="shared" si="22"/>
        <v>M</v>
      </c>
      <c r="AC184" s="88" t="str">
        <f t="shared" si="21"/>
        <v>13.5</v>
      </c>
      <c r="AD184" s="88" t="str">
        <f t="shared" si="20"/>
        <v>C</v>
      </c>
      <c r="AE184" s="88" t="str">
        <f t="shared" si="23"/>
        <v>4+</v>
      </c>
      <c r="AF184" s="112" t="str">
        <f t="shared" si="24"/>
        <v>2</v>
      </c>
      <c r="AG184" s="106" t="s">
        <v>315</v>
      </c>
      <c r="AH184" s="257">
        <v>3999.73</v>
      </c>
      <c r="AI184" s="82">
        <f>INDEX('Model Calculator'!$AM$2:$AM$226,MATCH(AG184,'Model Calculator'!$A$2:$A$226,0))</f>
        <v>4397.87</v>
      </c>
      <c r="AJ184" s="110">
        <f t="shared" si="25"/>
        <v>9.9541719066036927E-2</v>
      </c>
    </row>
    <row r="185" spans="28:36">
      <c r="AB185" s="111" t="str">
        <f t="shared" si="22"/>
        <v>M</v>
      </c>
      <c r="AC185" s="88" t="str">
        <f t="shared" si="21"/>
        <v>14.0</v>
      </c>
      <c r="AD185" s="88" t="str">
        <f t="shared" si="20"/>
        <v>C</v>
      </c>
      <c r="AE185" s="88" t="str">
        <f t="shared" si="23"/>
        <v>4+</v>
      </c>
      <c r="AF185" s="112" t="str">
        <f t="shared" si="24"/>
        <v>2</v>
      </c>
      <c r="AG185" s="106" t="s">
        <v>316</v>
      </c>
      <c r="AH185" s="257">
        <v>4131.1899999999996</v>
      </c>
      <c r="AI185" s="82">
        <f>INDEX('Model Calculator'!$AM$2:$AM$226,MATCH(AG185,'Model Calculator'!$A$2:$A$226,0))</f>
        <v>4543.32</v>
      </c>
      <c r="AJ185" s="110">
        <f t="shared" si="25"/>
        <v>9.9760601666832108E-2</v>
      </c>
    </row>
    <row r="186" spans="28:36">
      <c r="AB186" s="111" t="str">
        <f t="shared" si="22"/>
        <v>M</v>
      </c>
      <c r="AC186" s="88" t="str">
        <f t="shared" si="21"/>
        <v>14.5</v>
      </c>
      <c r="AD186" s="88" t="str">
        <f t="shared" si="20"/>
        <v>C</v>
      </c>
      <c r="AE186" s="88" t="str">
        <f t="shared" si="23"/>
        <v>4+</v>
      </c>
      <c r="AF186" s="112" t="str">
        <f t="shared" si="24"/>
        <v>2</v>
      </c>
      <c r="AG186" s="106" t="s">
        <v>317</v>
      </c>
      <c r="AH186" s="257">
        <v>4262.6400000000003</v>
      </c>
      <c r="AI186" s="82">
        <f>INDEX('Model Calculator'!$AM$2:$AM$226,MATCH(AG186,'Model Calculator'!$A$2:$A$226,0))</f>
        <v>4688.76</v>
      </c>
      <c r="AJ186" s="110">
        <f t="shared" si="25"/>
        <v>9.9966218118349159E-2</v>
      </c>
    </row>
    <row r="187" spans="28:36">
      <c r="AB187" s="111" t="str">
        <f t="shared" si="22"/>
        <v>M</v>
      </c>
      <c r="AC187" s="88" t="str">
        <f t="shared" si="21"/>
        <v>15.0</v>
      </c>
      <c r="AD187" s="88" t="str">
        <f t="shared" ref="AD187:AD208" si="26">IF(LEFT(AG187,1)="M",MID(AG187,6,1),RIGHT(AG187,1))</f>
        <v>C</v>
      </c>
      <c r="AE187" s="88" t="str">
        <f t="shared" si="23"/>
        <v>4+</v>
      </c>
      <c r="AF187" s="112" t="str">
        <f t="shared" si="24"/>
        <v>2</v>
      </c>
      <c r="AG187" s="106" t="s">
        <v>318</v>
      </c>
      <c r="AH187" s="257">
        <v>4394.1000000000004</v>
      </c>
      <c r="AI187" s="82">
        <f>INDEX('Model Calculator'!$AM$2:$AM$226,MATCH(AG187,'Model Calculator'!$A$2:$A$226,0))</f>
        <v>4834.21</v>
      </c>
      <c r="AJ187" s="110">
        <f t="shared" si="25"/>
        <v>0.10015930452197257</v>
      </c>
    </row>
    <row r="188" spans="28:36">
      <c r="AB188" s="111" t="str">
        <f t="shared" si="22"/>
        <v>M</v>
      </c>
      <c r="AC188" s="88" t="str">
        <f t="shared" si="21"/>
        <v>15.5</v>
      </c>
      <c r="AD188" s="88" t="str">
        <f t="shared" si="26"/>
        <v>C</v>
      </c>
      <c r="AE188" s="88" t="str">
        <f t="shared" si="23"/>
        <v>4+</v>
      </c>
      <c r="AF188" s="112" t="str">
        <f t="shared" si="24"/>
        <v>2</v>
      </c>
      <c r="AG188" s="106" t="s">
        <v>319</v>
      </c>
      <c r="AH188" s="257">
        <v>4525.55</v>
      </c>
      <c r="AI188" s="82">
        <f>INDEX('Model Calculator'!$AM$2:$AM$226,MATCH(AG188,'Model Calculator'!$A$2:$A$226,0))</f>
        <v>4979.66</v>
      </c>
      <c r="AJ188" s="110">
        <f t="shared" si="25"/>
        <v>0.10034360464473924</v>
      </c>
    </row>
    <row r="189" spans="28:36">
      <c r="AB189" s="111" t="str">
        <f t="shared" si="22"/>
        <v>M</v>
      </c>
      <c r="AC189" s="88" t="str">
        <f t="shared" si="21"/>
        <v>06.0</v>
      </c>
      <c r="AD189" s="88" t="str">
        <f t="shared" si="26"/>
        <v>C</v>
      </c>
      <c r="AE189" s="88" t="str">
        <f t="shared" si="23"/>
        <v>4+</v>
      </c>
      <c r="AF189" s="112" t="str">
        <f t="shared" si="24"/>
        <v>3</v>
      </c>
      <c r="AG189" s="106" t="s">
        <v>320</v>
      </c>
      <c r="AH189" s="257">
        <v>2128.2600000000002</v>
      </c>
      <c r="AI189" s="82">
        <f>INDEX('Model Calculator'!$AM$2:$AM$226,MATCH(AG189,'Model Calculator'!$A$2:$A$226,0))</f>
        <v>2313.0100000000002</v>
      </c>
      <c r="AJ189" s="110">
        <f t="shared" si="25"/>
        <v>8.6808002781615018E-2</v>
      </c>
    </row>
    <row r="190" spans="28:36">
      <c r="AB190" s="111" t="str">
        <f t="shared" si="22"/>
        <v>M</v>
      </c>
      <c r="AC190" s="88" t="str">
        <f t="shared" si="21"/>
        <v>06.5</v>
      </c>
      <c r="AD190" s="88" t="str">
        <f t="shared" si="26"/>
        <v>C</v>
      </c>
      <c r="AE190" s="88" t="str">
        <f t="shared" si="23"/>
        <v>4+</v>
      </c>
      <c r="AF190" s="112" t="str">
        <f t="shared" si="24"/>
        <v>3</v>
      </c>
      <c r="AG190" s="106" t="s">
        <v>321</v>
      </c>
      <c r="AH190" s="257">
        <v>2270.15</v>
      </c>
      <c r="AI190" s="82">
        <f>INDEX('Model Calculator'!$AM$2:$AM$226,MATCH(AG190,'Model Calculator'!$A$2:$A$226,0))</f>
        <v>2469.23</v>
      </c>
      <c r="AJ190" s="110">
        <f t="shared" si="25"/>
        <v>8.7694645728255805E-2</v>
      </c>
    </row>
    <row r="191" spans="28:36">
      <c r="AB191" s="111" t="str">
        <f t="shared" si="22"/>
        <v>M</v>
      </c>
      <c r="AC191" s="88" t="str">
        <f t="shared" si="21"/>
        <v>07.0</v>
      </c>
      <c r="AD191" s="88" t="str">
        <f t="shared" si="26"/>
        <v>C</v>
      </c>
      <c r="AE191" s="88" t="str">
        <f t="shared" si="23"/>
        <v>4+</v>
      </c>
      <c r="AF191" s="112" t="str">
        <f t="shared" si="24"/>
        <v>3</v>
      </c>
      <c r="AG191" s="106" t="s">
        <v>322</v>
      </c>
      <c r="AH191" s="257">
        <v>2409.58</v>
      </c>
      <c r="AI191" s="82">
        <f>INDEX('Model Calculator'!$AM$2:$AM$226,MATCH(AG191,'Model Calculator'!$A$2:$A$226,0))</f>
        <v>2625.45</v>
      </c>
      <c r="AJ191" s="110">
        <f t="shared" si="25"/>
        <v>8.9588226993915915E-2</v>
      </c>
    </row>
    <row r="192" spans="28:36">
      <c r="AB192" s="111" t="str">
        <f t="shared" si="22"/>
        <v>M</v>
      </c>
      <c r="AC192" s="88" t="str">
        <f t="shared" si="21"/>
        <v>07.5</v>
      </c>
      <c r="AD192" s="88" t="str">
        <f t="shared" si="26"/>
        <v>C</v>
      </c>
      <c r="AE192" s="88" t="str">
        <f t="shared" si="23"/>
        <v>4+</v>
      </c>
      <c r="AF192" s="112" t="str">
        <f t="shared" si="24"/>
        <v>3</v>
      </c>
      <c r="AG192" s="106" t="s">
        <v>323</v>
      </c>
      <c r="AH192" s="257">
        <v>2551.46</v>
      </c>
      <c r="AI192" s="82">
        <f>INDEX('Model Calculator'!$AM$2:$AM$226,MATCH(AG192,'Model Calculator'!$A$2:$A$226,0))</f>
        <v>2781.66</v>
      </c>
      <c r="AJ192" s="110">
        <f t="shared" si="25"/>
        <v>9.0222852798005779E-2</v>
      </c>
    </row>
    <row r="193" spans="28:36">
      <c r="AB193" s="111" t="str">
        <f t="shared" si="22"/>
        <v>M</v>
      </c>
      <c r="AC193" s="88" t="str">
        <f t="shared" si="21"/>
        <v>08.0</v>
      </c>
      <c r="AD193" s="88" t="str">
        <f t="shared" si="26"/>
        <v>C</v>
      </c>
      <c r="AE193" s="88" t="str">
        <f t="shared" si="23"/>
        <v>4+</v>
      </c>
      <c r="AF193" s="112" t="str">
        <f t="shared" si="24"/>
        <v>3</v>
      </c>
      <c r="AG193" s="106" t="s">
        <v>324</v>
      </c>
      <c r="AH193" s="257">
        <v>2693.35</v>
      </c>
      <c r="AI193" s="82">
        <f>INDEX('Model Calculator'!$AM$2:$AM$226,MATCH(AG193,'Model Calculator'!$A$2:$A$226,0))</f>
        <v>2937.88</v>
      </c>
      <c r="AJ193" s="110">
        <f t="shared" si="25"/>
        <v>9.079027976312036E-2</v>
      </c>
    </row>
    <row r="194" spans="28:36">
      <c r="AB194" s="111" t="str">
        <f t="shared" si="22"/>
        <v>M</v>
      </c>
      <c r="AC194" s="88" t="str">
        <f t="shared" si="21"/>
        <v>08.5</v>
      </c>
      <c r="AD194" s="88" t="str">
        <f t="shared" si="26"/>
        <v>C</v>
      </c>
      <c r="AE194" s="88" t="str">
        <f t="shared" si="23"/>
        <v>4+</v>
      </c>
      <c r="AF194" s="112" t="str">
        <f t="shared" si="24"/>
        <v>3</v>
      </c>
      <c r="AG194" s="106" t="s">
        <v>325</v>
      </c>
      <c r="AH194" s="257">
        <v>2835.23</v>
      </c>
      <c r="AI194" s="82">
        <f>INDEX('Model Calculator'!$AM$2:$AM$226,MATCH(AG194,'Model Calculator'!$A$2:$A$226,0))</f>
        <v>3094.1</v>
      </c>
      <c r="AJ194" s="110">
        <f t="shared" si="25"/>
        <v>9.1304761871170911E-2</v>
      </c>
    </row>
    <row r="195" spans="28:36">
      <c r="AB195" s="111" t="str">
        <f t="shared" si="22"/>
        <v>M</v>
      </c>
      <c r="AC195" s="88" t="str">
        <f t="shared" si="21"/>
        <v>09.0</v>
      </c>
      <c r="AD195" s="88" t="str">
        <f t="shared" si="26"/>
        <v>C</v>
      </c>
      <c r="AE195" s="88" t="str">
        <f t="shared" si="23"/>
        <v>4+</v>
      </c>
      <c r="AF195" s="112" t="str">
        <f t="shared" si="24"/>
        <v>3</v>
      </c>
      <c r="AG195" s="106" t="s">
        <v>326</v>
      </c>
      <c r="AH195" s="257">
        <v>2977.11</v>
      </c>
      <c r="AI195" s="82">
        <f>INDEX('Model Calculator'!$AM$2:$AM$226,MATCH(AG195,'Model Calculator'!$A$2:$A$226,0))</f>
        <v>3250.32</v>
      </c>
      <c r="AJ195" s="110">
        <f t="shared" si="25"/>
        <v>9.1770206676945104E-2</v>
      </c>
    </row>
    <row r="196" spans="28:36">
      <c r="AB196" s="111" t="str">
        <f t="shared" si="22"/>
        <v>M</v>
      </c>
      <c r="AC196" s="88" t="str">
        <f t="shared" si="21"/>
        <v>09.5</v>
      </c>
      <c r="AD196" s="88" t="str">
        <f t="shared" si="26"/>
        <v>C</v>
      </c>
      <c r="AE196" s="88" t="str">
        <f t="shared" si="23"/>
        <v>4+</v>
      </c>
      <c r="AF196" s="112" t="str">
        <f t="shared" si="24"/>
        <v>3</v>
      </c>
      <c r="AG196" s="106" t="s">
        <v>327</v>
      </c>
      <c r="AH196" s="257">
        <v>3118.99</v>
      </c>
      <c r="AI196" s="82">
        <f>INDEX('Model Calculator'!$AM$2:$AM$226,MATCH(AG196,'Model Calculator'!$A$2:$A$226,0))</f>
        <v>3406.53</v>
      </c>
      <c r="AJ196" s="110">
        <f t="shared" si="25"/>
        <v>9.2190100000320754E-2</v>
      </c>
    </row>
    <row r="197" spans="28:36">
      <c r="AB197" s="111" t="str">
        <f t="shared" si="22"/>
        <v>M</v>
      </c>
      <c r="AC197" s="88" t="str">
        <f t="shared" si="21"/>
        <v>10.0</v>
      </c>
      <c r="AD197" s="88" t="str">
        <f t="shared" si="26"/>
        <v>C</v>
      </c>
      <c r="AE197" s="88" t="str">
        <f t="shared" si="23"/>
        <v>4+</v>
      </c>
      <c r="AF197" s="112" t="str">
        <f t="shared" si="24"/>
        <v>3</v>
      </c>
      <c r="AG197" s="106" t="s">
        <v>328</v>
      </c>
      <c r="AH197" s="257">
        <v>3260.88</v>
      </c>
      <c r="AI197" s="82">
        <f>INDEX('Model Calculator'!$AM$2:$AM$226,MATCH(AG197,'Model Calculator'!$A$2:$A$226,0))</f>
        <v>3562.75</v>
      </c>
      <c r="AJ197" s="110">
        <f t="shared" si="25"/>
        <v>9.2573170432521251E-2</v>
      </c>
    </row>
    <row r="198" spans="28:36">
      <c r="AB198" s="111" t="str">
        <f t="shared" si="22"/>
        <v>M</v>
      </c>
      <c r="AC198" s="88" t="str">
        <f t="shared" si="21"/>
        <v>10.5</v>
      </c>
      <c r="AD198" s="88" t="str">
        <f t="shared" si="26"/>
        <v>C</v>
      </c>
      <c r="AE198" s="88" t="str">
        <f t="shared" si="23"/>
        <v>4+</v>
      </c>
      <c r="AF198" s="112" t="str">
        <f t="shared" si="24"/>
        <v>3</v>
      </c>
      <c r="AG198" s="106" t="s">
        <v>329</v>
      </c>
      <c r="AH198" s="257">
        <v>3402.76</v>
      </c>
      <c r="AI198" s="82">
        <f>INDEX('Model Calculator'!$AM$2:$AM$226,MATCH(AG198,'Model Calculator'!$A$2:$A$226,0))</f>
        <v>3718.97</v>
      </c>
      <c r="AJ198" s="110">
        <f t="shared" si="25"/>
        <v>9.2927505906969507E-2</v>
      </c>
    </row>
    <row r="199" spans="28:36">
      <c r="AB199" s="111" t="str">
        <f t="shared" si="22"/>
        <v>M</v>
      </c>
      <c r="AC199" s="88" t="str">
        <f t="shared" ref="AC199:AC208" si="27">IF(AF199&lt;&gt;"",MID(AG199,2,4),MID(AG199,2,4))</f>
        <v>11.0</v>
      </c>
      <c r="AD199" s="88" t="str">
        <f t="shared" si="26"/>
        <v>C</v>
      </c>
      <c r="AE199" s="88" t="str">
        <f t="shared" si="23"/>
        <v>4+</v>
      </c>
      <c r="AF199" s="112" t="str">
        <f t="shared" si="24"/>
        <v>3</v>
      </c>
      <c r="AG199" s="106" t="s">
        <v>330</v>
      </c>
      <c r="AH199" s="257">
        <v>3544.64</v>
      </c>
      <c r="AI199" s="82">
        <f>INDEX('Model Calculator'!$AM$2:$AM$226,MATCH(AG199,'Model Calculator'!$A$2:$A$226,0))</f>
        <v>3877.88</v>
      </c>
      <c r="AJ199" s="110">
        <f t="shared" si="25"/>
        <v>9.4012367969666943E-2</v>
      </c>
    </row>
    <row r="200" spans="28:36">
      <c r="AB200" s="111" t="str">
        <f t="shared" si="22"/>
        <v>M</v>
      </c>
      <c r="AC200" s="88" t="str">
        <f t="shared" si="27"/>
        <v>11.5</v>
      </c>
      <c r="AD200" s="88" t="str">
        <f t="shared" si="26"/>
        <v>C</v>
      </c>
      <c r="AE200" s="88" t="str">
        <f t="shared" si="23"/>
        <v>4+</v>
      </c>
      <c r="AF200" s="112" t="str">
        <f t="shared" si="24"/>
        <v>3</v>
      </c>
      <c r="AG200" s="106" t="s">
        <v>331</v>
      </c>
      <c r="AH200" s="257">
        <v>3686.52</v>
      </c>
      <c r="AI200" s="82">
        <f>INDEX('Model Calculator'!$AM$2:$AM$226,MATCH(AG200,'Model Calculator'!$A$2:$A$226,0))</f>
        <v>4034.1</v>
      </c>
      <c r="AJ200" s="110">
        <f t="shared" si="25"/>
        <v>9.4284040233065317E-2</v>
      </c>
    </row>
    <row r="201" spans="28:36">
      <c r="AB201" s="111" t="str">
        <f t="shared" si="22"/>
        <v>M</v>
      </c>
      <c r="AC201" s="88" t="str">
        <f t="shared" si="27"/>
        <v>12.0</v>
      </c>
      <c r="AD201" s="88" t="str">
        <f t="shared" si="26"/>
        <v>C</v>
      </c>
      <c r="AE201" s="88" t="str">
        <f t="shared" si="23"/>
        <v>4+</v>
      </c>
      <c r="AF201" s="112" t="str">
        <f t="shared" si="24"/>
        <v>3</v>
      </c>
      <c r="AG201" s="106" t="s">
        <v>332</v>
      </c>
      <c r="AH201" s="257">
        <v>3825.96</v>
      </c>
      <c r="AI201" s="82">
        <f>INDEX('Model Calculator'!$AM$2:$AM$226,MATCH(AG201,'Model Calculator'!$A$2:$A$226,0))</f>
        <v>4190.3100000000004</v>
      </c>
      <c r="AJ201" s="110">
        <f t="shared" si="25"/>
        <v>9.5231000846846381E-2</v>
      </c>
    </row>
    <row r="202" spans="28:36">
      <c r="AB202" s="111" t="str">
        <f t="shared" si="22"/>
        <v>M</v>
      </c>
      <c r="AC202" s="88" t="str">
        <f t="shared" si="27"/>
        <v>12.5</v>
      </c>
      <c r="AD202" s="88" t="str">
        <f t="shared" si="26"/>
        <v>C</v>
      </c>
      <c r="AE202" s="88" t="str">
        <f t="shared" si="23"/>
        <v>4+</v>
      </c>
      <c r="AF202" s="112" t="str">
        <f t="shared" si="24"/>
        <v>3</v>
      </c>
      <c r="AG202" s="106" t="s">
        <v>333</v>
      </c>
      <c r="AH202" s="257">
        <v>3967.84</v>
      </c>
      <c r="AI202" s="82">
        <f>INDEX('Model Calculator'!$AM$2:$AM$226,MATCH(AG202,'Model Calculator'!$A$2:$A$226,0))</f>
        <v>4346.53</v>
      </c>
      <c r="AJ202" s="110">
        <f t="shared" si="25"/>
        <v>9.5439836283721019E-2</v>
      </c>
    </row>
    <row r="203" spans="28:36">
      <c r="AB203" s="111" t="str">
        <f t="shared" si="22"/>
        <v>M</v>
      </c>
      <c r="AC203" s="88" t="str">
        <f t="shared" si="27"/>
        <v>13.0</v>
      </c>
      <c r="AD203" s="88" t="str">
        <f t="shared" si="26"/>
        <v>C</v>
      </c>
      <c r="AE203" s="88" t="str">
        <f t="shared" si="23"/>
        <v>4+</v>
      </c>
      <c r="AF203" s="112" t="str">
        <f t="shared" si="24"/>
        <v>3</v>
      </c>
      <c r="AG203" s="106" t="s">
        <v>334</v>
      </c>
      <c r="AH203" s="257">
        <v>4109.7299999999996</v>
      </c>
      <c r="AI203" s="82">
        <f>INDEX('Model Calculator'!$AM$2:$AM$226,MATCH(AG203,'Model Calculator'!$A$2:$A$226,0))</f>
        <v>4502.75</v>
      </c>
      <c r="AJ203" s="110">
        <f t="shared" si="25"/>
        <v>9.5631586503249724E-2</v>
      </c>
    </row>
    <row r="204" spans="28:36">
      <c r="AB204" s="111" t="str">
        <f t="shared" si="22"/>
        <v>M</v>
      </c>
      <c r="AC204" s="88" t="str">
        <f t="shared" si="27"/>
        <v>13.5</v>
      </c>
      <c r="AD204" s="88" t="str">
        <f t="shared" si="26"/>
        <v>C</v>
      </c>
      <c r="AE204" s="88" t="str">
        <f t="shared" si="23"/>
        <v>4+</v>
      </c>
      <c r="AF204" s="112" t="str">
        <f t="shared" si="24"/>
        <v>3</v>
      </c>
      <c r="AG204" s="106" t="s">
        <v>335</v>
      </c>
      <c r="AH204" s="257">
        <v>4251.6099999999997</v>
      </c>
      <c r="AI204" s="82">
        <f>INDEX('Model Calculator'!$AM$2:$AM$226,MATCH(AG204,'Model Calculator'!$A$2:$A$226,0))</f>
        <v>4658.97</v>
      </c>
      <c r="AJ204" s="110">
        <f t="shared" si="25"/>
        <v>9.581311550212758E-2</v>
      </c>
    </row>
    <row r="205" spans="28:36">
      <c r="AB205" s="111" t="str">
        <f t="shared" si="22"/>
        <v>M</v>
      </c>
      <c r="AC205" s="88" t="str">
        <f t="shared" si="27"/>
        <v>14.0</v>
      </c>
      <c r="AD205" s="88" t="str">
        <f t="shared" si="26"/>
        <v>C</v>
      </c>
      <c r="AE205" s="88" t="str">
        <f t="shared" si="23"/>
        <v>4+</v>
      </c>
      <c r="AF205" s="112" t="str">
        <f t="shared" si="24"/>
        <v>3</v>
      </c>
      <c r="AG205" s="106" t="s">
        <v>336</v>
      </c>
      <c r="AH205" s="257">
        <v>4393.49</v>
      </c>
      <c r="AI205" s="82">
        <f>INDEX('Model Calculator'!$AM$2:$AM$226,MATCH(AG205,'Model Calculator'!$A$2:$A$226,0))</f>
        <v>4815.18</v>
      </c>
      <c r="AJ205" s="110">
        <f t="shared" si="25"/>
        <v>9.5980644089323192E-2</v>
      </c>
    </row>
    <row r="206" spans="28:36">
      <c r="AB206" s="111" t="str">
        <f t="shared" si="22"/>
        <v>M</v>
      </c>
      <c r="AC206" s="88" t="str">
        <f t="shared" si="27"/>
        <v>14.5</v>
      </c>
      <c r="AD206" s="88" t="str">
        <f t="shared" si="26"/>
        <v>C</v>
      </c>
      <c r="AE206" s="88" t="str">
        <f t="shared" si="23"/>
        <v>4+</v>
      </c>
      <c r="AF206" s="112" t="str">
        <f t="shared" si="24"/>
        <v>3</v>
      </c>
      <c r="AG206" s="106" t="s">
        <v>337</v>
      </c>
      <c r="AH206" s="257">
        <v>4535.37</v>
      </c>
      <c r="AI206" s="82">
        <f>INDEX('Model Calculator'!$AM$2:$AM$226,MATCH(AG206,'Model Calculator'!$A$2:$A$226,0))</f>
        <v>4971.3999999999996</v>
      </c>
      <c r="AJ206" s="110">
        <f t="shared" si="25"/>
        <v>9.6139895973206102E-2</v>
      </c>
    </row>
    <row r="207" spans="28:36">
      <c r="AB207" s="111" t="str">
        <f t="shared" si="22"/>
        <v>M</v>
      </c>
      <c r="AC207" s="88" t="str">
        <f t="shared" si="27"/>
        <v>15.0</v>
      </c>
      <c r="AD207" s="88" t="str">
        <f t="shared" si="26"/>
        <v>C</v>
      </c>
      <c r="AE207" s="88" t="str">
        <f t="shared" si="23"/>
        <v>4+</v>
      </c>
      <c r="AF207" s="112" t="str">
        <f t="shared" si="24"/>
        <v>3</v>
      </c>
      <c r="AG207" s="106" t="s">
        <v>338</v>
      </c>
      <c r="AH207" s="257">
        <v>4677.25</v>
      </c>
      <c r="AI207" s="82">
        <f>INDEX('Model Calculator'!$AM$2:$AM$226,MATCH(AG207,'Model Calculator'!$A$2:$A$226,0))</f>
        <v>5127.62</v>
      </c>
      <c r="AJ207" s="110">
        <f t="shared" si="25"/>
        <v>9.6289486343471037E-2</v>
      </c>
    </row>
    <row r="208" spans="28:36" ht="15.75" thickBot="1">
      <c r="AB208" s="111" t="str">
        <f t="shared" si="22"/>
        <v>M</v>
      </c>
      <c r="AC208" s="88" t="str">
        <f t="shared" si="27"/>
        <v>15.5</v>
      </c>
      <c r="AD208" s="88" t="str">
        <f t="shared" si="26"/>
        <v>C</v>
      </c>
      <c r="AE208" s="88" t="str">
        <f t="shared" si="23"/>
        <v>4+</v>
      </c>
      <c r="AF208" s="112" t="str">
        <f t="shared" si="24"/>
        <v>3</v>
      </c>
      <c r="AG208" s="106" t="s">
        <v>339</v>
      </c>
      <c r="AH208" s="258">
        <v>4819.1400000000003</v>
      </c>
      <c r="AI208" s="84">
        <f>INDEX('Model Calculator'!$AM$2:$AM$226,MATCH(AG208,'Model Calculator'!$A$2:$A$226,0))</f>
        <v>5283.84</v>
      </c>
      <c r="AJ208" s="116">
        <f t="shared" si="25"/>
        <v>9.6427993376411517E-2</v>
      </c>
    </row>
    <row r="209" spans="28:36">
      <c r="AB209" s="237" t="str">
        <f t="shared" ref="AB209:AB228" si="28">LEFT(AG209,1)</f>
        <v>S</v>
      </c>
      <c r="AC209" s="238" t="str">
        <f t="shared" ref="AC209:AC228" si="29">IF(AF209&lt;&gt;"",MID(AG209,2,4),MID(AG209,2,4))</f>
        <v>06.0</v>
      </c>
      <c r="AD209" s="238" t="str">
        <f t="shared" ref="AD209:AD228" si="30">IF(LEFT(AG209,1)="M",MID(AG209,6,1),RIGHT(AG209,1))</f>
        <v>C</v>
      </c>
      <c r="AE209" s="238" t="str">
        <f t="shared" ref="AE209:AE228" si="31">IF(AD209="A",1,IF(AD209="B",2,IF(AD209="C","4+")))</f>
        <v>4+</v>
      </c>
      <c r="AF209" s="238" t="str">
        <f t="shared" ref="AF209:AF228" si="32">IF(LEFT(AG209,1)="M",RIGHT(AG209,1)," ")</f>
        <v xml:space="preserve"> </v>
      </c>
      <c r="AG209" s="235" t="s">
        <v>429</v>
      </c>
      <c r="AH209" s="253">
        <v>2485.65</v>
      </c>
      <c r="AI209" s="240">
        <f>INDEX('Model Calculator'!$AM$2:$AM$226,MATCH(AG209,'Model Calculator'!$A$2:$A$226,0))</f>
        <v>2749.15</v>
      </c>
      <c r="AJ209" s="241">
        <f>IFERROR((AI209-AH209)/AH209,1)</f>
        <v>0.10600848872528312</v>
      </c>
    </row>
    <row r="210" spans="28:36">
      <c r="AB210" s="242" t="str">
        <f t="shared" si="28"/>
        <v>S</v>
      </c>
      <c r="AC210" s="243" t="str">
        <f t="shared" si="29"/>
        <v>06.5</v>
      </c>
      <c r="AD210" s="243" t="str">
        <f t="shared" si="30"/>
        <v>C</v>
      </c>
      <c r="AE210" s="243" t="str">
        <f t="shared" si="31"/>
        <v>4+</v>
      </c>
      <c r="AF210" s="243" t="str">
        <f t="shared" si="32"/>
        <v xml:space="preserve"> </v>
      </c>
      <c r="AG210" s="234" t="s">
        <v>442</v>
      </c>
      <c r="AH210" s="254">
        <v>2628.13</v>
      </c>
      <c r="AI210" s="245">
        <f>INDEX('Model Calculator'!$AM$2:$AM$226,MATCH(AG210,'Model Calculator'!$A$2:$A$226,0))</f>
        <v>2908.68</v>
      </c>
      <c r="AJ210" s="246">
        <f t="shared" ref="AJ210:AJ228" si="33">IFERROR((AI210-AH210)/AH210,1)</f>
        <v>0.10674890511504367</v>
      </c>
    </row>
    <row r="211" spans="28:36">
      <c r="AB211" s="242" t="str">
        <f t="shared" si="28"/>
        <v>S</v>
      </c>
      <c r="AC211" s="243" t="str">
        <f t="shared" si="29"/>
        <v>07.0</v>
      </c>
      <c r="AD211" s="243" t="str">
        <f t="shared" si="30"/>
        <v>C</v>
      </c>
      <c r="AE211" s="243" t="str">
        <f t="shared" si="31"/>
        <v>4+</v>
      </c>
      <c r="AF211" s="243" t="str">
        <f t="shared" si="32"/>
        <v xml:space="preserve"> </v>
      </c>
      <c r="AG211" s="234" t="s">
        <v>443</v>
      </c>
      <c r="AH211" s="254">
        <v>2773.03</v>
      </c>
      <c r="AI211" s="245">
        <f>INDEX('Model Calculator'!$AM$2:$AM$226,MATCH(AG211,'Model Calculator'!$A$2:$A$226,0))</f>
        <v>3065.55</v>
      </c>
      <c r="AJ211" s="246">
        <f t="shared" si="33"/>
        <v>0.1054874992336902</v>
      </c>
    </row>
    <row r="212" spans="28:36">
      <c r="AB212" s="242" t="str">
        <f t="shared" si="28"/>
        <v>S</v>
      </c>
      <c r="AC212" s="243" t="str">
        <f t="shared" si="29"/>
        <v>07.5</v>
      </c>
      <c r="AD212" s="243" t="str">
        <f t="shared" si="30"/>
        <v>C</v>
      </c>
      <c r="AE212" s="243" t="str">
        <f t="shared" si="31"/>
        <v>4+</v>
      </c>
      <c r="AF212" s="243" t="str">
        <f t="shared" si="32"/>
        <v xml:space="preserve"> </v>
      </c>
      <c r="AG212" s="234" t="s">
        <v>444</v>
      </c>
      <c r="AH212" s="254">
        <v>2915.52</v>
      </c>
      <c r="AI212" s="245">
        <f>INDEX('Model Calculator'!$AM$2:$AM$226,MATCH(AG212,'Model Calculator'!$A$2:$A$226,0))</f>
        <v>3225.09</v>
      </c>
      <c r="AJ212" s="246">
        <f t="shared" si="33"/>
        <v>0.10618002963450779</v>
      </c>
    </row>
    <row r="213" spans="28:36">
      <c r="AB213" s="242" t="str">
        <f t="shared" si="28"/>
        <v>S</v>
      </c>
      <c r="AC213" s="243" t="str">
        <f t="shared" si="29"/>
        <v>08.0</v>
      </c>
      <c r="AD213" s="243" t="str">
        <f t="shared" si="30"/>
        <v>C</v>
      </c>
      <c r="AE213" s="243" t="str">
        <f t="shared" si="31"/>
        <v>4+</v>
      </c>
      <c r="AF213" s="243" t="str">
        <f t="shared" si="32"/>
        <v xml:space="preserve"> </v>
      </c>
      <c r="AG213" s="234" t="s">
        <v>445</v>
      </c>
      <c r="AH213" s="254">
        <v>3058</v>
      </c>
      <c r="AI213" s="245">
        <f>INDEX('Model Calculator'!$AM$2:$AM$226,MATCH(AG213,'Model Calculator'!$A$2:$A$226,0))</f>
        <v>3381.96</v>
      </c>
      <c r="AJ213" s="246">
        <f t="shared" si="33"/>
        <v>0.10593852190974494</v>
      </c>
    </row>
    <row r="214" spans="28:36">
      <c r="AB214" s="242" t="str">
        <f t="shared" si="28"/>
        <v>S</v>
      </c>
      <c r="AC214" s="243" t="str">
        <f t="shared" si="29"/>
        <v>08.5</v>
      </c>
      <c r="AD214" s="243" t="str">
        <f t="shared" si="30"/>
        <v>C</v>
      </c>
      <c r="AE214" s="243" t="str">
        <f t="shared" si="31"/>
        <v>4+</v>
      </c>
      <c r="AF214" s="243" t="str">
        <f t="shared" si="32"/>
        <v xml:space="preserve"> </v>
      </c>
      <c r="AG214" s="234" t="s">
        <v>446</v>
      </c>
      <c r="AH214" s="254">
        <v>3200.49</v>
      </c>
      <c r="AI214" s="245">
        <f>INDEX('Model Calculator'!$AM$2:$AM$226,MATCH(AG214,'Model Calculator'!$A$2:$A$226,0))</f>
        <v>3538.83</v>
      </c>
      <c r="AJ214" s="246">
        <f t="shared" si="33"/>
        <v>0.10571506238107295</v>
      </c>
    </row>
    <row r="215" spans="28:36">
      <c r="AB215" s="242" t="str">
        <f t="shared" si="28"/>
        <v>S</v>
      </c>
      <c r="AC215" s="243" t="str">
        <f t="shared" si="29"/>
        <v>09.0</v>
      </c>
      <c r="AD215" s="243" t="str">
        <f t="shared" si="30"/>
        <v>C</v>
      </c>
      <c r="AE215" s="243" t="str">
        <f t="shared" si="31"/>
        <v>4+</v>
      </c>
      <c r="AF215" s="243" t="str">
        <f t="shared" si="32"/>
        <v xml:space="preserve"> </v>
      </c>
      <c r="AG215" s="234" t="s">
        <v>447</v>
      </c>
      <c r="AH215" s="254">
        <v>3345.38</v>
      </c>
      <c r="AI215" s="245">
        <f>INDEX('Model Calculator'!$AM$2:$AM$226,MATCH(AG215,'Model Calculator'!$A$2:$A$226,0))</f>
        <v>3698.36</v>
      </c>
      <c r="AJ215" s="246">
        <f t="shared" si="33"/>
        <v>0.10551267718465467</v>
      </c>
    </row>
    <row r="216" spans="28:36">
      <c r="AB216" s="242" t="str">
        <f t="shared" si="28"/>
        <v>S</v>
      </c>
      <c r="AC216" s="243" t="str">
        <f t="shared" si="29"/>
        <v>09.5</v>
      </c>
      <c r="AD216" s="243" t="str">
        <f t="shared" si="30"/>
        <v>C</v>
      </c>
      <c r="AE216" s="243" t="str">
        <f t="shared" si="31"/>
        <v>4+</v>
      </c>
      <c r="AF216" s="243" t="str">
        <f t="shared" si="32"/>
        <v xml:space="preserve"> </v>
      </c>
      <c r="AG216" s="234" t="s">
        <v>448</v>
      </c>
      <c r="AH216" s="254">
        <v>3487.87</v>
      </c>
      <c r="AI216" s="245">
        <f>INDEX('Model Calculator'!$AM$2:$AM$226,MATCH(AG216,'Model Calculator'!$A$2:$A$226,0))</f>
        <v>3855.23</v>
      </c>
      <c r="AJ216" s="246">
        <f t="shared" si="33"/>
        <v>0.10532502644880691</v>
      </c>
    </row>
    <row r="217" spans="28:36">
      <c r="AB217" s="242" t="str">
        <f t="shared" si="28"/>
        <v>S</v>
      </c>
      <c r="AC217" s="243" t="str">
        <f t="shared" si="29"/>
        <v>10.0</v>
      </c>
      <c r="AD217" s="243" t="str">
        <f t="shared" si="30"/>
        <v>C</v>
      </c>
      <c r="AE217" s="243" t="str">
        <f t="shared" si="31"/>
        <v>4+</v>
      </c>
      <c r="AF217" s="243" t="str">
        <f t="shared" si="32"/>
        <v xml:space="preserve"> </v>
      </c>
      <c r="AG217" s="234" t="s">
        <v>466</v>
      </c>
      <c r="AH217" s="254">
        <v>3630.35</v>
      </c>
      <c r="AI217" s="245">
        <f>INDEX('Model Calculator'!$AM$2:$AM$226,MATCH(AG217,'Model Calculator'!$A$2:$A$226,0))</f>
        <v>4014.76</v>
      </c>
      <c r="AJ217" s="246">
        <f t="shared" si="33"/>
        <v>0.10588786205186837</v>
      </c>
    </row>
    <row r="218" spans="28:36">
      <c r="AB218" s="242" t="str">
        <f t="shared" si="28"/>
        <v>S</v>
      </c>
      <c r="AC218" s="243" t="str">
        <f t="shared" si="29"/>
        <v>10.5</v>
      </c>
      <c r="AD218" s="243" t="str">
        <f t="shared" si="30"/>
        <v>C</v>
      </c>
      <c r="AE218" s="243" t="str">
        <f t="shared" si="31"/>
        <v>4+</v>
      </c>
      <c r="AF218" s="243" t="str">
        <f t="shared" si="32"/>
        <v xml:space="preserve"> </v>
      </c>
      <c r="AG218" s="234" t="s">
        <v>467</v>
      </c>
      <c r="AH218" s="254">
        <v>3772.84</v>
      </c>
      <c r="AI218" s="245">
        <f>INDEX('Model Calculator'!$AM$2:$AM$226,MATCH(AG218,'Model Calculator'!$A$2:$A$226,0))</f>
        <v>4171.6400000000003</v>
      </c>
      <c r="AJ218" s="246">
        <f t="shared" si="33"/>
        <v>0.10570286574569825</v>
      </c>
    </row>
    <row r="219" spans="28:36">
      <c r="AB219" s="242" t="str">
        <f t="shared" si="28"/>
        <v>S</v>
      </c>
      <c r="AC219" s="243" t="str">
        <f t="shared" si="29"/>
        <v>11.0</v>
      </c>
      <c r="AD219" s="243" t="str">
        <f t="shared" si="30"/>
        <v>C</v>
      </c>
      <c r="AE219" s="243" t="str">
        <f t="shared" si="31"/>
        <v>4+</v>
      </c>
      <c r="AF219" s="243" t="str">
        <f t="shared" si="32"/>
        <v xml:space="preserve"> </v>
      </c>
      <c r="AG219" s="234" t="s">
        <v>468</v>
      </c>
      <c r="AH219" s="254">
        <v>3917.74</v>
      </c>
      <c r="AI219" s="245">
        <f>INDEX('Model Calculator'!$AM$2:$AM$226,MATCH(AG219,'Model Calculator'!$A$2:$A$226,0))</f>
        <v>4328.51</v>
      </c>
      <c r="AJ219" s="246">
        <f t="shared" si="33"/>
        <v>0.10484871379928236</v>
      </c>
    </row>
    <row r="220" spans="28:36">
      <c r="AB220" s="242" t="str">
        <f t="shared" si="28"/>
        <v>S</v>
      </c>
      <c r="AC220" s="243" t="str">
        <f t="shared" si="29"/>
        <v>11.5</v>
      </c>
      <c r="AD220" s="243" t="str">
        <f t="shared" si="30"/>
        <v>C</v>
      </c>
      <c r="AE220" s="243" t="str">
        <f t="shared" si="31"/>
        <v>4+</v>
      </c>
      <c r="AF220" s="243" t="str">
        <f t="shared" si="32"/>
        <v xml:space="preserve"> </v>
      </c>
      <c r="AG220" s="234" t="s">
        <v>469</v>
      </c>
      <c r="AH220" s="254">
        <v>4060.22</v>
      </c>
      <c r="AI220" s="245">
        <f>INDEX('Model Calculator'!$AM$2:$AM$226,MATCH(AG220,'Model Calculator'!$A$2:$A$226,0))</f>
        <v>4488.04</v>
      </c>
      <c r="AJ220" s="246">
        <f t="shared" si="33"/>
        <v>0.10536867460383925</v>
      </c>
    </row>
    <row r="221" spans="28:36">
      <c r="AB221" s="242" t="str">
        <f t="shared" si="28"/>
        <v>S</v>
      </c>
      <c r="AC221" s="243" t="str">
        <f t="shared" si="29"/>
        <v>12.0</v>
      </c>
      <c r="AD221" s="243" t="str">
        <f t="shared" si="30"/>
        <v>C</v>
      </c>
      <c r="AE221" s="243" t="str">
        <f t="shared" si="31"/>
        <v>4+</v>
      </c>
      <c r="AF221" s="243" t="str">
        <f t="shared" si="32"/>
        <v xml:space="preserve"> </v>
      </c>
      <c r="AG221" s="234" t="s">
        <v>470</v>
      </c>
      <c r="AH221" s="254">
        <v>4202.7</v>
      </c>
      <c r="AI221" s="245">
        <f>INDEX('Model Calculator'!$AM$2:$AM$226,MATCH(AG221,'Model Calculator'!$A$2:$A$226,0))</f>
        <v>4644.91</v>
      </c>
      <c r="AJ221" s="246">
        <f t="shared" si="33"/>
        <v>0.10522045351797656</v>
      </c>
    </row>
    <row r="222" spans="28:36">
      <c r="AB222" s="242" t="str">
        <f t="shared" si="28"/>
        <v>S</v>
      </c>
      <c r="AC222" s="243" t="str">
        <f t="shared" si="29"/>
        <v>12.5</v>
      </c>
      <c r="AD222" s="243" t="str">
        <f>IF(LEFT(AG222,1)="M",MID(AG222,6,1),RIGHT(AG222,1))</f>
        <v>C</v>
      </c>
      <c r="AE222" s="243" t="str">
        <f>IF(AD222="A",1,IF(AD222="B",2,IF(AD222="C","4+")))</f>
        <v>4+</v>
      </c>
      <c r="AF222" s="243" t="str">
        <f t="shared" si="32"/>
        <v xml:space="preserve"> </v>
      </c>
      <c r="AG222" s="234" t="s">
        <v>477</v>
      </c>
      <c r="AH222" s="254">
        <v>4345.1899999999996</v>
      </c>
      <c r="AI222" s="245">
        <f>INDEX('Model Calculator'!$AM$2:$AM$226,MATCH(AG222,'Model Calculator'!$A$2:$A$226,0))</f>
        <v>4804.4399999999996</v>
      </c>
      <c r="AJ222" s="246">
        <f t="shared" si="33"/>
        <v>0.10569158080544235</v>
      </c>
    </row>
    <row r="223" spans="28:36">
      <c r="AB223" s="242" t="str">
        <f t="shared" si="28"/>
        <v>S</v>
      </c>
      <c r="AC223" s="243" t="str">
        <f t="shared" si="29"/>
        <v>13.0</v>
      </c>
      <c r="AD223" s="243" t="str">
        <f t="shared" si="30"/>
        <v>C</v>
      </c>
      <c r="AE223" s="243" t="str">
        <f t="shared" si="31"/>
        <v>4+</v>
      </c>
      <c r="AF223" s="243" t="str">
        <f t="shared" si="32"/>
        <v xml:space="preserve"> </v>
      </c>
      <c r="AG223" s="234" t="s">
        <v>471</v>
      </c>
      <c r="AH223" s="254">
        <v>4490.09</v>
      </c>
      <c r="AI223" s="245">
        <f>INDEX('Model Calculator'!$AM$2:$AM$226,MATCH(AG223,'Model Calculator'!$A$2:$A$226,0))</f>
        <v>4961.32</v>
      </c>
      <c r="AJ223" s="246">
        <f t="shared" si="33"/>
        <v>0.104948898574416</v>
      </c>
    </row>
    <row r="224" spans="28:36">
      <c r="AB224" s="242" t="str">
        <f t="shared" si="28"/>
        <v>S</v>
      </c>
      <c r="AC224" s="243" t="str">
        <f t="shared" si="29"/>
        <v>13.5</v>
      </c>
      <c r="AD224" s="243" t="str">
        <f t="shared" si="30"/>
        <v>C</v>
      </c>
      <c r="AE224" s="243" t="str">
        <f t="shared" si="31"/>
        <v>4+</v>
      </c>
      <c r="AF224" s="243" t="str">
        <f t="shared" si="32"/>
        <v xml:space="preserve"> </v>
      </c>
      <c r="AG224" s="234" t="s">
        <v>472</v>
      </c>
      <c r="AH224" s="254">
        <v>4632.57</v>
      </c>
      <c r="AI224" s="245">
        <f>INDEX('Model Calculator'!$AM$2:$AM$226,MATCH(AG224,'Model Calculator'!$A$2:$A$226,0))</f>
        <v>5118.1899999999996</v>
      </c>
      <c r="AJ224" s="246">
        <f t="shared" si="33"/>
        <v>0.10482734205851178</v>
      </c>
    </row>
    <row r="225" spans="28:36">
      <c r="AB225" s="242" t="str">
        <f t="shared" si="28"/>
        <v>S</v>
      </c>
      <c r="AC225" s="243" t="str">
        <f t="shared" si="29"/>
        <v>14.0</v>
      </c>
      <c r="AD225" s="243" t="str">
        <f t="shared" si="30"/>
        <v>C</v>
      </c>
      <c r="AE225" s="243" t="str">
        <f t="shared" si="31"/>
        <v>4+</v>
      </c>
      <c r="AF225" s="243" t="str">
        <f t="shared" si="32"/>
        <v xml:space="preserve"> </v>
      </c>
      <c r="AG225" s="234" t="s">
        <v>473</v>
      </c>
      <c r="AH225" s="254">
        <v>4775.05</v>
      </c>
      <c r="AI225" s="245">
        <f>INDEX('Model Calculator'!$AM$2:$AM$226,MATCH(AG225,'Model Calculator'!$A$2:$A$226,0))</f>
        <v>5277.72</v>
      </c>
      <c r="AJ225" s="246">
        <f t="shared" si="33"/>
        <v>0.10527010188374993</v>
      </c>
    </row>
    <row r="226" spans="28:36">
      <c r="AB226" s="242" t="str">
        <f t="shared" si="28"/>
        <v>S</v>
      </c>
      <c r="AC226" s="243" t="str">
        <f t="shared" si="29"/>
        <v>14.5</v>
      </c>
      <c r="AD226" s="243" t="str">
        <f t="shared" si="30"/>
        <v>C</v>
      </c>
      <c r="AE226" s="243" t="str">
        <f t="shared" si="31"/>
        <v>4+</v>
      </c>
      <c r="AF226" s="243" t="str">
        <f t="shared" si="32"/>
        <v xml:space="preserve"> </v>
      </c>
      <c r="AG226" s="234" t="s">
        <v>474</v>
      </c>
      <c r="AH226" s="254">
        <v>4917.54</v>
      </c>
      <c r="AI226" s="245">
        <f>INDEX('Model Calculator'!$AM$2:$AM$226,MATCH(AG226,'Model Calculator'!$A$2:$A$226,0))</f>
        <v>5434.59</v>
      </c>
      <c r="AJ226" s="246">
        <f t="shared" si="33"/>
        <v>0.10514403543235036</v>
      </c>
    </row>
    <row r="227" spans="28:36">
      <c r="AB227" s="242" t="str">
        <f t="shared" si="28"/>
        <v>S</v>
      </c>
      <c r="AC227" s="243" t="str">
        <f t="shared" si="29"/>
        <v>15.0</v>
      </c>
      <c r="AD227" s="243" t="str">
        <f t="shared" si="30"/>
        <v>C</v>
      </c>
      <c r="AE227" s="243" t="str">
        <f t="shared" si="31"/>
        <v>4+</v>
      </c>
      <c r="AF227" s="243" t="str">
        <f t="shared" si="32"/>
        <v xml:space="preserve"> </v>
      </c>
      <c r="AG227" s="234" t="s">
        <v>475</v>
      </c>
      <c r="AH227" s="254">
        <v>5062.4399999999996</v>
      </c>
      <c r="AI227" s="245">
        <f>INDEX('Model Calculator'!$AM$2:$AM$226,MATCH(AG227,'Model Calculator'!$A$2:$A$226,0))</f>
        <v>5594.12</v>
      </c>
      <c r="AJ227" s="246">
        <f t="shared" si="33"/>
        <v>0.10502445461082015</v>
      </c>
    </row>
    <row r="228" spans="28:36" ht="15.75" thickBot="1">
      <c r="AB228" s="247" t="str">
        <f t="shared" si="28"/>
        <v>S</v>
      </c>
      <c r="AC228" s="248" t="str">
        <f t="shared" si="29"/>
        <v>15.5</v>
      </c>
      <c r="AD228" s="248" t="str">
        <f t="shared" si="30"/>
        <v>C</v>
      </c>
      <c r="AE228" s="248" t="str">
        <f t="shared" si="31"/>
        <v>4+</v>
      </c>
      <c r="AF228" s="248" t="str">
        <f t="shared" si="32"/>
        <v xml:space="preserve"> </v>
      </c>
      <c r="AG228" s="236" t="s">
        <v>476</v>
      </c>
      <c r="AH228" s="255">
        <v>5204.92</v>
      </c>
      <c r="AI228" s="250">
        <f>INDEX('Model Calculator'!$AM$2:$AM$226,MATCH(AG228,'Model Calculator'!$A$2:$A$226,0))</f>
        <v>5750.99</v>
      </c>
      <c r="AJ228" s="251">
        <f t="shared" si="33"/>
        <v>0.10491419656786266</v>
      </c>
    </row>
  </sheetData>
  <mergeCells count="25">
    <mergeCell ref="S26:U26"/>
    <mergeCell ref="S27:U27"/>
    <mergeCell ref="S19:U19"/>
    <mergeCell ref="S24:U24"/>
    <mergeCell ref="S23:U23"/>
    <mergeCell ref="S22:U22"/>
    <mergeCell ref="S21:U21"/>
    <mergeCell ref="S20:U20"/>
    <mergeCell ref="AG2:AJ2"/>
    <mergeCell ref="B2:B3"/>
    <mergeCell ref="S5:U5"/>
    <mergeCell ref="S6:U6"/>
    <mergeCell ref="S7:U7"/>
    <mergeCell ref="S16:U16"/>
    <mergeCell ref="S18:U18"/>
    <mergeCell ref="C2:D2"/>
    <mergeCell ref="S8:U8"/>
    <mergeCell ref="S9:U9"/>
    <mergeCell ref="S12:U12"/>
    <mergeCell ref="S13:U13"/>
    <mergeCell ref="S14:U14"/>
    <mergeCell ref="S3:U3"/>
    <mergeCell ref="S4:U4"/>
    <mergeCell ref="S2:Y2"/>
    <mergeCell ref="S15:U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5CBC-F809-4F2E-ACDD-4ECF18818F42}">
  <dimension ref="A1:N38"/>
  <sheetViews>
    <sheetView workbookViewId="0">
      <selection activeCell="I12" sqref="I12"/>
    </sheetView>
  </sheetViews>
  <sheetFormatPr defaultRowHeight="15"/>
  <cols>
    <col min="1" max="1" width="1.42578125" customWidth="1"/>
    <col min="4" max="4" width="12.28515625" customWidth="1"/>
    <col min="5" max="5" width="20.85546875" customWidth="1"/>
    <col min="6" max="6" width="13.7109375" customWidth="1"/>
    <col min="7" max="7" width="13.28515625" style="89" customWidth="1"/>
    <col min="8" max="8" width="3" customWidth="1"/>
    <col min="9" max="9" width="24.7109375" bestFit="1" customWidth="1"/>
    <col min="10" max="10" width="12.140625" bestFit="1" customWidth="1"/>
    <col min="11" max="11" width="12.85546875" bestFit="1" customWidth="1"/>
    <col min="12" max="12" width="14.7109375" bestFit="1" customWidth="1"/>
    <col min="13" max="13" width="12.140625" bestFit="1" customWidth="1"/>
  </cols>
  <sheetData>
    <row r="1" spans="1:14" ht="13.5" customHeight="1">
      <c r="A1" s="446"/>
      <c r="B1" s="446"/>
      <c r="C1" s="446"/>
      <c r="D1" s="446"/>
      <c r="E1" s="446"/>
      <c r="F1" s="446"/>
      <c r="G1" s="447"/>
      <c r="H1" s="446"/>
      <c r="I1" s="446"/>
      <c r="J1" s="446"/>
      <c r="K1" s="446"/>
      <c r="L1" s="446"/>
      <c r="M1" s="446"/>
      <c r="N1" s="446"/>
    </row>
    <row r="2" spans="1:14">
      <c r="A2" s="446"/>
      <c r="B2" s="448" t="s">
        <v>712</v>
      </c>
      <c r="C2" s="446"/>
      <c r="D2" s="446"/>
      <c r="E2" s="446"/>
      <c r="F2" s="446"/>
      <c r="G2" s="447"/>
      <c r="H2" s="446"/>
      <c r="I2" s="446"/>
      <c r="J2" s="446"/>
      <c r="K2" s="446"/>
      <c r="L2" s="446"/>
      <c r="M2" s="446"/>
      <c r="N2" s="446"/>
    </row>
    <row r="3" spans="1:14">
      <c r="A3" s="446"/>
      <c r="B3" s="446"/>
      <c r="C3" s="446"/>
      <c r="D3" s="446"/>
      <c r="E3" s="446"/>
      <c r="F3" s="446"/>
      <c r="G3" s="447"/>
      <c r="H3" s="446"/>
      <c r="I3" s="446"/>
      <c r="J3" s="446"/>
      <c r="K3" s="446"/>
      <c r="L3" s="446"/>
      <c r="M3" s="446"/>
      <c r="N3" s="446"/>
    </row>
    <row r="4" spans="1:14" ht="15.75">
      <c r="A4" s="446"/>
      <c r="B4" s="446" t="s">
        <v>100</v>
      </c>
      <c r="C4" s="449">
        <f>'Master Data'!E54</f>
        <v>2.9959041375791508E-2</v>
      </c>
      <c r="D4" s="446"/>
      <c r="F4" s="450" t="s">
        <v>149</v>
      </c>
      <c r="G4" s="451" t="s">
        <v>794</v>
      </c>
      <c r="H4" s="446"/>
      <c r="I4" s="448"/>
      <c r="J4" s="750" t="s">
        <v>149</v>
      </c>
      <c r="K4" s="750"/>
      <c r="L4" s="751" t="s">
        <v>794</v>
      </c>
      <c r="M4" s="751"/>
      <c r="N4" s="446"/>
    </row>
    <row r="5" spans="1:14" ht="60">
      <c r="A5" s="446"/>
      <c r="B5" s="446"/>
      <c r="C5" s="446"/>
      <c r="D5" s="452" t="s">
        <v>795</v>
      </c>
      <c r="E5" s="453" t="s">
        <v>796</v>
      </c>
      <c r="F5" s="454" t="s">
        <v>797</v>
      </c>
      <c r="G5" s="455" t="s">
        <v>797</v>
      </c>
      <c r="H5" s="446"/>
      <c r="I5" s="456" t="s">
        <v>382</v>
      </c>
      <c r="J5" s="457" t="s">
        <v>798</v>
      </c>
      <c r="K5" s="457" t="s">
        <v>799</v>
      </c>
      <c r="L5" s="458" t="s">
        <v>798</v>
      </c>
      <c r="M5" s="458" t="s">
        <v>800</v>
      </c>
      <c r="N5" s="446"/>
    </row>
    <row r="6" spans="1:14">
      <c r="A6" s="446"/>
      <c r="B6" s="446"/>
      <c r="C6" s="446"/>
      <c r="D6" s="459">
        <v>1</v>
      </c>
      <c r="E6" s="460" t="s">
        <v>801</v>
      </c>
      <c r="F6" s="461">
        <v>3.9</v>
      </c>
      <c r="G6" s="462">
        <f>ROUND(((F6*$C$4)+F6),2)</f>
        <v>4.0199999999999996</v>
      </c>
      <c r="H6" s="446"/>
      <c r="I6" s="463" t="s">
        <v>802</v>
      </c>
      <c r="J6" s="464">
        <v>15</v>
      </c>
      <c r="K6" s="465">
        <f t="shared" ref="K6:K11" si="0">ROUND($I$12*(_xlfn.XLOOKUP(J6,$D$6:$D$38,$F$6:$F$38)),0)</f>
        <v>2100</v>
      </c>
      <c r="L6" s="466">
        <v>15</v>
      </c>
      <c r="M6" s="467">
        <f t="shared" ref="M6:M11" si="1">ROUND($I$12*(_xlfn.XLOOKUP(L6,$D$6:$D$38,$G$6:$G$38)),0)</f>
        <v>2163</v>
      </c>
      <c r="N6" s="446"/>
    </row>
    <row r="7" spans="1:14">
      <c r="A7" s="446"/>
      <c r="B7" s="446"/>
      <c r="C7" s="446"/>
      <c r="D7" s="459">
        <v>2</v>
      </c>
      <c r="E7" s="460" t="s">
        <v>803</v>
      </c>
      <c r="F7" s="461">
        <v>8.42</v>
      </c>
      <c r="G7" s="462">
        <f t="shared" ref="G7:G38" si="2">ROUND(((F7*$C$4)+F7),2)</f>
        <v>8.67</v>
      </c>
      <c r="H7" s="446"/>
      <c r="I7" s="463" t="s">
        <v>364</v>
      </c>
      <c r="J7" s="464">
        <v>16</v>
      </c>
      <c r="K7" s="465">
        <f t="shared" si="0"/>
        <v>2282</v>
      </c>
      <c r="L7" s="466">
        <v>16</v>
      </c>
      <c r="M7" s="467">
        <f t="shared" si="1"/>
        <v>2350</v>
      </c>
      <c r="N7" s="446"/>
    </row>
    <row r="8" spans="1:14">
      <c r="A8" s="446"/>
      <c r="B8" s="446"/>
      <c r="C8" s="446"/>
      <c r="D8" s="459">
        <v>3</v>
      </c>
      <c r="E8" s="460" t="s">
        <v>804</v>
      </c>
      <c r="F8" s="461">
        <v>12.72</v>
      </c>
      <c r="G8" s="462">
        <f t="shared" si="2"/>
        <v>13.1</v>
      </c>
      <c r="H8" s="446"/>
      <c r="I8" s="463" t="s">
        <v>365</v>
      </c>
      <c r="J8" s="464">
        <v>17</v>
      </c>
      <c r="K8" s="465">
        <f t="shared" si="0"/>
        <v>2441</v>
      </c>
      <c r="L8" s="466">
        <v>17</v>
      </c>
      <c r="M8" s="467">
        <f t="shared" si="1"/>
        <v>2514</v>
      </c>
      <c r="N8" s="446"/>
    </row>
    <row r="9" spans="1:14">
      <c r="A9" s="446"/>
      <c r="B9" s="446"/>
      <c r="C9" s="446"/>
      <c r="D9" s="459">
        <v>4</v>
      </c>
      <c r="E9" s="460" t="s">
        <v>805</v>
      </c>
      <c r="F9" s="461">
        <v>17.64</v>
      </c>
      <c r="G9" s="462">
        <f t="shared" si="2"/>
        <v>18.170000000000002</v>
      </c>
      <c r="H9" s="446"/>
      <c r="I9" s="463" t="s">
        <v>363</v>
      </c>
      <c r="J9" s="464">
        <v>16</v>
      </c>
      <c r="K9" s="465">
        <f t="shared" si="0"/>
        <v>2282</v>
      </c>
      <c r="L9" s="466">
        <v>16</v>
      </c>
      <c r="M9" s="467">
        <f t="shared" si="1"/>
        <v>2350</v>
      </c>
      <c r="N9" s="446"/>
    </row>
    <row r="10" spans="1:14">
      <c r="A10" s="446"/>
      <c r="B10" s="446"/>
      <c r="C10" s="446"/>
      <c r="D10" s="459">
        <v>5</v>
      </c>
      <c r="E10" s="460" t="s">
        <v>807</v>
      </c>
      <c r="F10" s="461">
        <v>22.14</v>
      </c>
      <c r="G10" s="462">
        <f t="shared" si="2"/>
        <v>22.8</v>
      </c>
      <c r="H10" s="446"/>
      <c r="I10" s="463" t="s">
        <v>806</v>
      </c>
      <c r="J10" s="464">
        <v>17</v>
      </c>
      <c r="K10" s="465">
        <f t="shared" si="0"/>
        <v>2441</v>
      </c>
      <c r="L10" s="466">
        <v>17</v>
      </c>
      <c r="M10" s="467">
        <f t="shared" si="1"/>
        <v>2514</v>
      </c>
      <c r="N10" s="446"/>
    </row>
    <row r="11" spans="1:14">
      <c r="A11" s="446"/>
      <c r="B11" s="446"/>
      <c r="C11" s="446"/>
      <c r="D11" s="459">
        <v>6</v>
      </c>
      <c r="E11" s="460" t="s">
        <v>809</v>
      </c>
      <c r="F11" s="461">
        <v>27.12</v>
      </c>
      <c r="G11" s="462">
        <f t="shared" si="2"/>
        <v>27.93</v>
      </c>
      <c r="H11" s="446"/>
      <c r="I11" s="463" t="s">
        <v>808</v>
      </c>
      <c r="J11" s="464">
        <v>20</v>
      </c>
      <c r="K11" s="465">
        <f t="shared" si="0"/>
        <v>2908</v>
      </c>
      <c r="L11" s="466">
        <v>20</v>
      </c>
      <c r="M11" s="467">
        <f t="shared" si="1"/>
        <v>2995</v>
      </c>
      <c r="N11" s="446"/>
    </row>
    <row r="12" spans="1:14">
      <c r="A12" s="446"/>
      <c r="B12" s="446"/>
      <c r="C12" s="446"/>
      <c r="D12" s="459">
        <v>7</v>
      </c>
      <c r="E12" s="460" t="s">
        <v>810</v>
      </c>
      <c r="F12" s="461">
        <v>31.92</v>
      </c>
      <c r="G12" s="462">
        <f t="shared" si="2"/>
        <v>32.880000000000003</v>
      </c>
      <c r="H12" s="446"/>
      <c r="I12" s="644">
        <v>30.414000000000001</v>
      </c>
      <c r="J12" s="446"/>
      <c r="K12" s="446"/>
      <c r="L12" s="446"/>
      <c r="M12" s="446"/>
      <c r="N12" s="446"/>
    </row>
    <row r="13" spans="1:14">
      <c r="A13" s="446"/>
      <c r="B13" s="446"/>
      <c r="C13" s="446"/>
      <c r="D13" s="459">
        <v>8</v>
      </c>
      <c r="E13" s="460" t="s">
        <v>811</v>
      </c>
      <c r="F13" s="461">
        <v>36.54</v>
      </c>
      <c r="G13" s="462">
        <f t="shared" si="2"/>
        <v>37.630000000000003</v>
      </c>
      <c r="H13" s="446"/>
      <c r="I13" s="446"/>
      <c r="J13" s="446"/>
      <c r="K13" s="446"/>
      <c r="L13" s="446"/>
      <c r="M13" s="446"/>
      <c r="N13" s="446"/>
    </row>
    <row r="14" spans="1:14">
      <c r="A14" s="446"/>
      <c r="B14" s="446"/>
      <c r="C14" s="446"/>
      <c r="D14" s="459">
        <v>9</v>
      </c>
      <c r="E14" s="460" t="s">
        <v>812</v>
      </c>
      <c r="F14" s="461">
        <v>41.28</v>
      </c>
      <c r="G14" s="462">
        <f t="shared" si="2"/>
        <v>42.52</v>
      </c>
      <c r="H14" s="446"/>
      <c r="I14" s="446"/>
      <c r="J14" s="446"/>
      <c r="K14" s="446"/>
      <c r="L14" s="446"/>
      <c r="M14" s="446"/>
      <c r="N14" s="446"/>
    </row>
    <row r="15" spans="1:14">
      <c r="A15" s="446"/>
      <c r="B15" s="446"/>
      <c r="C15" s="446"/>
      <c r="D15" s="459">
        <v>10</v>
      </c>
      <c r="E15" s="460" t="s">
        <v>813</v>
      </c>
      <c r="F15" s="461">
        <v>45.98</v>
      </c>
      <c r="G15" s="462">
        <f t="shared" si="2"/>
        <v>47.36</v>
      </c>
      <c r="H15" s="446"/>
      <c r="I15" s="446"/>
      <c r="J15" s="468"/>
      <c r="K15" s="446"/>
      <c r="L15" s="446"/>
      <c r="M15" s="446"/>
      <c r="N15" s="446"/>
    </row>
    <row r="16" spans="1:14">
      <c r="A16" s="446"/>
      <c r="B16" s="446"/>
      <c r="C16" s="446"/>
      <c r="D16" s="459">
        <v>11</v>
      </c>
      <c r="E16" s="460" t="s">
        <v>814</v>
      </c>
      <c r="F16" s="461">
        <v>51.07</v>
      </c>
      <c r="G16" s="462">
        <f t="shared" si="2"/>
        <v>52.6</v>
      </c>
      <c r="H16" s="446"/>
      <c r="I16" s="446"/>
      <c r="J16" s="446"/>
      <c r="K16" s="446"/>
      <c r="L16" s="446"/>
      <c r="M16" s="446"/>
      <c r="N16" s="446"/>
    </row>
    <row r="17" spans="1:14">
      <c r="A17" s="446"/>
      <c r="B17" s="446"/>
      <c r="C17" s="446"/>
      <c r="D17" s="459">
        <v>12</v>
      </c>
      <c r="E17" s="460" t="s">
        <v>815</v>
      </c>
      <c r="F17" s="461">
        <v>56.2</v>
      </c>
      <c r="G17" s="462">
        <f t="shared" si="2"/>
        <v>57.88</v>
      </c>
      <c r="H17" s="446"/>
      <c r="I17" s="446"/>
      <c r="J17" s="446"/>
      <c r="K17" s="446"/>
      <c r="L17" s="446"/>
      <c r="M17" s="446"/>
      <c r="N17" s="446"/>
    </row>
    <row r="18" spans="1:14">
      <c r="A18" s="446"/>
      <c r="B18" s="446"/>
      <c r="C18" s="446"/>
      <c r="D18" s="459">
        <v>13</v>
      </c>
      <c r="E18" s="460" t="s">
        <v>816</v>
      </c>
      <c r="F18" s="461">
        <v>60.82</v>
      </c>
      <c r="G18" s="462">
        <f t="shared" si="2"/>
        <v>62.64</v>
      </c>
      <c r="H18" s="446"/>
      <c r="I18" s="446"/>
      <c r="J18" s="446"/>
      <c r="K18" s="446"/>
      <c r="L18" s="446"/>
      <c r="M18" s="446"/>
      <c r="N18" s="446"/>
    </row>
    <row r="19" spans="1:14">
      <c r="A19" s="446"/>
      <c r="B19" s="446"/>
      <c r="C19" s="446"/>
      <c r="D19" s="459">
        <v>14</v>
      </c>
      <c r="E19" s="460" t="s">
        <v>817</v>
      </c>
      <c r="F19" s="461">
        <v>65.69</v>
      </c>
      <c r="G19" s="462">
        <f t="shared" si="2"/>
        <v>67.66</v>
      </c>
      <c r="H19" s="446"/>
      <c r="I19" s="446"/>
      <c r="J19" s="446"/>
      <c r="K19" s="446"/>
      <c r="L19" s="446"/>
      <c r="M19" s="446"/>
      <c r="N19" s="446"/>
    </row>
    <row r="20" spans="1:14">
      <c r="A20" s="446"/>
      <c r="B20" s="446"/>
      <c r="C20" s="446"/>
      <c r="D20" s="459">
        <v>15</v>
      </c>
      <c r="E20" s="460" t="s">
        <v>818</v>
      </c>
      <c r="F20" s="461">
        <v>69.040000000000006</v>
      </c>
      <c r="G20" s="462">
        <f t="shared" si="2"/>
        <v>71.11</v>
      </c>
      <c r="H20" s="469"/>
      <c r="I20" s="446"/>
      <c r="J20" s="446"/>
      <c r="K20" s="446"/>
      <c r="L20" s="446"/>
      <c r="M20" s="446"/>
      <c r="N20" s="446"/>
    </row>
    <row r="21" spans="1:14">
      <c r="A21" s="446"/>
      <c r="B21" s="446"/>
      <c r="C21" s="446"/>
      <c r="D21" s="459">
        <v>16</v>
      </c>
      <c r="E21" s="460" t="s">
        <v>819</v>
      </c>
      <c r="F21" s="461">
        <v>75.02</v>
      </c>
      <c r="G21" s="462">
        <f t="shared" si="2"/>
        <v>77.27</v>
      </c>
      <c r="H21" s="446"/>
      <c r="I21" s="446"/>
      <c r="J21" s="446"/>
      <c r="K21" s="446"/>
      <c r="L21" s="446"/>
      <c r="M21" s="446"/>
      <c r="N21" s="446"/>
    </row>
    <row r="22" spans="1:14">
      <c r="A22" s="446"/>
      <c r="B22" s="446"/>
      <c r="C22" s="446"/>
      <c r="D22" s="459">
        <v>17</v>
      </c>
      <c r="E22" s="460" t="s">
        <v>820</v>
      </c>
      <c r="F22" s="461">
        <v>80.27</v>
      </c>
      <c r="G22" s="462">
        <f t="shared" si="2"/>
        <v>82.67</v>
      </c>
      <c r="H22" s="446"/>
      <c r="I22" s="446"/>
      <c r="J22" s="446"/>
      <c r="K22" s="446"/>
      <c r="L22" s="446"/>
      <c r="M22" s="446"/>
      <c r="N22" s="446"/>
    </row>
    <row r="23" spans="1:14">
      <c r="A23" s="446"/>
      <c r="B23" s="446"/>
      <c r="C23" s="446"/>
      <c r="D23" s="459">
        <v>18</v>
      </c>
      <c r="E23" s="460" t="s">
        <v>821</v>
      </c>
      <c r="F23" s="461">
        <v>84.99</v>
      </c>
      <c r="G23" s="462">
        <f t="shared" si="2"/>
        <v>87.54</v>
      </c>
      <c r="H23" s="446"/>
      <c r="I23" s="446"/>
      <c r="J23" s="446"/>
      <c r="K23" s="446"/>
      <c r="L23" s="446"/>
      <c r="M23" s="446"/>
      <c r="N23" s="446"/>
    </row>
    <row r="24" spans="1:14">
      <c r="A24" s="446"/>
      <c r="B24" s="446"/>
      <c r="C24" s="446"/>
      <c r="D24" s="459">
        <v>19</v>
      </c>
      <c r="E24" s="460" t="s">
        <v>822</v>
      </c>
      <c r="F24" s="461">
        <v>90.38</v>
      </c>
      <c r="G24" s="462">
        <f t="shared" si="2"/>
        <v>93.09</v>
      </c>
      <c r="H24" s="446"/>
      <c r="I24" s="446"/>
      <c r="J24" s="446"/>
      <c r="K24" s="446"/>
      <c r="L24" s="446"/>
      <c r="M24" s="446"/>
      <c r="N24" s="446"/>
    </row>
    <row r="25" spans="1:14">
      <c r="A25" s="446"/>
      <c r="B25" s="446"/>
      <c r="C25" s="446"/>
      <c r="D25" s="459">
        <v>20</v>
      </c>
      <c r="E25" s="460" t="s">
        <v>823</v>
      </c>
      <c r="F25" s="461">
        <v>95.61</v>
      </c>
      <c r="G25" s="462">
        <f t="shared" si="2"/>
        <v>98.47</v>
      </c>
      <c r="H25" s="446"/>
      <c r="I25" s="446"/>
      <c r="J25" s="446"/>
      <c r="K25" s="446"/>
      <c r="L25" s="446"/>
      <c r="M25" s="446"/>
      <c r="N25" s="446"/>
    </row>
    <row r="26" spans="1:14">
      <c r="A26" s="446"/>
      <c r="B26" s="446"/>
      <c r="C26" s="446"/>
      <c r="D26" s="459">
        <v>21</v>
      </c>
      <c r="E26" s="460" t="s">
        <v>824</v>
      </c>
      <c r="F26" s="461">
        <v>100.89</v>
      </c>
      <c r="G26" s="462">
        <f t="shared" si="2"/>
        <v>103.91</v>
      </c>
      <c r="H26" s="446"/>
      <c r="I26" s="446"/>
      <c r="J26" s="446"/>
      <c r="K26" s="446"/>
      <c r="L26" s="446"/>
      <c r="M26" s="446"/>
      <c r="N26" s="446"/>
    </row>
    <row r="27" spans="1:14">
      <c r="A27" s="446"/>
      <c r="B27" s="446"/>
      <c r="C27" s="446"/>
      <c r="D27" s="459">
        <v>22</v>
      </c>
      <c r="E27" s="460" t="s">
        <v>825</v>
      </c>
      <c r="F27" s="461">
        <v>106.1</v>
      </c>
      <c r="G27" s="462">
        <f t="shared" si="2"/>
        <v>109.28</v>
      </c>
      <c r="H27" s="446"/>
      <c r="I27" s="446"/>
      <c r="J27" s="446"/>
      <c r="K27" s="446"/>
      <c r="L27" s="446"/>
      <c r="M27" s="446"/>
      <c r="N27" s="446"/>
    </row>
    <row r="28" spans="1:14">
      <c r="A28" s="446"/>
      <c r="B28" s="446"/>
      <c r="C28" s="446"/>
      <c r="D28" s="459">
        <v>23</v>
      </c>
      <c r="E28" s="460" t="s">
        <v>826</v>
      </c>
      <c r="F28" s="461">
        <v>109.75</v>
      </c>
      <c r="G28" s="462">
        <f t="shared" si="2"/>
        <v>113.04</v>
      </c>
      <c r="H28" s="446"/>
      <c r="I28" s="446"/>
      <c r="J28" s="446"/>
      <c r="K28" s="446"/>
      <c r="L28" s="446"/>
      <c r="M28" s="446"/>
      <c r="N28" s="446"/>
    </row>
    <row r="29" spans="1:14">
      <c r="A29" s="446"/>
      <c r="B29" s="446"/>
      <c r="C29" s="446"/>
      <c r="D29" s="459">
        <v>24</v>
      </c>
      <c r="E29" s="460" t="s">
        <v>827</v>
      </c>
      <c r="F29" s="461">
        <v>114.69</v>
      </c>
      <c r="G29" s="462">
        <f t="shared" si="2"/>
        <v>118.13</v>
      </c>
      <c r="H29" s="446"/>
      <c r="I29" s="446"/>
      <c r="J29" s="446"/>
      <c r="K29" s="446"/>
      <c r="L29" s="446"/>
      <c r="M29" s="446"/>
      <c r="N29" s="446"/>
    </row>
    <row r="30" spans="1:14">
      <c r="A30" s="446"/>
      <c r="B30" s="446"/>
      <c r="C30" s="446"/>
      <c r="D30" s="459">
        <v>25</v>
      </c>
      <c r="E30" s="460" t="s">
        <v>828</v>
      </c>
      <c r="F30" s="461">
        <v>119.79</v>
      </c>
      <c r="G30" s="462">
        <f t="shared" si="2"/>
        <v>123.38</v>
      </c>
      <c r="H30" s="446"/>
      <c r="I30" s="446"/>
      <c r="J30" s="446"/>
      <c r="K30" s="446"/>
      <c r="L30" s="446"/>
      <c r="M30" s="446"/>
      <c r="N30" s="446"/>
    </row>
    <row r="31" spans="1:14">
      <c r="A31" s="446"/>
      <c r="B31" s="446"/>
      <c r="C31" s="446"/>
      <c r="D31" s="459">
        <v>26</v>
      </c>
      <c r="E31" s="460" t="s">
        <v>829</v>
      </c>
      <c r="F31" s="461">
        <v>124.74</v>
      </c>
      <c r="G31" s="462">
        <f t="shared" si="2"/>
        <v>128.47999999999999</v>
      </c>
      <c r="H31" s="446"/>
      <c r="I31" s="446"/>
      <c r="J31" s="446"/>
      <c r="K31" s="446"/>
      <c r="L31" s="446"/>
      <c r="M31" s="446"/>
      <c r="N31" s="446"/>
    </row>
    <row r="32" spans="1:14">
      <c r="A32" s="446"/>
      <c r="B32" s="446"/>
      <c r="C32" s="446"/>
      <c r="D32" s="459">
        <v>27</v>
      </c>
      <c r="E32" s="460" t="s">
        <v>830</v>
      </c>
      <c r="F32" s="461">
        <v>129.68</v>
      </c>
      <c r="G32" s="462">
        <f t="shared" si="2"/>
        <v>133.57</v>
      </c>
      <c r="H32" s="446"/>
      <c r="I32" s="446"/>
      <c r="J32" s="446"/>
      <c r="K32" s="446"/>
      <c r="L32" s="446"/>
      <c r="M32" s="446"/>
      <c r="N32" s="446"/>
    </row>
    <row r="33" spans="1:14">
      <c r="A33" s="446"/>
      <c r="B33" s="446"/>
      <c r="C33" s="446"/>
      <c r="D33" s="459">
        <v>28</v>
      </c>
      <c r="E33" s="460" t="s">
        <v>831</v>
      </c>
      <c r="F33" s="461">
        <v>134.63999999999999</v>
      </c>
      <c r="G33" s="462">
        <f t="shared" si="2"/>
        <v>138.66999999999999</v>
      </c>
      <c r="H33" s="446"/>
      <c r="I33" s="446"/>
      <c r="J33" s="446"/>
      <c r="K33" s="446"/>
      <c r="L33" s="446"/>
      <c r="M33" s="446"/>
      <c r="N33" s="446"/>
    </row>
    <row r="34" spans="1:14">
      <c r="A34" s="446"/>
      <c r="B34" s="446"/>
      <c r="C34" s="446"/>
      <c r="D34" s="459">
        <v>29</v>
      </c>
      <c r="E34" s="460" t="s">
        <v>832</v>
      </c>
      <c r="F34" s="461">
        <v>139.59</v>
      </c>
      <c r="G34" s="462">
        <f t="shared" si="2"/>
        <v>143.77000000000001</v>
      </c>
      <c r="H34" s="446"/>
      <c r="I34" s="446"/>
      <c r="J34" s="446"/>
      <c r="K34" s="446"/>
      <c r="L34" s="446"/>
      <c r="M34" s="446"/>
      <c r="N34" s="446"/>
    </row>
    <row r="35" spans="1:14">
      <c r="A35" s="446"/>
      <c r="B35" s="446"/>
      <c r="C35" s="446"/>
      <c r="D35" s="459">
        <v>30</v>
      </c>
      <c r="E35" s="460" t="s">
        <v>833</v>
      </c>
      <c r="F35" s="461">
        <v>144.54</v>
      </c>
      <c r="G35" s="462">
        <f t="shared" si="2"/>
        <v>148.87</v>
      </c>
      <c r="H35" s="446"/>
      <c r="I35" s="446"/>
      <c r="J35" s="446"/>
      <c r="K35" s="446"/>
      <c r="L35" s="446"/>
      <c r="M35" s="446"/>
      <c r="N35" s="446"/>
    </row>
    <row r="36" spans="1:14">
      <c r="A36" s="446"/>
      <c r="B36" s="446"/>
      <c r="C36" s="446"/>
      <c r="D36" s="459">
        <v>31</v>
      </c>
      <c r="E36" s="460" t="s">
        <v>834</v>
      </c>
      <c r="F36" s="461">
        <v>149.49</v>
      </c>
      <c r="G36" s="462">
        <f t="shared" si="2"/>
        <v>153.97</v>
      </c>
      <c r="H36" s="446"/>
      <c r="I36" s="446"/>
      <c r="J36" s="446"/>
      <c r="K36" s="446"/>
      <c r="L36" s="446"/>
      <c r="M36" s="446"/>
      <c r="N36" s="446"/>
    </row>
    <row r="37" spans="1:14">
      <c r="A37" s="446"/>
      <c r="B37" s="446"/>
      <c r="C37" s="446"/>
      <c r="D37" s="459">
        <v>32</v>
      </c>
      <c r="E37" s="460" t="s">
        <v>835</v>
      </c>
      <c r="F37" s="461">
        <v>154.44999999999999</v>
      </c>
      <c r="G37" s="462">
        <f t="shared" si="2"/>
        <v>159.08000000000001</v>
      </c>
      <c r="H37" s="446"/>
      <c r="I37" s="446"/>
      <c r="J37" s="446"/>
      <c r="K37" s="446"/>
      <c r="L37" s="446"/>
      <c r="M37" s="446"/>
      <c r="N37" s="446"/>
    </row>
    <row r="38" spans="1:14">
      <c r="A38" s="446"/>
      <c r="B38" s="446"/>
      <c r="C38" s="446"/>
      <c r="D38" s="459">
        <v>33</v>
      </c>
      <c r="E38" s="460" t="s">
        <v>836</v>
      </c>
      <c r="F38" s="461">
        <v>160.1</v>
      </c>
      <c r="G38" s="462">
        <f t="shared" si="2"/>
        <v>164.9</v>
      </c>
      <c r="H38" s="446"/>
      <c r="I38" s="446"/>
      <c r="J38" s="446"/>
      <c r="K38" s="446"/>
      <c r="L38" s="446"/>
      <c r="M38" s="446"/>
      <c r="N38" s="446"/>
    </row>
  </sheetData>
  <mergeCells count="2">
    <mergeCell ref="J4:K4"/>
    <mergeCell ref="L4:M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1BBB-9A15-4BAC-BAC2-075CC4B8047B}">
  <dimension ref="A1:K227"/>
  <sheetViews>
    <sheetView workbookViewId="0">
      <selection activeCell="S14" sqref="S14"/>
    </sheetView>
  </sheetViews>
  <sheetFormatPr defaultRowHeight="15"/>
  <cols>
    <col min="4" max="4" width="21.140625" bestFit="1" customWidth="1"/>
  </cols>
  <sheetData>
    <row r="1" spans="1:11" ht="19.5" thickBot="1">
      <c r="A1" s="275"/>
      <c r="B1" s="752" t="s">
        <v>783</v>
      </c>
      <c r="C1" s="753"/>
      <c r="D1" s="753"/>
      <c r="E1" s="753"/>
      <c r="F1" s="753"/>
      <c r="G1" s="753"/>
      <c r="H1" s="753"/>
      <c r="I1" s="753"/>
      <c r="J1" s="753"/>
      <c r="K1" s="754"/>
    </row>
    <row r="2" spans="1:11" ht="90">
      <c r="B2" s="429" t="s">
        <v>106</v>
      </c>
      <c r="C2" s="429" t="s">
        <v>792</v>
      </c>
      <c r="D2" s="429" t="s">
        <v>793</v>
      </c>
      <c r="E2" s="430" t="s">
        <v>785</v>
      </c>
      <c r="F2" s="430" t="s">
        <v>786</v>
      </c>
      <c r="G2" s="430" t="s">
        <v>787</v>
      </c>
      <c r="H2" s="430" t="s">
        <v>788</v>
      </c>
      <c r="I2" s="430" t="s">
        <v>789</v>
      </c>
      <c r="J2" s="430" t="s">
        <v>790</v>
      </c>
      <c r="K2" s="430" t="s">
        <v>784</v>
      </c>
    </row>
    <row r="3" spans="1:11">
      <c r="B3" s="431" t="s">
        <v>155</v>
      </c>
      <c r="C3" s="431">
        <v>1</v>
      </c>
      <c r="D3" s="288" t="str">
        <f>IF(LEFT(B3,1)="B","Basic",IF(LEFT(B3,1)="I","Intermediate",IF(LEFT(B3,1)="M","Medical",IF(LEFT(B3,1)="S","Specialized Behavioral",""))))</f>
        <v>Basic</v>
      </c>
      <c r="E3" s="287">
        <f>INDEX('Master Data'!$Q$74:$Q$802,MATCH(B3,'Master Data'!$B$74:$B$802,0))</f>
        <v>3</v>
      </c>
      <c r="F3" s="433">
        <f>INDEX('Master Data'!$R$74:$R$802,MATCH(B3,'Master Data'!$B$74:$B$802,0))</f>
        <v>0.25</v>
      </c>
      <c r="G3" s="434">
        <f t="shared" ref="G3:G40" si="0">IF(LEFT(B3,1)="M",IF(RIGHT(B3,1)="1",0.25,IF(RIGHT(B3,1)="2",0.35,IF(RIGHT(B3,1)="3",0.45,0))),0)</f>
        <v>0</v>
      </c>
      <c r="H3" s="435">
        <f>E3*G3</f>
        <v>0</v>
      </c>
      <c r="I3" s="435">
        <f>INDEX('Master Data'!$U$74:$U$802,MATCH(B3,'Master Data'!$B$74:$B$802,0))</f>
        <v>1</v>
      </c>
      <c r="J3" s="435">
        <f>INDEX('Master Data'!$V$74:$V$802,MATCH(B3,'Master Data'!$B$74:$B$802,0))</f>
        <v>1</v>
      </c>
      <c r="K3" s="433" t="str">
        <f>INDEX('Master Data'!$P$74:$P$802,MATCH(B3,'Master Data'!$B$74:$B$802,0))</f>
        <v>Sedan</v>
      </c>
    </row>
    <row r="4" spans="1:11">
      <c r="B4" s="431" t="s">
        <v>156</v>
      </c>
      <c r="C4" s="431">
        <v>1</v>
      </c>
      <c r="D4" s="288" t="str">
        <f t="shared" ref="D4:D67" si="1">IF(LEFT(B4,1)="B","Basic",IF(LEFT(B4,1)="I","Intermediate",IF(LEFT(B4,1)="M","Medical",IF(LEFT(B4,1)="S","Specialized Behavioral",""))))</f>
        <v>Intermediate</v>
      </c>
      <c r="E4" s="287">
        <f>INDEX('Master Data'!$Q$74:$Q$802,MATCH(B4,'Master Data'!$B$74:$B$802,0))</f>
        <v>3</v>
      </c>
      <c r="F4" s="433">
        <f>INDEX('Master Data'!$R$74:$R$802,MATCH(B4,'Master Data'!$B$74:$B$802,0))</f>
        <v>0.25</v>
      </c>
      <c r="G4" s="434">
        <f t="shared" si="0"/>
        <v>0</v>
      </c>
      <c r="H4" s="435">
        <f t="shared" ref="H4:H67" si="2">E4*G4</f>
        <v>0</v>
      </c>
      <c r="I4" s="435">
        <f>INDEX('Master Data'!$U$74:$U$802,MATCH(B4,'Master Data'!$B$74:$B$802,0))</f>
        <v>1</v>
      </c>
      <c r="J4" s="435">
        <f>INDEX('Master Data'!$V$74:$V$802,MATCH(B4,'Master Data'!$B$74:$B$802,0))</f>
        <v>1</v>
      </c>
      <c r="K4" s="433" t="str">
        <f>INDEX('Master Data'!$P$74:$P$802,MATCH(B4,'Master Data'!$B$74:$B$802,0))</f>
        <v>Sedan</v>
      </c>
    </row>
    <row r="5" spans="1:11">
      <c r="B5" s="431" t="s">
        <v>157</v>
      </c>
      <c r="C5" s="431">
        <v>1</v>
      </c>
      <c r="D5" s="288" t="str">
        <f t="shared" si="1"/>
        <v>Intermediate</v>
      </c>
      <c r="E5" s="287">
        <f>INDEX('Master Data'!$Q$74:$Q$802,MATCH(B5,'Master Data'!$B$74:$B$802,0))</f>
        <v>3.5</v>
      </c>
      <c r="F5" s="433">
        <f>INDEX('Master Data'!$R$74:$R$802,MATCH(B5,'Master Data'!$B$74:$B$802,0))</f>
        <v>0.25</v>
      </c>
      <c r="G5" s="434">
        <f t="shared" si="0"/>
        <v>0</v>
      </c>
      <c r="H5" s="435">
        <f t="shared" si="2"/>
        <v>0</v>
      </c>
      <c r="I5" s="435">
        <f>INDEX('Master Data'!$U$74:$U$802,MATCH(B5,'Master Data'!$B$74:$B$802,0))</f>
        <v>1</v>
      </c>
      <c r="J5" s="435">
        <f>INDEX('Master Data'!$V$74:$V$802,MATCH(B5,'Master Data'!$B$74:$B$802,0))</f>
        <v>1</v>
      </c>
      <c r="K5" s="433" t="str">
        <f>INDEX('Master Data'!$P$74:$P$802,MATCH(B5,'Master Data'!$B$74:$B$802,0))</f>
        <v>Sedan</v>
      </c>
    </row>
    <row r="6" spans="1:11">
      <c r="B6" s="431" t="s">
        <v>158</v>
      </c>
      <c r="C6" s="431">
        <v>1</v>
      </c>
      <c r="D6" s="288" t="str">
        <f t="shared" si="1"/>
        <v>Intermediate</v>
      </c>
      <c r="E6" s="287">
        <f>INDEX('Master Data'!$Q$74:$Q$802,MATCH(B6,'Master Data'!$B$74:$B$802,0))</f>
        <v>4</v>
      </c>
      <c r="F6" s="433">
        <f>INDEX('Master Data'!$R$74:$R$802,MATCH(B6,'Master Data'!$B$74:$B$802,0))</f>
        <v>0.25</v>
      </c>
      <c r="G6" s="434">
        <f t="shared" si="0"/>
        <v>0</v>
      </c>
      <c r="H6" s="435">
        <f t="shared" si="2"/>
        <v>0</v>
      </c>
      <c r="I6" s="435">
        <f>INDEX('Master Data'!$U$74:$U$802,MATCH(B6,'Master Data'!$B$74:$B$802,0))</f>
        <v>1</v>
      </c>
      <c r="J6" s="435">
        <f>INDEX('Master Data'!$V$74:$V$802,MATCH(B6,'Master Data'!$B$74:$B$802,0))</f>
        <v>1</v>
      </c>
      <c r="K6" s="433" t="str">
        <f>INDEX('Master Data'!$P$74:$P$802,MATCH(B6,'Master Data'!$B$74:$B$802,0))</f>
        <v>Sedan</v>
      </c>
    </row>
    <row r="7" spans="1:11">
      <c r="B7" s="431" t="s">
        <v>159</v>
      </c>
      <c r="C7" s="431">
        <v>1</v>
      </c>
      <c r="D7" s="288" t="str">
        <f t="shared" si="1"/>
        <v>Intermediate</v>
      </c>
      <c r="E7" s="287">
        <f>INDEX('Master Data'!$Q$74:$Q$802,MATCH(B7,'Master Data'!$B$74:$B$802,0))</f>
        <v>4.5</v>
      </c>
      <c r="F7" s="433">
        <f>INDEX('Master Data'!$R$74:$R$802,MATCH(B7,'Master Data'!$B$74:$B$802,0))</f>
        <v>0.25</v>
      </c>
      <c r="G7" s="434">
        <f t="shared" si="0"/>
        <v>0</v>
      </c>
      <c r="H7" s="435">
        <f t="shared" si="2"/>
        <v>0</v>
      </c>
      <c r="I7" s="435">
        <f>INDEX('Master Data'!$U$74:$U$802,MATCH(B7,'Master Data'!$B$74:$B$802,0))</f>
        <v>1</v>
      </c>
      <c r="J7" s="435">
        <f>INDEX('Master Data'!$V$74:$V$802,MATCH(B7,'Master Data'!$B$74:$B$802,0))</f>
        <v>1</v>
      </c>
      <c r="K7" s="433" t="str">
        <f>INDEX('Master Data'!$P$74:$P$802,MATCH(B7,'Master Data'!$B$74:$B$802,0))</f>
        <v>Sedan</v>
      </c>
    </row>
    <row r="8" spans="1:11">
      <c r="B8" s="431" t="s">
        <v>160</v>
      </c>
      <c r="C8" s="431">
        <v>1</v>
      </c>
      <c r="D8" s="288" t="str">
        <f t="shared" si="1"/>
        <v>Intermediate</v>
      </c>
      <c r="E8" s="287">
        <f>INDEX('Master Data'!$Q$74:$Q$802,MATCH(B8,'Master Data'!$B$74:$B$802,0))</f>
        <v>5</v>
      </c>
      <c r="F8" s="433">
        <f>INDEX('Master Data'!$R$74:$R$802,MATCH(B8,'Master Data'!$B$74:$B$802,0))</f>
        <v>0.25</v>
      </c>
      <c r="G8" s="434">
        <f t="shared" si="0"/>
        <v>0</v>
      </c>
      <c r="H8" s="435">
        <f t="shared" si="2"/>
        <v>0</v>
      </c>
      <c r="I8" s="435">
        <f>INDEX('Master Data'!$U$74:$U$802,MATCH(B8,'Master Data'!$B$74:$B$802,0))</f>
        <v>1</v>
      </c>
      <c r="J8" s="435">
        <f>INDEX('Master Data'!$V$74:$V$802,MATCH(B8,'Master Data'!$B$74:$B$802,0))</f>
        <v>1</v>
      </c>
      <c r="K8" s="433" t="str">
        <f>INDEX('Master Data'!$P$74:$P$802,MATCH(B8,'Master Data'!$B$74:$B$802,0))</f>
        <v>Sedan</v>
      </c>
    </row>
    <row r="9" spans="1:11">
      <c r="B9" s="431" t="s">
        <v>161</v>
      </c>
      <c r="C9" s="431">
        <v>1</v>
      </c>
      <c r="D9" s="288" t="str">
        <f t="shared" si="1"/>
        <v>Intermediate</v>
      </c>
      <c r="E9" s="287">
        <f>INDEX('Master Data'!$Q$74:$Q$802,MATCH(B9,'Master Data'!$B$74:$B$802,0))</f>
        <v>5.5</v>
      </c>
      <c r="F9" s="433">
        <f>INDEX('Master Data'!$R$74:$R$802,MATCH(B9,'Master Data'!$B$74:$B$802,0))</f>
        <v>0.25</v>
      </c>
      <c r="G9" s="434">
        <f t="shared" si="0"/>
        <v>0</v>
      </c>
      <c r="H9" s="435">
        <f t="shared" si="2"/>
        <v>0</v>
      </c>
      <c r="I9" s="435">
        <f>INDEX('Master Data'!$U$74:$U$802,MATCH(B9,'Master Data'!$B$74:$B$802,0))</f>
        <v>1</v>
      </c>
      <c r="J9" s="435">
        <f>INDEX('Master Data'!$V$74:$V$802,MATCH(B9,'Master Data'!$B$74:$B$802,0))</f>
        <v>1</v>
      </c>
      <c r="K9" s="433" t="str">
        <f>INDEX('Master Data'!$P$74:$P$802,MATCH(B9,'Master Data'!$B$74:$B$802,0))</f>
        <v>Sedan</v>
      </c>
    </row>
    <row r="10" spans="1:11">
      <c r="B10" s="431" t="s">
        <v>162</v>
      </c>
      <c r="C10" s="431">
        <v>1</v>
      </c>
      <c r="D10" s="288" t="str">
        <f t="shared" si="1"/>
        <v>Intermediate</v>
      </c>
      <c r="E10" s="287">
        <f>INDEX('Master Data'!$Q$74:$Q$802,MATCH(B10,'Master Data'!$B$74:$B$802,0))</f>
        <v>6</v>
      </c>
      <c r="F10" s="433">
        <f>INDEX('Master Data'!$R$74:$R$802,MATCH(B10,'Master Data'!$B$74:$B$802,0))</f>
        <v>0.25</v>
      </c>
      <c r="G10" s="434">
        <f t="shared" si="0"/>
        <v>0</v>
      </c>
      <c r="H10" s="435">
        <f t="shared" si="2"/>
        <v>0</v>
      </c>
      <c r="I10" s="435">
        <f>INDEX('Master Data'!$U$74:$U$802,MATCH(B10,'Master Data'!$B$74:$B$802,0))</f>
        <v>1</v>
      </c>
      <c r="J10" s="435">
        <f>INDEX('Master Data'!$V$74:$V$802,MATCH(B10,'Master Data'!$B$74:$B$802,0))</f>
        <v>1</v>
      </c>
      <c r="K10" s="433" t="str">
        <f>INDEX('Master Data'!$P$74:$P$802,MATCH(B10,'Master Data'!$B$74:$B$802,0))</f>
        <v>Sedan</v>
      </c>
    </row>
    <row r="11" spans="1:11">
      <c r="B11" s="431" t="s">
        <v>163</v>
      </c>
      <c r="C11" s="431">
        <v>1</v>
      </c>
      <c r="D11" s="288" t="str">
        <f t="shared" si="1"/>
        <v>Intermediate</v>
      </c>
      <c r="E11" s="287">
        <f>INDEX('Master Data'!$Q$74:$Q$802,MATCH(B11,'Master Data'!$B$74:$B$802,0))</f>
        <v>6.5</v>
      </c>
      <c r="F11" s="433">
        <f>INDEX('Master Data'!$R$74:$R$802,MATCH(B11,'Master Data'!$B$74:$B$802,0))</f>
        <v>0.25</v>
      </c>
      <c r="G11" s="434">
        <f t="shared" si="0"/>
        <v>0</v>
      </c>
      <c r="H11" s="435">
        <f t="shared" si="2"/>
        <v>0</v>
      </c>
      <c r="I11" s="435">
        <f>INDEX('Master Data'!$U$74:$U$802,MATCH(B11,'Master Data'!$B$74:$B$802,0))</f>
        <v>1</v>
      </c>
      <c r="J11" s="435">
        <f>INDEX('Master Data'!$V$74:$V$802,MATCH(B11,'Master Data'!$B$74:$B$802,0))</f>
        <v>1</v>
      </c>
      <c r="K11" s="433" t="str">
        <f>INDEX('Master Data'!$P$74:$P$802,MATCH(B11,'Master Data'!$B$74:$B$802,0))</f>
        <v>Sedan</v>
      </c>
    </row>
    <row r="12" spans="1:11">
      <c r="B12" s="431" t="s">
        <v>164</v>
      </c>
      <c r="C12" s="431">
        <v>1</v>
      </c>
      <c r="D12" s="288" t="str">
        <f t="shared" si="1"/>
        <v>Intermediate</v>
      </c>
      <c r="E12" s="287">
        <f>INDEX('Master Data'!$Q$74:$Q$802,MATCH(B12,'Master Data'!$B$74:$B$802,0))</f>
        <v>7</v>
      </c>
      <c r="F12" s="433">
        <f>INDEX('Master Data'!$R$74:$R$802,MATCH(B12,'Master Data'!$B$74:$B$802,0))</f>
        <v>0.25</v>
      </c>
      <c r="G12" s="434">
        <f t="shared" si="0"/>
        <v>0</v>
      </c>
      <c r="H12" s="435">
        <f t="shared" si="2"/>
        <v>0</v>
      </c>
      <c r="I12" s="435">
        <f>INDEX('Master Data'!$U$74:$U$802,MATCH(B12,'Master Data'!$B$74:$B$802,0))</f>
        <v>1</v>
      </c>
      <c r="J12" s="435">
        <f>INDEX('Master Data'!$V$74:$V$802,MATCH(B12,'Master Data'!$B$74:$B$802,0))</f>
        <v>1</v>
      </c>
      <c r="K12" s="433" t="str">
        <f>INDEX('Master Data'!$P$74:$P$802,MATCH(B12,'Master Data'!$B$74:$B$802,0))</f>
        <v>Sedan</v>
      </c>
    </row>
    <row r="13" spans="1:11">
      <c r="B13" s="431" t="s">
        <v>165</v>
      </c>
      <c r="C13" s="431" t="s">
        <v>113</v>
      </c>
      <c r="D13" s="288" t="str">
        <f t="shared" si="1"/>
        <v>Basic</v>
      </c>
      <c r="E13" s="287">
        <f>INDEX('Master Data'!$Q$74:$Q$802,MATCH(B13,'Master Data'!$B$74:$B$802,0))</f>
        <v>3.5</v>
      </c>
      <c r="F13" s="433">
        <f>INDEX('Master Data'!$R$74:$R$802,MATCH(B13,'Master Data'!$B$74:$B$802,0))</f>
        <v>0.66</v>
      </c>
      <c r="G13" s="434">
        <f t="shared" si="0"/>
        <v>0</v>
      </c>
      <c r="H13" s="435">
        <f t="shared" si="2"/>
        <v>0</v>
      </c>
      <c r="I13" s="435">
        <f>INDEX('Master Data'!$U$74:$U$802,MATCH(B13,'Master Data'!$B$74:$B$802,0))</f>
        <v>1</v>
      </c>
      <c r="J13" s="435">
        <f>INDEX('Master Data'!$V$74:$V$802,MATCH(B13,'Master Data'!$B$74:$B$802,0))</f>
        <v>1</v>
      </c>
      <c r="K13" s="433" t="str">
        <f>INDEX('Master Data'!$P$74:$P$802,MATCH(B13,'Master Data'!$B$74:$B$802,0))</f>
        <v>Minivan</v>
      </c>
    </row>
    <row r="14" spans="1:11">
      <c r="B14" s="431" t="s">
        <v>166</v>
      </c>
      <c r="C14" s="431" t="s">
        <v>113</v>
      </c>
      <c r="D14" s="288" t="str">
        <f t="shared" si="1"/>
        <v>Basic</v>
      </c>
      <c r="E14" s="287">
        <f>INDEX('Master Data'!$Q$74:$Q$802,MATCH(B14,'Master Data'!$B$74:$B$802,0))</f>
        <v>4</v>
      </c>
      <c r="F14" s="433">
        <f>INDEX('Master Data'!$R$74:$R$802,MATCH(B14,'Master Data'!$B$74:$B$802,0))</f>
        <v>0.66</v>
      </c>
      <c r="G14" s="434">
        <f t="shared" si="0"/>
        <v>0</v>
      </c>
      <c r="H14" s="435">
        <f t="shared" si="2"/>
        <v>0</v>
      </c>
      <c r="I14" s="435">
        <f>INDEX('Master Data'!$U$74:$U$802,MATCH(B14,'Master Data'!$B$74:$B$802,0))</f>
        <v>1</v>
      </c>
      <c r="J14" s="435">
        <f>INDEX('Master Data'!$V$74:$V$802,MATCH(B14,'Master Data'!$B$74:$B$802,0))</f>
        <v>1</v>
      </c>
      <c r="K14" s="433" t="str">
        <f>INDEX('Master Data'!$P$74:$P$802,MATCH(B14,'Master Data'!$B$74:$B$802,0))</f>
        <v>Minivan</v>
      </c>
    </row>
    <row r="15" spans="1:11">
      <c r="B15" s="431" t="s">
        <v>167</v>
      </c>
      <c r="C15" s="431" t="s">
        <v>113</v>
      </c>
      <c r="D15" s="288" t="str">
        <f t="shared" si="1"/>
        <v>Basic</v>
      </c>
      <c r="E15" s="287">
        <f>INDEX('Master Data'!$Q$74:$Q$802,MATCH(B15,'Master Data'!$B$74:$B$802,0))</f>
        <v>4.5</v>
      </c>
      <c r="F15" s="433">
        <f>INDEX('Master Data'!$R$74:$R$802,MATCH(B15,'Master Data'!$B$74:$B$802,0))</f>
        <v>0.66</v>
      </c>
      <c r="G15" s="434">
        <f t="shared" si="0"/>
        <v>0</v>
      </c>
      <c r="H15" s="435">
        <f t="shared" si="2"/>
        <v>0</v>
      </c>
      <c r="I15" s="435">
        <f>INDEX('Master Data'!$U$74:$U$802,MATCH(B15,'Master Data'!$B$74:$B$802,0))</f>
        <v>1</v>
      </c>
      <c r="J15" s="435">
        <f>INDEX('Master Data'!$V$74:$V$802,MATCH(B15,'Master Data'!$B$74:$B$802,0))</f>
        <v>1</v>
      </c>
      <c r="K15" s="433" t="str">
        <f>INDEX('Master Data'!$P$74:$P$802,MATCH(B15,'Master Data'!$B$74:$B$802,0))</f>
        <v>Minivan</v>
      </c>
    </row>
    <row r="16" spans="1:11">
      <c r="B16" s="431" t="s">
        <v>168</v>
      </c>
      <c r="C16" s="431" t="s">
        <v>113</v>
      </c>
      <c r="D16" s="288" t="str">
        <f t="shared" si="1"/>
        <v>Basic</v>
      </c>
      <c r="E16" s="287">
        <f>INDEX('Master Data'!$Q$74:$Q$802,MATCH(B16,'Master Data'!$B$74:$B$802,0))</f>
        <v>5</v>
      </c>
      <c r="F16" s="433">
        <f>INDEX('Master Data'!$R$74:$R$802,MATCH(B16,'Master Data'!$B$74:$B$802,0))</f>
        <v>0.66</v>
      </c>
      <c r="G16" s="434">
        <f t="shared" si="0"/>
        <v>0</v>
      </c>
      <c r="H16" s="435">
        <f t="shared" si="2"/>
        <v>0</v>
      </c>
      <c r="I16" s="435">
        <f>INDEX('Master Data'!$U$74:$U$802,MATCH(B16,'Master Data'!$B$74:$B$802,0))</f>
        <v>1</v>
      </c>
      <c r="J16" s="435">
        <f>INDEX('Master Data'!$V$74:$V$802,MATCH(B16,'Master Data'!$B$74:$B$802,0))</f>
        <v>1</v>
      </c>
      <c r="K16" s="433" t="str">
        <f>INDEX('Master Data'!$P$74:$P$802,MATCH(B16,'Master Data'!$B$74:$B$802,0))</f>
        <v>Minivan</v>
      </c>
    </row>
    <row r="17" spans="2:11">
      <c r="B17" s="431" t="s">
        <v>169</v>
      </c>
      <c r="C17" s="431" t="s">
        <v>113</v>
      </c>
      <c r="D17" s="288" t="str">
        <f t="shared" si="1"/>
        <v>Basic</v>
      </c>
      <c r="E17" s="287">
        <f>INDEX('Master Data'!$Q$74:$Q$802,MATCH(B17,'Master Data'!$B$74:$B$802,0))</f>
        <v>5.5</v>
      </c>
      <c r="F17" s="433">
        <f>INDEX('Master Data'!$R$74:$R$802,MATCH(B17,'Master Data'!$B$74:$B$802,0))</f>
        <v>0.66</v>
      </c>
      <c r="G17" s="434">
        <f t="shared" si="0"/>
        <v>0</v>
      </c>
      <c r="H17" s="435">
        <f t="shared" si="2"/>
        <v>0</v>
      </c>
      <c r="I17" s="435">
        <f>INDEX('Master Data'!$U$74:$U$802,MATCH(B17,'Master Data'!$B$74:$B$802,0))</f>
        <v>1</v>
      </c>
      <c r="J17" s="435">
        <f>INDEX('Master Data'!$V$74:$V$802,MATCH(B17,'Master Data'!$B$74:$B$802,0))</f>
        <v>1</v>
      </c>
      <c r="K17" s="433" t="str">
        <f>INDEX('Master Data'!$P$74:$P$802,MATCH(B17,'Master Data'!$B$74:$B$802,0))</f>
        <v>Minivan</v>
      </c>
    </row>
    <row r="18" spans="2:11">
      <c r="B18" s="431" t="s">
        <v>170</v>
      </c>
      <c r="C18" s="431" t="s">
        <v>113</v>
      </c>
      <c r="D18" s="288" t="str">
        <f t="shared" si="1"/>
        <v>Basic</v>
      </c>
      <c r="E18" s="287">
        <f>INDEX('Master Data'!$Q$74:$Q$802,MATCH(B18,'Master Data'!$B$74:$B$802,0))</f>
        <v>6</v>
      </c>
      <c r="F18" s="433">
        <f>INDEX('Master Data'!$R$74:$R$802,MATCH(B18,'Master Data'!$B$74:$B$802,0))</f>
        <v>0.66</v>
      </c>
      <c r="G18" s="434">
        <f t="shared" si="0"/>
        <v>0</v>
      </c>
      <c r="H18" s="435">
        <f t="shared" si="2"/>
        <v>0</v>
      </c>
      <c r="I18" s="435">
        <f>INDEX('Master Data'!$U$74:$U$802,MATCH(B18,'Master Data'!$B$74:$B$802,0))</f>
        <v>1</v>
      </c>
      <c r="J18" s="435">
        <f>INDEX('Master Data'!$V$74:$V$802,MATCH(B18,'Master Data'!$B$74:$B$802,0))</f>
        <v>1</v>
      </c>
      <c r="K18" s="433" t="str">
        <f>INDEX('Master Data'!$P$74:$P$802,MATCH(B18,'Master Data'!$B$74:$B$802,0))</f>
        <v>Minivan</v>
      </c>
    </row>
    <row r="19" spans="2:11">
      <c r="B19" s="431" t="s">
        <v>171</v>
      </c>
      <c r="C19" s="431" t="s">
        <v>113</v>
      </c>
      <c r="D19" s="288" t="str">
        <f t="shared" si="1"/>
        <v>Basic</v>
      </c>
      <c r="E19" s="287">
        <f>INDEX('Master Data'!$Q$74:$Q$802,MATCH(B19,'Master Data'!$B$74:$B$802,0))</f>
        <v>6.5</v>
      </c>
      <c r="F19" s="433">
        <f>INDEX('Master Data'!$R$74:$R$802,MATCH(B19,'Master Data'!$B$74:$B$802,0))</f>
        <v>0.66</v>
      </c>
      <c r="G19" s="434">
        <f t="shared" si="0"/>
        <v>0</v>
      </c>
      <c r="H19" s="435">
        <f t="shared" si="2"/>
        <v>0</v>
      </c>
      <c r="I19" s="435">
        <f>INDEX('Master Data'!$U$74:$U$802,MATCH(B19,'Master Data'!$B$74:$B$802,0))</f>
        <v>1</v>
      </c>
      <c r="J19" s="435">
        <f>INDEX('Master Data'!$V$74:$V$802,MATCH(B19,'Master Data'!$B$74:$B$802,0))</f>
        <v>1</v>
      </c>
      <c r="K19" s="433" t="str">
        <f>INDEX('Master Data'!$P$74:$P$802,MATCH(B19,'Master Data'!$B$74:$B$802,0))</f>
        <v>Minivan</v>
      </c>
    </row>
    <row r="20" spans="2:11">
      <c r="B20" s="431" t="s">
        <v>172</v>
      </c>
      <c r="C20" s="431" t="s">
        <v>113</v>
      </c>
      <c r="D20" s="288" t="str">
        <f t="shared" si="1"/>
        <v>Basic</v>
      </c>
      <c r="E20" s="287">
        <f>INDEX('Master Data'!$Q$74:$Q$802,MATCH(B20,'Master Data'!$B$74:$B$802,0))</f>
        <v>7</v>
      </c>
      <c r="F20" s="433">
        <f>INDEX('Master Data'!$R$74:$R$802,MATCH(B20,'Master Data'!$B$74:$B$802,0))</f>
        <v>0.66</v>
      </c>
      <c r="G20" s="434">
        <f t="shared" si="0"/>
        <v>0</v>
      </c>
      <c r="H20" s="435">
        <f t="shared" si="2"/>
        <v>0</v>
      </c>
      <c r="I20" s="435">
        <f>INDEX('Master Data'!$U$74:$U$802,MATCH(B20,'Master Data'!$B$74:$B$802,0))</f>
        <v>1</v>
      </c>
      <c r="J20" s="435">
        <f>INDEX('Master Data'!$V$74:$V$802,MATCH(B20,'Master Data'!$B$74:$B$802,0))</f>
        <v>1</v>
      </c>
      <c r="K20" s="433" t="str">
        <f>INDEX('Master Data'!$P$74:$P$802,MATCH(B20,'Master Data'!$B$74:$B$802,0))</f>
        <v>Minivan</v>
      </c>
    </row>
    <row r="21" spans="2:11">
      <c r="B21" s="431" t="s">
        <v>173</v>
      </c>
      <c r="C21" s="431" t="s">
        <v>113</v>
      </c>
      <c r="D21" s="288" t="str">
        <f t="shared" si="1"/>
        <v>Basic</v>
      </c>
      <c r="E21" s="287">
        <f>INDEX('Master Data'!$Q$74:$Q$802,MATCH(B21,'Master Data'!$B$74:$B$802,0))</f>
        <v>7.5</v>
      </c>
      <c r="F21" s="433">
        <f>INDEX('Master Data'!$R$74:$R$802,MATCH(B21,'Master Data'!$B$74:$B$802,0))</f>
        <v>0.66</v>
      </c>
      <c r="G21" s="434">
        <f t="shared" si="0"/>
        <v>0</v>
      </c>
      <c r="H21" s="435">
        <f t="shared" si="2"/>
        <v>0</v>
      </c>
      <c r="I21" s="435">
        <f>INDEX('Master Data'!$U$74:$U$802,MATCH(B21,'Master Data'!$B$74:$B$802,0))</f>
        <v>1</v>
      </c>
      <c r="J21" s="435">
        <f>INDEX('Master Data'!$V$74:$V$802,MATCH(B21,'Master Data'!$B$74:$B$802,0))</f>
        <v>1</v>
      </c>
      <c r="K21" s="433" t="str">
        <f>INDEX('Master Data'!$P$74:$P$802,MATCH(B21,'Master Data'!$B$74:$B$802,0))</f>
        <v>Minivan</v>
      </c>
    </row>
    <row r="22" spans="2:11">
      <c r="B22" s="431" t="s">
        <v>174</v>
      </c>
      <c r="C22" s="431" t="s">
        <v>113</v>
      </c>
      <c r="D22" s="288" t="str">
        <f t="shared" si="1"/>
        <v>Basic</v>
      </c>
      <c r="E22" s="287">
        <f>INDEX('Master Data'!$Q$74:$Q$802,MATCH(B22,'Master Data'!$B$74:$B$802,0))</f>
        <v>8</v>
      </c>
      <c r="F22" s="433">
        <f>INDEX('Master Data'!$R$74:$R$802,MATCH(B22,'Master Data'!$B$74:$B$802,0))</f>
        <v>0.66</v>
      </c>
      <c r="G22" s="434">
        <f t="shared" si="0"/>
        <v>0</v>
      </c>
      <c r="H22" s="435">
        <f t="shared" si="2"/>
        <v>0</v>
      </c>
      <c r="I22" s="435">
        <f>INDEX('Master Data'!$U$74:$U$802,MATCH(B22,'Master Data'!$B$74:$B$802,0))</f>
        <v>1</v>
      </c>
      <c r="J22" s="435">
        <f>INDEX('Master Data'!$V$74:$V$802,MATCH(B22,'Master Data'!$B$74:$B$802,0))</f>
        <v>1</v>
      </c>
      <c r="K22" s="433" t="str">
        <f>INDEX('Master Data'!$P$74:$P$802,MATCH(B22,'Master Data'!$B$74:$B$802,0))</f>
        <v>Minivan</v>
      </c>
    </row>
    <row r="23" spans="2:11">
      <c r="B23" s="431" t="s">
        <v>175</v>
      </c>
      <c r="C23" s="431" t="s">
        <v>113</v>
      </c>
      <c r="D23" s="288" t="str">
        <f t="shared" si="1"/>
        <v>Basic</v>
      </c>
      <c r="E23" s="287">
        <f>INDEX('Master Data'!$Q$74:$Q$802,MATCH(B23,'Master Data'!$B$74:$B$802,0))</f>
        <v>8.5</v>
      </c>
      <c r="F23" s="433">
        <f>INDEX('Master Data'!$R$74:$R$802,MATCH(B23,'Master Data'!$B$74:$B$802,0))</f>
        <v>0.66</v>
      </c>
      <c r="G23" s="434">
        <f t="shared" si="0"/>
        <v>0</v>
      </c>
      <c r="H23" s="435">
        <f t="shared" si="2"/>
        <v>0</v>
      </c>
      <c r="I23" s="435">
        <f>INDEX('Master Data'!$U$74:$U$802,MATCH(B23,'Master Data'!$B$74:$B$802,0))</f>
        <v>1</v>
      </c>
      <c r="J23" s="435">
        <f>INDEX('Master Data'!$V$74:$V$802,MATCH(B23,'Master Data'!$B$74:$B$802,0))</f>
        <v>1</v>
      </c>
      <c r="K23" s="433" t="str">
        <f>INDEX('Master Data'!$P$74:$P$802,MATCH(B23,'Master Data'!$B$74:$B$802,0))</f>
        <v>Minivan</v>
      </c>
    </row>
    <row r="24" spans="2:11">
      <c r="B24" s="431" t="s">
        <v>176</v>
      </c>
      <c r="C24" s="431" t="s">
        <v>113</v>
      </c>
      <c r="D24" s="288" t="str">
        <f t="shared" si="1"/>
        <v>Basic</v>
      </c>
      <c r="E24" s="287">
        <f>INDEX('Master Data'!$Q$74:$Q$802,MATCH(B24,'Master Data'!$B$74:$B$802,0))</f>
        <v>9</v>
      </c>
      <c r="F24" s="433">
        <f>INDEX('Master Data'!$R$74:$R$802,MATCH(B24,'Master Data'!$B$74:$B$802,0))</f>
        <v>0.66</v>
      </c>
      <c r="G24" s="434">
        <f t="shared" si="0"/>
        <v>0</v>
      </c>
      <c r="H24" s="435">
        <f t="shared" si="2"/>
        <v>0</v>
      </c>
      <c r="I24" s="435">
        <f>INDEX('Master Data'!$U$74:$U$802,MATCH(B24,'Master Data'!$B$74:$B$802,0))</f>
        <v>1</v>
      </c>
      <c r="J24" s="435">
        <f>INDEX('Master Data'!$V$74:$V$802,MATCH(B24,'Master Data'!$B$74:$B$802,0))</f>
        <v>1</v>
      </c>
      <c r="K24" s="433" t="str">
        <f>INDEX('Master Data'!$P$74:$P$802,MATCH(B24,'Master Data'!$B$74:$B$802,0))</f>
        <v>Minivan</v>
      </c>
    </row>
    <row r="25" spans="2:11">
      <c r="B25" s="431" t="s">
        <v>177</v>
      </c>
      <c r="C25" s="431" t="s">
        <v>113</v>
      </c>
      <c r="D25" s="288" t="str">
        <f t="shared" si="1"/>
        <v>Intermediate</v>
      </c>
      <c r="E25" s="287">
        <f>INDEX('Master Data'!$Q$74:$Q$802,MATCH(B25,'Master Data'!$B$74:$B$802,0))</f>
        <v>3.5</v>
      </c>
      <c r="F25" s="433">
        <f>INDEX('Master Data'!$R$74:$R$802,MATCH(B25,'Master Data'!$B$74:$B$802,0))</f>
        <v>0.66</v>
      </c>
      <c r="G25" s="434">
        <f t="shared" si="0"/>
        <v>0</v>
      </c>
      <c r="H25" s="435">
        <f t="shared" si="2"/>
        <v>0</v>
      </c>
      <c r="I25" s="435">
        <f>INDEX('Master Data'!$U$74:$U$802,MATCH(B25,'Master Data'!$B$74:$B$802,0))</f>
        <v>1</v>
      </c>
      <c r="J25" s="435">
        <f>INDEX('Master Data'!$V$74:$V$802,MATCH(B25,'Master Data'!$B$74:$B$802,0))</f>
        <v>3</v>
      </c>
      <c r="K25" s="433" t="str">
        <f>INDEX('Master Data'!$P$74:$P$802,MATCH(B25,'Master Data'!$B$74:$B$802,0))</f>
        <v>Minivan</v>
      </c>
    </row>
    <row r="26" spans="2:11">
      <c r="B26" s="431" t="s">
        <v>178</v>
      </c>
      <c r="C26" s="431" t="s">
        <v>113</v>
      </c>
      <c r="D26" s="288" t="str">
        <f t="shared" si="1"/>
        <v>Intermediate</v>
      </c>
      <c r="E26" s="287">
        <f>INDEX('Master Data'!$Q$74:$Q$802,MATCH(B26,'Master Data'!$B$74:$B$802,0))</f>
        <v>4</v>
      </c>
      <c r="F26" s="433">
        <f>INDEX('Master Data'!$R$74:$R$802,MATCH(B26,'Master Data'!$B$74:$B$802,0))</f>
        <v>0.66</v>
      </c>
      <c r="G26" s="434">
        <f t="shared" si="0"/>
        <v>0</v>
      </c>
      <c r="H26" s="435">
        <f t="shared" si="2"/>
        <v>0</v>
      </c>
      <c r="I26" s="435">
        <f>INDEX('Master Data'!$U$74:$U$802,MATCH(B26,'Master Data'!$B$74:$B$802,0))</f>
        <v>1</v>
      </c>
      <c r="J26" s="435">
        <f>INDEX('Master Data'!$V$74:$V$802,MATCH(B26,'Master Data'!$B$74:$B$802,0))</f>
        <v>3</v>
      </c>
      <c r="K26" s="433" t="str">
        <f>INDEX('Master Data'!$P$74:$P$802,MATCH(B26,'Master Data'!$B$74:$B$802,0))</f>
        <v>Minivan</v>
      </c>
    </row>
    <row r="27" spans="2:11">
      <c r="B27" s="431" t="s">
        <v>179</v>
      </c>
      <c r="C27" s="431" t="s">
        <v>113</v>
      </c>
      <c r="D27" s="288" t="str">
        <f t="shared" si="1"/>
        <v>Intermediate</v>
      </c>
      <c r="E27" s="287">
        <f>INDEX('Master Data'!$Q$74:$Q$802,MATCH(B27,'Master Data'!$B$74:$B$802,0))</f>
        <v>4.5</v>
      </c>
      <c r="F27" s="433">
        <f>INDEX('Master Data'!$R$74:$R$802,MATCH(B27,'Master Data'!$B$74:$B$802,0))</f>
        <v>0.66</v>
      </c>
      <c r="G27" s="434">
        <f t="shared" si="0"/>
        <v>0</v>
      </c>
      <c r="H27" s="435">
        <f t="shared" si="2"/>
        <v>0</v>
      </c>
      <c r="I27" s="435">
        <f>INDEX('Master Data'!$U$74:$U$802,MATCH(B27,'Master Data'!$B$74:$B$802,0))</f>
        <v>1</v>
      </c>
      <c r="J27" s="435">
        <f>INDEX('Master Data'!$V$74:$V$802,MATCH(B27,'Master Data'!$B$74:$B$802,0))</f>
        <v>3</v>
      </c>
      <c r="K27" s="433" t="str">
        <f>INDEX('Master Data'!$P$74:$P$802,MATCH(B27,'Master Data'!$B$74:$B$802,0))</f>
        <v>Minivan</v>
      </c>
    </row>
    <row r="28" spans="2:11">
      <c r="B28" s="431" t="s">
        <v>180</v>
      </c>
      <c r="C28" s="431" t="s">
        <v>113</v>
      </c>
      <c r="D28" s="288" t="str">
        <f t="shared" si="1"/>
        <v>Intermediate</v>
      </c>
      <c r="E28" s="287">
        <f>INDEX('Master Data'!$Q$74:$Q$802,MATCH(B28,'Master Data'!$B$74:$B$802,0))</f>
        <v>5</v>
      </c>
      <c r="F28" s="433">
        <f>INDEX('Master Data'!$R$74:$R$802,MATCH(B28,'Master Data'!$B$74:$B$802,0))</f>
        <v>0.66</v>
      </c>
      <c r="G28" s="434">
        <f t="shared" si="0"/>
        <v>0</v>
      </c>
      <c r="H28" s="435">
        <f t="shared" si="2"/>
        <v>0</v>
      </c>
      <c r="I28" s="435">
        <f>INDEX('Master Data'!$U$74:$U$802,MATCH(B28,'Master Data'!$B$74:$B$802,0))</f>
        <v>1</v>
      </c>
      <c r="J28" s="435">
        <f>INDEX('Master Data'!$V$74:$V$802,MATCH(B28,'Master Data'!$B$74:$B$802,0))</f>
        <v>3</v>
      </c>
      <c r="K28" s="433" t="str">
        <f>INDEX('Master Data'!$P$74:$P$802,MATCH(B28,'Master Data'!$B$74:$B$802,0))</f>
        <v>Minivan</v>
      </c>
    </row>
    <row r="29" spans="2:11">
      <c r="B29" s="431" t="s">
        <v>181</v>
      </c>
      <c r="C29" s="431" t="s">
        <v>113</v>
      </c>
      <c r="D29" s="288" t="str">
        <f t="shared" si="1"/>
        <v>Intermediate</v>
      </c>
      <c r="E29" s="287">
        <f>INDEX('Master Data'!$Q$74:$Q$802,MATCH(B29,'Master Data'!$B$74:$B$802,0))</f>
        <v>5.5</v>
      </c>
      <c r="F29" s="433">
        <f>INDEX('Master Data'!$R$74:$R$802,MATCH(B29,'Master Data'!$B$74:$B$802,0))</f>
        <v>0.66</v>
      </c>
      <c r="G29" s="434">
        <f t="shared" si="0"/>
        <v>0</v>
      </c>
      <c r="H29" s="435">
        <f t="shared" si="2"/>
        <v>0</v>
      </c>
      <c r="I29" s="435">
        <f>INDEX('Master Data'!$U$74:$U$802,MATCH(B29,'Master Data'!$B$74:$B$802,0))</f>
        <v>1</v>
      </c>
      <c r="J29" s="435">
        <f>INDEX('Master Data'!$V$74:$V$802,MATCH(B29,'Master Data'!$B$74:$B$802,0))</f>
        <v>3</v>
      </c>
      <c r="K29" s="433" t="str">
        <f>INDEX('Master Data'!$P$74:$P$802,MATCH(B29,'Master Data'!$B$74:$B$802,0))</f>
        <v>Minivan</v>
      </c>
    </row>
    <row r="30" spans="2:11">
      <c r="B30" s="431" t="s">
        <v>182</v>
      </c>
      <c r="C30" s="431" t="s">
        <v>113</v>
      </c>
      <c r="D30" s="288" t="str">
        <f t="shared" si="1"/>
        <v>Intermediate</v>
      </c>
      <c r="E30" s="287">
        <f>INDEX('Master Data'!$Q$74:$Q$802,MATCH(B30,'Master Data'!$B$74:$B$802,0))</f>
        <v>6</v>
      </c>
      <c r="F30" s="433">
        <f>INDEX('Master Data'!$R$74:$R$802,MATCH(B30,'Master Data'!$B$74:$B$802,0))</f>
        <v>0.66</v>
      </c>
      <c r="G30" s="434">
        <f t="shared" si="0"/>
        <v>0</v>
      </c>
      <c r="H30" s="435">
        <f t="shared" si="2"/>
        <v>0</v>
      </c>
      <c r="I30" s="435">
        <f>INDEX('Master Data'!$U$74:$U$802,MATCH(B30,'Master Data'!$B$74:$B$802,0))</f>
        <v>1</v>
      </c>
      <c r="J30" s="435">
        <f>INDEX('Master Data'!$V$74:$V$802,MATCH(B30,'Master Data'!$B$74:$B$802,0))</f>
        <v>3</v>
      </c>
      <c r="K30" s="433" t="str">
        <f>INDEX('Master Data'!$P$74:$P$802,MATCH(B30,'Master Data'!$B$74:$B$802,0))</f>
        <v>Minivan</v>
      </c>
    </row>
    <row r="31" spans="2:11">
      <c r="B31" s="431" t="s">
        <v>183</v>
      </c>
      <c r="C31" s="431" t="s">
        <v>113</v>
      </c>
      <c r="D31" s="288" t="str">
        <f t="shared" si="1"/>
        <v>Intermediate</v>
      </c>
      <c r="E31" s="287">
        <f>INDEX('Master Data'!$Q$74:$Q$802,MATCH(B31,'Master Data'!$B$74:$B$802,0))</f>
        <v>6.5</v>
      </c>
      <c r="F31" s="433">
        <f>INDEX('Master Data'!$R$74:$R$802,MATCH(B31,'Master Data'!$B$74:$B$802,0))</f>
        <v>0.66</v>
      </c>
      <c r="G31" s="434">
        <f t="shared" si="0"/>
        <v>0</v>
      </c>
      <c r="H31" s="435">
        <f t="shared" si="2"/>
        <v>0</v>
      </c>
      <c r="I31" s="435">
        <f>INDEX('Master Data'!$U$74:$U$802,MATCH(B31,'Master Data'!$B$74:$B$802,0))</f>
        <v>1</v>
      </c>
      <c r="J31" s="435">
        <f>INDEX('Master Data'!$V$74:$V$802,MATCH(B31,'Master Data'!$B$74:$B$802,0))</f>
        <v>3</v>
      </c>
      <c r="K31" s="433" t="str">
        <f>INDEX('Master Data'!$P$74:$P$802,MATCH(B31,'Master Data'!$B$74:$B$802,0))</f>
        <v>Minivan</v>
      </c>
    </row>
    <row r="32" spans="2:11">
      <c r="B32" s="431" t="s">
        <v>184</v>
      </c>
      <c r="C32" s="431" t="s">
        <v>113</v>
      </c>
      <c r="D32" s="288" t="str">
        <f t="shared" si="1"/>
        <v>Intermediate</v>
      </c>
      <c r="E32" s="287">
        <f>INDEX('Master Data'!$Q$74:$Q$802,MATCH(B32,'Master Data'!$B$74:$B$802,0))</f>
        <v>7</v>
      </c>
      <c r="F32" s="433">
        <f>INDEX('Master Data'!$R$74:$R$802,MATCH(B32,'Master Data'!$B$74:$B$802,0))</f>
        <v>0.66</v>
      </c>
      <c r="G32" s="434">
        <f t="shared" si="0"/>
        <v>0</v>
      </c>
      <c r="H32" s="435">
        <f t="shared" si="2"/>
        <v>0</v>
      </c>
      <c r="I32" s="435">
        <f>INDEX('Master Data'!$U$74:$U$802,MATCH(B32,'Master Data'!$B$74:$B$802,0))</f>
        <v>1</v>
      </c>
      <c r="J32" s="435">
        <f>INDEX('Master Data'!$V$74:$V$802,MATCH(B32,'Master Data'!$B$74:$B$802,0))</f>
        <v>3</v>
      </c>
      <c r="K32" s="433" t="str">
        <f>INDEX('Master Data'!$P$74:$P$802,MATCH(B32,'Master Data'!$B$74:$B$802,0))</f>
        <v>Minivan</v>
      </c>
    </row>
    <row r="33" spans="2:11">
      <c r="B33" s="431" t="s">
        <v>185</v>
      </c>
      <c r="C33" s="431" t="s">
        <v>113</v>
      </c>
      <c r="D33" s="288" t="str">
        <f t="shared" si="1"/>
        <v>Intermediate</v>
      </c>
      <c r="E33" s="287">
        <f>INDEX('Master Data'!$Q$74:$Q$802,MATCH(B33,'Master Data'!$B$74:$B$802,0))</f>
        <v>7.5</v>
      </c>
      <c r="F33" s="433">
        <f>INDEX('Master Data'!$R$74:$R$802,MATCH(B33,'Master Data'!$B$74:$B$802,0))</f>
        <v>0.66</v>
      </c>
      <c r="G33" s="434">
        <f t="shared" si="0"/>
        <v>0</v>
      </c>
      <c r="H33" s="435">
        <f t="shared" si="2"/>
        <v>0</v>
      </c>
      <c r="I33" s="435">
        <f>INDEX('Master Data'!$U$74:$U$802,MATCH(B33,'Master Data'!$B$74:$B$802,0))</f>
        <v>1</v>
      </c>
      <c r="J33" s="435">
        <f>INDEX('Master Data'!$V$74:$V$802,MATCH(B33,'Master Data'!$B$74:$B$802,0))</f>
        <v>3</v>
      </c>
      <c r="K33" s="433" t="str">
        <f>INDEX('Master Data'!$P$74:$P$802,MATCH(B33,'Master Data'!$B$74:$B$802,0))</f>
        <v>Minivan</v>
      </c>
    </row>
    <row r="34" spans="2:11">
      <c r="B34" s="431" t="s">
        <v>186</v>
      </c>
      <c r="C34" s="431" t="s">
        <v>113</v>
      </c>
      <c r="D34" s="288" t="str">
        <f t="shared" si="1"/>
        <v>Intermediate</v>
      </c>
      <c r="E34" s="287">
        <f>INDEX('Master Data'!$Q$74:$Q$802,MATCH(B34,'Master Data'!$B$74:$B$802,0))</f>
        <v>8</v>
      </c>
      <c r="F34" s="433">
        <f>INDEX('Master Data'!$R$74:$R$802,MATCH(B34,'Master Data'!$B$74:$B$802,0))</f>
        <v>0.66</v>
      </c>
      <c r="G34" s="434">
        <f t="shared" si="0"/>
        <v>0</v>
      </c>
      <c r="H34" s="435">
        <f t="shared" si="2"/>
        <v>0</v>
      </c>
      <c r="I34" s="435">
        <f>INDEX('Master Data'!$U$74:$U$802,MATCH(B34,'Master Data'!$B$74:$B$802,0))</f>
        <v>1</v>
      </c>
      <c r="J34" s="435">
        <f>INDEX('Master Data'!$V$74:$V$802,MATCH(B34,'Master Data'!$B$74:$B$802,0))</f>
        <v>3</v>
      </c>
      <c r="K34" s="433" t="str">
        <f>INDEX('Master Data'!$P$74:$P$802,MATCH(B34,'Master Data'!$B$74:$B$802,0))</f>
        <v>Minivan</v>
      </c>
    </row>
    <row r="35" spans="2:11">
      <c r="B35" s="431" t="s">
        <v>187</v>
      </c>
      <c r="C35" s="431" t="s">
        <v>113</v>
      </c>
      <c r="D35" s="288" t="str">
        <f t="shared" si="1"/>
        <v>Intermediate</v>
      </c>
      <c r="E35" s="287">
        <f>INDEX('Master Data'!$Q$74:$Q$802,MATCH(B35,'Master Data'!$B$74:$B$802,0))</f>
        <v>8.5</v>
      </c>
      <c r="F35" s="433">
        <f>INDEX('Master Data'!$R$74:$R$802,MATCH(B35,'Master Data'!$B$74:$B$802,0))</f>
        <v>0.66</v>
      </c>
      <c r="G35" s="434">
        <f t="shared" si="0"/>
        <v>0</v>
      </c>
      <c r="H35" s="435">
        <f t="shared" si="2"/>
        <v>0</v>
      </c>
      <c r="I35" s="435">
        <f>INDEX('Master Data'!$U$74:$U$802,MATCH(B35,'Master Data'!$B$74:$B$802,0))</f>
        <v>1</v>
      </c>
      <c r="J35" s="435">
        <f>INDEX('Master Data'!$V$74:$V$802,MATCH(B35,'Master Data'!$B$74:$B$802,0))</f>
        <v>3</v>
      </c>
      <c r="K35" s="433" t="str">
        <f>INDEX('Master Data'!$P$74:$P$802,MATCH(B35,'Master Data'!$B$74:$B$802,0))</f>
        <v>Minivan</v>
      </c>
    </row>
    <row r="36" spans="2:11">
      <c r="B36" s="431" t="s">
        <v>188</v>
      </c>
      <c r="C36" s="431" t="s">
        <v>113</v>
      </c>
      <c r="D36" s="288" t="str">
        <f t="shared" si="1"/>
        <v>Intermediate</v>
      </c>
      <c r="E36" s="287">
        <f>INDEX('Master Data'!$Q$74:$Q$802,MATCH(B36,'Master Data'!$B$74:$B$802,0))</f>
        <v>9</v>
      </c>
      <c r="F36" s="433">
        <f>INDEX('Master Data'!$R$74:$R$802,MATCH(B36,'Master Data'!$B$74:$B$802,0))</f>
        <v>0.66</v>
      </c>
      <c r="G36" s="434">
        <f t="shared" si="0"/>
        <v>0</v>
      </c>
      <c r="H36" s="435">
        <f t="shared" si="2"/>
        <v>0</v>
      </c>
      <c r="I36" s="435">
        <f>INDEX('Master Data'!$U$74:$U$802,MATCH(B36,'Master Data'!$B$74:$B$802,0))</f>
        <v>1</v>
      </c>
      <c r="J36" s="435">
        <f>INDEX('Master Data'!$V$74:$V$802,MATCH(B36,'Master Data'!$B$74:$B$802,0))</f>
        <v>3</v>
      </c>
      <c r="K36" s="433" t="str">
        <f>INDEX('Master Data'!$P$74:$P$802,MATCH(B36,'Master Data'!$B$74:$B$802,0))</f>
        <v>Minivan</v>
      </c>
    </row>
    <row r="37" spans="2:11">
      <c r="B37" s="431" t="s">
        <v>189</v>
      </c>
      <c r="C37" s="431" t="s">
        <v>113</v>
      </c>
      <c r="D37" s="288" t="str">
        <f t="shared" si="1"/>
        <v>Intermediate</v>
      </c>
      <c r="E37" s="287">
        <f>INDEX('Master Data'!$Q$74:$Q$802,MATCH(B37,'Master Data'!$B$74:$B$802,0))</f>
        <v>9.5</v>
      </c>
      <c r="F37" s="433">
        <f>INDEX('Master Data'!$R$74:$R$802,MATCH(B37,'Master Data'!$B$74:$B$802,0))</f>
        <v>0.66</v>
      </c>
      <c r="G37" s="434">
        <f t="shared" si="0"/>
        <v>0</v>
      </c>
      <c r="H37" s="435">
        <f t="shared" si="2"/>
        <v>0</v>
      </c>
      <c r="I37" s="435">
        <f>INDEX('Master Data'!$U$74:$U$802,MATCH(B37,'Master Data'!$B$74:$B$802,0))</f>
        <v>1</v>
      </c>
      <c r="J37" s="435">
        <f>INDEX('Master Data'!$V$74:$V$802,MATCH(B37,'Master Data'!$B$74:$B$802,0))</f>
        <v>3</v>
      </c>
      <c r="K37" s="433" t="str">
        <f>INDEX('Master Data'!$P$74:$P$802,MATCH(B37,'Master Data'!$B$74:$B$802,0))</f>
        <v>Minivan</v>
      </c>
    </row>
    <row r="38" spans="2:11">
      <c r="B38" s="431" t="s">
        <v>190</v>
      </c>
      <c r="C38" s="431" t="s">
        <v>113</v>
      </c>
      <c r="D38" s="288" t="str">
        <f t="shared" si="1"/>
        <v>Intermediate</v>
      </c>
      <c r="E38" s="287">
        <f>INDEX('Master Data'!$Q$74:$Q$802,MATCH(B38,'Master Data'!$B$74:$B$802,0))</f>
        <v>10</v>
      </c>
      <c r="F38" s="433">
        <f>INDEX('Master Data'!$R$74:$R$802,MATCH(B38,'Master Data'!$B$74:$B$802,0))</f>
        <v>0.66</v>
      </c>
      <c r="G38" s="434">
        <f t="shared" si="0"/>
        <v>0</v>
      </c>
      <c r="H38" s="435">
        <f t="shared" si="2"/>
        <v>0</v>
      </c>
      <c r="I38" s="435">
        <f>INDEX('Master Data'!$U$74:$U$802,MATCH(B38,'Master Data'!$B$74:$B$802,0))</f>
        <v>1</v>
      </c>
      <c r="J38" s="435">
        <f>INDEX('Master Data'!$V$74:$V$802,MATCH(B38,'Master Data'!$B$74:$B$802,0))</f>
        <v>3</v>
      </c>
      <c r="K38" s="433" t="str">
        <f>INDEX('Master Data'!$P$74:$P$802,MATCH(B38,'Master Data'!$B$74:$B$802,0))</f>
        <v>Minivan</v>
      </c>
    </row>
    <row r="39" spans="2:11">
      <c r="B39" s="431" t="s">
        <v>191</v>
      </c>
      <c r="C39" s="431" t="s">
        <v>113</v>
      </c>
      <c r="D39" s="288" t="str">
        <f t="shared" si="1"/>
        <v>Intermediate</v>
      </c>
      <c r="E39" s="287">
        <f>INDEX('Master Data'!$Q$74:$Q$802,MATCH(B39,'Master Data'!$B$74:$B$802,0))</f>
        <v>10.5</v>
      </c>
      <c r="F39" s="433">
        <f>INDEX('Master Data'!$R$74:$R$802,MATCH(B39,'Master Data'!$B$74:$B$802,0))</f>
        <v>0.66</v>
      </c>
      <c r="G39" s="434">
        <f t="shared" si="0"/>
        <v>0</v>
      </c>
      <c r="H39" s="435">
        <f t="shared" si="2"/>
        <v>0</v>
      </c>
      <c r="I39" s="435">
        <f>INDEX('Master Data'!$U$74:$U$802,MATCH(B39,'Master Data'!$B$74:$B$802,0))</f>
        <v>1</v>
      </c>
      <c r="J39" s="435">
        <f>INDEX('Master Data'!$V$74:$V$802,MATCH(B39,'Master Data'!$B$74:$B$802,0))</f>
        <v>3</v>
      </c>
      <c r="K39" s="433" t="str">
        <f>INDEX('Master Data'!$P$74:$P$802,MATCH(B39,'Master Data'!$B$74:$B$802,0))</f>
        <v>Minivan</v>
      </c>
    </row>
    <row r="40" spans="2:11">
      <c r="B40" s="431" t="s">
        <v>192</v>
      </c>
      <c r="C40" s="431" t="s">
        <v>113</v>
      </c>
      <c r="D40" s="288" t="str">
        <f t="shared" si="1"/>
        <v>Intermediate</v>
      </c>
      <c r="E40" s="287">
        <f>INDEX('Master Data'!$Q$74:$Q$802,MATCH(B40,'Master Data'!$B$74:$B$802,0))</f>
        <v>11</v>
      </c>
      <c r="F40" s="433">
        <f>INDEX('Master Data'!$R$74:$R$802,MATCH(B40,'Master Data'!$B$74:$B$802,0))</f>
        <v>0.66</v>
      </c>
      <c r="G40" s="434">
        <f t="shared" si="0"/>
        <v>0</v>
      </c>
      <c r="H40" s="435">
        <f t="shared" si="2"/>
        <v>0</v>
      </c>
      <c r="I40" s="435">
        <f>INDEX('Master Data'!$U$74:$U$802,MATCH(B40,'Master Data'!$B$74:$B$802,0))</f>
        <v>1</v>
      </c>
      <c r="J40" s="435">
        <f>INDEX('Master Data'!$V$74:$V$802,MATCH(B40,'Master Data'!$B$74:$B$802,0))</f>
        <v>3</v>
      </c>
      <c r="K40" s="433" t="str">
        <f>INDEX('Master Data'!$P$74:$P$802,MATCH(B40,'Master Data'!$B$74:$B$802,0))</f>
        <v>Minivan</v>
      </c>
    </row>
    <row r="41" spans="2:11">
      <c r="B41" s="431" t="s">
        <v>193</v>
      </c>
      <c r="C41" s="431" t="s">
        <v>113</v>
      </c>
      <c r="D41" s="288" t="str">
        <f t="shared" si="1"/>
        <v>Medical</v>
      </c>
      <c r="E41" s="287">
        <f>INDEX('Master Data'!$Q$74:$Q$802,MATCH(B41,'Master Data'!$B$74:$B$802,0))</f>
        <v>3.5</v>
      </c>
      <c r="F41" s="433">
        <f>INDEX('Master Data'!$R$74:$R$802,MATCH(B41,'Master Data'!$B$74:$B$802,0))</f>
        <v>0.66</v>
      </c>
      <c r="G41" s="434">
        <f>IF(LEFT(B41,1)="M",IF(RIGHT(B41,1)="1",0.25,IF(RIGHT(B41,1)="2",0.35,IF(RIGHT(B41,1)="3",0.45,0))),0)</f>
        <v>0.25</v>
      </c>
      <c r="H41" s="435">
        <f t="shared" si="2"/>
        <v>0.875</v>
      </c>
      <c r="I41" s="435">
        <f>INDEX('Master Data'!$U$74:$U$802,MATCH(B41,'Master Data'!$B$74:$B$802,0))</f>
        <v>1</v>
      </c>
      <c r="J41" s="435">
        <f>INDEX('Master Data'!$V$74:$V$802,MATCH(B41,'Master Data'!$B$74:$B$802,0))</f>
        <v>3</v>
      </c>
      <c r="K41" s="433" t="str">
        <f>INDEX('Master Data'!$P$74:$P$802,MATCH(B41,'Master Data'!$B$74:$B$802,0))</f>
        <v>Minivan</v>
      </c>
    </row>
    <row r="42" spans="2:11">
      <c r="B42" s="431" t="s">
        <v>194</v>
      </c>
      <c r="C42" s="431" t="s">
        <v>113</v>
      </c>
      <c r="D42" s="288" t="str">
        <f t="shared" si="1"/>
        <v>Medical</v>
      </c>
      <c r="E42" s="287">
        <f>INDEX('Master Data'!$Q$74:$Q$802,MATCH(B42,'Master Data'!$B$74:$B$802,0))</f>
        <v>4</v>
      </c>
      <c r="F42" s="433">
        <f>INDEX('Master Data'!$R$74:$R$802,MATCH(B42,'Master Data'!$B$74:$B$802,0))</f>
        <v>0.66</v>
      </c>
      <c r="G42" s="434">
        <f t="shared" ref="G42:G105" si="3">IF(LEFT(B42,1)="M",IF(RIGHT(B42,1)="1",0.25,IF(RIGHT(B42,1)="2",0.35,IF(RIGHT(B42,1)="3",0.45,0))),0)</f>
        <v>0.25</v>
      </c>
      <c r="H42" s="435">
        <f t="shared" si="2"/>
        <v>1</v>
      </c>
      <c r="I42" s="435">
        <f>INDEX('Master Data'!$U$74:$U$802,MATCH(B42,'Master Data'!$B$74:$B$802,0))</f>
        <v>1</v>
      </c>
      <c r="J42" s="435">
        <f>INDEX('Master Data'!$V$74:$V$802,MATCH(B42,'Master Data'!$B$74:$B$802,0))</f>
        <v>3</v>
      </c>
      <c r="K42" s="433" t="str">
        <f>INDEX('Master Data'!$P$74:$P$802,MATCH(B42,'Master Data'!$B$74:$B$802,0))</f>
        <v>Minivan</v>
      </c>
    </row>
    <row r="43" spans="2:11">
      <c r="B43" s="431" t="s">
        <v>195</v>
      </c>
      <c r="C43" s="431" t="s">
        <v>113</v>
      </c>
      <c r="D43" s="288" t="str">
        <f t="shared" si="1"/>
        <v>Medical</v>
      </c>
      <c r="E43" s="287">
        <f>INDEX('Master Data'!$Q$74:$Q$802,MATCH(B43,'Master Data'!$B$74:$B$802,0))</f>
        <v>4.5</v>
      </c>
      <c r="F43" s="433">
        <f>INDEX('Master Data'!$R$74:$R$802,MATCH(B43,'Master Data'!$B$74:$B$802,0))</f>
        <v>0.66</v>
      </c>
      <c r="G43" s="434">
        <f t="shared" si="3"/>
        <v>0.25</v>
      </c>
      <c r="H43" s="435">
        <f t="shared" si="2"/>
        <v>1.125</v>
      </c>
      <c r="I43" s="435">
        <f>INDEX('Master Data'!$U$74:$U$802,MATCH(B43,'Master Data'!$B$74:$B$802,0))</f>
        <v>1</v>
      </c>
      <c r="J43" s="435">
        <f>INDEX('Master Data'!$V$74:$V$802,MATCH(B43,'Master Data'!$B$74:$B$802,0))</f>
        <v>3</v>
      </c>
      <c r="K43" s="433" t="str">
        <f>INDEX('Master Data'!$P$74:$P$802,MATCH(B43,'Master Data'!$B$74:$B$802,0))</f>
        <v>Minivan</v>
      </c>
    </row>
    <row r="44" spans="2:11">
      <c r="B44" s="431" t="s">
        <v>196</v>
      </c>
      <c r="C44" s="431" t="s">
        <v>113</v>
      </c>
      <c r="D44" s="288" t="str">
        <f t="shared" si="1"/>
        <v>Medical</v>
      </c>
      <c r="E44" s="287">
        <f>INDEX('Master Data'!$Q$74:$Q$802,MATCH(B44,'Master Data'!$B$74:$B$802,0))</f>
        <v>5</v>
      </c>
      <c r="F44" s="433">
        <f>INDEX('Master Data'!$R$74:$R$802,MATCH(B44,'Master Data'!$B$74:$B$802,0))</f>
        <v>0.66</v>
      </c>
      <c r="G44" s="434">
        <f t="shared" si="3"/>
        <v>0.25</v>
      </c>
      <c r="H44" s="435">
        <f t="shared" si="2"/>
        <v>1.25</v>
      </c>
      <c r="I44" s="435">
        <f>INDEX('Master Data'!$U$74:$U$802,MATCH(B44,'Master Data'!$B$74:$B$802,0))</f>
        <v>1</v>
      </c>
      <c r="J44" s="435">
        <f>INDEX('Master Data'!$V$74:$V$802,MATCH(B44,'Master Data'!$B$74:$B$802,0))</f>
        <v>3</v>
      </c>
      <c r="K44" s="433" t="str">
        <f>INDEX('Master Data'!$P$74:$P$802,MATCH(B44,'Master Data'!$B$74:$B$802,0))</f>
        <v>Minivan</v>
      </c>
    </row>
    <row r="45" spans="2:11">
      <c r="B45" s="431" t="s">
        <v>197</v>
      </c>
      <c r="C45" s="431" t="s">
        <v>113</v>
      </c>
      <c r="D45" s="288" t="str">
        <f t="shared" si="1"/>
        <v>Medical</v>
      </c>
      <c r="E45" s="287">
        <f>INDEX('Master Data'!$Q$74:$Q$802,MATCH(B45,'Master Data'!$B$74:$B$802,0))</f>
        <v>5.5</v>
      </c>
      <c r="F45" s="433">
        <f>INDEX('Master Data'!$R$74:$R$802,MATCH(B45,'Master Data'!$B$74:$B$802,0))</f>
        <v>0.66</v>
      </c>
      <c r="G45" s="434">
        <f t="shared" si="3"/>
        <v>0.25</v>
      </c>
      <c r="H45" s="435">
        <f t="shared" si="2"/>
        <v>1.375</v>
      </c>
      <c r="I45" s="435">
        <f>INDEX('Master Data'!$U$74:$U$802,MATCH(B45,'Master Data'!$B$74:$B$802,0))</f>
        <v>1</v>
      </c>
      <c r="J45" s="435">
        <f>INDEX('Master Data'!$V$74:$V$802,MATCH(B45,'Master Data'!$B$74:$B$802,0))</f>
        <v>3</v>
      </c>
      <c r="K45" s="433" t="str">
        <f>INDEX('Master Data'!$P$74:$P$802,MATCH(B45,'Master Data'!$B$74:$B$802,0))</f>
        <v>Minivan</v>
      </c>
    </row>
    <row r="46" spans="2:11">
      <c r="B46" s="431" t="s">
        <v>198</v>
      </c>
      <c r="C46" s="431" t="s">
        <v>113</v>
      </c>
      <c r="D46" s="288" t="str">
        <f t="shared" si="1"/>
        <v>Medical</v>
      </c>
      <c r="E46" s="287">
        <f>INDEX('Master Data'!$Q$74:$Q$802,MATCH(B46,'Master Data'!$B$74:$B$802,0))</f>
        <v>6</v>
      </c>
      <c r="F46" s="433">
        <f>INDEX('Master Data'!$R$74:$R$802,MATCH(B46,'Master Data'!$B$74:$B$802,0))</f>
        <v>0.66</v>
      </c>
      <c r="G46" s="434">
        <f t="shared" si="3"/>
        <v>0.25</v>
      </c>
      <c r="H46" s="435">
        <f t="shared" si="2"/>
        <v>1.5</v>
      </c>
      <c r="I46" s="435">
        <f>INDEX('Master Data'!$U$74:$U$802,MATCH(B46,'Master Data'!$B$74:$B$802,0))</f>
        <v>1</v>
      </c>
      <c r="J46" s="435">
        <f>INDEX('Master Data'!$V$74:$V$802,MATCH(B46,'Master Data'!$B$74:$B$802,0))</f>
        <v>3</v>
      </c>
      <c r="K46" s="433" t="str">
        <f>INDEX('Master Data'!$P$74:$P$802,MATCH(B46,'Master Data'!$B$74:$B$802,0))</f>
        <v>Minivan</v>
      </c>
    </row>
    <row r="47" spans="2:11">
      <c r="B47" s="431" t="s">
        <v>199</v>
      </c>
      <c r="C47" s="431" t="s">
        <v>113</v>
      </c>
      <c r="D47" s="288" t="str">
        <f t="shared" si="1"/>
        <v>Medical</v>
      </c>
      <c r="E47" s="287">
        <f>INDEX('Master Data'!$Q$74:$Q$802,MATCH(B47,'Master Data'!$B$74:$B$802,0))</f>
        <v>6.5</v>
      </c>
      <c r="F47" s="433">
        <f>INDEX('Master Data'!$R$74:$R$802,MATCH(B47,'Master Data'!$B$74:$B$802,0))</f>
        <v>0.66</v>
      </c>
      <c r="G47" s="434">
        <f t="shared" si="3"/>
        <v>0.25</v>
      </c>
      <c r="H47" s="435">
        <f t="shared" si="2"/>
        <v>1.625</v>
      </c>
      <c r="I47" s="435">
        <f>INDEX('Master Data'!$U$74:$U$802,MATCH(B47,'Master Data'!$B$74:$B$802,0))</f>
        <v>1</v>
      </c>
      <c r="J47" s="435">
        <f>INDEX('Master Data'!$V$74:$V$802,MATCH(B47,'Master Data'!$B$74:$B$802,0))</f>
        <v>3</v>
      </c>
      <c r="K47" s="433" t="str">
        <f>INDEX('Master Data'!$P$74:$P$802,MATCH(B47,'Master Data'!$B$74:$B$802,0))</f>
        <v>Minivan</v>
      </c>
    </row>
    <row r="48" spans="2:11">
      <c r="B48" s="431" t="s">
        <v>200</v>
      </c>
      <c r="C48" s="431" t="s">
        <v>113</v>
      </c>
      <c r="D48" s="288" t="str">
        <f t="shared" si="1"/>
        <v>Medical</v>
      </c>
      <c r="E48" s="287">
        <f>INDEX('Master Data'!$Q$74:$Q$802,MATCH(B48,'Master Data'!$B$74:$B$802,0))</f>
        <v>7</v>
      </c>
      <c r="F48" s="433">
        <f>INDEX('Master Data'!$R$74:$R$802,MATCH(B48,'Master Data'!$B$74:$B$802,0))</f>
        <v>0.66</v>
      </c>
      <c r="G48" s="434">
        <f t="shared" si="3"/>
        <v>0.25</v>
      </c>
      <c r="H48" s="435">
        <f t="shared" si="2"/>
        <v>1.75</v>
      </c>
      <c r="I48" s="435">
        <f>INDEX('Master Data'!$U$74:$U$802,MATCH(B48,'Master Data'!$B$74:$B$802,0))</f>
        <v>1</v>
      </c>
      <c r="J48" s="435">
        <f>INDEX('Master Data'!$V$74:$V$802,MATCH(B48,'Master Data'!$B$74:$B$802,0))</f>
        <v>3</v>
      </c>
      <c r="K48" s="433" t="str">
        <f>INDEX('Master Data'!$P$74:$P$802,MATCH(B48,'Master Data'!$B$74:$B$802,0))</f>
        <v>Minivan</v>
      </c>
    </row>
    <row r="49" spans="2:11">
      <c r="B49" s="431" t="s">
        <v>201</v>
      </c>
      <c r="C49" s="431" t="s">
        <v>113</v>
      </c>
      <c r="D49" s="288" t="str">
        <f t="shared" si="1"/>
        <v>Medical</v>
      </c>
      <c r="E49" s="287">
        <f>INDEX('Master Data'!$Q$74:$Q$802,MATCH(B49,'Master Data'!$B$74:$B$802,0))</f>
        <v>7.5</v>
      </c>
      <c r="F49" s="433">
        <f>INDEX('Master Data'!$R$74:$R$802,MATCH(B49,'Master Data'!$B$74:$B$802,0))</f>
        <v>0.66</v>
      </c>
      <c r="G49" s="434">
        <f t="shared" si="3"/>
        <v>0.25</v>
      </c>
      <c r="H49" s="435">
        <f t="shared" si="2"/>
        <v>1.875</v>
      </c>
      <c r="I49" s="435">
        <f>INDEX('Master Data'!$U$74:$U$802,MATCH(B49,'Master Data'!$B$74:$B$802,0))</f>
        <v>1</v>
      </c>
      <c r="J49" s="435">
        <f>INDEX('Master Data'!$V$74:$V$802,MATCH(B49,'Master Data'!$B$74:$B$802,0))</f>
        <v>3</v>
      </c>
      <c r="K49" s="433" t="str">
        <f>INDEX('Master Data'!$P$74:$P$802,MATCH(B49,'Master Data'!$B$74:$B$802,0))</f>
        <v>Minivan</v>
      </c>
    </row>
    <row r="50" spans="2:11">
      <c r="B50" s="431" t="s">
        <v>202</v>
      </c>
      <c r="C50" s="431" t="s">
        <v>113</v>
      </c>
      <c r="D50" s="288" t="str">
        <f t="shared" si="1"/>
        <v>Medical</v>
      </c>
      <c r="E50" s="287">
        <f>INDEX('Master Data'!$Q$74:$Q$802,MATCH(B50,'Master Data'!$B$74:$B$802,0))</f>
        <v>8</v>
      </c>
      <c r="F50" s="433">
        <f>INDEX('Master Data'!$R$74:$R$802,MATCH(B50,'Master Data'!$B$74:$B$802,0))</f>
        <v>0.66</v>
      </c>
      <c r="G50" s="434">
        <f t="shared" si="3"/>
        <v>0.25</v>
      </c>
      <c r="H50" s="435">
        <f t="shared" si="2"/>
        <v>2</v>
      </c>
      <c r="I50" s="435">
        <f>INDEX('Master Data'!$U$74:$U$802,MATCH(B50,'Master Data'!$B$74:$B$802,0))</f>
        <v>1</v>
      </c>
      <c r="J50" s="435">
        <f>INDEX('Master Data'!$V$74:$V$802,MATCH(B50,'Master Data'!$B$74:$B$802,0))</f>
        <v>3</v>
      </c>
      <c r="K50" s="433" t="str">
        <f>INDEX('Master Data'!$P$74:$P$802,MATCH(B50,'Master Data'!$B$74:$B$802,0))</f>
        <v>Minivan</v>
      </c>
    </row>
    <row r="51" spans="2:11">
      <c r="B51" s="431" t="s">
        <v>203</v>
      </c>
      <c r="C51" s="431" t="s">
        <v>113</v>
      </c>
      <c r="D51" s="288" t="str">
        <f t="shared" si="1"/>
        <v>Medical</v>
      </c>
      <c r="E51" s="287">
        <f>INDEX('Master Data'!$Q$74:$Q$802,MATCH(B51,'Master Data'!$B$74:$B$802,0))</f>
        <v>8.5</v>
      </c>
      <c r="F51" s="433">
        <f>INDEX('Master Data'!$R$74:$R$802,MATCH(B51,'Master Data'!$B$74:$B$802,0))</f>
        <v>0.66</v>
      </c>
      <c r="G51" s="434">
        <f t="shared" si="3"/>
        <v>0.25</v>
      </c>
      <c r="H51" s="435">
        <f t="shared" si="2"/>
        <v>2.125</v>
      </c>
      <c r="I51" s="435">
        <f>INDEX('Master Data'!$U$74:$U$802,MATCH(B51,'Master Data'!$B$74:$B$802,0))</f>
        <v>1</v>
      </c>
      <c r="J51" s="435">
        <f>INDEX('Master Data'!$V$74:$V$802,MATCH(B51,'Master Data'!$B$74:$B$802,0))</f>
        <v>3</v>
      </c>
      <c r="K51" s="433" t="str">
        <f>INDEX('Master Data'!$P$74:$P$802,MATCH(B51,'Master Data'!$B$74:$B$802,0))</f>
        <v>Minivan</v>
      </c>
    </row>
    <row r="52" spans="2:11">
      <c r="B52" s="431" t="s">
        <v>204</v>
      </c>
      <c r="C52" s="431" t="s">
        <v>113</v>
      </c>
      <c r="D52" s="288" t="str">
        <f t="shared" si="1"/>
        <v>Medical</v>
      </c>
      <c r="E52" s="287">
        <f>INDEX('Master Data'!$Q$74:$Q$802,MATCH(B52,'Master Data'!$B$74:$B$802,0))</f>
        <v>9</v>
      </c>
      <c r="F52" s="433">
        <f>INDEX('Master Data'!$R$74:$R$802,MATCH(B52,'Master Data'!$B$74:$B$802,0))</f>
        <v>0.66</v>
      </c>
      <c r="G52" s="434">
        <f t="shared" si="3"/>
        <v>0.25</v>
      </c>
      <c r="H52" s="435">
        <f t="shared" si="2"/>
        <v>2.25</v>
      </c>
      <c r="I52" s="435">
        <f>INDEX('Master Data'!$U$74:$U$802,MATCH(B52,'Master Data'!$B$74:$B$802,0))</f>
        <v>1</v>
      </c>
      <c r="J52" s="435">
        <f>INDEX('Master Data'!$V$74:$V$802,MATCH(B52,'Master Data'!$B$74:$B$802,0))</f>
        <v>3</v>
      </c>
      <c r="K52" s="433" t="str">
        <f>INDEX('Master Data'!$P$74:$P$802,MATCH(B52,'Master Data'!$B$74:$B$802,0))</f>
        <v>Minivan</v>
      </c>
    </row>
    <row r="53" spans="2:11">
      <c r="B53" s="431" t="s">
        <v>205</v>
      </c>
      <c r="C53" s="431" t="s">
        <v>113</v>
      </c>
      <c r="D53" s="288" t="str">
        <f t="shared" si="1"/>
        <v>Medical</v>
      </c>
      <c r="E53" s="287">
        <f>INDEX('Master Data'!$Q$74:$Q$802,MATCH(B53,'Master Data'!$B$74:$B$802,0))</f>
        <v>9.5</v>
      </c>
      <c r="F53" s="433">
        <f>INDEX('Master Data'!$R$74:$R$802,MATCH(B53,'Master Data'!$B$74:$B$802,0))</f>
        <v>0.66</v>
      </c>
      <c r="G53" s="434">
        <f t="shared" si="3"/>
        <v>0.25</v>
      </c>
      <c r="H53" s="435">
        <f t="shared" si="2"/>
        <v>2.375</v>
      </c>
      <c r="I53" s="435">
        <f>INDEX('Master Data'!$U$74:$U$802,MATCH(B53,'Master Data'!$B$74:$B$802,0))</f>
        <v>1</v>
      </c>
      <c r="J53" s="435">
        <f>INDEX('Master Data'!$V$74:$V$802,MATCH(B53,'Master Data'!$B$74:$B$802,0))</f>
        <v>3</v>
      </c>
      <c r="K53" s="433" t="str">
        <f>INDEX('Master Data'!$P$74:$P$802,MATCH(B53,'Master Data'!$B$74:$B$802,0))</f>
        <v>Minivan</v>
      </c>
    </row>
    <row r="54" spans="2:11">
      <c r="B54" s="431" t="s">
        <v>206</v>
      </c>
      <c r="C54" s="431" t="s">
        <v>113</v>
      </c>
      <c r="D54" s="288" t="str">
        <f t="shared" si="1"/>
        <v>Medical</v>
      </c>
      <c r="E54" s="287">
        <f>INDEX('Master Data'!$Q$74:$Q$802,MATCH(B54,'Master Data'!$B$74:$B$802,0))</f>
        <v>10</v>
      </c>
      <c r="F54" s="433">
        <f>INDEX('Master Data'!$R$74:$R$802,MATCH(B54,'Master Data'!$B$74:$B$802,0))</f>
        <v>0.66</v>
      </c>
      <c r="G54" s="434">
        <f t="shared" si="3"/>
        <v>0.25</v>
      </c>
      <c r="H54" s="435">
        <f t="shared" si="2"/>
        <v>2.5</v>
      </c>
      <c r="I54" s="435">
        <f>INDEX('Master Data'!$U$74:$U$802,MATCH(B54,'Master Data'!$B$74:$B$802,0))</f>
        <v>1</v>
      </c>
      <c r="J54" s="435">
        <f>INDEX('Master Data'!$V$74:$V$802,MATCH(B54,'Master Data'!$B$74:$B$802,0))</f>
        <v>3</v>
      </c>
      <c r="K54" s="433" t="str">
        <f>INDEX('Master Data'!$P$74:$P$802,MATCH(B54,'Master Data'!$B$74:$B$802,0))</f>
        <v>Minivan</v>
      </c>
    </row>
    <row r="55" spans="2:11">
      <c r="B55" s="431" t="s">
        <v>207</v>
      </c>
      <c r="C55" s="431" t="s">
        <v>113</v>
      </c>
      <c r="D55" s="288" t="str">
        <f t="shared" si="1"/>
        <v>Medical</v>
      </c>
      <c r="E55" s="287">
        <f>INDEX('Master Data'!$Q$74:$Q$802,MATCH(B55,'Master Data'!$B$74:$B$802,0))</f>
        <v>10.5</v>
      </c>
      <c r="F55" s="433">
        <f>INDEX('Master Data'!$R$74:$R$802,MATCH(B55,'Master Data'!$B$74:$B$802,0))</f>
        <v>0.66</v>
      </c>
      <c r="G55" s="434">
        <f t="shared" si="3"/>
        <v>0.25</v>
      </c>
      <c r="H55" s="435">
        <f t="shared" si="2"/>
        <v>2.625</v>
      </c>
      <c r="I55" s="435">
        <f>INDEX('Master Data'!$U$74:$U$802,MATCH(B55,'Master Data'!$B$74:$B$802,0))</f>
        <v>1</v>
      </c>
      <c r="J55" s="435">
        <f>INDEX('Master Data'!$V$74:$V$802,MATCH(B55,'Master Data'!$B$74:$B$802,0))</f>
        <v>3</v>
      </c>
      <c r="K55" s="433" t="str">
        <f>INDEX('Master Data'!$P$74:$P$802,MATCH(B55,'Master Data'!$B$74:$B$802,0))</f>
        <v>Minivan</v>
      </c>
    </row>
    <row r="56" spans="2:11">
      <c r="B56" s="431" t="s">
        <v>208</v>
      </c>
      <c r="C56" s="431" t="s">
        <v>113</v>
      </c>
      <c r="D56" s="288" t="str">
        <f t="shared" si="1"/>
        <v>Medical</v>
      </c>
      <c r="E56" s="287">
        <f>INDEX('Master Data'!$Q$74:$Q$802,MATCH(B56,'Master Data'!$B$74:$B$802,0))</f>
        <v>11</v>
      </c>
      <c r="F56" s="433">
        <f>INDEX('Master Data'!$R$74:$R$802,MATCH(B56,'Master Data'!$B$74:$B$802,0))</f>
        <v>0.66</v>
      </c>
      <c r="G56" s="434">
        <f t="shared" si="3"/>
        <v>0.25</v>
      </c>
      <c r="H56" s="435">
        <f t="shared" si="2"/>
        <v>2.75</v>
      </c>
      <c r="I56" s="435">
        <f>INDEX('Master Data'!$U$74:$U$802,MATCH(B56,'Master Data'!$B$74:$B$802,0))</f>
        <v>1</v>
      </c>
      <c r="J56" s="435">
        <f>INDEX('Master Data'!$V$74:$V$802,MATCH(B56,'Master Data'!$B$74:$B$802,0))</f>
        <v>3</v>
      </c>
      <c r="K56" s="433" t="str">
        <f>INDEX('Master Data'!$P$74:$P$802,MATCH(B56,'Master Data'!$B$74:$B$802,0))</f>
        <v>Minivan</v>
      </c>
    </row>
    <row r="57" spans="2:11">
      <c r="B57" s="431" t="s">
        <v>209</v>
      </c>
      <c r="C57" s="431" t="s">
        <v>113</v>
      </c>
      <c r="D57" s="288" t="str">
        <f t="shared" si="1"/>
        <v>Medical</v>
      </c>
      <c r="E57" s="287">
        <f>INDEX('Master Data'!$Q$74:$Q$802,MATCH(B57,'Master Data'!$B$74:$B$802,0))</f>
        <v>3.5</v>
      </c>
      <c r="F57" s="433">
        <f>INDEX('Master Data'!$R$74:$R$802,MATCH(B57,'Master Data'!$B$74:$B$802,0))</f>
        <v>0.66</v>
      </c>
      <c r="G57" s="434">
        <f t="shared" si="3"/>
        <v>0.35</v>
      </c>
      <c r="H57" s="435">
        <f t="shared" si="2"/>
        <v>1.2249999999999999</v>
      </c>
      <c r="I57" s="435">
        <f>INDEX('Master Data'!$U$74:$U$802,MATCH(B57,'Master Data'!$B$74:$B$802,0))</f>
        <v>1</v>
      </c>
      <c r="J57" s="435">
        <f>INDEX('Master Data'!$V$74:$V$802,MATCH(B57,'Master Data'!$B$74:$B$802,0))</f>
        <v>3</v>
      </c>
      <c r="K57" s="433" t="str">
        <f>INDEX('Master Data'!$P$74:$P$802,MATCH(B57,'Master Data'!$B$74:$B$802,0))</f>
        <v>Minivan</v>
      </c>
    </row>
    <row r="58" spans="2:11">
      <c r="B58" s="431" t="s">
        <v>210</v>
      </c>
      <c r="C58" s="431" t="s">
        <v>113</v>
      </c>
      <c r="D58" s="288" t="str">
        <f t="shared" si="1"/>
        <v>Medical</v>
      </c>
      <c r="E58" s="287">
        <f>INDEX('Master Data'!$Q$74:$Q$802,MATCH(B58,'Master Data'!$B$74:$B$802,0))</f>
        <v>4</v>
      </c>
      <c r="F58" s="433">
        <f>INDEX('Master Data'!$R$74:$R$802,MATCH(B58,'Master Data'!$B$74:$B$802,0))</f>
        <v>0.66</v>
      </c>
      <c r="G58" s="434">
        <f t="shared" si="3"/>
        <v>0.35</v>
      </c>
      <c r="H58" s="435">
        <f t="shared" si="2"/>
        <v>1.4</v>
      </c>
      <c r="I58" s="435">
        <f>INDEX('Master Data'!$U$74:$U$802,MATCH(B58,'Master Data'!$B$74:$B$802,0))</f>
        <v>1</v>
      </c>
      <c r="J58" s="435">
        <f>INDEX('Master Data'!$V$74:$V$802,MATCH(B58,'Master Data'!$B$74:$B$802,0))</f>
        <v>3</v>
      </c>
      <c r="K58" s="433" t="str">
        <f>INDEX('Master Data'!$P$74:$P$802,MATCH(B58,'Master Data'!$B$74:$B$802,0))</f>
        <v>Minivan</v>
      </c>
    </row>
    <row r="59" spans="2:11">
      <c r="B59" s="431" t="s">
        <v>211</v>
      </c>
      <c r="C59" s="431" t="s">
        <v>113</v>
      </c>
      <c r="D59" s="288" t="str">
        <f t="shared" si="1"/>
        <v>Medical</v>
      </c>
      <c r="E59" s="287">
        <f>INDEX('Master Data'!$Q$74:$Q$802,MATCH(B59,'Master Data'!$B$74:$B$802,0))</f>
        <v>4.5</v>
      </c>
      <c r="F59" s="433">
        <f>INDEX('Master Data'!$R$74:$R$802,MATCH(B59,'Master Data'!$B$74:$B$802,0))</f>
        <v>0.66</v>
      </c>
      <c r="G59" s="434">
        <f t="shared" si="3"/>
        <v>0.35</v>
      </c>
      <c r="H59" s="435">
        <f t="shared" si="2"/>
        <v>1.575</v>
      </c>
      <c r="I59" s="435">
        <f>INDEX('Master Data'!$U$74:$U$802,MATCH(B59,'Master Data'!$B$74:$B$802,0))</f>
        <v>1</v>
      </c>
      <c r="J59" s="435">
        <f>INDEX('Master Data'!$V$74:$V$802,MATCH(B59,'Master Data'!$B$74:$B$802,0))</f>
        <v>3</v>
      </c>
      <c r="K59" s="433" t="str">
        <f>INDEX('Master Data'!$P$74:$P$802,MATCH(B59,'Master Data'!$B$74:$B$802,0))</f>
        <v>Minivan</v>
      </c>
    </row>
    <row r="60" spans="2:11">
      <c r="B60" s="431" t="s">
        <v>212</v>
      </c>
      <c r="C60" s="431" t="s">
        <v>113</v>
      </c>
      <c r="D60" s="288" t="str">
        <f t="shared" si="1"/>
        <v>Medical</v>
      </c>
      <c r="E60" s="287">
        <f>INDEX('Master Data'!$Q$74:$Q$802,MATCH(B60,'Master Data'!$B$74:$B$802,0))</f>
        <v>5</v>
      </c>
      <c r="F60" s="433">
        <f>INDEX('Master Data'!$R$74:$R$802,MATCH(B60,'Master Data'!$B$74:$B$802,0))</f>
        <v>0.66</v>
      </c>
      <c r="G60" s="434">
        <f t="shared" si="3"/>
        <v>0.35</v>
      </c>
      <c r="H60" s="435">
        <f t="shared" si="2"/>
        <v>1.75</v>
      </c>
      <c r="I60" s="435">
        <f>INDEX('Master Data'!$U$74:$U$802,MATCH(B60,'Master Data'!$B$74:$B$802,0))</f>
        <v>1</v>
      </c>
      <c r="J60" s="435">
        <f>INDEX('Master Data'!$V$74:$V$802,MATCH(B60,'Master Data'!$B$74:$B$802,0))</f>
        <v>3</v>
      </c>
      <c r="K60" s="433" t="str">
        <f>INDEX('Master Data'!$P$74:$P$802,MATCH(B60,'Master Data'!$B$74:$B$802,0))</f>
        <v>Minivan</v>
      </c>
    </row>
    <row r="61" spans="2:11">
      <c r="B61" s="431" t="s">
        <v>213</v>
      </c>
      <c r="C61" s="431" t="s">
        <v>113</v>
      </c>
      <c r="D61" s="288" t="str">
        <f t="shared" si="1"/>
        <v>Medical</v>
      </c>
      <c r="E61" s="287">
        <f>INDEX('Master Data'!$Q$74:$Q$802,MATCH(B61,'Master Data'!$B$74:$B$802,0))</f>
        <v>5.5</v>
      </c>
      <c r="F61" s="433">
        <f>INDEX('Master Data'!$R$74:$R$802,MATCH(B61,'Master Data'!$B$74:$B$802,0))</f>
        <v>0.66</v>
      </c>
      <c r="G61" s="434">
        <f t="shared" si="3"/>
        <v>0.35</v>
      </c>
      <c r="H61" s="435">
        <f t="shared" si="2"/>
        <v>1.9249999999999998</v>
      </c>
      <c r="I61" s="435">
        <f>INDEX('Master Data'!$U$74:$U$802,MATCH(B61,'Master Data'!$B$74:$B$802,0))</f>
        <v>1</v>
      </c>
      <c r="J61" s="435">
        <f>INDEX('Master Data'!$V$74:$V$802,MATCH(B61,'Master Data'!$B$74:$B$802,0))</f>
        <v>3</v>
      </c>
      <c r="K61" s="433" t="str">
        <f>INDEX('Master Data'!$P$74:$P$802,MATCH(B61,'Master Data'!$B$74:$B$802,0))</f>
        <v>Minivan</v>
      </c>
    </row>
    <row r="62" spans="2:11">
      <c r="B62" s="431" t="s">
        <v>214</v>
      </c>
      <c r="C62" s="431" t="s">
        <v>113</v>
      </c>
      <c r="D62" s="288" t="str">
        <f t="shared" si="1"/>
        <v>Medical</v>
      </c>
      <c r="E62" s="287">
        <f>INDEX('Master Data'!$Q$74:$Q$802,MATCH(B62,'Master Data'!$B$74:$B$802,0))</f>
        <v>6</v>
      </c>
      <c r="F62" s="433">
        <f>INDEX('Master Data'!$R$74:$R$802,MATCH(B62,'Master Data'!$B$74:$B$802,0))</f>
        <v>0.66</v>
      </c>
      <c r="G62" s="434">
        <f t="shared" si="3"/>
        <v>0.35</v>
      </c>
      <c r="H62" s="435">
        <f t="shared" si="2"/>
        <v>2.0999999999999996</v>
      </c>
      <c r="I62" s="435">
        <f>INDEX('Master Data'!$U$74:$U$802,MATCH(B62,'Master Data'!$B$74:$B$802,0))</f>
        <v>1</v>
      </c>
      <c r="J62" s="435">
        <f>INDEX('Master Data'!$V$74:$V$802,MATCH(B62,'Master Data'!$B$74:$B$802,0))</f>
        <v>3</v>
      </c>
      <c r="K62" s="433" t="str">
        <f>INDEX('Master Data'!$P$74:$P$802,MATCH(B62,'Master Data'!$B$74:$B$802,0))</f>
        <v>Minivan</v>
      </c>
    </row>
    <row r="63" spans="2:11">
      <c r="B63" s="431" t="s">
        <v>215</v>
      </c>
      <c r="C63" s="431" t="s">
        <v>113</v>
      </c>
      <c r="D63" s="288" t="str">
        <f t="shared" si="1"/>
        <v>Medical</v>
      </c>
      <c r="E63" s="287">
        <f>INDEX('Master Data'!$Q$74:$Q$802,MATCH(B63,'Master Data'!$B$74:$B$802,0))</f>
        <v>6.5</v>
      </c>
      <c r="F63" s="433">
        <f>INDEX('Master Data'!$R$74:$R$802,MATCH(B63,'Master Data'!$B$74:$B$802,0))</f>
        <v>0.66</v>
      </c>
      <c r="G63" s="434">
        <f t="shared" si="3"/>
        <v>0.35</v>
      </c>
      <c r="H63" s="435">
        <f t="shared" si="2"/>
        <v>2.2749999999999999</v>
      </c>
      <c r="I63" s="435">
        <f>INDEX('Master Data'!$U$74:$U$802,MATCH(B63,'Master Data'!$B$74:$B$802,0))</f>
        <v>1</v>
      </c>
      <c r="J63" s="435">
        <f>INDEX('Master Data'!$V$74:$V$802,MATCH(B63,'Master Data'!$B$74:$B$802,0))</f>
        <v>3</v>
      </c>
      <c r="K63" s="433" t="str">
        <f>INDEX('Master Data'!$P$74:$P$802,MATCH(B63,'Master Data'!$B$74:$B$802,0))</f>
        <v>Minivan</v>
      </c>
    </row>
    <row r="64" spans="2:11">
      <c r="B64" s="431" t="s">
        <v>216</v>
      </c>
      <c r="C64" s="431" t="s">
        <v>113</v>
      </c>
      <c r="D64" s="288" t="str">
        <f t="shared" si="1"/>
        <v>Medical</v>
      </c>
      <c r="E64" s="287">
        <f>INDEX('Master Data'!$Q$74:$Q$802,MATCH(B64,'Master Data'!$B$74:$B$802,0))</f>
        <v>7</v>
      </c>
      <c r="F64" s="433">
        <f>INDEX('Master Data'!$R$74:$R$802,MATCH(B64,'Master Data'!$B$74:$B$802,0))</f>
        <v>0.66</v>
      </c>
      <c r="G64" s="434">
        <f t="shared" si="3"/>
        <v>0.35</v>
      </c>
      <c r="H64" s="435">
        <f t="shared" si="2"/>
        <v>2.4499999999999997</v>
      </c>
      <c r="I64" s="435">
        <f>INDEX('Master Data'!$U$74:$U$802,MATCH(B64,'Master Data'!$B$74:$B$802,0))</f>
        <v>1</v>
      </c>
      <c r="J64" s="435">
        <f>INDEX('Master Data'!$V$74:$V$802,MATCH(B64,'Master Data'!$B$74:$B$802,0))</f>
        <v>3</v>
      </c>
      <c r="K64" s="433" t="str">
        <f>INDEX('Master Data'!$P$74:$P$802,MATCH(B64,'Master Data'!$B$74:$B$802,0))</f>
        <v>Minivan</v>
      </c>
    </row>
    <row r="65" spans="2:11">
      <c r="B65" s="431" t="s">
        <v>217</v>
      </c>
      <c r="C65" s="431" t="s">
        <v>113</v>
      </c>
      <c r="D65" s="288" t="str">
        <f t="shared" si="1"/>
        <v>Medical</v>
      </c>
      <c r="E65" s="287">
        <f>INDEX('Master Data'!$Q$74:$Q$802,MATCH(B65,'Master Data'!$B$74:$B$802,0))</f>
        <v>7.5</v>
      </c>
      <c r="F65" s="433">
        <f>INDEX('Master Data'!$R$74:$R$802,MATCH(B65,'Master Data'!$B$74:$B$802,0))</f>
        <v>0.66</v>
      </c>
      <c r="G65" s="434">
        <f t="shared" si="3"/>
        <v>0.35</v>
      </c>
      <c r="H65" s="435">
        <f t="shared" si="2"/>
        <v>2.625</v>
      </c>
      <c r="I65" s="435">
        <f>INDEX('Master Data'!$U$74:$U$802,MATCH(B65,'Master Data'!$B$74:$B$802,0))</f>
        <v>1</v>
      </c>
      <c r="J65" s="435">
        <f>INDEX('Master Data'!$V$74:$V$802,MATCH(B65,'Master Data'!$B$74:$B$802,0))</f>
        <v>3</v>
      </c>
      <c r="K65" s="433" t="str">
        <f>INDEX('Master Data'!$P$74:$P$802,MATCH(B65,'Master Data'!$B$74:$B$802,0))</f>
        <v>Minivan</v>
      </c>
    </row>
    <row r="66" spans="2:11">
      <c r="B66" s="431" t="s">
        <v>218</v>
      </c>
      <c r="C66" s="431" t="s">
        <v>113</v>
      </c>
      <c r="D66" s="288" t="str">
        <f t="shared" si="1"/>
        <v>Medical</v>
      </c>
      <c r="E66" s="287">
        <f>INDEX('Master Data'!$Q$74:$Q$802,MATCH(B66,'Master Data'!$B$74:$B$802,0))</f>
        <v>8</v>
      </c>
      <c r="F66" s="433">
        <f>INDEX('Master Data'!$R$74:$R$802,MATCH(B66,'Master Data'!$B$74:$B$802,0))</f>
        <v>0.66</v>
      </c>
      <c r="G66" s="434">
        <f t="shared" si="3"/>
        <v>0.35</v>
      </c>
      <c r="H66" s="435">
        <f t="shared" si="2"/>
        <v>2.8</v>
      </c>
      <c r="I66" s="435">
        <f>INDEX('Master Data'!$U$74:$U$802,MATCH(B66,'Master Data'!$B$74:$B$802,0))</f>
        <v>1</v>
      </c>
      <c r="J66" s="435">
        <f>INDEX('Master Data'!$V$74:$V$802,MATCH(B66,'Master Data'!$B$74:$B$802,0))</f>
        <v>3</v>
      </c>
      <c r="K66" s="433" t="str">
        <f>INDEX('Master Data'!$P$74:$P$802,MATCH(B66,'Master Data'!$B$74:$B$802,0))</f>
        <v>Minivan</v>
      </c>
    </row>
    <row r="67" spans="2:11">
      <c r="B67" s="431" t="s">
        <v>219</v>
      </c>
      <c r="C67" s="431" t="s">
        <v>113</v>
      </c>
      <c r="D67" s="288" t="str">
        <f t="shared" si="1"/>
        <v>Medical</v>
      </c>
      <c r="E67" s="287">
        <f>INDEX('Master Data'!$Q$74:$Q$802,MATCH(B67,'Master Data'!$B$74:$B$802,0))</f>
        <v>8.5</v>
      </c>
      <c r="F67" s="433">
        <f>INDEX('Master Data'!$R$74:$R$802,MATCH(B67,'Master Data'!$B$74:$B$802,0))</f>
        <v>0.66</v>
      </c>
      <c r="G67" s="434">
        <f t="shared" si="3"/>
        <v>0.35</v>
      </c>
      <c r="H67" s="435">
        <f t="shared" si="2"/>
        <v>2.9749999999999996</v>
      </c>
      <c r="I67" s="435">
        <f>INDEX('Master Data'!$U$74:$U$802,MATCH(B67,'Master Data'!$B$74:$B$802,0))</f>
        <v>1</v>
      </c>
      <c r="J67" s="435">
        <f>INDEX('Master Data'!$V$74:$V$802,MATCH(B67,'Master Data'!$B$74:$B$802,0))</f>
        <v>3</v>
      </c>
      <c r="K67" s="433" t="str">
        <f>INDEX('Master Data'!$P$74:$P$802,MATCH(B67,'Master Data'!$B$74:$B$802,0))</f>
        <v>Minivan</v>
      </c>
    </row>
    <row r="68" spans="2:11">
      <c r="B68" s="431" t="s">
        <v>220</v>
      </c>
      <c r="C68" s="431" t="s">
        <v>113</v>
      </c>
      <c r="D68" s="288" t="str">
        <f t="shared" ref="D68:D131" si="4">IF(LEFT(B68,1)="B","Basic",IF(LEFT(B68,1)="I","Intermediate",IF(LEFT(B68,1)="M","Medical",IF(LEFT(B68,1)="S","Specialized Behavioral",""))))</f>
        <v>Medical</v>
      </c>
      <c r="E68" s="287">
        <f>INDEX('Master Data'!$Q$74:$Q$802,MATCH(B68,'Master Data'!$B$74:$B$802,0))</f>
        <v>9</v>
      </c>
      <c r="F68" s="433">
        <f>INDEX('Master Data'!$R$74:$R$802,MATCH(B68,'Master Data'!$B$74:$B$802,0))</f>
        <v>0.66</v>
      </c>
      <c r="G68" s="434">
        <f t="shared" si="3"/>
        <v>0.35</v>
      </c>
      <c r="H68" s="435">
        <f t="shared" ref="H68:H131" si="5">E68*G68</f>
        <v>3.15</v>
      </c>
      <c r="I68" s="435">
        <f>INDEX('Master Data'!$U$74:$U$802,MATCH(B68,'Master Data'!$B$74:$B$802,0))</f>
        <v>1</v>
      </c>
      <c r="J68" s="435">
        <f>INDEX('Master Data'!$V$74:$V$802,MATCH(B68,'Master Data'!$B$74:$B$802,0))</f>
        <v>3</v>
      </c>
      <c r="K68" s="433" t="str">
        <f>INDEX('Master Data'!$P$74:$P$802,MATCH(B68,'Master Data'!$B$74:$B$802,0))</f>
        <v>Minivan</v>
      </c>
    </row>
    <row r="69" spans="2:11">
      <c r="B69" s="431" t="s">
        <v>221</v>
      </c>
      <c r="C69" s="431" t="s">
        <v>113</v>
      </c>
      <c r="D69" s="288" t="str">
        <f t="shared" si="4"/>
        <v>Medical</v>
      </c>
      <c r="E69" s="287">
        <f>INDEX('Master Data'!$Q$74:$Q$802,MATCH(B69,'Master Data'!$B$74:$B$802,0))</f>
        <v>9.5</v>
      </c>
      <c r="F69" s="433">
        <f>INDEX('Master Data'!$R$74:$R$802,MATCH(B69,'Master Data'!$B$74:$B$802,0))</f>
        <v>0.66</v>
      </c>
      <c r="G69" s="434">
        <f t="shared" si="3"/>
        <v>0.35</v>
      </c>
      <c r="H69" s="435">
        <f t="shared" si="5"/>
        <v>3.3249999999999997</v>
      </c>
      <c r="I69" s="435">
        <f>INDEX('Master Data'!$U$74:$U$802,MATCH(B69,'Master Data'!$B$74:$B$802,0))</f>
        <v>1</v>
      </c>
      <c r="J69" s="435">
        <f>INDEX('Master Data'!$V$74:$V$802,MATCH(B69,'Master Data'!$B$74:$B$802,0))</f>
        <v>3</v>
      </c>
      <c r="K69" s="433" t="str">
        <f>INDEX('Master Data'!$P$74:$P$802,MATCH(B69,'Master Data'!$B$74:$B$802,0))</f>
        <v>Minivan</v>
      </c>
    </row>
    <row r="70" spans="2:11">
      <c r="B70" s="431" t="s">
        <v>222</v>
      </c>
      <c r="C70" s="431" t="s">
        <v>113</v>
      </c>
      <c r="D70" s="288" t="str">
        <f t="shared" si="4"/>
        <v>Medical</v>
      </c>
      <c r="E70" s="287">
        <f>INDEX('Master Data'!$Q$74:$Q$802,MATCH(B70,'Master Data'!$B$74:$B$802,0))</f>
        <v>10</v>
      </c>
      <c r="F70" s="433">
        <f>INDEX('Master Data'!$R$74:$R$802,MATCH(B70,'Master Data'!$B$74:$B$802,0))</f>
        <v>0.66</v>
      </c>
      <c r="G70" s="434">
        <f t="shared" si="3"/>
        <v>0.35</v>
      </c>
      <c r="H70" s="435">
        <f t="shared" si="5"/>
        <v>3.5</v>
      </c>
      <c r="I70" s="435">
        <f>INDEX('Master Data'!$U$74:$U$802,MATCH(B70,'Master Data'!$B$74:$B$802,0))</f>
        <v>1</v>
      </c>
      <c r="J70" s="435">
        <f>INDEX('Master Data'!$V$74:$V$802,MATCH(B70,'Master Data'!$B$74:$B$802,0))</f>
        <v>3</v>
      </c>
      <c r="K70" s="433" t="str">
        <f>INDEX('Master Data'!$P$74:$P$802,MATCH(B70,'Master Data'!$B$74:$B$802,0))</f>
        <v>Minivan</v>
      </c>
    </row>
    <row r="71" spans="2:11">
      <c r="B71" s="431" t="s">
        <v>223</v>
      </c>
      <c r="C71" s="431" t="s">
        <v>113</v>
      </c>
      <c r="D71" s="288" t="str">
        <f t="shared" si="4"/>
        <v>Medical</v>
      </c>
      <c r="E71" s="287">
        <f>INDEX('Master Data'!$Q$74:$Q$802,MATCH(B71,'Master Data'!$B$74:$B$802,0))</f>
        <v>10.5</v>
      </c>
      <c r="F71" s="433">
        <f>INDEX('Master Data'!$R$74:$R$802,MATCH(B71,'Master Data'!$B$74:$B$802,0))</f>
        <v>0.66</v>
      </c>
      <c r="G71" s="434">
        <f t="shared" si="3"/>
        <v>0.35</v>
      </c>
      <c r="H71" s="435">
        <f t="shared" si="5"/>
        <v>3.6749999999999998</v>
      </c>
      <c r="I71" s="435">
        <f>INDEX('Master Data'!$U$74:$U$802,MATCH(B71,'Master Data'!$B$74:$B$802,0))</f>
        <v>1</v>
      </c>
      <c r="J71" s="435">
        <f>INDEX('Master Data'!$V$74:$V$802,MATCH(B71,'Master Data'!$B$74:$B$802,0))</f>
        <v>3</v>
      </c>
      <c r="K71" s="433" t="str">
        <f>INDEX('Master Data'!$P$74:$P$802,MATCH(B71,'Master Data'!$B$74:$B$802,0))</f>
        <v>Minivan</v>
      </c>
    </row>
    <row r="72" spans="2:11">
      <c r="B72" s="431" t="s">
        <v>224</v>
      </c>
      <c r="C72" s="431" t="s">
        <v>113</v>
      </c>
      <c r="D72" s="288" t="str">
        <f t="shared" si="4"/>
        <v>Medical</v>
      </c>
      <c r="E72" s="287">
        <f>INDEX('Master Data'!$Q$74:$Q$802,MATCH(B72,'Master Data'!$B$74:$B$802,0))</f>
        <v>11</v>
      </c>
      <c r="F72" s="433">
        <f>INDEX('Master Data'!$R$74:$R$802,MATCH(B72,'Master Data'!$B$74:$B$802,0))</f>
        <v>0.66</v>
      </c>
      <c r="G72" s="434">
        <f t="shared" si="3"/>
        <v>0.35</v>
      </c>
      <c r="H72" s="435">
        <f t="shared" si="5"/>
        <v>3.8499999999999996</v>
      </c>
      <c r="I72" s="435">
        <f>INDEX('Master Data'!$U$74:$U$802,MATCH(B72,'Master Data'!$B$74:$B$802,0))</f>
        <v>1</v>
      </c>
      <c r="J72" s="435">
        <f>INDEX('Master Data'!$V$74:$V$802,MATCH(B72,'Master Data'!$B$74:$B$802,0))</f>
        <v>3</v>
      </c>
      <c r="K72" s="433" t="str">
        <f>INDEX('Master Data'!$P$74:$P$802,MATCH(B72,'Master Data'!$B$74:$B$802,0))</f>
        <v>Minivan</v>
      </c>
    </row>
    <row r="73" spans="2:11">
      <c r="B73" s="431" t="s">
        <v>225</v>
      </c>
      <c r="C73" s="431" t="s">
        <v>113</v>
      </c>
      <c r="D73" s="288" t="str">
        <f t="shared" si="4"/>
        <v>Medical</v>
      </c>
      <c r="E73" s="287">
        <f>INDEX('Master Data'!$Q$74:$Q$802,MATCH(B73,'Master Data'!$B$74:$B$802,0))</f>
        <v>3.5</v>
      </c>
      <c r="F73" s="433">
        <f>INDEX('Master Data'!$R$74:$R$802,MATCH(B73,'Master Data'!$B$74:$B$802,0))</f>
        <v>0.66</v>
      </c>
      <c r="G73" s="434">
        <f t="shared" si="3"/>
        <v>0.45</v>
      </c>
      <c r="H73" s="435">
        <f t="shared" si="5"/>
        <v>1.575</v>
      </c>
      <c r="I73" s="435">
        <f>INDEX('Master Data'!$U$74:$U$802,MATCH(B73,'Master Data'!$B$74:$B$802,0))</f>
        <v>1</v>
      </c>
      <c r="J73" s="435">
        <f>INDEX('Master Data'!$V$74:$V$802,MATCH(B73,'Master Data'!$B$74:$B$802,0))</f>
        <v>3</v>
      </c>
      <c r="K73" s="433" t="str">
        <f>INDEX('Master Data'!$P$74:$P$802,MATCH(B73,'Master Data'!$B$74:$B$802,0))</f>
        <v>Minivan</v>
      </c>
    </row>
    <row r="74" spans="2:11">
      <c r="B74" s="431" t="s">
        <v>226</v>
      </c>
      <c r="C74" s="431" t="s">
        <v>113</v>
      </c>
      <c r="D74" s="288" t="str">
        <f t="shared" si="4"/>
        <v>Medical</v>
      </c>
      <c r="E74" s="287">
        <f>INDEX('Master Data'!$Q$74:$Q$802,MATCH(B74,'Master Data'!$B$74:$B$802,0))</f>
        <v>4</v>
      </c>
      <c r="F74" s="433">
        <f>INDEX('Master Data'!$R$74:$R$802,MATCH(B74,'Master Data'!$B$74:$B$802,0))</f>
        <v>0.66</v>
      </c>
      <c r="G74" s="434">
        <f t="shared" si="3"/>
        <v>0.45</v>
      </c>
      <c r="H74" s="435">
        <f t="shared" si="5"/>
        <v>1.8</v>
      </c>
      <c r="I74" s="435">
        <f>INDEX('Master Data'!$U$74:$U$802,MATCH(B74,'Master Data'!$B$74:$B$802,0))</f>
        <v>1</v>
      </c>
      <c r="J74" s="435">
        <f>INDEX('Master Data'!$V$74:$V$802,MATCH(B74,'Master Data'!$B$74:$B$802,0))</f>
        <v>3</v>
      </c>
      <c r="K74" s="433" t="str">
        <f>INDEX('Master Data'!$P$74:$P$802,MATCH(B74,'Master Data'!$B$74:$B$802,0))</f>
        <v>Minivan</v>
      </c>
    </row>
    <row r="75" spans="2:11">
      <c r="B75" s="431" t="s">
        <v>227</v>
      </c>
      <c r="C75" s="431" t="s">
        <v>113</v>
      </c>
      <c r="D75" s="288" t="str">
        <f t="shared" si="4"/>
        <v>Medical</v>
      </c>
      <c r="E75" s="287">
        <f>INDEX('Master Data'!$Q$74:$Q$802,MATCH(B75,'Master Data'!$B$74:$B$802,0))</f>
        <v>4.5</v>
      </c>
      <c r="F75" s="433">
        <f>INDEX('Master Data'!$R$74:$R$802,MATCH(B75,'Master Data'!$B$74:$B$802,0))</f>
        <v>0.66</v>
      </c>
      <c r="G75" s="434">
        <f t="shared" si="3"/>
        <v>0.45</v>
      </c>
      <c r="H75" s="435">
        <f t="shared" si="5"/>
        <v>2.0249999999999999</v>
      </c>
      <c r="I75" s="435">
        <f>INDEX('Master Data'!$U$74:$U$802,MATCH(B75,'Master Data'!$B$74:$B$802,0))</f>
        <v>1</v>
      </c>
      <c r="J75" s="435">
        <f>INDEX('Master Data'!$V$74:$V$802,MATCH(B75,'Master Data'!$B$74:$B$802,0))</f>
        <v>3</v>
      </c>
      <c r="K75" s="433" t="str">
        <f>INDEX('Master Data'!$P$74:$P$802,MATCH(B75,'Master Data'!$B$74:$B$802,0))</f>
        <v>Minivan</v>
      </c>
    </row>
    <row r="76" spans="2:11">
      <c r="B76" s="431" t="s">
        <v>228</v>
      </c>
      <c r="C76" s="431" t="s">
        <v>113</v>
      </c>
      <c r="D76" s="288" t="str">
        <f t="shared" si="4"/>
        <v>Medical</v>
      </c>
      <c r="E76" s="287">
        <f>INDEX('Master Data'!$Q$74:$Q$802,MATCH(B76,'Master Data'!$B$74:$B$802,0))</f>
        <v>5</v>
      </c>
      <c r="F76" s="433">
        <f>INDEX('Master Data'!$R$74:$R$802,MATCH(B76,'Master Data'!$B$74:$B$802,0))</f>
        <v>0.66</v>
      </c>
      <c r="G76" s="434">
        <f t="shared" si="3"/>
        <v>0.45</v>
      </c>
      <c r="H76" s="435">
        <f t="shared" si="5"/>
        <v>2.25</v>
      </c>
      <c r="I76" s="435">
        <f>INDEX('Master Data'!$U$74:$U$802,MATCH(B76,'Master Data'!$B$74:$B$802,0))</f>
        <v>1</v>
      </c>
      <c r="J76" s="435">
        <f>INDEX('Master Data'!$V$74:$V$802,MATCH(B76,'Master Data'!$B$74:$B$802,0))</f>
        <v>3</v>
      </c>
      <c r="K76" s="433" t="str">
        <f>INDEX('Master Data'!$P$74:$P$802,MATCH(B76,'Master Data'!$B$74:$B$802,0))</f>
        <v>Minivan</v>
      </c>
    </row>
    <row r="77" spans="2:11">
      <c r="B77" s="431" t="s">
        <v>229</v>
      </c>
      <c r="C77" s="431" t="s">
        <v>113</v>
      </c>
      <c r="D77" s="288" t="str">
        <f t="shared" si="4"/>
        <v>Medical</v>
      </c>
      <c r="E77" s="287">
        <f>INDEX('Master Data'!$Q$74:$Q$802,MATCH(B77,'Master Data'!$B$74:$B$802,0))</f>
        <v>5.5</v>
      </c>
      <c r="F77" s="433">
        <f>INDEX('Master Data'!$R$74:$R$802,MATCH(B77,'Master Data'!$B$74:$B$802,0))</f>
        <v>0.66</v>
      </c>
      <c r="G77" s="434">
        <f t="shared" si="3"/>
        <v>0.45</v>
      </c>
      <c r="H77" s="435">
        <f t="shared" si="5"/>
        <v>2.4750000000000001</v>
      </c>
      <c r="I77" s="435">
        <f>INDEX('Master Data'!$U$74:$U$802,MATCH(B77,'Master Data'!$B$74:$B$802,0))</f>
        <v>1</v>
      </c>
      <c r="J77" s="435">
        <f>INDEX('Master Data'!$V$74:$V$802,MATCH(B77,'Master Data'!$B$74:$B$802,0))</f>
        <v>3</v>
      </c>
      <c r="K77" s="433" t="str">
        <f>INDEX('Master Data'!$P$74:$P$802,MATCH(B77,'Master Data'!$B$74:$B$802,0))</f>
        <v>Minivan</v>
      </c>
    </row>
    <row r="78" spans="2:11">
      <c r="B78" s="431" t="s">
        <v>230</v>
      </c>
      <c r="C78" s="431" t="s">
        <v>113</v>
      </c>
      <c r="D78" s="288" t="str">
        <f t="shared" si="4"/>
        <v>Medical</v>
      </c>
      <c r="E78" s="287">
        <f>INDEX('Master Data'!$Q$74:$Q$802,MATCH(B78,'Master Data'!$B$74:$B$802,0))</f>
        <v>6</v>
      </c>
      <c r="F78" s="433">
        <f>INDEX('Master Data'!$R$74:$R$802,MATCH(B78,'Master Data'!$B$74:$B$802,0))</f>
        <v>0.66</v>
      </c>
      <c r="G78" s="434">
        <f t="shared" si="3"/>
        <v>0.45</v>
      </c>
      <c r="H78" s="435">
        <f t="shared" si="5"/>
        <v>2.7</v>
      </c>
      <c r="I78" s="435">
        <f>INDEX('Master Data'!$U$74:$U$802,MATCH(B78,'Master Data'!$B$74:$B$802,0))</f>
        <v>1</v>
      </c>
      <c r="J78" s="435">
        <f>INDEX('Master Data'!$V$74:$V$802,MATCH(B78,'Master Data'!$B$74:$B$802,0))</f>
        <v>3</v>
      </c>
      <c r="K78" s="433" t="str">
        <f>INDEX('Master Data'!$P$74:$P$802,MATCH(B78,'Master Data'!$B$74:$B$802,0))</f>
        <v>Minivan</v>
      </c>
    </row>
    <row r="79" spans="2:11">
      <c r="B79" s="431" t="s">
        <v>231</v>
      </c>
      <c r="C79" s="431" t="s">
        <v>113</v>
      </c>
      <c r="D79" s="288" t="str">
        <f t="shared" si="4"/>
        <v>Medical</v>
      </c>
      <c r="E79" s="287">
        <f>INDEX('Master Data'!$Q$74:$Q$802,MATCH(B79,'Master Data'!$B$74:$B$802,0))</f>
        <v>6.5</v>
      </c>
      <c r="F79" s="433">
        <f>INDEX('Master Data'!$R$74:$R$802,MATCH(B79,'Master Data'!$B$74:$B$802,0))</f>
        <v>0.66</v>
      </c>
      <c r="G79" s="434">
        <f t="shared" si="3"/>
        <v>0.45</v>
      </c>
      <c r="H79" s="435">
        <f t="shared" si="5"/>
        <v>2.9250000000000003</v>
      </c>
      <c r="I79" s="435">
        <f>INDEX('Master Data'!$U$74:$U$802,MATCH(B79,'Master Data'!$B$74:$B$802,0))</f>
        <v>1</v>
      </c>
      <c r="J79" s="435">
        <f>INDEX('Master Data'!$V$74:$V$802,MATCH(B79,'Master Data'!$B$74:$B$802,0))</f>
        <v>3</v>
      </c>
      <c r="K79" s="433" t="str">
        <f>INDEX('Master Data'!$P$74:$P$802,MATCH(B79,'Master Data'!$B$74:$B$802,0))</f>
        <v>Minivan</v>
      </c>
    </row>
    <row r="80" spans="2:11">
      <c r="B80" s="431" t="s">
        <v>232</v>
      </c>
      <c r="C80" s="431" t="s">
        <v>113</v>
      </c>
      <c r="D80" s="288" t="str">
        <f t="shared" si="4"/>
        <v>Medical</v>
      </c>
      <c r="E80" s="287">
        <f>INDEX('Master Data'!$Q$74:$Q$802,MATCH(B80,'Master Data'!$B$74:$B$802,0))</f>
        <v>7</v>
      </c>
      <c r="F80" s="433">
        <f>INDEX('Master Data'!$R$74:$R$802,MATCH(B80,'Master Data'!$B$74:$B$802,0))</f>
        <v>0.66</v>
      </c>
      <c r="G80" s="434">
        <f t="shared" si="3"/>
        <v>0.45</v>
      </c>
      <c r="H80" s="435">
        <f t="shared" si="5"/>
        <v>3.15</v>
      </c>
      <c r="I80" s="435">
        <f>INDEX('Master Data'!$U$74:$U$802,MATCH(B80,'Master Data'!$B$74:$B$802,0))</f>
        <v>1</v>
      </c>
      <c r="J80" s="435">
        <f>INDEX('Master Data'!$V$74:$V$802,MATCH(B80,'Master Data'!$B$74:$B$802,0))</f>
        <v>3</v>
      </c>
      <c r="K80" s="433" t="str">
        <f>INDEX('Master Data'!$P$74:$P$802,MATCH(B80,'Master Data'!$B$74:$B$802,0))</f>
        <v>Minivan</v>
      </c>
    </row>
    <row r="81" spans="2:11">
      <c r="B81" s="431" t="s">
        <v>233</v>
      </c>
      <c r="C81" s="431" t="s">
        <v>113</v>
      </c>
      <c r="D81" s="288" t="str">
        <f t="shared" si="4"/>
        <v>Medical</v>
      </c>
      <c r="E81" s="287">
        <f>INDEX('Master Data'!$Q$74:$Q$802,MATCH(B81,'Master Data'!$B$74:$B$802,0))</f>
        <v>7.5</v>
      </c>
      <c r="F81" s="433">
        <f>INDEX('Master Data'!$R$74:$R$802,MATCH(B81,'Master Data'!$B$74:$B$802,0))</f>
        <v>0.66</v>
      </c>
      <c r="G81" s="434">
        <f t="shared" si="3"/>
        <v>0.45</v>
      </c>
      <c r="H81" s="435">
        <f t="shared" si="5"/>
        <v>3.375</v>
      </c>
      <c r="I81" s="435">
        <f>INDEX('Master Data'!$U$74:$U$802,MATCH(B81,'Master Data'!$B$74:$B$802,0))</f>
        <v>1</v>
      </c>
      <c r="J81" s="435">
        <f>INDEX('Master Data'!$V$74:$V$802,MATCH(B81,'Master Data'!$B$74:$B$802,0))</f>
        <v>3</v>
      </c>
      <c r="K81" s="433" t="str">
        <f>INDEX('Master Data'!$P$74:$P$802,MATCH(B81,'Master Data'!$B$74:$B$802,0))</f>
        <v>Minivan</v>
      </c>
    </row>
    <row r="82" spans="2:11">
      <c r="B82" s="431" t="s">
        <v>234</v>
      </c>
      <c r="C82" s="431" t="s">
        <v>113</v>
      </c>
      <c r="D82" s="288" t="str">
        <f t="shared" si="4"/>
        <v>Medical</v>
      </c>
      <c r="E82" s="287">
        <f>INDEX('Master Data'!$Q$74:$Q$802,MATCH(B82,'Master Data'!$B$74:$B$802,0))</f>
        <v>8</v>
      </c>
      <c r="F82" s="433">
        <f>INDEX('Master Data'!$R$74:$R$802,MATCH(B82,'Master Data'!$B$74:$B$802,0))</f>
        <v>0.66</v>
      </c>
      <c r="G82" s="434">
        <f t="shared" si="3"/>
        <v>0.45</v>
      </c>
      <c r="H82" s="435">
        <f t="shared" si="5"/>
        <v>3.6</v>
      </c>
      <c r="I82" s="435">
        <f>INDEX('Master Data'!$U$74:$U$802,MATCH(B82,'Master Data'!$B$74:$B$802,0))</f>
        <v>1</v>
      </c>
      <c r="J82" s="435">
        <f>INDEX('Master Data'!$V$74:$V$802,MATCH(B82,'Master Data'!$B$74:$B$802,0))</f>
        <v>3</v>
      </c>
      <c r="K82" s="433" t="str">
        <f>INDEX('Master Data'!$P$74:$P$802,MATCH(B82,'Master Data'!$B$74:$B$802,0))</f>
        <v>Minivan</v>
      </c>
    </row>
    <row r="83" spans="2:11">
      <c r="B83" s="431" t="s">
        <v>235</v>
      </c>
      <c r="C83" s="431" t="s">
        <v>113</v>
      </c>
      <c r="D83" s="288" t="str">
        <f t="shared" si="4"/>
        <v>Medical</v>
      </c>
      <c r="E83" s="287">
        <f>INDEX('Master Data'!$Q$74:$Q$802,MATCH(B83,'Master Data'!$B$74:$B$802,0))</f>
        <v>8.5</v>
      </c>
      <c r="F83" s="433">
        <f>INDEX('Master Data'!$R$74:$R$802,MATCH(B83,'Master Data'!$B$74:$B$802,0))</f>
        <v>0.66</v>
      </c>
      <c r="G83" s="434">
        <f t="shared" si="3"/>
        <v>0.45</v>
      </c>
      <c r="H83" s="435">
        <f t="shared" si="5"/>
        <v>3.8250000000000002</v>
      </c>
      <c r="I83" s="435">
        <f>INDEX('Master Data'!$U$74:$U$802,MATCH(B83,'Master Data'!$B$74:$B$802,0))</f>
        <v>1</v>
      </c>
      <c r="J83" s="435">
        <f>INDEX('Master Data'!$V$74:$V$802,MATCH(B83,'Master Data'!$B$74:$B$802,0))</f>
        <v>3</v>
      </c>
      <c r="K83" s="433" t="str">
        <f>INDEX('Master Data'!$P$74:$P$802,MATCH(B83,'Master Data'!$B$74:$B$802,0))</f>
        <v>Minivan</v>
      </c>
    </row>
    <row r="84" spans="2:11">
      <c r="B84" s="431" t="s">
        <v>236</v>
      </c>
      <c r="C84" s="431" t="s">
        <v>113</v>
      </c>
      <c r="D84" s="288" t="str">
        <f t="shared" si="4"/>
        <v>Medical</v>
      </c>
      <c r="E84" s="287">
        <f>INDEX('Master Data'!$Q$74:$Q$802,MATCH(B84,'Master Data'!$B$74:$B$802,0))</f>
        <v>9</v>
      </c>
      <c r="F84" s="433">
        <f>INDEX('Master Data'!$R$74:$R$802,MATCH(B84,'Master Data'!$B$74:$B$802,0))</f>
        <v>0.66</v>
      </c>
      <c r="G84" s="434">
        <f t="shared" si="3"/>
        <v>0.45</v>
      </c>
      <c r="H84" s="435">
        <f t="shared" si="5"/>
        <v>4.05</v>
      </c>
      <c r="I84" s="435">
        <f>INDEX('Master Data'!$U$74:$U$802,MATCH(B84,'Master Data'!$B$74:$B$802,0))</f>
        <v>1</v>
      </c>
      <c r="J84" s="435">
        <f>INDEX('Master Data'!$V$74:$V$802,MATCH(B84,'Master Data'!$B$74:$B$802,0))</f>
        <v>3</v>
      </c>
      <c r="K84" s="433" t="str">
        <f>INDEX('Master Data'!$P$74:$P$802,MATCH(B84,'Master Data'!$B$74:$B$802,0))</f>
        <v>Minivan</v>
      </c>
    </row>
    <row r="85" spans="2:11">
      <c r="B85" s="431" t="s">
        <v>237</v>
      </c>
      <c r="C85" s="431" t="s">
        <v>113</v>
      </c>
      <c r="D85" s="288" t="str">
        <f t="shared" si="4"/>
        <v>Medical</v>
      </c>
      <c r="E85" s="287">
        <f>INDEX('Master Data'!$Q$74:$Q$802,MATCH(B85,'Master Data'!$B$74:$B$802,0))</f>
        <v>9.5</v>
      </c>
      <c r="F85" s="433">
        <f>INDEX('Master Data'!$R$74:$R$802,MATCH(B85,'Master Data'!$B$74:$B$802,0))</f>
        <v>0.66</v>
      </c>
      <c r="G85" s="434">
        <f t="shared" si="3"/>
        <v>0.45</v>
      </c>
      <c r="H85" s="435">
        <f t="shared" si="5"/>
        <v>4.2750000000000004</v>
      </c>
      <c r="I85" s="435">
        <f>INDEX('Master Data'!$U$74:$U$802,MATCH(B85,'Master Data'!$B$74:$B$802,0))</f>
        <v>1</v>
      </c>
      <c r="J85" s="435">
        <f>INDEX('Master Data'!$V$74:$V$802,MATCH(B85,'Master Data'!$B$74:$B$802,0))</f>
        <v>3</v>
      </c>
      <c r="K85" s="433" t="str">
        <f>INDEX('Master Data'!$P$74:$P$802,MATCH(B85,'Master Data'!$B$74:$B$802,0))</f>
        <v>Minivan</v>
      </c>
    </row>
    <row r="86" spans="2:11">
      <c r="B86" s="431" t="s">
        <v>238</v>
      </c>
      <c r="C86" s="431" t="s">
        <v>113</v>
      </c>
      <c r="D86" s="288" t="str">
        <f t="shared" si="4"/>
        <v>Medical</v>
      </c>
      <c r="E86" s="287">
        <f>INDEX('Master Data'!$Q$74:$Q$802,MATCH(B86,'Master Data'!$B$74:$B$802,0))</f>
        <v>10</v>
      </c>
      <c r="F86" s="433">
        <f>INDEX('Master Data'!$R$74:$R$802,MATCH(B86,'Master Data'!$B$74:$B$802,0))</f>
        <v>0.66</v>
      </c>
      <c r="G86" s="434">
        <f t="shared" si="3"/>
        <v>0.45</v>
      </c>
      <c r="H86" s="435">
        <f t="shared" si="5"/>
        <v>4.5</v>
      </c>
      <c r="I86" s="435">
        <f>INDEX('Master Data'!$U$74:$U$802,MATCH(B86,'Master Data'!$B$74:$B$802,0))</f>
        <v>1</v>
      </c>
      <c r="J86" s="435">
        <f>INDEX('Master Data'!$V$74:$V$802,MATCH(B86,'Master Data'!$B$74:$B$802,0))</f>
        <v>3</v>
      </c>
      <c r="K86" s="433" t="str">
        <f>INDEX('Master Data'!$P$74:$P$802,MATCH(B86,'Master Data'!$B$74:$B$802,0))</f>
        <v>Minivan</v>
      </c>
    </row>
    <row r="87" spans="2:11">
      <c r="B87" s="431" t="s">
        <v>239</v>
      </c>
      <c r="C87" s="431" t="s">
        <v>113</v>
      </c>
      <c r="D87" s="288" t="str">
        <f t="shared" si="4"/>
        <v>Medical</v>
      </c>
      <c r="E87" s="287">
        <f>INDEX('Master Data'!$Q$74:$Q$802,MATCH(B87,'Master Data'!$B$74:$B$802,0))</f>
        <v>10.5</v>
      </c>
      <c r="F87" s="433">
        <f>INDEX('Master Data'!$R$74:$R$802,MATCH(B87,'Master Data'!$B$74:$B$802,0))</f>
        <v>0.66</v>
      </c>
      <c r="G87" s="434">
        <f t="shared" si="3"/>
        <v>0.45</v>
      </c>
      <c r="H87" s="435">
        <f t="shared" si="5"/>
        <v>4.7250000000000005</v>
      </c>
      <c r="I87" s="435">
        <f>INDEX('Master Data'!$U$74:$U$802,MATCH(B87,'Master Data'!$B$74:$B$802,0))</f>
        <v>1</v>
      </c>
      <c r="J87" s="435">
        <f>INDEX('Master Data'!$V$74:$V$802,MATCH(B87,'Master Data'!$B$74:$B$802,0))</f>
        <v>3</v>
      </c>
      <c r="K87" s="433" t="str">
        <f>INDEX('Master Data'!$P$74:$P$802,MATCH(B87,'Master Data'!$B$74:$B$802,0))</f>
        <v>Minivan</v>
      </c>
    </row>
    <row r="88" spans="2:11">
      <c r="B88" s="431" t="s">
        <v>240</v>
      </c>
      <c r="C88" s="431" t="s">
        <v>113</v>
      </c>
      <c r="D88" s="288" t="str">
        <f t="shared" si="4"/>
        <v>Medical</v>
      </c>
      <c r="E88" s="287">
        <f>INDEX('Master Data'!$Q$74:$Q$802,MATCH(B88,'Master Data'!$B$74:$B$802,0))</f>
        <v>11</v>
      </c>
      <c r="F88" s="433">
        <f>INDEX('Master Data'!$R$74:$R$802,MATCH(B88,'Master Data'!$B$74:$B$802,0))</f>
        <v>0.66</v>
      </c>
      <c r="G88" s="434">
        <f t="shared" si="3"/>
        <v>0.45</v>
      </c>
      <c r="H88" s="435">
        <f t="shared" si="5"/>
        <v>4.95</v>
      </c>
      <c r="I88" s="435">
        <f>INDEX('Master Data'!$U$74:$U$802,MATCH(B88,'Master Data'!$B$74:$B$802,0))</f>
        <v>1</v>
      </c>
      <c r="J88" s="435">
        <f>INDEX('Master Data'!$V$74:$V$802,MATCH(B88,'Master Data'!$B$74:$B$802,0))</f>
        <v>3</v>
      </c>
      <c r="K88" s="433" t="str">
        <f>INDEX('Master Data'!$P$74:$P$802,MATCH(B88,'Master Data'!$B$74:$B$802,0))</f>
        <v>Minivan</v>
      </c>
    </row>
    <row r="89" spans="2:11">
      <c r="B89" s="432" t="s">
        <v>428</v>
      </c>
      <c r="C89" s="432" t="s">
        <v>113</v>
      </c>
      <c r="D89" s="288" t="str">
        <f t="shared" si="4"/>
        <v>Specialized Behavioral</v>
      </c>
      <c r="E89" s="287">
        <f>INDEX('Master Data'!$Q$74:$Q$802,MATCH(B89,'Master Data'!$B$74:$B$802,0))</f>
        <v>3.5</v>
      </c>
      <c r="F89" s="433">
        <f>INDEX('Master Data'!$R$74:$R$802,MATCH(B89,'Master Data'!$B$74:$B$802,0))</f>
        <v>0.66</v>
      </c>
      <c r="G89" s="434">
        <f t="shared" si="3"/>
        <v>0</v>
      </c>
      <c r="H89" s="435">
        <f t="shared" si="5"/>
        <v>0</v>
      </c>
      <c r="I89" s="435">
        <f>INDEX('Master Data'!$U$74:$U$802,MATCH(B89,'Master Data'!$B$74:$B$802,0))</f>
        <v>4</v>
      </c>
      <c r="J89" s="435">
        <f>INDEX('Master Data'!$V$74:$V$802,MATCH(B89,'Master Data'!$B$74:$B$802,0))</f>
        <v>0</v>
      </c>
      <c r="K89" s="433" t="str">
        <f>INDEX('Master Data'!$P$74:$P$802,MATCH(B89,'Master Data'!$B$74:$B$802,0))</f>
        <v>Minivan</v>
      </c>
    </row>
    <row r="90" spans="2:11">
      <c r="B90" s="432" t="s">
        <v>430</v>
      </c>
      <c r="C90" s="432" t="s">
        <v>113</v>
      </c>
      <c r="D90" s="288" t="str">
        <f t="shared" si="4"/>
        <v>Specialized Behavioral</v>
      </c>
      <c r="E90" s="287">
        <f>INDEX('Master Data'!$Q$74:$Q$802,MATCH(B90,'Master Data'!$B$74:$B$802,0))</f>
        <v>4</v>
      </c>
      <c r="F90" s="433">
        <f>INDEX('Master Data'!$R$74:$R$802,MATCH(B90,'Master Data'!$B$74:$B$802,0))</f>
        <v>0.66</v>
      </c>
      <c r="G90" s="434">
        <f t="shared" si="3"/>
        <v>0</v>
      </c>
      <c r="H90" s="435">
        <f t="shared" si="5"/>
        <v>0</v>
      </c>
      <c r="I90" s="435">
        <f>INDEX('Master Data'!$U$74:$U$802,MATCH(B90,'Master Data'!$B$74:$B$802,0))</f>
        <v>4</v>
      </c>
      <c r="J90" s="435">
        <f>INDEX('Master Data'!$V$74:$V$802,MATCH(B90,'Master Data'!$B$74:$B$802,0))</f>
        <v>0</v>
      </c>
      <c r="K90" s="433" t="str">
        <f>INDEX('Master Data'!$P$74:$P$802,MATCH(B90,'Master Data'!$B$74:$B$802,0))</f>
        <v>Minivan</v>
      </c>
    </row>
    <row r="91" spans="2:11">
      <c r="B91" s="432" t="s">
        <v>431</v>
      </c>
      <c r="C91" s="432" t="s">
        <v>113</v>
      </c>
      <c r="D91" s="288" t="str">
        <f t="shared" si="4"/>
        <v>Specialized Behavioral</v>
      </c>
      <c r="E91" s="287">
        <f>INDEX('Master Data'!$Q$74:$Q$802,MATCH(B91,'Master Data'!$B$74:$B$802,0))</f>
        <v>4.5</v>
      </c>
      <c r="F91" s="433">
        <f>INDEX('Master Data'!$R$74:$R$802,MATCH(B91,'Master Data'!$B$74:$B$802,0))</f>
        <v>0.66</v>
      </c>
      <c r="G91" s="434">
        <f t="shared" si="3"/>
        <v>0</v>
      </c>
      <c r="H91" s="435">
        <f t="shared" si="5"/>
        <v>0</v>
      </c>
      <c r="I91" s="435">
        <f>INDEX('Master Data'!$U$74:$U$802,MATCH(B91,'Master Data'!$B$74:$B$802,0))</f>
        <v>4</v>
      </c>
      <c r="J91" s="435">
        <f>INDEX('Master Data'!$V$74:$V$802,MATCH(B91,'Master Data'!$B$74:$B$802,0))</f>
        <v>0</v>
      </c>
      <c r="K91" s="433" t="str">
        <f>INDEX('Master Data'!$P$74:$P$802,MATCH(B91,'Master Data'!$B$74:$B$802,0))</f>
        <v>Minivan</v>
      </c>
    </row>
    <row r="92" spans="2:11">
      <c r="B92" s="432" t="s">
        <v>432</v>
      </c>
      <c r="C92" s="432" t="s">
        <v>113</v>
      </c>
      <c r="D92" s="288" t="str">
        <f t="shared" si="4"/>
        <v>Specialized Behavioral</v>
      </c>
      <c r="E92" s="287">
        <f>INDEX('Master Data'!$Q$74:$Q$802,MATCH(B92,'Master Data'!$B$74:$B$802,0))</f>
        <v>5</v>
      </c>
      <c r="F92" s="433">
        <f>INDEX('Master Data'!$R$74:$R$802,MATCH(B92,'Master Data'!$B$74:$B$802,0))</f>
        <v>0.66</v>
      </c>
      <c r="G92" s="434">
        <f t="shared" si="3"/>
        <v>0</v>
      </c>
      <c r="H92" s="435">
        <f t="shared" si="5"/>
        <v>0</v>
      </c>
      <c r="I92" s="435">
        <f>INDEX('Master Data'!$U$74:$U$802,MATCH(B92,'Master Data'!$B$74:$B$802,0))</f>
        <v>4</v>
      </c>
      <c r="J92" s="435">
        <f>INDEX('Master Data'!$V$74:$V$802,MATCH(B92,'Master Data'!$B$74:$B$802,0))</f>
        <v>0</v>
      </c>
      <c r="K92" s="433" t="str">
        <f>INDEX('Master Data'!$P$74:$P$802,MATCH(B92,'Master Data'!$B$74:$B$802,0))</f>
        <v>Minivan</v>
      </c>
    </row>
    <row r="93" spans="2:11">
      <c r="B93" s="432" t="s">
        <v>433</v>
      </c>
      <c r="C93" s="432" t="s">
        <v>113</v>
      </c>
      <c r="D93" s="288" t="str">
        <f t="shared" si="4"/>
        <v>Specialized Behavioral</v>
      </c>
      <c r="E93" s="287">
        <f>INDEX('Master Data'!$Q$74:$Q$802,MATCH(B93,'Master Data'!$B$74:$B$802,0))</f>
        <v>5.5</v>
      </c>
      <c r="F93" s="433">
        <f>INDEX('Master Data'!$R$74:$R$802,MATCH(B93,'Master Data'!$B$74:$B$802,0))</f>
        <v>0.66</v>
      </c>
      <c r="G93" s="434">
        <f t="shared" si="3"/>
        <v>0</v>
      </c>
      <c r="H93" s="435">
        <f t="shared" si="5"/>
        <v>0</v>
      </c>
      <c r="I93" s="435">
        <f>INDEX('Master Data'!$U$74:$U$802,MATCH(B93,'Master Data'!$B$74:$B$802,0))</f>
        <v>4</v>
      </c>
      <c r="J93" s="435">
        <f>INDEX('Master Data'!$V$74:$V$802,MATCH(B93,'Master Data'!$B$74:$B$802,0))</f>
        <v>0</v>
      </c>
      <c r="K93" s="433" t="str">
        <f>INDEX('Master Data'!$P$74:$P$802,MATCH(B93,'Master Data'!$B$74:$B$802,0))</f>
        <v>Minivan</v>
      </c>
    </row>
    <row r="94" spans="2:11">
      <c r="B94" s="432" t="s">
        <v>434</v>
      </c>
      <c r="C94" s="432" t="s">
        <v>113</v>
      </c>
      <c r="D94" s="288" t="str">
        <f t="shared" si="4"/>
        <v>Specialized Behavioral</v>
      </c>
      <c r="E94" s="287">
        <f>INDEX('Master Data'!$Q$74:$Q$802,MATCH(B94,'Master Data'!$B$74:$B$802,0))</f>
        <v>6</v>
      </c>
      <c r="F94" s="433">
        <f>INDEX('Master Data'!$R$74:$R$802,MATCH(B94,'Master Data'!$B$74:$B$802,0))</f>
        <v>0.66</v>
      </c>
      <c r="G94" s="434">
        <f t="shared" si="3"/>
        <v>0</v>
      </c>
      <c r="H94" s="435">
        <f t="shared" si="5"/>
        <v>0</v>
      </c>
      <c r="I94" s="435">
        <f>INDEX('Master Data'!$U$74:$U$802,MATCH(B94,'Master Data'!$B$74:$B$802,0))</f>
        <v>4</v>
      </c>
      <c r="J94" s="435">
        <f>INDEX('Master Data'!$V$74:$V$802,MATCH(B94,'Master Data'!$B$74:$B$802,0))</f>
        <v>0</v>
      </c>
      <c r="K94" s="433" t="str">
        <f>INDEX('Master Data'!$P$74:$P$802,MATCH(B94,'Master Data'!$B$74:$B$802,0))</f>
        <v>Minivan</v>
      </c>
    </row>
    <row r="95" spans="2:11">
      <c r="B95" s="432" t="s">
        <v>435</v>
      </c>
      <c r="C95" s="432" t="s">
        <v>113</v>
      </c>
      <c r="D95" s="288" t="str">
        <f t="shared" si="4"/>
        <v>Specialized Behavioral</v>
      </c>
      <c r="E95" s="287">
        <f>INDEX('Master Data'!$Q$74:$Q$802,MATCH(B95,'Master Data'!$B$74:$B$802,0))</f>
        <v>6.5</v>
      </c>
      <c r="F95" s="433">
        <f>INDEX('Master Data'!$R$74:$R$802,MATCH(B95,'Master Data'!$B$74:$B$802,0))</f>
        <v>0.66</v>
      </c>
      <c r="G95" s="434">
        <f t="shared" si="3"/>
        <v>0</v>
      </c>
      <c r="H95" s="435">
        <f t="shared" si="5"/>
        <v>0</v>
      </c>
      <c r="I95" s="435">
        <f>INDEX('Master Data'!$U$74:$U$802,MATCH(B95,'Master Data'!$B$74:$B$802,0))</f>
        <v>4</v>
      </c>
      <c r="J95" s="435">
        <f>INDEX('Master Data'!$V$74:$V$802,MATCH(B95,'Master Data'!$B$74:$B$802,0))</f>
        <v>0</v>
      </c>
      <c r="K95" s="433" t="str">
        <f>INDEX('Master Data'!$P$74:$P$802,MATCH(B95,'Master Data'!$B$74:$B$802,0))</f>
        <v>Minivan</v>
      </c>
    </row>
    <row r="96" spans="2:11">
      <c r="B96" s="432" t="s">
        <v>436</v>
      </c>
      <c r="C96" s="432" t="s">
        <v>113</v>
      </c>
      <c r="D96" s="288" t="str">
        <f t="shared" si="4"/>
        <v>Specialized Behavioral</v>
      </c>
      <c r="E96" s="287">
        <f>INDEX('Master Data'!$Q$74:$Q$802,MATCH(B96,'Master Data'!$B$74:$B$802,0))</f>
        <v>7</v>
      </c>
      <c r="F96" s="433">
        <f>INDEX('Master Data'!$R$74:$R$802,MATCH(B96,'Master Data'!$B$74:$B$802,0))</f>
        <v>0.66</v>
      </c>
      <c r="G96" s="434">
        <f t="shared" si="3"/>
        <v>0</v>
      </c>
      <c r="H96" s="435">
        <f t="shared" si="5"/>
        <v>0</v>
      </c>
      <c r="I96" s="435">
        <f>INDEX('Master Data'!$U$74:$U$802,MATCH(B96,'Master Data'!$B$74:$B$802,0))</f>
        <v>4</v>
      </c>
      <c r="J96" s="435">
        <f>INDEX('Master Data'!$V$74:$V$802,MATCH(B96,'Master Data'!$B$74:$B$802,0))</f>
        <v>0</v>
      </c>
      <c r="K96" s="433" t="str">
        <f>INDEX('Master Data'!$P$74:$P$802,MATCH(B96,'Master Data'!$B$74:$B$802,0))</f>
        <v>Minivan</v>
      </c>
    </row>
    <row r="97" spans="2:11">
      <c r="B97" s="432" t="s">
        <v>437</v>
      </c>
      <c r="C97" s="432" t="s">
        <v>113</v>
      </c>
      <c r="D97" s="288" t="str">
        <f t="shared" si="4"/>
        <v>Specialized Behavioral</v>
      </c>
      <c r="E97" s="287">
        <f>INDEX('Master Data'!$Q$74:$Q$802,MATCH(B97,'Master Data'!$B$74:$B$802,0))</f>
        <v>7.5</v>
      </c>
      <c r="F97" s="433">
        <f>INDEX('Master Data'!$R$74:$R$802,MATCH(B97,'Master Data'!$B$74:$B$802,0))</f>
        <v>0.66</v>
      </c>
      <c r="G97" s="434">
        <f t="shared" si="3"/>
        <v>0</v>
      </c>
      <c r="H97" s="435">
        <f t="shared" si="5"/>
        <v>0</v>
      </c>
      <c r="I97" s="435">
        <f>INDEX('Master Data'!$U$74:$U$802,MATCH(B97,'Master Data'!$B$74:$B$802,0))</f>
        <v>4</v>
      </c>
      <c r="J97" s="435">
        <f>INDEX('Master Data'!$V$74:$V$802,MATCH(B97,'Master Data'!$B$74:$B$802,0))</f>
        <v>0</v>
      </c>
      <c r="K97" s="433" t="str">
        <f>INDEX('Master Data'!$P$74:$P$802,MATCH(B97,'Master Data'!$B$74:$B$802,0))</f>
        <v>Minivan</v>
      </c>
    </row>
    <row r="98" spans="2:11">
      <c r="B98" s="432" t="s">
        <v>438</v>
      </c>
      <c r="C98" s="432" t="s">
        <v>113</v>
      </c>
      <c r="D98" s="288" t="str">
        <f t="shared" si="4"/>
        <v>Specialized Behavioral</v>
      </c>
      <c r="E98" s="287">
        <f>INDEX('Master Data'!$Q$74:$Q$802,MATCH(B98,'Master Data'!$B$74:$B$802,0))</f>
        <v>8</v>
      </c>
      <c r="F98" s="433">
        <f>INDEX('Master Data'!$R$74:$R$802,MATCH(B98,'Master Data'!$B$74:$B$802,0))</f>
        <v>0.66</v>
      </c>
      <c r="G98" s="434">
        <f t="shared" si="3"/>
        <v>0</v>
      </c>
      <c r="H98" s="435">
        <f t="shared" si="5"/>
        <v>0</v>
      </c>
      <c r="I98" s="435">
        <f>INDEX('Master Data'!$U$74:$U$802,MATCH(B98,'Master Data'!$B$74:$B$802,0))</f>
        <v>4</v>
      </c>
      <c r="J98" s="435">
        <f>INDEX('Master Data'!$V$74:$V$802,MATCH(B98,'Master Data'!$B$74:$B$802,0))</f>
        <v>0</v>
      </c>
      <c r="K98" s="433" t="str">
        <f>INDEX('Master Data'!$P$74:$P$802,MATCH(B98,'Master Data'!$B$74:$B$802,0))</f>
        <v>Minivan</v>
      </c>
    </row>
    <row r="99" spans="2:11">
      <c r="B99" s="432" t="s">
        <v>439</v>
      </c>
      <c r="C99" s="432" t="s">
        <v>113</v>
      </c>
      <c r="D99" s="288" t="str">
        <f t="shared" si="4"/>
        <v>Specialized Behavioral</v>
      </c>
      <c r="E99" s="287">
        <f>INDEX('Master Data'!$Q$74:$Q$802,MATCH(B99,'Master Data'!$B$74:$B$802,0))</f>
        <v>8.5</v>
      </c>
      <c r="F99" s="433">
        <f>INDEX('Master Data'!$R$74:$R$802,MATCH(B99,'Master Data'!$B$74:$B$802,0))</f>
        <v>0.66</v>
      </c>
      <c r="G99" s="434">
        <f t="shared" si="3"/>
        <v>0</v>
      </c>
      <c r="H99" s="435">
        <f t="shared" si="5"/>
        <v>0</v>
      </c>
      <c r="I99" s="435">
        <f>INDEX('Master Data'!$U$74:$U$802,MATCH(B99,'Master Data'!$B$74:$B$802,0))</f>
        <v>4</v>
      </c>
      <c r="J99" s="435">
        <f>INDEX('Master Data'!$V$74:$V$802,MATCH(B99,'Master Data'!$B$74:$B$802,0))</f>
        <v>0</v>
      </c>
      <c r="K99" s="433" t="str">
        <f>INDEX('Master Data'!$P$74:$P$802,MATCH(B99,'Master Data'!$B$74:$B$802,0))</f>
        <v>Minivan</v>
      </c>
    </row>
    <row r="100" spans="2:11">
      <c r="B100" s="432" t="s">
        <v>440</v>
      </c>
      <c r="C100" s="432" t="s">
        <v>113</v>
      </c>
      <c r="D100" s="288" t="str">
        <f t="shared" si="4"/>
        <v>Specialized Behavioral</v>
      </c>
      <c r="E100" s="287">
        <f>INDEX('Master Data'!$Q$74:$Q$802,MATCH(B100,'Master Data'!$B$74:$B$802,0))</f>
        <v>9</v>
      </c>
      <c r="F100" s="433">
        <f>INDEX('Master Data'!$R$74:$R$802,MATCH(B100,'Master Data'!$B$74:$B$802,0))</f>
        <v>0.66</v>
      </c>
      <c r="G100" s="434">
        <f t="shared" si="3"/>
        <v>0</v>
      </c>
      <c r="H100" s="435">
        <f t="shared" si="5"/>
        <v>0</v>
      </c>
      <c r="I100" s="435">
        <f>INDEX('Master Data'!$U$74:$U$802,MATCH(B100,'Master Data'!$B$74:$B$802,0))</f>
        <v>4</v>
      </c>
      <c r="J100" s="435">
        <f>INDEX('Master Data'!$V$74:$V$802,MATCH(B100,'Master Data'!$B$74:$B$802,0))</f>
        <v>0</v>
      </c>
      <c r="K100" s="433" t="str">
        <f>INDEX('Master Data'!$P$74:$P$802,MATCH(B100,'Master Data'!$B$74:$B$802,0))</f>
        <v>Minivan</v>
      </c>
    </row>
    <row r="101" spans="2:11">
      <c r="B101" s="432" t="s">
        <v>441</v>
      </c>
      <c r="C101" s="432" t="s">
        <v>113</v>
      </c>
      <c r="D101" s="288" t="str">
        <f t="shared" si="4"/>
        <v>Specialized Behavioral</v>
      </c>
      <c r="E101" s="287">
        <f>INDEX('Master Data'!$Q$74:$Q$802,MATCH(B101,'Master Data'!$B$74:$B$802,0))</f>
        <v>9.5</v>
      </c>
      <c r="F101" s="433">
        <f>INDEX('Master Data'!$R$74:$R$802,MATCH(B101,'Master Data'!$B$74:$B$802,0))</f>
        <v>0.66</v>
      </c>
      <c r="G101" s="434">
        <f t="shared" si="3"/>
        <v>0</v>
      </c>
      <c r="H101" s="435">
        <f t="shared" si="5"/>
        <v>0</v>
      </c>
      <c r="I101" s="435">
        <f>INDEX('Master Data'!$U$74:$U$802,MATCH(B101,'Master Data'!$B$74:$B$802,0))</f>
        <v>4</v>
      </c>
      <c r="J101" s="435">
        <f>INDEX('Master Data'!$V$74:$V$802,MATCH(B101,'Master Data'!$B$74:$B$802,0))</f>
        <v>0</v>
      </c>
      <c r="K101" s="433" t="str">
        <f>INDEX('Master Data'!$P$74:$P$802,MATCH(B101,'Master Data'!$B$74:$B$802,0))</f>
        <v>Minivan</v>
      </c>
    </row>
    <row r="102" spans="2:11">
      <c r="B102" s="432" t="s">
        <v>463</v>
      </c>
      <c r="C102" s="432" t="s">
        <v>113</v>
      </c>
      <c r="D102" s="288" t="str">
        <f t="shared" si="4"/>
        <v>Specialized Behavioral</v>
      </c>
      <c r="E102" s="287">
        <f>INDEX('Master Data'!$Q$74:$Q$802,MATCH(B102,'Master Data'!$B$74:$B$802,0))</f>
        <v>10</v>
      </c>
      <c r="F102" s="433">
        <f>INDEX('Master Data'!$R$74:$R$802,MATCH(B102,'Master Data'!$B$74:$B$802,0))</f>
        <v>0.66</v>
      </c>
      <c r="G102" s="434">
        <f t="shared" si="3"/>
        <v>0</v>
      </c>
      <c r="H102" s="435">
        <f t="shared" si="5"/>
        <v>0</v>
      </c>
      <c r="I102" s="435">
        <f>INDEX('Master Data'!$U$74:$U$802,MATCH(B102,'Master Data'!$B$74:$B$802,0))</f>
        <v>4</v>
      </c>
      <c r="J102" s="435">
        <f>INDEX('Master Data'!$V$74:$V$802,MATCH(B102,'Master Data'!$B$74:$B$802,0))</f>
        <v>0</v>
      </c>
      <c r="K102" s="433" t="str">
        <f>INDEX('Master Data'!$P$74:$P$802,MATCH(B102,'Master Data'!$B$74:$B$802,0))</f>
        <v>Minivan</v>
      </c>
    </row>
    <row r="103" spans="2:11">
      <c r="B103" s="432" t="s">
        <v>464</v>
      </c>
      <c r="C103" s="432" t="s">
        <v>113</v>
      </c>
      <c r="D103" s="288" t="str">
        <f t="shared" si="4"/>
        <v>Specialized Behavioral</v>
      </c>
      <c r="E103" s="287">
        <f>INDEX('Master Data'!$Q$74:$Q$802,MATCH(B103,'Master Data'!$B$74:$B$802,0))</f>
        <v>10.5</v>
      </c>
      <c r="F103" s="433">
        <f>INDEX('Master Data'!$R$74:$R$802,MATCH(B103,'Master Data'!$B$74:$B$802,0))</f>
        <v>0.66</v>
      </c>
      <c r="G103" s="434">
        <f t="shared" si="3"/>
        <v>0</v>
      </c>
      <c r="H103" s="435">
        <f t="shared" si="5"/>
        <v>0</v>
      </c>
      <c r="I103" s="435">
        <f>INDEX('Master Data'!$U$74:$U$802,MATCH(B103,'Master Data'!$B$74:$B$802,0))</f>
        <v>4</v>
      </c>
      <c r="J103" s="435">
        <f>INDEX('Master Data'!$V$74:$V$802,MATCH(B103,'Master Data'!$B$74:$B$802,0))</f>
        <v>0</v>
      </c>
      <c r="K103" s="433" t="str">
        <f>INDEX('Master Data'!$P$74:$P$802,MATCH(B103,'Master Data'!$B$74:$B$802,0))</f>
        <v>Minivan</v>
      </c>
    </row>
    <row r="104" spans="2:11">
      <c r="B104" s="432" t="s">
        <v>465</v>
      </c>
      <c r="C104" s="432" t="s">
        <v>113</v>
      </c>
      <c r="D104" s="288" t="str">
        <f t="shared" si="4"/>
        <v>Specialized Behavioral</v>
      </c>
      <c r="E104" s="287">
        <f>INDEX('Master Data'!$Q$74:$Q$802,MATCH(B104,'Master Data'!$B$74:$B$802,0))</f>
        <v>11</v>
      </c>
      <c r="F104" s="433">
        <f>INDEX('Master Data'!$R$74:$R$802,MATCH(B104,'Master Data'!$B$74:$B$802,0))</f>
        <v>0.66</v>
      </c>
      <c r="G104" s="434">
        <f t="shared" si="3"/>
        <v>0</v>
      </c>
      <c r="H104" s="435">
        <f t="shared" si="5"/>
        <v>0</v>
      </c>
      <c r="I104" s="435">
        <f>INDEX('Master Data'!$U$74:$U$802,MATCH(B104,'Master Data'!$B$74:$B$802,0))</f>
        <v>4</v>
      </c>
      <c r="J104" s="435">
        <f>INDEX('Master Data'!$V$74:$V$802,MATCH(B104,'Master Data'!$B$74:$B$802,0))</f>
        <v>0</v>
      </c>
      <c r="K104" s="433" t="str">
        <f>INDEX('Master Data'!$P$74:$P$802,MATCH(B104,'Master Data'!$B$74:$B$802,0))</f>
        <v>Minivan</v>
      </c>
    </row>
    <row r="105" spans="2:11">
      <c r="B105" s="431" t="s">
        <v>241</v>
      </c>
      <c r="C105" s="431" t="s">
        <v>97</v>
      </c>
      <c r="D105" s="288" t="str">
        <f t="shared" si="4"/>
        <v>Basic</v>
      </c>
      <c r="E105" s="287">
        <f>INDEX('Master Data'!$Q$74:$Q$802,MATCH(B105,'Master Data'!$B$74:$B$802,0))</f>
        <v>3.5</v>
      </c>
      <c r="F105" s="433">
        <f>INDEX('Master Data'!$R$74:$R$802,MATCH(B105,'Master Data'!$B$74:$B$802,0))</f>
        <v>1</v>
      </c>
      <c r="G105" s="434">
        <f t="shared" si="3"/>
        <v>0</v>
      </c>
      <c r="H105" s="435">
        <f t="shared" si="5"/>
        <v>0</v>
      </c>
      <c r="I105" s="435">
        <f>INDEX('Master Data'!$U$74:$U$802,MATCH(B105,'Master Data'!$B$74:$B$802,0))</f>
        <v>1</v>
      </c>
      <c r="J105" s="435">
        <f>INDEX('Master Data'!$V$74:$V$802,MATCH(B105,'Master Data'!$B$74:$B$802,0))</f>
        <v>1</v>
      </c>
      <c r="K105" s="433" t="str">
        <f>INDEX('Master Data'!$P$74:$P$802,MATCH(B105,'Master Data'!$B$74:$B$802,0))</f>
        <v>Van</v>
      </c>
    </row>
    <row r="106" spans="2:11">
      <c r="B106" s="431" t="s">
        <v>242</v>
      </c>
      <c r="C106" s="431" t="s">
        <v>97</v>
      </c>
      <c r="D106" s="288" t="str">
        <f t="shared" si="4"/>
        <v>Basic</v>
      </c>
      <c r="E106" s="287">
        <f>INDEX('Master Data'!$Q$74:$Q$802,MATCH(B106,'Master Data'!$B$74:$B$802,0))</f>
        <v>4</v>
      </c>
      <c r="F106" s="433">
        <f>INDEX('Master Data'!$R$74:$R$802,MATCH(B106,'Master Data'!$B$74:$B$802,0))</f>
        <v>1</v>
      </c>
      <c r="G106" s="434">
        <f t="shared" ref="G106:G169" si="6">IF(LEFT(B106,1)="M",IF(RIGHT(B106,1)="1",0.25,IF(RIGHT(B106,1)="2",0.35,IF(RIGHT(B106,1)="3",0.45,0))),0)</f>
        <v>0</v>
      </c>
      <c r="H106" s="435">
        <f t="shared" si="5"/>
        <v>0</v>
      </c>
      <c r="I106" s="435">
        <f>INDEX('Master Data'!$U$74:$U$802,MATCH(B106,'Master Data'!$B$74:$B$802,0))</f>
        <v>1</v>
      </c>
      <c r="J106" s="435">
        <f>INDEX('Master Data'!$V$74:$V$802,MATCH(B106,'Master Data'!$B$74:$B$802,0))</f>
        <v>1</v>
      </c>
      <c r="K106" s="433" t="str">
        <f>INDEX('Master Data'!$P$74:$P$802,MATCH(B106,'Master Data'!$B$74:$B$802,0))</f>
        <v>Van</v>
      </c>
    </row>
    <row r="107" spans="2:11">
      <c r="B107" s="431" t="s">
        <v>243</v>
      </c>
      <c r="C107" s="431" t="s">
        <v>97</v>
      </c>
      <c r="D107" s="288" t="str">
        <f t="shared" si="4"/>
        <v>Basic</v>
      </c>
      <c r="E107" s="287">
        <f>INDEX('Master Data'!$Q$74:$Q$802,MATCH(B107,'Master Data'!$B$74:$B$802,0))</f>
        <v>4.5</v>
      </c>
      <c r="F107" s="433">
        <f>INDEX('Master Data'!$R$74:$R$802,MATCH(B107,'Master Data'!$B$74:$B$802,0))</f>
        <v>1</v>
      </c>
      <c r="G107" s="434">
        <f t="shared" si="6"/>
        <v>0</v>
      </c>
      <c r="H107" s="435">
        <f t="shared" si="5"/>
        <v>0</v>
      </c>
      <c r="I107" s="435">
        <f>INDEX('Master Data'!$U$74:$U$802,MATCH(B107,'Master Data'!$B$74:$B$802,0))</f>
        <v>1</v>
      </c>
      <c r="J107" s="435">
        <f>INDEX('Master Data'!$V$74:$V$802,MATCH(B107,'Master Data'!$B$74:$B$802,0))</f>
        <v>1</v>
      </c>
      <c r="K107" s="433" t="str">
        <f>INDEX('Master Data'!$P$74:$P$802,MATCH(B107,'Master Data'!$B$74:$B$802,0))</f>
        <v>Van</v>
      </c>
    </row>
    <row r="108" spans="2:11">
      <c r="B108" s="431" t="s">
        <v>244</v>
      </c>
      <c r="C108" s="431" t="s">
        <v>97</v>
      </c>
      <c r="D108" s="288" t="str">
        <f t="shared" si="4"/>
        <v>Basic</v>
      </c>
      <c r="E108" s="287">
        <f>INDEX('Master Data'!$Q$74:$Q$802,MATCH(B108,'Master Data'!$B$74:$B$802,0))</f>
        <v>5</v>
      </c>
      <c r="F108" s="433">
        <f>INDEX('Master Data'!$R$74:$R$802,MATCH(B108,'Master Data'!$B$74:$B$802,0))</f>
        <v>1</v>
      </c>
      <c r="G108" s="434">
        <f t="shared" si="6"/>
        <v>0</v>
      </c>
      <c r="H108" s="435">
        <f t="shared" si="5"/>
        <v>0</v>
      </c>
      <c r="I108" s="435">
        <f>INDEX('Master Data'!$U$74:$U$802,MATCH(B108,'Master Data'!$B$74:$B$802,0))</f>
        <v>1</v>
      </c>
      <c r="J108" s="435">
        <f>INDEX('Master Data'!$V$74:$V$802,MATCH(B108,'Master Data'!$B$74:$B$802,0))</f>
        <v>1</v>
      </c>
      <c r="K108" s="433" t="str">
        <f>INDEX('Master Data'!$P$74:$P$802,MATCH(B108,'Master Data'!$B$74:$B$802,0))</f>
        <v>Van</v>
      </c>
    </row>
    <row r="109" spans="2:11">
      <c r="B109" s="431" t="s">
        <v>245</v>
      </c>
      <c r="C109" s="431" t="s">
        <v>97</v>
      </c>
      <c r="D109" s="288" t="str">
        <f t="shared" si="4"/>
        <v>Basic</v>
      </c>
      <c r="E109" s="287">
        <f>INDEX('Master Data'!$Q$74:$Q$802,MATCH(B109,'Master Data'!$B$74:$B$802,0))</f>
        <v>5.5</v>
      </c>
      <c r="F109" s="433">
        <f>INDEX('Master Data'!$R$74:$R$802,MATCH(B109,'Master Data'!$B$74:$B$802,0))</f>
        <v>1</v>
      </c>
      <c r="G109" s="434">
        <f t="shared" si="6"/>
        <v>0</v>
      </c>
      <c r="H109" s="435">
        <f t="shared" si="5"/>
        <v>0</v>
      </c>
      <c r="I109" s="435">
        <f>INDEX('Master Data'!$U$74:$U$802,MATCH(B109,'Master Data'!$B$74:$B$802,0))</f>
        <v>1</v>
      </c>
      <c r="J109" s="435">
        <f>INDEX('Master Data'!$V$74:$V$802,MATCH(B109,'Master Data'!$B$74:$B$802,0))</f>
        <v>1</v>
      </c>
      <c r="K109" s="433" t="str">
        <f>INDEX('Master Data'!$P$74:$P$802,MATCH(B109,'Master Data'!$B$74:$B$802,0))</f>
        <v>Van</v>
      </c>
    </row>
    <row r="110" spans="2:11">
      <c r="B110" s="431" t="s">
        <v>246</v>
      </c>
      <c r="C110" s="431" t="s">
        <v>97</v>
      </c>
      <c r="D110" s="288" t="str">
        <f t="shared" si="4"/>
        <v>Basic</v>
      </c>
      <c r="E110" s="287">
        <f>INDEX('Master Data'!$Q$74:$Q$802,MATCH(B110,'Master Data'!$B$74:$B$802,0))</f>
        <v>6</v>
      </c>
      <c r="F110" s="433">
        <f>INDEX('Master Data'!$R$74:$R$802,MATCH(B110,'Master Data'!$B$74:$B$802,0))</f>
        <v>1</v>
      </c>
      <c r="G110" s="434">
        <f t="shared" si="6"/>
        <v>0</v>
      </c>
      <c r="H110" s="435">
        <f t="shared" si="5"/>
        <v>0</v>
      </c>
      <c r="I110" s="435">
        <f>INDEX('Master Data'!$U$74:$U$802,MATCH(B110,'Master Data'!$B$74:$B$802,0))</f>
        <v>1</v>
      </c>
      <c r="J110" s="435">
        <f>INDEX('Master Data'!$V$74:$V$802,MATCH(B110,'Master Data'!$B$74:$B$802,0))</f>
        <v>1</v>
      </c>
      <c r="K110" s="433" t="str">
        <f>INDEX('Master Data'!$P$74:$P$802,MATCH(B110,'Master Data'!$B$74:$B$802,0))</f>
        <v>Van</v>
      </c>
    </row>
    <row r="111" spans="2:11">
      <c r="B111" s="431" t="s">
        <v>247</v>
      </c>
      <c r="C111" s="431" t="s">
        <v>97</v>
      </c>
      <c r="D111" s="288" t="str">
        <f t="shared" si="4"/>
        <v>Basic</v>
      </c>
      <c r="E111" s="287">
        <f>INDEX('Master Data'!$Q$74:$Q$802,MATCH(B111,'Master Data'!$B$74:$B$802,0))</f>
        <v>6.5</v>
      </c>
      <c r="F111" s="433">
        <f>INDEX('Master Data'!$R$74:$R$802,MATCH(B111,'Master Data'!$B$74:$B$802,0))</f>
        <v>1</v>
      </c>
      <c r="G111" s="434">
        <f t="shared" si="6"/>
        <v>0</v>
      </c>
      <c r="H111" s="435">
        <f t="shared" si="5"/>
        <v>0</v>
      </c>
      <c r="I111" s="435">
        <f>INDEX('Master Data'!$U$74:$U$802,MATCH(B111,'Master Data'!$B$74:$B$802,0))</f>
        <v>1</v>
      </c>
      <c r="J111" s="435">
        <f>INDEX('Master Data'!$V$74:$V$802,MATCH(B111,'Master Data'!$B$74:$B$802,0))</f>
        <v>1</v>
      </c>
      <c r="K111" s="433" t="str">
        <f>INDEX('Master Data'!$P$74:$P$802,MATCH(B111,'Master Data'!$B$74:$B$802,0))</f>
        <v>Van</v>
      </c>
    </row>
    <row r="112" spans="2:11">
      <c r="B112" s="431" t="s">
        <v>248</v>
      </c>
      <c r="C112" s="431" t="s">
        <v>97</v>
      </c>
      <c r="D112" s="288" t="str">
        <f t="shared" si="4"/>
        <v>Basic</v>
      </c>
      <c r="E112" s="287">
        <f>INDEX('Master Data'!$Q$74:$Q$802,MATCH(B112,'Master Data'!$B$74:$B$802,0))</f>
        <v>7</v>
      </c>
      <c r="F112" s="433">
        <f>INDEX('Master Data'!$R$74:$R$802,MATCH(B112,'Master Data'!$B$74:$B$802,0))</f>
        <v>1</v>
      </c>
      <c r="G112" s="434">
        <f t="shared" si="6"/>
        <v>0</v>
      </c>
      <c r="H112" s="435">
        <f t="shared" si="5"/>
        <v>0</v>
      </c>
      <c r="I112" s="435">
        <f>INDEX('Master Data'!$U$74:$U$802,MATCH(B112,'Master Data'!$B$74:$B$802,0))</f>
        <v>1</v>
      </c>
      <c r="J112" s="435">
        <f>INDEX('Master Data'!$V$74:$V$802,MATCH(B112,'Master Data'!$B$74:$B$802,0))</f>
        <v>1</v>
      </c>
      <c r="K112" s="433" t="str">
        <f>INDEX('Master Data'!$P$74:$P$802,MATCH(B112,'Master Data'!$B$74:$B$802,0))</f>
        <v>Van</v>
      </c>
    </row>
    <row r="113" spans="2:11">
      <c r="B113" s="431" t="s">
        <v>249</v>
      </c>
      <c r="C113" s="431" t="s">
        <v>97</v>
      </c>
      <c r="D113" s="288" t="str">
        <f t="shared" si="4"/>
        <v>Basic</v>
      </c>
      <c r="E113" s="287">
        <f>INDEX('Master Data'!$Q$74:$Q$802,MATCH(B113,'Master Data'!$B$74:$B$802,0))</f>
        <v>7.5</v>
      </c>
      <c r="F113" s="433">
        <f>INDEX('Master Data'!$R$74:$R$802,MATCH(B113,'Master Data'!$B$74:$B$802,0))</f>
        <v>1</v>
      </c>
      <c r="G113" s="434">
        <f t="shared" si="6"/>
        <v>0</v>
      </c>
      <c r="H113" s="435">
        <f t="shared" si="5"/>
        <v>0</v>
      </c>
      <c r="I113" s="435">
        <f>INDEX('Master Data'!$U$74:$U$802,MATCH(B113,'Master Data'!$B$74:$B$802,0))</f>
        <v>1</v>
      </c>
      <c r="J113" s="435">
        <f>INDEX('Master Data'!$V$74:$V$802,MATCH(B113,'Master Data'!$B$74:$B$802,0))</f>
        <v>1</v>
      </c>
      <c r="K113" s="433" t="str">
        <f>INDEX('Master Data'!$P$74:$P$802,MATCH(B113,'Master Data'!$B$74:$B$802,0))</f>
        <v>Van</v>
      </c>
    </row>
    <row r="114" spans="2:11">
      <c r="B114" s="431" t="s">
        <v>250</v>
      </c>
      <c r="C114" s="431" t="s">
        <v>97</v>
      </c>
      <c r="D114" s="288" t="str">
        <f t="shared" si="4"/>
        <v>Basic</v>
      </c>
      <c r="E114" s="287">
        <f>INDEX('Master Data'!$Q$74:$Q$802,MATCH(B114,'Master Data'!$B$74:$B$802,0))</f>
        <v>8</v>
      </c>
      <c r="F114" s="433">
        <f>INDEX('Master Data'!$R$74:$R$802,MATCH(B114,'Master Data'!$B$74:$B$802,0))</f>
        <v>1</v>
      </c>
      <c r="G114" s="434">
        <f t="shared" si="6"/>
        <v>0</v>
      </c>
      <c r="H114" s="435">
        <f t="shared" si="5"/>
        <v>0</v>
      </c>
      <c r="I114" s="435">
        <f>INDEX('Master Data'!$U$74:$U$802,MATCH(B114,'Master Data'!$B$74:$B$802,0))</f>
        <v>1</v>
      </c>
      <c r="J114" s="435">
        <f>INDEX('Master Data'!$V$74:$V$802,MATCH(B114,'Master Data'!$B$74:$B$802,0))</f>
        <v>1</v>
      </c>
      <c r="K114" s="433" t="str">
        <f>INDEX('Master Data'!$P$74:$P$802,MATCH(B114,'Master Data'!$B$74:$B$802,0))</f>
        <v>Van</v>
      </c>
    </row>
    <row r="115" spans="2:11">
      <c r="B115" s="431" t="s">
        <v>251</v>
      </c>
      <c r="C115" s="431" t="s">
        <v>97</v>
      </c>
      <c r="D115" s="288" t="str">
        <f t="shared" si="4"/>
        <v>Basic</v>
      </c>
      <c r="E115" s="287">
        <f>INDEX('Master Data'!$Q$74:$Q$802,MATCH(B115,'Master Data'!$B$74:$B$802,0))</f>
        <v>8.5</v>
      </c>
      <c r="F115" s="433">
        <f>INDEX('Master Data'!$R$74:$R$802,MATCH(B115,'Master Data'!$B$74:$B$802,0))</f>
        <v>1</v>
      </c>
      <c r="G115" s="434">
        <f t="shared" si="6"/>
        <v>0</v>
      </c>
      <c r="H115" s="435">
        <f t="shared" si="5"/>
        <v>0</v>
      </c>
      <c r="I115" s="435">
        <f>INDEX('Master Data'!$U$74:$U$802,MATCH(B115,'Master Data'!$B$74:$B$802,0))</f>
        <v>1</v>
      </c>
      <c r="J115" s="435">
        <f>INDEX('Master Data'!$V$74:$V$802,MATCH(B115,'Master Data'!$B$74:$B$802,0))</f>
        <v>1</v>
      </c>
      <c r="K115" s="433" t="str">
        <f>INDEX('Master Data'!$P$74:$P$802,MATCH(B115,'Master Data'!$B$74:$B$802,0))</f>
        <v>Van</v>
      </c>
    </row>
    <row r="116" spans="2:11">
      <c r="B116" s="431" t="s">
        <v>252</v>
      </c>
      <c r="C116" s="431" t="s">
        <v>97</v>
      </c>
      <c r="D116" s="288" t="str">
        <f t="shared" si="4"/>
        <v>Basic</v>
      </c>
      <c r="E116" s="287">
        <f>INDEX('Master Data'!$Q$74:$Q$802,MATCH(B116,'Master Data'!$B$74:$B$802,0))</f>
        <v>9</v>
      </c>
      <c r="F116" s="433">
        <f>INDEX('Master Data'!$R$74:$R$802,MATCH(B116,'Master Data'!$B$74:$B$802,0))</f>
        <v>1</v>
      </c>
      <c r="G116" s="434">
        <f t="shared" si="6"/>
        <v>0</v>
      </c>
      <c r="H116" s="435">
        <f t="shared" si="5"/>
        <v>0</v>
      </c>
      <c r="I116" s="435">
        <f>INDEX('Master Data'!$U$74:$U$802,MATCH(B116,'Master Data'!$B$74:$B$802,0))</f>
        <v>1</v>
      </c>
      <c r="J116" s="435">
        <f>INDEX('Master Data'!$V$74:$V$802,MATCH(B116,'Master Data'!$B$74:$B$802,0))</f>
        <v>1</v>
      </c>
      <c r="K116" s="433" t="str">
        <f>INDEX('Master Data'!$P$74:$P$802,MATCH(B116,'Master Data'!$B$74:$B$802,0))</f>
        <v>Van</v>
      </c>
    </row>
    <row r="117" spans="2:11">
      <c r="B117" s="431" t="s">
        <v>253</v>
      </c>
      <c r="C117" s="431" t="s">
        <v>97</v>
      </c>
      <c r="D117" s="288" t="str">
        <f t="shared" si="4"/>
        <v>Basic</v>
      </c>
      <c r="E117" s="287">
        <f>INDEX('Master Data'!$Q$74:$Q$802,MATCH(B117,'Master Data'!$B$74:$B$802,0))</f>
        <v>9.5</v>
      </c>
      <c r="F117" s="433">
        <f>INDEX('Master Data'!$R$74:$R$802,MATCH(B117,'Master Data'!$B$74:$B$802,0))</f>
        <v>1</v>
      </c>
      <c r="G117" s="434">
        <f t="shared" si="6"/>
        <v>0</v>
      </c>
      <c r="H117" s="435">
        <f t="shared" si="5"/>
        <v>0</v>
      </c>
      <c r="I117" s="435">
        <f>INDEX('Master Data'!$U$74:$U$802,MATCH(B117,'Master Data'!$B$74:$B$802,0))</f>
        <v>1</v>
      </c>
      <c r="J117" s="435">
        <f>INDEX('Master Data'!$V$74:$V$802,MATCH(B117,'Master Data'!$B$74:$B$802,0))</f>
        <v>1</v>
      </c>
      <c r="K117" s="433" t="str">
        <f>INDEX('Master Data'!$P$74:$P$802,MATCH(B117,'Master Data'!$B$74:$B$802,0))</f>
        <v>Van</v>
      </c>
    </row>
    <row r="118" spans="2:11">
      <c r="B118" s="431" t="s">
        <v>254</v>
      </c>
      <c r="C118" s="431" t="s">
        <v>97</v>
      </c>
      <c r="D118" s="288" t="str">
        <f t="shared" si="4"/>
        <v>Basic</v>
      </c>
      <c r="E118" s="287">
        <f>INDEX('Master Data'!$Q$74:$Q$802,MATCH(B118,'Master Data'!$B$74:$B$802,0))</f>
        <v>10</v>
      </c>
      <c r="F118" s="433">
        <f>INDEX('Master Data'!$R$74:$R$802,MATCH(B118,'Master Data'!$B$74:$B$802,0))</f>
        <v>1</v>
      </c>
      <c r="G118" s="434">
        <f t="shared" si="6"/>
        <v>0</v>
      </c>
      <c r="H118" s="435">
        <f t="shared" si="5"/>
        <v>0</v>
      </c>
      <c r="I118" s="435">
        <f>INDEX('Master Data'!$U$74:$U$802,MATCH(B118,'Master Data'!$B$74:$B$802,0))</f>
        <v>1</v>
      </c>
      <c r="J118" s="435">
        <f>INDEX('Master Data'!$V$74:$V$802,MATCH(B118,'Master Data'!$B$74:$B$802,0))</f>
        <v>1</v>
      </c>
      <c r="K118" s="433" t="str">
        <f>INDEX('Master Data'!$P$74:$P$802,MATCH(B118,'Master Data'!$B$74:$B$802,0))</f>
        <v>Van</v>
      </c>
    </row>
    <row r="119" spans="2:11">
      <c r="B119" s="431" t="s">
        <v>255</v>
      </c>
      <c r="C119" s="431" t="s">
        <v>97</v>
      </c>
      <c r="D119" s="288" t="str">
        <f t="shared" si="4"/>
        <v>Basic</v>
      </c>
      <c r="E119" s="287">
        <f>INDEX('Master Data'!$Q$74:$Q$802,MATCH(B119,'Master Data'!$B$74:$B$802,0))</f>
        <v>10.5</v>
      </c>
      <c r="F119" s="433">
        <f>INDEX('Master Data'!$R$74:$R$802,MATCH(B119,'Master Data'!$B$74:$B$802,0))</f>
        <v>1</v>
      </c>
      <c r="G119" s="434">
        <f t="shared" si="6"/>
        <v>0</v>
      </c>
      <c r="H119" s="435">
        <f t="shared" si="5"/>
        <v>0</v>
      </c>
      <c r="I119" s="435">
        <f>INDEX('Master Data'!$U$74:$U$802,MATCH(B119,'Master Data'!$B$74:$B$802,0))</f>
        <v>1</v>
      </c>
      <c r="J119" s="435">
        <f>INDEX('Master Data'!$V$74:$V$802,MATCH(B119,'Master Data'!$B$74:$B$802,0))</f>
        <v>1</v>
      </c>
      <c r="K119" s="433" t="str">
        <f>INDEX('Master Data'!$P$74:$P$802,MATCH(B119,'Master Data'!$B$74:$B$802,0))</f>
        <v>Van</v>
      </c>
    </row>
    <row r="120" spans="2:11">
      <c r="B120" s="431" t="s">
        <v>256</v>
      </c>
      <c r="C120" s="431" t="s">
        <v>97</v>
      </c>
      <c r="D120" s="288" t="str">
        <f t="shared" si="4"/>
        <v>Basic</v>
      </c>
      <c r="E120" s="287">
        <f>INDEX('Master Data'!$Q$74:$Q$802,MATCH(B120,'Master Data'!$B$74:$B$802,0))</f>
        <v>11</v>
      </c>
      <c r="F120" s="433">
        <f>INDEX('Master Data'!$R$74:$R$802,MATCH(B120,'Master Data'!$B$74:$B$802,0))</f>
        <v>1</v>
      </c>
      <c r="G120" s="434">
        <f t="shared" si="6"/>
        <v>0</v>
      </c>
      <c r="H120" s="435">
        <f t="shared" si="5"/>
        <v>0</v>
      </c>
      <c r="I120" s="435">
        <f>INDEX('Master Data'!$U$74:$U$802,MATCH(B120,'Master Data'!$B$74:$B$802,0))</f>
        <v>1</v>
      </c>
      <c r="J120" s="435">
        <f>INDEX('Master Data'!$V$74:$V$802,MATCH(B120,'Master Data'!$B$74:$B$802,0))</f>
        <v>1</v>
      </c>
      <c r="K120" s="433" t="str">
        <f>INDEX('Master Data'!$P$74:$P$802,MATCH(B120,'Master Data'!$B$74:$B$802,0))</f>
        <v>Van</v>
      </c>
    </row>
    <row r="121" spans="2:11">
      <c r="B121" s="431" t="s">
        <v>257</v>
      </c>
      <c r="C121" s="431" t="s">
        <v>97</v>
      </c>
      <c r="D121" s="288" t="str">
        <f t="shared" si="4"/>
        <v>Basic</v>
      </c>
      <c r="E121" s="287">
        <f>INDEX('Master Data'!$Q$74:$Q$802,MATCH(B121,'Master Data'!$B$74:$B$802,0))</f>
        <v>11.5</v>
      </c>
      <c r="F121" s="433">
        <f>INDEX('Master Data'!$R$74:$R$802,MATCH(B121,'Master Data'!$B$74:$B$802,0))</f>
        <v>1</v>
      </c>
      <c r="G121" s="434">
        <f t="shared" si="6"/>
        <v>0</v>
      </c>
      <c r="H121" s="435">
        <f t="shared" si="5"/>
        <v>0</v>
      </c>
      <c r="I121" s="435">
        <f>INDEX('Master Data'!$U$74:$U$802,MATCH(B121,'Master Data'!$B$74:$B$802,0))</f>
        <v>1</v>
      </c>
      <c r="J121" s="435">
        <f>INDEX('Master Data'!$V$74:$V$802,MATCH(B121,'Master Data'!$B$74:$B$802,0))</f>
        <v>1</v>
      </c>
      <c r="K121" s="433" t="str">
        <f>INDEX('Master Data'!$P$74:$P$802,MATCH(B121,'Master Data'!$B$74:$B$802,0))</f>
        <v>Van</v>
      </c>
    </row>
    <row r="122" spans="2:11">
      <c r="B122" s="431" t="s">
        <v>258</v>
      </c>
      <c r="C122" s="431" t="s">
        <v>97</v>
      </c>
      <c r="D122" s="288" t="str">
        <f t="shared" si="4"/>
        <v>Basic</v>
      </c>
      <c r="E122" s="287">
        <f>INDEX('Master Data'!$Q$74:$Q$802,MATCH(B122,'Master Data'!$B$74:$B$802,0))</f>
        <v>12</v>
      </c>
      <c r="F122" s="433">
        <f>INDEX('Master Data'!$R$74:$R$802,MATCH(B122,'Master Data'!$B$74:$B$802,0))</f>
        <v>1</v>
      </c>
      <c r="G122" s="434">
        <f t="shared" si="6"/>
        <v>0</v>
      </c>
      <c r="H122" s="435">
        <f t="shared" si="5"/>
        <v>0</v>
      </c>
      <c r="I122" s="435">
        <f>INDEX('Master Data'!$U$74:$U$802,MATCH(B122,'Master Data'!$B$74:$B$802,0))</f>
        <v>1</v>
      </c>
      <c r="J122" s="435">
        <f>INDEX('Master Data'!$V$74:$V$802,MATCH(B122,'Master Data'!$B$74:$B$802,0))</f>
        <v>1</v>
      </c>
      <c r="K122" s="433" t="str">
        <f>INDEX('Master Data'!$P$74:$P$802,MATCH(B122,'Master Data'!$B$74:$B$802,0))</f>
        <v>Van</v>
      </c>
    </row>
    <row r="123" spans="2:11">
      <c r="B123" s="431" t="s">
        <v>259</v>
      </c>
      <c r="C123" s="431" t="s">
        <v>97</v>
      </c>
      <c r="D123" s="288" t="str">
        <f t="shared" si="4"/>
        <v>Basic</v>
      </c>
      <c r="E123" s="287">
        <f>INDEX('Master Data'!$Q$74:$Q$802,MATCH(B123,'Master Data'!$B$74:$B$802,0))</f>
        <v>12.5</v>
      </c>
      <c r="F123" s="433">
        <f>INDEX('Master Data'!$R$74:$R$802,MATCH(B123,'Master Data'!$B$74:$B$802,0))</f>
        <v>1</v>
      </c>
      <c r="G123" s="434">
        <f t="shared" si="6"/>
        <v>0</v>
      </c>
      <c r="H123" s="435">
        <f t="shared" si="5"/>
        <v>0</v>
      </c>
      <c r="I123" s="435">
        <f>INDEX('Master Data'!$U$74:$U$802,MATCH(B123,'Master Data'!$B$74:$B$802,0))</f>
        <v>1</v>
      </c>
      <c r="J123" s="435">
        <f>INDEX('Master Data'!$V$74:$V$802,MATCH(B123,'Master Data'!$B$74:$B$802,0))</f>
        <v>1</v>
      </c>
      <c r="K123" s="433" t="str">
        <f>INDEX('Master Data'!$P$74:$P$802,MATCH(B123,'Master Data'!$B$74:$B$802,0))</f>
        <v>Van</v>
      </c>
    </row>
    <row r="124" spans="2:11">
      <c r="B124" s="431" t="s">
        <v>146</v>
      </c>
      <c r="C124" s="431" t="s">
        <v>97</v>
      </c>
      <c r="D124" s="288" t="str">
        <f t="shared" si="4"/>
        <v>Intermediate</v>
      </c>
      <c r="E124" s="287">
        <f>INDEX('Master Data'!$Q$74:$Q$802,MATCH(B124,'Master Data'!$B$74:$B$802,0))</f>
        <v>4</v>
      </c>
      <c r="F124" s="433">
        <f>INDEX('Master Data'!$R$74:$R$802,MATCH(B124,'Master Data'!$B$74:$B$802,0))</f>
        <v>1</v>
      </c>
      <c r="G124" s="434">
        <f t="shared" si="6"/>
        <v>0</v>
      </c>
      <c r="H124" s="435">
        <f t="shared" si="5"/>
        <v>0</v>
      </c>
      <c r="I124" s="435">
        <f>INDEX('Master Data'!$U$74:$U$802,MATCH(B124,'Master Data'!$B$74:$B$802,0))</f>
        <v>2</v>
      </c>
      <c r="J124" s="435">
        <f>INDEX('Master Data'!$V$74:$V$802,MATCH(B124,'Master Data'!$B$74:$B$802,0))</f>
        <v>3</v>
      </c>
      <c r="K124" s="433" t="str">
        <f>INDEX('Master Data'!$P$74:$P$802,MATCH(B124,'Master Data'!$B$74:$B$802,0))</f>
        <v>Van</v>
      </c>
    </row>
    <row r="125" spans="2:11">
      <c r="B125" s="431" t="s">
        <v>145</v>
      </c>
      <c r="C125" s="431" t="s">
        <v>97</v>
      </c>
      <c r="D125" s="288" t="str">
        <f t="shared" si="4"/>
        <v>Intermediate</v>
      </c>
      <c r="E125" s="287">
        <f>INDEX('Master Data'!$Q$74:$Q$802,MATCH(B125,'Master Data'!$B$74:$B$802,0))</f>
        <v>4.5</v>
      </c>
      <c r="F125" s="433">
        <f>INDEX('Master Data'!$R$74:$R$802,MATCH(B125,'Master Data'!$B$74:$B$802,0))</f>
        <v>1</v>
      </c>
      <c r="G125" s="434">
        <f t="shared" si="6"/>
        <v>0</v>
      </c>
      <c r="H125" s="435">
        <f t="shared" si="5"/>
        <v>0</v>
      </c>
      <c r="I125" s="435">
        <f>INDEX('Master Data'!$U$74:$U$802,MATCH(B125,'Master Data'!$B$74:$B$802,0))</f>
        <v>2</v>
      </c>
      <c r="J125" s="435">
        <f>INDEX('Master Data'!$V$74:$V$802,MATCH(B125,'Master Data'!$B$74:$B$802,0))</f>
        <v>3</v>
      </c>
      <c r="K125" s="433" t="str">
        <f>INDEX('Master Data'!$P$74:$P$802,MATCH(B125,'Master Data'!$B$74:$B$802,0))</f>
        <v>Van</v>
      </c>
    </row>
    <row r="126" spans="2:11">
      <c r="B126" s="431" t="s">
        <v>144</v>
      </c>
      <c r="C126" s="431" t="s">
        <v>97</v>
      </c>
      <c r="D126" s="288" t="str">
        <f t="shared" si="4"/>
        <v>Intermediate</v>
      </c>
      <c r="E126" s="287">
        <f>INDEX('Master Data'!$Q$74:$Q$802,MATCH(B126,'Master Data'!$B$74:$B$802,0))</f>
        <v>5</v>
      </c>
      <c r="F126" s="433">
        <f>INDEX('Master Data'!$R$74:$R$802,MATCH(B126,'Master Data'!$B$74:$B$802,0))</f>
        <v>1</v>
      </c>
      <c r="G126" s="434">
        <f t="shared" si="6"/>
        <v>0</v>
      </c>
      <c r="H126" s="435">
        <f t="shared" si="5"/>
        <v>0</v>
      </c>
      <c r="I126" s="435">
        <f>INDEX('Master Data'!$U$74:$U$802,MATCH(B126,'Master Data'!$B$74:$B$802,0))</f>
        <v>2</v>
      </c>
      <c r="J126" s="435">
        <f>INDEX('Master Data'!$V$74:$V$802,MATCH(B126,'Master Data'!$B$74:$B$802,0))</f>
        <v>3</v>
      </c>
      <c r="K126" s="433" t="str">
        <f>INDEX('Master Data'!$P$74:$P$802,MATCH(B126,'Master Data'!$B$74:$B$802,0))</f>
        <v>Van</v>
      </c>
    </row>
    <row r="127" spans="2:11">
      <c r="B127" s="431" t="s">
        <v>143</v>
      </c>
      <c r="C127" s="431" t="s">
        <v>97</v>
      </c>
      <c r="D127" s="288" t="str">
        <f t="shared" si="4"/>
        <v>Intermediate</v>
      </c>
      <c r="E127" s="287">
        <f>INDEX('Master Data'!$Q$74:$Q$802,MATCH(B127,'Master Data'!$B$74:$B$802,0))</f>
        <v>5.5</v>
      </c>
      <c r="F127" s="433">
        <f>INDEX('Master Data'!$R$74:$R$802,MATCH(B127,'Master Data'!$B$74:$B$802,0))</f>
        <v>1</v>
      </c>
      <c r="G127" s="434">
        <f t="shared" si="6"/>
        <v>0</v>
      </c>
      <c r="H127" s="435">
        <f t="shared" si="5"/>
        <v>0</v>
      </c>
      <c r="I127" s="435">
        <f>INDEX('Master Data'!$U$74:$U$802,MATCH(B127,'Master Data'!$B$74:$B$802,0))</f>
        <v>2</v>
      </c>
      <c r="J127" s="435">
        <f>INDEX('Master Data'!$V$74:$V$802,MATCH(B127,'Master Data'!$B$74:$B$802,0))</f>
        <v>3</v>
      </c>
      <c r="K127" s="433" t="str">
        <f>INDEX('Master Data'!$P$74:$P$802,MATCH(B127,'Master Data'!$B$74:$B$802,0))</f>
        <v>Van</v>
      </c>
    </row>
    <row r="128" spans="2:11">
      <c r="B128" s="431" t="s">
        <v>260</v>
      </c>
      <c r="C128" s="431" t="s">
        <v>97</v>
      </c>
      <c r="D128" s="288" t="str">
        <f t="shared" si="4"/>
        <v>Intermediate</v>
      </c>
      <c r="E128" s="287">
        <f>INDEX('Master Data'!$Q$74:$Q$802,MATCH(B128,'Master Data'!$B$74:$B$802,0))</f>
        <v>6</v>
      </c>
      <c r="F128" s="433">
        <f>INDEX('Master Data'!$R$74:$R$802,MATCH(B128,'Master Data'!$B$74:$B$802,0))</f>
        <v>1</v>
      </c>
      <c r="G128" s="434">
        <f t="shared" si="6"/>
        <v>0</v>
      </c>
      <c r="H128" s="435">
        <f t="shared" si="5"/>
        <v>0</v>
      </c>
      <c r="I128" s="435">
        <f>INDEX('Master Data'!$U$74:$U$802,MATCH(B128,'Master Data'!$B$74:$B$802,0))</f>
        <v>2</v>
      </c>
      <c r="J128" s="435">
        <f>INDEX('Master Data'!$V$74:$V$802,MATCH(B128,'Master Data'!$B$74:$B$802,0))</f>
        <v>3</v>
      </c>
      <c r="K128" s="433" t="str">
        <f>INDEX('Master Data'!$P$74:$P$802,MATCH(B128,'Master Data'!$B$74:$B$802,0))</f>
        <v>Van</v>
      </c>
    </row>
    <row r="129" spans="2:11">
      <c r="B129" s="431" t="s">
        <v>261</v>
      </c>
      <c r="C129" s="431" t="s">
        <v>97</v>
      </c>
      <c r="D129" s="288" t="str">
        <f t="shared" si="4"/>
        <v>Intermediate</v>
      </c>
      <c r="E129" s="287">
        <f>INDEX('Master Data'!$Q$74:$Q$802,MATCH(B129,'Master Data'!$B$74:$B$802,0))</f>
        <v>6.5</v>
      </c>
      <c r="F129" s="433">
        <f>INDEX('Master Data'!$R$74:$R$802,MATCH(B129,'Master Data'!$B$74:$B$802,0))</f>
        <v>1</v>
      </c>
      <c r="G129" s="434">
        <f t="shared" si="6"/>
        <v>0</v>
      </c>
      <c r="H129" s="435">
        <f t="shared" si="5"/>
        <v>0</v>
      </c>
      <c r="I129" s="435">
        <f>INDEX('Master Data'!$U$74:$U$802,MATCH(B129,'Master Data'!$B$74:$B$802,0))</f>
        <v>2</v>
      </c>
      <c r="J129" s="435">
        <f>INDEX('Master Data'!$V$74:$V$802,MATCH(B129,'Master Data'!$B$74:$B$802,0))</f>
        <v>3</v>
      </c>
      <c r="K129" s="433" t="str">
        <f>INDEX('Master Data'!$P$74:$P$802,MATCH(B129,'Master Data'!$B$74:$B$802,0))</f>
        <v>Van</v>
      </c>
    </row>
    <row r="130" spans="2:11">
      <c r="B130" s="431" t="s">
        <v>262</v>
      </c>
      <c r="C130" s="431" t="s">
        <v>97</v>
      </c>
      <c r="D130" s="288" t="str">
        <f t="shared" si="4"/>
        <v>Intermediate</v>
      </c>
      <c r="E130" s="287">
        <f>INDEX('Master Data'!$Q$74:$Q$802,MATCH(B130,'Master Data'!$B$74:$B$802,0))</f>
        <v>7</v>
      </c>
      <c r="F130" s="433">
        <f>INDEX('Master Data'!$R$74:$R$802,MATCH(B130,'Master Data'!$B$74:$B$802,0))</f>
        <v>1</v>
      </c>
      <c r="G130" s="434">
        <f t="shared" si="6"/>
        <v>0</v>
      </c>
      <c r="H130" s="435">
        <f t="shared" si="5"/>
        <v>0</v>
      </c>
      <c r="I130" s="435">
        <f>INDEX('Master Data'!$U$74:$U$802,MATCH(B130,'Master Data'!$B$74:$B$802,0))</f>
        <v>2</v>
      </c>
      <c r="J130" s="435">
        <f>INDEX('Master Data'!$V$74:$V$802,MATCH(B130,'Master Data'!$B$74:$B$802,0))</f>
        <v>3</v>
      </c>
      <c r="K130" s="433" t="str">
        <f>INDEX('Master Data'!$P$74:$P$802,MATCH(B130,'Master Data'!$B$74:$B$802,0))</f>
        <v>Van</v>
      </c>
    </row>
    <row r="131" spans="2:11">
      <c r="B131" s="431" t="s">
        <v>263</v>
      </c>
      <c r="C131" s="431" t="s">
        <v>97</v>
      </c>
      <c r="D131" s="288" t="str">
        <f t="shared" si="4"/>
        <v>Intermediate</v>
      </c>
      <c r="E131" s="287">
        <f>INDEX('Master Data'!$Q$74:$Q$802,MATCH(B131,'Master Data'!$B$74:$B$802,0))</f>
        <v>7.5</v>
      </c>
      <c r="F131" s="433">
        <f>INDEX('Master Data'!$R$74:$R$802,MATCH(B131,'Master Data'!$B$74:$B$802,0))</f>
        <v>1</v>
      </c>
      <c r="G131" s="434">
        <f t="shared" si="6"/>
        <v>0</v>
      </c>
      <c r="H131" s="435">
        <f t="shared" si="5"/>
        <v>0</v>
      </c>
      <c r="I131" s="435">
        <f>INDEX('Master Data'!$U$74:$U$802,MATCH(B131,'Master Data'!$B$74:$B$802,0))</f>
        <v>2</v>
      </c>
      <c r="J131" s="435">
        <f>INDEX('Master Data'!$V$74:$V$802,MATCH(B131,'Master Data'!$B$74:$B$802,0))</f>
        <v>3</v>
      </c>
      <c r="K131" s="433" t="str">
        <f>INDEX('Master Data'!$P$74:$P$802,MATCH(B131,'Master Data'!$B$74:$B$802,0))</f>
        <v>Van</v>
      </c>
    </row>
    <row r="132" spans="2:11">
      <c r="B132" s="431" t="s">
        <v>264</v>
      </c>
      <c r="C132" s="431" t="s">
        <v>97</v>
      </c>
      <c r="D132" s="288" t="str">
        <f t="shared" ref="D132:D195" si="7">IF(LEFT(B132,1)="B","Basic",IF(LEFT(B132,1)="I","Intermediate",IF(LEFT(B132,1)="M","Medical",IF(LEFT(B132,1)="S","Specialized Behavioral",""))))</f>
        <v>Intermediate</v>
      </c>
      <c r="E132" s="287">
        <f>INDEX('Master Data'!$Q$74:$Q$802,MATCH(B132,'Master Data'!$B$74:$B$802,0))</f>
        <v>8</v>
      </c>
      <c r="F132" s="433">
        <f>INDEX('Master Data'!$R$74:$R$802,MATCH(B132,'Master Data'!$B$74:$B$802,0))</f>
        <v>1</v>
      </c>
      <c r="G132" s="434">
        <f t="shared" si="6"/>
        <v>0</v>
      </c>
      <c r="H132" s="435">
        <f t="shared" ref="H132:H195" si="8">E132*G132</f>
        <v>0</v>
      </c>
      <c r="I132" s="435">
        <f>INDEX('Master Data'!$U$74:$U$802,MATCH(B132,'Master Data'!$B$74:$B$802,0))</f>
        <v>2</v>
      </c>
      <c r="J132" s="435">
        <f>INDEX('Master Data'!$V$74:$V$802,MATCH(B132,'Master Data'!$B$74:$B$802,0))</f>
        <v>3</v>
      </c>
      <c r="K132" s="433" t="str">
        <f>INDEX('Master Data'!$P$74:$P$802,MATCH(B132,'Master Data'!$B$74:$B$802,0))</f>
        <v>Van</v>
      </c>
    </row>
    <row r="133" spans="2:11">
      <c r="B133" s="431" t="s">
        <v>265</v>
      </c>
      <c r="C133" s="431" t="s">
        <v>97</v>
      </c>
      <c r="D133" s="288" t="str">
        <f t="shared" si="7"/>
        <v>Intermediate</v>
      </c>
      <c r="E133" s="287">
        <f>INDEX('Master Data'!$Q$74:$Q$802,MATCH(B133,'Master Data'!$B$74:$B$802,0))</f>
        <v>8.5</v>
      </c>
      <c r="F133" s="433">
        <f>INDEX('Master Data'!$R$74:$R$802,MATCH(B133,'Master Data'!$B$74:$B$802,0))</f>
        <v>1</v>
      </c>
      <c r="G133" s="434">
        <f t="shared" si="6"/>
        <v>0</v>
      </c>
      <c r="H133" s="435">
        <f t="shared" si="8"/>
        <v>0</v>
      </c>
      <c r="I133" s="435">
        <f>INDEX('Master Data'!$U$74:$U$802,MATCH(B133,'Master Data'!$B$74:$B$802,0))</f>
        <v>2</v>
      </c>
      <c r="J133" s="435">
        <f>INDEX('Master Data'!$V$74:$V$802,MATCH(B133,'Master Data'!$B$74:$B$802,0))</f>
        <v>3</v>
      </c>
      <c r="K133" s="433" t="str">
        <f>INDEX('Master Data'!$P$74:$P$802,MATCH(B133,'Master Data'!$B$74:$B$802,0))</f>
        <v>Van</v>
      </c>
    </row>
    <row r="134" spans="2:11">
      <c r="B134" s="431" t="s">
        <v>266</v>
      </c>
      <c r="C134" s="431" t="s">
        <v>97</v>
      </c>
      <c r="D134" s="288" t="str">
        <f t="shared" si="7"/>
        <v>Intermediate</v>
      </c>
      <c r="E134" s="287">
        <f>INDEX('Master Data'!$Q$74:$Q$802,MATCH(B134,'Master Data'!$B$74:$B$802,0))</f>
        <v>9</v>
      </c>
      <c r="F134" s="433">
        <f>INDEX('Master Data'!$R$74:$R$802,MATCH(B134,'Master Data'!$B$74:$B$802,0))</f>
        <v>1</v>
      </c>
      <c r="G134" s="434">
        <f t="shared" si="6"/>
        <v>0</v>
      </c>
      <c r="H134" s="435">
        <f t="shared" si="8"/>
        <v>0</v>
      </c>
      <c r="I134" s="435">
        <f>INDEX('Master Data'!$U$74:$U$802,MATCH(B134,'Master Data'!$B$74:$B$802,0))</f>
        <v>2</v>
      </c>
      <c r="J134" s="435">
        <f>INDEX('Master Data'!$V$74:$V$802,MATCH(B134,'Master Data'!$B$74:$B$802,0))</f>
        <v>3</v>
      </c>
      <c r="K134" s="433" t="str">
        <f>INDEX('Master Data'!$P$74:$P$802,MATCH(B134,'Master Data'!$B$74:$B$802,0))</f>
        <v>Van</v>
      </c>
    </row>
    <row r="135" spans="2:11">
      <c r="B135" s="431" t="s">
        <v>267</v>
      </c>
      <c r="C135" s="431" t="s">
        <v>97</v>
      </c>
      <c r="D135" s="288" t="str">
        <f t="shared" si="7"/>
        <v>Intermediate</v>
      </c>
      <c r="E135" s="287">
        <f>INDEX('Master Data'!$Q$74:$Q$802,MATCH(B135,'Master Data'!$B$74:$B$802,0))</f>
        <v>9.5</v>
      </c>
      <c r="F135" s="433">
        <f>INDEX('Master Data'!$R$74:$R$802,MATCH(B135,'Master Data'!$B$74:$B$802,0))</f>
        <v>1</v>
      </c>
      <c r="G135" s="434">
        <f t="shared" si="6"/>
        <v>0</v>
      </c>
      <c r="H135" s="435">
        <f t="shared" si="8"/>
        <v>0</v>
      </c>
      <c r="I135" s="435">
        <f>INDEX('Master Data'!$U$74:$U$802,MATCH(B135,'Master Data'!$B$74:$B$802,0))</f>
        <v>2</v>
      </c>
      <c r="J135" s="435">
        <f>INDEX('Master Data'!$V$74:$V$802,MATCH(B135,'Master Data'!$B$74:$B$802,0))</f>
        <v>3</v>
      </c>
      <c r="K135" s="433" t="str">
        <f>INDEX('Master Data'!$P$74:$P$802,MATCH(B135,'Master Data'!$B$74:$B$802,0))</f>
        <v>Van</v>
      </c>
    </row>
    <row r="136" spans="2:11">
      <c r="B136" s="431" t="s">
        <v>268</v>
      </c>
      <c r="C136" s="431" t="s">
        <v>97</v>
      </c>
      <c r="D136" s="288" t="str">
        <f t="shared" si="7"/>
        <v>Intermediate</v>
      </c>
      <c r="E136" s="287">
        <f>INDEX('Master Data'!$Q$74:$Q$802,MATCH(B136,'Master Data'!$B$74:$B$802,0))</f>
        <v>10</v>
      </c>
      <c r="F136" s="433">
        <f>INDEX('Master Data'!$R$74:$R$802,MATCH(B136,'Master Data'!$B$74:$B$802,0))</f>
        <v>1</v>
      </c>
      <c r="G136" s="434">
        <f t="shared" si="6"/>
        <v>0</v>
      </c>
      <c r="H136" s="435">
        <f t="shared" si="8"/>
        <v>0</v>
      </c>
      <c r="I136" s="435">
        <f>INDEX('Master Data'!$U$74:$U$802,MATCH(B136,'Master Data'!$B$74:$B$802,0))</f>
        <v>2</v>
      </c>
      <c r="J136" s="435">
        <f>INDEX('Master Data'!$V$74:$V$802,MATCH(B136,'Master Data'!$B$74:$B$802,0))</f>
        <v>3</v>
      </c>
      <c r="K136" s="433" t="str">
        <f>INDEX('Master Data'!$P$74:$P$802,MATCH(B136,'Master Data'!$B$74:$B$802,0))</f>
        <v>Van</v>
      </c>
    </row>
    <row r="137" spans="2:11">
      <c r="B137" s="431" t="s">
        <v>269</v>
      </c>
      <c r="C137" s="431" t="s">
        <v>97</v>
      </c>
      <c r="D137" s="288" t="str">
        <f t="shared" si="7"/>
        <v>Intermediate</v>
      </c>
      <c r="E137" s="287">
        <f>INDEX('Master Data'!$Q$74:$Q$802,MATCH(B137,'Master Data'!$B$74:$B$802,0))</f>
        <v>10.5</v>
      </c>
      <c r="F137" s="433">
        <f>INDEX('Master Data'!$R$74:$R$802,MATCH(B137,'Master Data'!$B$74:$B$802,0))</f>
        <v>1</v>
      </c>
      <c r="G137" s="434">
        <f t="shared" si="6"/>
        <v>0</v>
      </c>
      <c r="H137" s="435">
        <f t="shared" si="8"/>
        <v>0</v>
      </c>
      <c r="I137" s="435">
        <f>INDEX('Master Data'!$U$74:$U$802,MATCH(B137,'Master Data'!$B$74:$B$802,0))</f>
        <v>2</v>
      </c>
      <c r="J137" s="435">
        <f>INDEX('Master Data'!$V$74:$V$802,MATCH(B137,'Master Data'!$B$74:$B$802,0))</f>
        <v>3</v>
      </c>
      <c r="K137" s="433" t="str">
        <f>INDEX('Master Data'!$P$74:$P$802,MATCH(B137,'Master Data'!$B$74:$B$802,0))</f>
        <v>Van</v>
      </c>
    </row>
    <row r="138" spans="2:11">
      <c r="B138" s="431" t="s">
        <v>270</v>
      </c>
      <c r="C138" s="431" t="s">
        <v>97</v>
      </c>
      <c r="D138" s="288" t="str">
        <f t="shared" si="7"/>
        <v>Intermediate</v>
      </c>
      <c r="E138" s="287">
        <f>INDEX('Master Data'!$Q$74:$Q$802,MATCH(B138,'Master Data'!$B$74:$B$802,0))</f>
        <v>11</v>
      </c>
      <c r="F138" s="433">
        <f>INDEX('Master Data'!$R$74:$R$802,MATCH(B138,'Master Data'!$B$74:$B$802,0))</f>
        <v>1</v>
      </c>
      <c r="G138" s="434">
        <f t="shared" si="6"/>
        <v>0</v>
      </c>
      <c r="H138" s="435">
        <f t="shared" si="8"/>
        <v>0</v>
      </c>
      <c r="I138" s="435">
        <f>INDEX('Master Data'!$U$74:$U$802,MATCH(B138,'Master Data'!$B$74:$B$802,0))</f>
        <v>2</v>
      </c>
      <c r="J138" s="435">
        <f>INDEX('Master Data'!$V$74:$V$802,MATCH(B138,'Master Data'!$B$74:$B$802,0))</f>
        <v>3</v>
      </c>
      <c r="K138" s="433" t="str">
        <f>INDEX('Master Data'!$P$74:$P$802,MATCH(B138,'Master Data'!$B$74:$B$802,0))</f>
        <v>Van</v>
      </c>
    </row>
    <row r="139" spans="2:11">
      <c r="B139" s="431" t="s">
        <v>271</v>
      </c>
      <c r="C139" s="431" t="s">
        <v>97</v>
      </c>
      <c r="D139" s="288" t="str">
        <f t="shared" si="7"/>
        <v>Intermediate</v>
      </c>
      <c r="E139" s="287">
        <f>INDEX('Master Data'!$Q$74:$Q$802,MATCH(B139,'Master Data'!$B$74:$B$802,0))</f>
        <v>11.5</v>
      </c>
      <c r="F139" s="433">
        <f>INDEX('Master Data'!$R$74:$R$802,MATCH(B139,'Master Data'!$B$74:$B$802,0))</f>
        <v>1</v>
      </c>
      <c r="G139" s="434">
        <f t="shared" si="6"/>
        <v>0</v>
      </c>
      <c r="H139" s="435">
        <f t="shared" si="8"/>
        <v>0</v>
      </c>
      <c r="I139" s="435">
        <f>INDEX('Master Data'!$U$74:$U$802,MATCH(B139,'Master Data'!$B$74:$B$802,0))</f>
        <v>2</v>
      </c>
      <c r="J139" s="435">
        <f>INDEX('Master Data'!$V$74:$V$802,MATCH(B139,'Master Data'!$B$74:$B$802,0))</f>
        <v>3</v>
      </c>
      <c r="K139" s="433" t="str">
        <f>INDEX('Master Data'!$P$74:$P$802,MATCH(B139,'Master Data'!$B$74:$B$802,0))</f>
        <v>Van</v>
      </c>
    </row>
    <row r="140" spans="2:11">
      <c r="B140" s="431" t="s">
        <v>272</v>
      </c>
      <c r="C140" s="431" t="s">
        <v>97</v>
      </c>
      <c r="D140" s="288" t="str">
        <f t="shared" si="7"/>
        <v>Intermediate</v>
      </c>
      <c r="E140" s="287">
        <f>INDEX('Master Data'!$Q$74:$Q$802,MATCH(B140,'Master Data'!$B$74:$B$802,0))</f>
        <v>12</v>
      </c>
      <c r="F140" s="433">
        <f>INDEX('Master Data'!$R$74:$R$802,MATCH(B140,'Master Data'!$B$74:$B$802,0))</f>
        <v>1</v>
      </c>
      <c r="G140" s="434">
        <f t="shared" si="6"/>
        <v>0</v>
      </c>
      <c r="H140" s="435">
        <f t="shared" si="8"/>
        <v>0</v>
      </c>
      <c r="I140" s="435">
        <f>INDEX('Master Data'!$U$74:$U$802,MATCH(B140,'Master Data'!$B$74:$B$802,0))</f>
        <v>2</v>
      </c>
      <c r="J140" s="435">
        <f>INDEX('Master Data'!$V$74:$V$802,MATCH(B140,'Master Data'!$B$74:$B$802,0))</f>
        <v>3</v>
      </c>
      <c r="K140" s="433" t="str">
        <f>INDEX('Master Data'!$P$74:$P$802,MATCH(B140,'Master Data'!$B$74:$B$802,0))</f>
        <v>Van</v>
      </c>
    </row>
    <row r="141" spans="2:11">
      <c r="B141" s="431" t="s">
        <v>273</v>
      </c>
      <c r="C141" s="431" t="s">
        <v>97</v>
      </c>
      <c r="D141" s="288" t="str">
        <f t="shared" si="7"/>
        <v>Intermediate</v>
      </c>
      <c r="E141" s="287">
        <f>INDEX('Master Data'!$Q$74:$Q$802,MATCH(B141,'Master Data'!$B$74:$B$802,0))</f>
        <v>12.5</v>
      </c>
      <c r="F141" s="433">
        <f>INDEX('Master Data'!$R$74:$R$802,MATCH(B141,'Master Data'!$B$74:$B$802,0))</f>
        <v>1</v>
      </c>
      <c r="G141" s="434">
        <f t="shared" si="6"/>
        <v>0</v>
      </c>
      <c r="H141" s="435">
        <f t="shared" si="8"/>
        <v>0</v>
      </c>
      <c r="I141" s="435">
        <f>INDEX('Master Data'!$U$74:$U$802,MATCH(B141,'Master Data'!$B$74:$B$802,0))</f>
        <v>2</v>
      </c>
      <c r="J141" s="435">
        <f>INDEX('Master Data'!$V$74:$V$802,MATCH(B141,'Master Data'!$B$74:$B$802,0))</f>
        <v>3</v>
      </c>
      <c r="K141" s="433" t="str">
        <f>INDEX('Master Data'!$P$74:$P$802,MATCH(B141,'Master Data'!$B$74:$B$802,0))</f>
        <v>Van</v>
      </c>
    </row>
    <row r="142" spans="2:11">
      <c r="B142" s="431" t="s">
        <v>274</v>
      </c>
      <c r="C142" s="431" t="s">
        <v>97</v>
      </c>
      <c r="D142" s="288" t="str">
        <f t="shared" si="7"/>
        <v>Intermediate</v>
      </c>
      <c r="E142" s="287">
        <f>INDEX('Master Data'!$Q$74:$Q$802,MATCH(B142,'Master Data'!$B$74:$B$802,0))</f>
        <v>13</v>
      </c>
      <c r="F142" s="433">
        <f>INDEX('Master Data'!$R$74:$R$802,MATCH(B142,'Master Data'!$B$74:$B$802,0))</f>
        <v>1</v>
      </c>
      <c r="G142" s="434">
        <f t="shared" si="6"/>
        <v>0</v>
      </c>
      <c r="H142" s="435">
        <f t="shared" si="8"/>
        <v>0</v>
      </c>
      <c r="I142" s="435">
        <f>INDEX('Master Data'!$U$74:$U$802,MATCH(B142,'Master Data'!$B$74:$B$802,0))</f>
        <v>2</v>
      </c>
      <c r="J142" s="435">
        <f>INDEX('Master Data'!$V$74:$V$802,MATCH(B142,'Master Data'!$B$74:$B$802,0))</f>
        <v>3</v>
      </c>
      <c r="K142" s="433" t="str">
        <f>INDEX('Master Data'!$P$74:$P$802,MATCH(B142,'Master Data'!$B$74:$B$802,0))</f>
        <v>Van</v>
      </c>
    </row>
    <row r="143" spans="2:11">
      <c r="B143" s="431" t="s">
        <v>275</v>
      </c>
      <c r="C143" s="431" t="s">
        <v>97</v>
      </c>
      <c r="D143" s="288" t="str">
        <f t="shared" si="7"/>
        <v>Intermediate</v>
      </c>
      <c r="E143" s="287">
        <f>INDEX('Master Data'!$Q$74:$Q$802,MATCH(B143,'Master Data'!$B$74:$B$802,0))</f>
        <v>13.5</v>
      </c>
      <c r="F143" s="433">
        <f>INDEX('Master Data'!$R$74:$R$802,MATCH(B143,'Master Data'!$B$74:$B$802,0))</f>
        <v>1</v>
      </c>
      <c r="G143" s="434">
        <f t="shared" si="6"/>
        <v>0</v>
      </c>
      <c r="H143" s="435">
        <f t="shared" si="8"/>
        <v>0</v>
      </c>
      <c r="I143" s="435">
        <f>INDEX('Master Data'!$U$74:$U$802,MATCH(B143,'Master Data'!$B$74:$B$802,0))</f>
        <v>2</v>
      </c>
      <c r="J143" s="435">
        <f>INDEX('Master Data'!$V$74:$V$802,MATCH(B143,'Master Data'!$B$74:$B$802,0))</f>
        <v>3</v>
      </c>
      <c r="K143" s="433" t="str">
        <f>INDEX('Master Data'!$P$74:$P$802,MATCH(B143,'Master Data'!$B$74:$B$802,0))</f>
        <v>Van</v>
      </c>
    </row>
    <row r="144" spans="2:11">
      <c r="B144" s="431" t="s">
        <v>276</v>
      </c>
      <c r="C144" s="431" t="s">
        <v>97</v>
      </c>
      <c r="D144" s="288" t="str">
        <f t="shared" si="7"/>
        <v>Intermediate</v>
      </c>
      <c r="E144" s="287">
        <f>INDEX('Master Data'!$Q$74:$Q$802,MATCH(B144,'Master Data'!$B$74:$B$802,0))</f>
        <v>14</v>
      </c>
      <c r="F144" s="433">
        <f>INDEX('Master Data'!$R$74:$R$802,MATCH(B144,'Master Data'!$B$74:$B$802,0))</f>
        <v>1</v>
      </c>
      <c r="G144" s="434">
        <f t="shared" si="6"/>
        <v>0</v>
      </c>
      <c r="H144" s="435">
        <f t="shared" si="8"/>
        <v>0</v>
      </c>
      <c r="I144" s="435">
        <f>INDEX('Master Data'!$U$74:$U$802,MATCH(B144,'Master Data'!$B$74:$B$802,0))</f>
        <v>2</v>
      </c>
      <c r="J144" s="435">
        <f>INDEX('Master Data'!$V$74:$V$802,MATCH(B144,'Master Data'!$B$74:$B$802,0))</f>
        <v>3</v>
      </c>
      <c r="K144" s="433" t="str">
        <f>INDEX('Master Data'!$P$74:$P$802,MATCH(B144,'Master Data'!$B$74:$B$802,0))</f>
        <v>Van</v>
      </c>
    </row>
    <row r="145" spans="2:11">
      <c r="B145" s="431" t="s">
        <v>277</v>
      </c>
      <c r="C145" s="431" t="s">
        <v>97</v>
      </c>
      <c r="D145" s="288" t="str">
        <f t="shared" si="7"/>
        <v>Intermediate</v>
      </c>
      <c r="E145" s="287">
        <f>INDEX('Master Data'!$Q$74:$Q$802,MATCH(B145,'Master Data'!$B$74:$B$802,0))</f>
        <v>14.5</v>
      </c>
      <c r="F145" s="433">
        <f>INDEX('Master Data'!$R$74:$R$802,MATCH(B145,'Master Data'!$B$74:$B$802,0))</f>
        <v>1</v>
      </c>
      <c r="G145" s="434">
        <f t="shared" si="6"/>
        <v>0</v>
      </c>
      <c r="H145" s="435">
        <f t="shared" si="8"/>
        <v>0</v>
      </c>
      <c r="I145" s="435">
        <f>INDEX('Master Data'!$U$74:$U$802,MATCH(B145,'Master Data'!$B$74:$B$802,0))</f>
        <v>2</v>
      </c>
      <c r="J145" s="435">
        <f>INDEX('Master Data'!$V$74:$V$802,MATCH(B145,'Master Data'!$B$74:$B$802,0))</f>
        <v>3</v>
      </c>
      <c r="K145" s="433" t="str">
        <f>INDEX('Master Data'!$P$74:$P$802,MATCH(B145,'Master Data'!$B$74:$B$802,0))</f>
        <v>Van</v>
      </c>
    </row>
    <row r="146" spans="2:11">
      <c r="B146" s="431" t="s">
        <v>278</v>
      </c>
      <c r="C146" s="431" t="s">
        <v>97</v>
      </c>
      <c r="D146" s="288" t="str">
        <f t="shared" si="7"/>
        <v>Intermediate</v>
      </c>
      <c r="E146" s="287">
        <f>INDEX('Master Data'!$Q$74:$Q$802,MATCH(B146,'Master Data'!$B$74:$B$802,0))</f>
        <v>15</v>
      </c>
      <c r="F146" s="433">
        <f>INDEX('Master Data'!$R$74:$R$802,MATCH(B146,'Master Data'!$B$74:$B$802,0))</f>
        <v>1</v>
      </c>
      <c r="G146" s="434">
        <f t="shared" si="6"/>
        <v>0</v>
      </c>
      <c r="H146" s="435">
        <f t="shared" si="8"/>
        <v>0</v>
      </c>
      <c r="I146" s="435">
        <f>INDEX('Master Data'!$U$74:$U$802,MATCH(B146,'Master Data'!$B$74:$B$802,0))</f>
        <v>2</v>
      </c>
      <c r="J146" s="435">
        <f>INDEX('Master Data'!$V$74:$V$802,MATCH(B146,'Master Data'!$B$74:$B$802,0))</f>
        <v>3</v>
      </c>
      <c r="K146" s="433" t="str">
        <f>INDEX('Master Data'!$P$74:$P$802,MATCH(B146,'Master Data'!$B$74:$B$802,0))</f>
        <v>Van</v>
      </c>
    </row>
    <row r="147" spans="2:11">
      <c r="B147" s="431" t="s">
        <v>279</v>
      </c>
      <c r="C147" s="431" t="s">
        <v>97</v>
      </c>
      <c r="D147" s="288" t="str">
        <f t="shared" si="7"/>
        <v>Intermediate</v>
      </c>
      <c r="E147" s="287">
        <f>INDEX('Master Data'!$Q$74:$Q$802,MATCH(B147,'Master Data'!$B$74:$B$802,0))</f>
        <v>15.5</v>
      </c>
      <c r="F147" s="433">
        <f>INDEX('Master Data'!$R$74:$R$802,MATCH(B147,'Master Data'!$B$74:$B$802,0))</f>
        <v>1</v>
      </c>
      <c r="G147" s="434">
        <f t="shared" si="6"/>
        <v>0</v>
      </c>
      <c r="H147" s="435">
        <f t="shared" si="8"/>
        <v>0</v>
      </c>
      <c r="I147" s="435">
        <f>INDEX('Master Data'!$U$74:$U$802,MATCH(B147,'Master Data'!$B$74:$B$802,0))</f>
        <v>2</v>
      </c>
      <c r="J147" s="435">
        <f>INDEX('Master Data'!$V$74:$V$802,MATCH(B147,'Master Data'!$B$74:$B$802,0))</f>
        <v>3</v>
      </c>
      <c r="K147" s="433" t="str">
        <f>INDEX('Master Data'!$P$74:$P$802,MATCH(B147,'Master Data'!$B$74:$B$802,0))</f>
        <v>Van</v>
      </c>
    </row>
    <row r="148" spans="2:11">
      <c r="B148" s="431" t="s">
        <v>280</v>
      </c>
      <c r="C148" s="431" t="s">
        <v>97</v>
      </c>
      <c r="D148" s="288" t="str">
        <f t="shared" si="7"/>
        <v>Medical</v>
      </c>
      <c r="E148" s="287">
        <f>INDEX('Master Data'!$Q$74:$Q$802,MATCH(B148,'Master Data'!$B$74:$B$802,0))</f>
        <v>6</v>
      </c>
      <c r="F148" s="433">
        <f>INDEX('Master Data'!$R$74:$R$802,MATCH(B148,'Master Data'!$B$74:$B$802,0))</f>
        <v>1</v>
      </c>
      <c r="G148" s="434">
        <f t="shared" si="6"/>
        <v>0.25</v>
      </c>
      <c r="H148" s="435">
        <f t="shared" si="8"/>
        <v>1.5</v>
      </c>
      <c r="I148" s="435">
        <f>INDEX('Master Data'!$U$74:$U$802,MATCH(B148,'Master Data'!$B$74:$B$802,0))</f>
        <v>2</v>
      </c>
      <c r="J148" s="435">
        <f>INDEX('Master Data'!$V$74:$V$802,MATCH(B148,'Master Data'!$B$74:$B$802,0))</f>
        <v>3</v>
      </c>
      <c r="K148" s="433" t="str">
        <f>INDEX('Master Data'!$P$74:$P$802,MATCH(B148,'Master Data'!$B$74:$B$802,0))</f>
        <v>Van</v>
      </c>
    </row>
    <row r="149" spans="2:11">
      <c r="B149" s="431" t="s">
        <v>281</v>
      </c>
      <c r="C149" s="431" t="s">
        <v>97</v>
      </c>
      <c r="D149" s="288" t="str">
        <f t="shared" si="7"/>
        <v>Medical</v>
      </c>
      <c r="E149" s="287">
        <f>INDEX('Master Data'!$Q$74:$Q$802,MATCH(B149,'Master Data'!$B$74:$B$802,0))</f>
        <v>6.5</v>
      </c>
      <c r="F149" s="433">
        <f>INDEX('Master Data'!$R$74:$R$802,MATCH(B149,'Master Data'!$B$74:$B$802,0))</f>
        <v>1</v>
      </c>
      <c r="G149" s="434">
        <f t="shared" si="6"/>
        <v>0.25</v>
      </c>
      <c r="H149" s="435">
        <f t="shared" si="8"/>
        <v>1.625</v>
      </c>
      <c r="I149" s="435">
        <f>INDEX('Master Data'!$U$74:$U$802,MATCH(B149,'Master Data'!$B$74:$B$802,0))</f>
        <v>2</v>
      </c>
      <c r="J149" s="435">
        <f>INDEX('Master Data'!$V$74:$V$802,MATCH(B149,'Master Data'!$B$74:$B$802,0))</f>
        <v>3</v>
      </c>
      <c r="K149" s="433" t="str">
        <f>INDEX('Master Data'!$P$74:$P$802,MATCH(B149,'Master Data'!$B$74:$B$802,0))</f>
        <v>Van</v>
      </c>
    </row>
    <row r="150" spans="2:11">
      <c r="B150" s="431" t="s">
        <v>282</v>
      </c>
      <c r="C150" s="431" t="s">
        <v>97</v>
      </c>
      <c r="D150" s="288" t="str">
        <f t="shared" si="7"/>
        <v>Medical</v>
      </c>
      <c r="E150" s="287">
        <f>INDEX('Master Data'!$Q$74:$Q$802,MATCH(B150,'Master Data'!$B$74:$B$802,0))</f>
        <v>7</v>
      </c>
      <c r="F150" s="433">
        <f>INDEX('Master Data'!$R$74:$R$802,MATCH(B150,'Master Data'!$B$74:$B$802,0))</f>
        <v>1</v>
      </c>
      <c r="G150" s="434">
        <f t="shared" si="6"/>
        <v>0.25</v>
      </c>
      <c r="H150" s="435">
        <f t="shared" si="8"/>
        <v>1.75</v>
      </c>
      <c r="I150" s="435">
        <f>INDEX('Master Data'!$U$74:$U$802,MATCH(B150,'Master Data'!$B$74:$B$802,0))</f>
        <v>2</v>
      </c>
      <c r="J150" s="435">
        <f>INDEX('Master Data'!$V$74:$V$802,MATCH(B150,'Master Data'!$B$74:$B$802,0))</f>
        <v>3</v>
      </c>
      <c r="K150" s="433" t="str">
        <f>INDEX('Master Data'!$P$74:$P$802,MATCH(B150,'Master Data'!$B$74:$B$802,0))</f>
        <v>Van</v>
      </c>
    </row>
    <row r="151" spans="2:11">
      <c r="B151" s="431" t="s">
        <v>283</v>
      </c>
      <c r="C151" s="431" t="s">
        <v>97</v>
      </c>
      <c r="D151" s="288" t="str">
        <f t="shared" si="7"/>
        <v>Medical</v>
      </c>
      <c r="E151" s="287">
        <f>INDEX('Master Data'!$Q$74:$Q$802,MATCH(B151,'Master Data'!$B$74:$B$802,0))</f>
        <v>7.5</v>
      </c>
      <c r="F151" s="433">
        <f>INDEX('Master Data'!$R$74:$R$802,MATCH(B151,'Master Data'!$B$74:$B$802,0))</f>
        <v>1</v>
      </c>
      <c r="G151" s="434">
        <f t="shared" si="6"/>
        <v>0.25</v>
      </c>
      <c r="H151" s="435">
        <f t="shared" si="8"/>
        <v>1.875</v>
      </c>
      <c r="I151" s="435">
        <f>INDEX('Master Data'!$U$74:$U$802,MATCH(B151,'Master Data'!$B$74:$B$802,0))</f>
        <v>2</v>
      </c>
      <c r="J151" s="435">
        <f>INDEX('Master Data'!$V$74:$V$802,MATCH(B151,'Master Data'!$B$74:$B$802,0))</f>
        <v>3</v>
      </c>
      <c r="K151" s="433" t="str">
        <f>INDEX('Master Data'!$P$74:$P$802,MATCH(B151,'Master Data'!$B$74:$B$802,0))</f>
        <v>Van</v>
      </c>
    </row>
    <row r="152" spans="2:11">
      <c r="B152" s="431" t="s">
        <v>284</v>
      </c>
      <c r="C152" s="431" t="s">
        <v>97</v>
      </c>
      <c r="D152" s="288" t="str">
        <f t="shared" si="7"/>
        <v>Medical</v>
      </c>
      <c r="E152" s="287">
        <f>INDEX('Master Data'!$Q$74:$Q$802,MATCH(B152,'Master Data'!$B$74:$B$802,0))</f>
        <v>8</v>
      </c>
      <c r="F152" s="433">
        <f>INDEX('Master Data'!$R$74:$R$802,MATCH(B152,'Master Data'!$B$74:$B$802,0))</f>
        <v>1</v>
      </c>
      <c r="G152" s="434">
        <f t="shared" si="6"/>
        <v>0.25</v>
      </c>
      <c r="H152" s="435">
        <f t="shared" si="8"/>
        <v>2</v>
      </c>
      <c r="I152" s="435">
        <f>INDEX('Master Data'!$U$74:$U$802,MATCH(B152,'Master Data'!$B$74:$B$802,0))</f>
        <v>2</v>
      </c>
      <c r="J152" s="435">
        <f>INDEX('Master Data'!$V$74:$V$802,MATCH(B152,'Master Data'!$B$74:$B$802,0))</f>
        <v>3</v>
      </c>
      <c r="K152" s="433" t="str">
        <f>INDEX('Master Data'!$P$74:$P$802,MATCH(B152,'Master Data'!$B$74:$B$802,0))</f>
        <v>Van</v>
      </c>
    </row>
    <row r="153" spans="2:11">
      <c r="B153" s="431" t="s">
        <v>285</v>
      </c>
      <c r="C153" s="431" t="s">
        <v>97</v>
      </c>
      <c r="D153" s="288" t="str">
        <f t="shared" si="7"/>
        <v>Medical</v>
      </c>
      <c r="E153" s="287">
        <f>INDEX('Master Data'!$Q$74:$Q$802,MATCH(B153,'Master Data'!$B$74:$B$802,0))</f>
        <v>8.5</v>
      </c>
      <c r="F153" s="433">
        <f>INDEX('Master Data'!$R$74:$R$802,MATCH(B153,'Master Data'!$B$74:$B$802,0))</f>
        <v>1</v>
      </c>
      <c r="G153" s="434">
        <f t="shared" si="6"/>
        <v>0.25</v>
      </c>
      <c r="H153" s="435">
        <f t="shared" si="8"/>
        <v>2.125</v>
      </c>
      <c r="I153" s="435">
        <f>INDEX('Master Data'!$U$74:$U$802,MATCH(B153,'Master Data'!$B$74:$B$802,0))</f>
        <v>2</v>
      </c>
      <c r="J153" s="435">
        <f>INDEX('Master Data'!$V$74:$V$802,MATCH(B153,'Master Data'!$B$74:$B$802,0))</f>
        <v>3</v>
      </c>
      <c r="K153" s="433" t="str">
        <f>INDEX('Master Data'!$P$74:$P$802,MATCH(B153,'Master Data'!$B$74:$B$802,0))</f>
        <v>Van</v>
      </c>
    </row>
    <row r="154" spans="2:11">
      <c r="B154" s="431" t="s">
        <v>286</v>
      </c>
      <c r="C154" s="431" t="s">
        <v>97</v>
      </c>
      <c r="D154" s="288" t="str">
        <f t="shared" si="7"/>
        <v>Medical</v>
      </c>
      <c r="E154" s="287">
        <f>INDEX('Master Data'!$Q$74:$Q$802,MATCH(B154,'Master Data'!$B$74:$B$802,0))</f>
        <v>9</v>
      </c>
      <c r="F154" s="433">
        <f>INDEX('Master Data'!$R$74:$R$802,MATCH(B154,'Master Data'!$B$74:$B$802,0))</f>
        <v>1</v>
      </c>
      <c r="G154" s="434">
        <f t="shared" si="6"/>
        <v>0.25</v>
      </c>
      <c r="H154" s="435">
        <f t="shared" si="8"/>
        <v>2.25</v>
      </c>
      <c r="I154" s="435">
        <f>INDEX('Master Data'!$U$74:$U$802,MATCH(B154,'Master Data'!$B$74:$B$802,0))</f>
        <v>2</v>
      </c>
      <c r="J154" s="435">
        <f>INDEX('Master Data'!$V$74:$V$802,MATCH(B154,'Master Data'!$B$74:$B$802,0))</f>
        <v>3</v>
      </c>
      <c r="K154" s="433" t="str">
        <f>INDEX('Master Data'!$P$74:$P$802,MATCH(B154,'Master Data'!$B$74:$B$802,0))</f>
        <v>Van</v>
      </c>
    </row>
    <row r="155" spans="2:11">
      <c r="B155" s="431" t="s">
        <v>287</v>
      </c>
      <c r="C155" s="431" t="s">
        <v>97</v>
      </c>
      <c r="D155" s="288" t="str">
        <f t="shared" si="7"/>
        <v>Medical</v>
      </c>
      <c r="E155" s="287">
        <f>INDEX('Master Data'!$Q$74:$Q$802,MATCH(B155,'Master Data'!$B$74:$B$802,0))</f>
        <v>9.5</v>
      </c>
      <c r="F155" s="433">
        <f>INDEX('Master Data'!$R$74:$R$802,MATCH(B155,'Master Data'!$B$74:$B$802,0))</f>
        <v>1</v>
      </c>
      <c r="G155" s="434">
        <f t="shared" si="6"/>
        <v>0.25</v>
      </c>
      <c r="H155" s="435">
        <f t="shared" si="8"/>
        <v>2.375</v>
      </c>
      <c r="I155" s="435">
        <f>INDEX('Master Data'!$U$74:$U$802,MATCH(B155,'Master Data'!$B$74:$B$802,0))</f>
        <v>2</v>
      </c>
      <c r="J155" s="435">
        <f>INDEX('Master Data'!$V$74:$V$802,MATCH(B155,'Master Data'!$B$74:$B$802,0))</f>
        <v>3</v>
      </c>
      <c r="K155" s="433" t="str">
        <f>INDEX('Master Data'!$P$74:$P$802,MATCH(B155,'Master Data'!$B$74:$B$802,0))</f>
        <v>Van</v>
      </c>
    </row>
    <row r="156" spans="2:11">
      <c r="B156" s="431" t="s">
        <v>288</v>
      </c>
      <c r="C156" s="431" t="s">
        <v>97</v>
      </c>
      <c r="D156" s="288" t="str">
        <f t="shared" si="7"/>
        <v>Medical</v>
      </c>
      <c r="E156" s="287">
        <f>INDEX('Master Data'!$Q$74:$Q$802,MATCH(B156,'Master Data'!$B$74:$B$802,0))</f>
        <v>10</v>
      </c>
      <c r="F156" s="433">
        <f>INDEX('Master Data'!$R$74:$R$802,MATCH(B156,'Master Data'!$B$74:$B$802,0))</f>
        <v>1</v>
      </c>
      <c r="G156" s="434">
        <f t="shared" si="6"/>
        <v>0.25</v>
      </c>
      <c r="H156" s="435">
        <f t="shared" si="8"/>
        <v>2.5</v>
      </c>
      <c r="I156" s="435">
        <f>INDEX('Master Data'!$U$74:$U$802,MATCH(B156,'Master Data'!$B$74:$B$802,0))</f>
        <v>2</v>
      </c>
      <c r="J156" s="435">
        <f>INDEX('Master Data'!$V$74:$V$802,MATCH(B156,'Master Data'!$B$74:$B$802,0))</f>
        <v>3</v>
      </c>
      <c r="K156" s="433" t="str">
        <f>INDEX('Master Data'!$P$74:$P$802,MATCH(B156,'Master Data'!$B$74:$B$802,0))</f>
        <v>Van</v>
      </c>
    </row>
    <row r="157" spans="2:11">
      <c r="B157" s="431" t="s">
        <v>289</v>
      </c>
      <c r="C157" s="431" t="s">
        <v>97</v>
      </c>
      <c r="D157" s="288" t="str">
        <f t="shared" si="7"/>
        <v>Medical</v>
      </c>
      <c r="E157" s="287">
        <f>INDEX('Master Data'!$Q$74:$Q$802,MATCH(B157,'Master Data'!$B$74:$B$802,0))</f>
        <v>10.5</v>
      </c>
      <c r="F157" s="433">
        <f>INDEX('Master Data'!$R$74:$R$802,MATCH(B157,'Master Data'!$B$74:$B$802,0))</f>
        <v>1</v>
      </c>
      <c r="G157" s="434">
        <f t="shared" si="6"/>
        <v>0.25</v>
      </c>
      <c r="H157" s="435">
        <f t="shared" si="8"/>
        <v>2.625</v>
      </c>
      <c r="I157" s="435">
        <f>INDEX('Master Data'!$U$74:$U$802,MATCH(B157,'Master Data'!$B$74:$B$802,0))</f>
        <v>2</v>
      </c>
      <c r="J157" s="435">
        <f>INDEX('Master Data'!$V$74:$V$802,MATCH(B157,'Master Data'!$B$74:$B$802,0))</f>
        <v>3</v>
      </c>
      <c r="K157" s="433" t="str">
        <f>INDEX('Master Data'!$P$74:$P$802,MATCH(B157,'Master Data'!$B$74:$B$802,0))</f>
        <v>Van</v>
      </c>
    </row>
    <row r="158" spans="2:11">
      <c r="B158" s="431" t="s">
        <v>290</v>
      </c>
      <c r="C158" s="431" t="s">
        <v>97</v>
      </c>
      <c r="D158" s="288" t="str">
        <f t="shared" si="7"/>
        <v>Medical</v>
      </c>
      <c r="E158" s="287">
        <f>INDEX('Master Data'!$Q$74:$Q$802,MATCH(B158,'Master Data'!$B$74:$B$802,0))</f>
        <v>11</v>
      </c>
      <c r="F158" s="433">
        <f>INDEX('Master Data'!$R$74:$R$802,MATCH(B158,'Master Data'!$B$74:$B$802,0))</f>
        <v>1</v>
      </c>
      <c r="G158" s="434">
        <f t="shared" si="6"/>
        <v>0.25</v>
      </c>
      <c r="H158" s="435">
        <f t="shared" si="8"/>
        <v>2.75</v>
      </c>
      <c r="I158" s="435">
        <f>INDEX('Master Data'!$U$74:$U$802,MATCH(B158,'Master Data'!$B$74:$B$802,0))</f>
        <v>2</v>
      </c>
      <c r="J158" s="435">
        <f>INDEX('Master Data'!$V$74:$V$802,MATCH(B158,'Master Data'!$B$74:$B$802,0))</f>
        <v>3</v>
      </c>
      <c r="K158" s="433" t="str">
        <f>INDEX('Master Data'!$P$74:$P$802,MATCH(B158,'Master Data'!$B$74:$B$802,0))</f>
        <v>Van</v>
      </c>
    </row>
    <row r="159" spans="2:11">
      <c r="B159" s="431" t="s">
        <v>291</v>
      </c>
      <c r="C159" s="431" t="s">
        <v>97</v>
      </c>
      <c r="D159" s="288" t="str">
        <f t="shared" si="7"/>
        <v>Medical</v>
      </c>
      <c r="E159" s="287">
        <f>INDEX('Master Data'!$Q$74:$Q$802,MATCH(B159,'Master Data'!$B$74:$B$802,0))</f>
        <v>11.5</v>
      </c>
      <c r="F159" s="433">
        <f>INDEX('Master Data'!$R$74:$R$802,MATCH(B159,'Master Data'!$B$74:$B$802,0))</f>
        <v>1</v>
      </c>
      <c r="G159" s="434">
        <f t="shared" si="6"/>
        <v>0.25</v>
      </c>
      <c r="H159" s="435">
        <f t="shared" si="8"/>
        <v>2.875</v>
      </c>
      <c r="I159" s="435">
        <f>INDEX('Master Data'!$U$74:$U$802,MATCH(B159,'Master Data'!$B$74:$B$802,0))</f>
        <v>2</v>
      </c>
      <c r="J159" s="435">
        <f>INDEX('Master Data'!$V$74:$V$802,MATCH(B159,'Master Data'!$B$74:$B$802,0))</f>
        <v>3</v>
      </c>
      <c r="K159" s="433" t="str">
        <f>INDEX('Master Data'!$P$74:$P$802,MATCH(B159,'Master Data'!$B$74:$B$802,0))</f>
        <v>Van</v>
      </c>
    </row>
    <row r="160" spans="2:11">
      <c r="B160" s="431" t="s">
        <v>292</v>
      </c>
      <c r="C160" s="431" t="s">
        <v>97</v>
      </c>
      <c r="D160" s="288" t="str">
        <f t="shared" si="7"/>
        <v>Medical</v>
      </c>
      <c r="E160" s="287">
        <f>INDEX('Master Data'!$Q$74:$Q$802,MATCH(B160,'Master Data'!$B$74:$B$802,0))</f>
        <v>12</v>
      </c>
      <c r="F160" s="433">
        <f>INDEX('Master Data'!$R$74:$R$802,MATCH(B160,'Master Data'!$B$74:$B$802,0))</f>
        <v>1</v>
      </c>
      <c r="G160" s="434">
        <f t="shared" si="6"/>
        <v>0.25</v>
      </c>
      <c r="H160" s="435">
        <f t="shared" si="8"/>
        <v>3</v>
      </c>
      <c r="I160" s="435">
        <f>INDEX('Master Data'!$U$74:$U$802,MATCH(B160,'Master Data'!$B$74:$B$802,0))</f>
        <v>2</v>
      </c>
      <c r="J160" s="435">
        <f>INDEX('Master Data'!$V$74:$V$802,MATCH(B160,'Master Data'!$B$74:$B$802,0))</f>
        <v>3</v>
      </c>
      <c r="K160" s="433" t="str">
        <f>INDEX('Master Data'!$P$74:$P$802,MATCH(B160,'Master Data'!$B$74:$B$802,0))</f>
        <v>Van</v>
      </c>
    </row>
    <row r="161" spans="2:11">
      <c r="B161" s="431" t="s">
        <v>293</v>
      </c>
      <c r="C161" s="431" t="s">
        <v>97</v>
      </c>
      <c r="D161" s="288" t="str">
        <f t="shared" si="7"/>
        <v>Medical</v>
      </c>
      <c r="E161" s="287">
        <f>INDEX('Master Data'!$Q$74:$Q$802,MATCH(B161,'Master Data'!$B$74:$B$802,0))</f>
        <v>12.5</v>
      </c>
      <c r="F161" s="433">
        <f>INDEX('Master Data'!$R$74:$R$802,MATCH(B161,'Master Data'!$B$74:$B$802,0))</f>
        <v>1</v>
      </c>
      <c r="G161" s="434">
        <f t="shared" si="6"/>
        <v>0.25</v>
      </c>
      <c r="H161" s="435">
        <f t="shared" si="8"/>
        <v>3.125</v>
      </c>
      <c r="I161" s="435">
        <f>INDEX('Master Data'!$U$74:$U$802,MATCH(B161,'Master Data'!$B$74:$B$802,0))</f>
        <v>2</v>
      </c>
      <c r="J161" s="435">
        <f>INDEX('Master Data'!$V$74:$V$802,MATCH(B161,'Master Data'!$B$74:$B$802,0))</f>
        <v>3</v>
      </c>
      <c r="K161" s="433" t="str">
        <f>INDEX('Master Data'!$P$74:$P$802,MATCH(B161,'Master Data'!$B$74:$B$802,0))</f>
        <v>Van</v>
      </c>
    </row>
    <row r="162" spans="2:11">
      <c r="B162" s="431" t="s">
        <v>294</v>
      </c>
      <c r="C162" s="431" t="s">
        <v>97</v>
      </c>
      <c r="D162" s="288" t="str">
        <f t="shared" si="7"/>
        <v>Medical</v>
      </c>
      <c r="E162" s="287">
        <f>INDEX('Master Data'!$Q$74:$Q$802,MATCH(B162,'Master Data'!$B$74:$B$802,0))</f>
        <v>13</v>
      </c>
      <c r="F162" s="433">
        <f>INDEX('Master Data'!$R$74:$R$802,MATCH(B162,'Master Data'!$B$74:$B$802,0))</f>
        <v>1</v>
      </c>
      <c r="G162" s="434">
        <f t="shared" si="6"/>
        <v>0.25</v>
      </c>
      <c r="H162" s="435">
        <f t="shared" si="8"/>
        <v>3.25</v>
      </c>
      <c r="I162" s="435">
        <f>INDEX('Master Data'!$U$74:$U$802,MATCH(B162,'Master Data'!$B$74:$B$802,0))</f>
        <v>2</v>
      </c>
      <c r="J162" s="435">
        <f>INDEX('Master Data'!$V$74:$V$802,MATCH(B162,'Master Data'!$B$74:$B$802,0))</f>
        <v>3</v>
      </c>
      <c r="K162" s="433" t="str">
        <f>INDEX('Master Data'!$P$74:$P$802,MATCH(B162,'Master Data'!$B$74:$B$802,0))</f>
        <v>Van</v>
      </c>
    </row>
    <row r="163" spans="2:11">
      <c r="B163" s="431" t="s">
        <v>295</v>
      </c>
      <c r="C163" s="431" t="s">
        <v>97</v>
      </c>
      <c r="D163" s="288" t="str">
        <f t="shared" si="7"/>
        <v>Medical</v>
      </c>
      <c r="E163" s="287">
        <f>INDEX('Master Data'!$Q$74:$Q$802,MATCH(B163,'Master Data'!$B$74:$B$802,0))</f>
        <v>13.5</v>
      </c>
      <c r="F163" s="433">
        <f>INDEX('Master Data'!$R$74:$R$802,MATCH(B163,'Master Data'!$B$74:$B$802,0))</f>
        <v>1</v>
      </c>
      <c r="G163" s="434">
        <f t="shared" si="6"/>
        <v>0.25</v>
      </c>
      <c r="H163" s="435">
        <f t="shared" si="8"/>
        <v>3.375</v>
      </c>
      <c r="I163" s="435">
        <f>INDEX('Master Data'!$U$74:$U$802,MATCH(B163,'Master Data'!$B$74:$B$802,0))</f>
        <v>2</v>
      </c>
      <c r="J163" s="435">
        <f>INDEX('Master Data'!$V$74:$V$802,MATCH(B163,'Master Data'!$B$74:$B$802,0))</f>
        <v>3</v>
      </c>
      <c r="K163" s="433" t="str">
        <f>INDEX('Master Data'!$P$74:$P$802,MATCH(B163,'Master Data'!$B$74:$B$802,0))</f>
        <v>Van</v>
      </c>
    </row>
    <row r="164" spans="2:11">
      <c r="B164" s="431" t="s">
        <v>296</v>
      </c>
      <c r="C164" s="431" t="s">
        <v>97</v>
      </c>
      <c r="D164" s="288" t="str">
        <f t="shared" si="7"/>
        <v>Medical</v>
      </c>
      <c r="E164" s="287">
        <f>INDEX('Master Data'!$Q$74:$Q$802,MATCH(B164,'Master Data'!$B$74:$B$802,0))</f>
        <v>14</v>
      </c>
      <c r="F164" s="433">
        <f>INDEX('Master Data'!$R$74:$R$802,MATCH(B164,'Master Data'!$B$74:$B$802,0))</f>
        <v>1</v>
      </c>
      <c r="G164" s="434">
        <f t="shared" si="6"/>
        <v>0.25</v>
      </c>
      <c r="H164" s="435">
        <f t="shared" si="8"/>
        <v>3.5</v>
      </c>
      <c r="I164" s="435">
        <f>INDEX('Master Data'!$U$74:$U$802,MATCH(B164,'Master Data'!$B$74:$B$802,0))</f>
        <v>2</v>
      </c>
      <c r="J164" s="435">
        <f>INDEX('Master Data'!$V$74:$V$802,MATCH(B164,'Master Data'!$B$74:$B$802,0))</f>
        <v>3</v>
      </c>
      <c r="K164" s="433" t="str">
        <f>INDEX('Master Data'!$P$74:$P$802,MATCH(B164,'Master Data'!$B$74:$B$802,0))</f>
        <v>Van</v>
      </c>
    </row>
    <row r="165" spans="2:11">
      <c r="B165" s="431" t="s">
        <v>297</v>
      </c>
      <c r="C165" s="431" t="s">
        <v>97</v>
      </c>
      <c r="D165" s="288" t="str">
        <f t="shared" si="7"/>
        <v>Medical</v>
      </c>
      <c r="E165" s="287">
        <f>INDEX('Master Data'!$Q$74:$Q$802,MATCH(B165,'Master Data'!$B$74:$B$802,0))</f>
        <v>14.5</v>
      </c>
      <c r="F165" s="433">
        <f>INDEX('Master Data'!$R$74:$R$802,MATCH(B165,'Master Data'!$B$74:$B$802,0))</f>
        <v>1</v>
      </c>
      <c r="G165" s="434">
        <f t="shared" si="6"/>
        <v>0.25</v>
      </c>
      <c r="H165" s="435">
        <f t="shared" si="8"/>
        <v>3.625</v>
      </c>
      <c r="I165" s="435">
        <f>INDEX('Master Data'!$U$74:$U$802,MATCH(B165,'Master Data'!$B$74:$B$802,0))</f>
        <v>2</v>
      </c>
      <c r="J165" s="435">
        <f>INDEX('Master Data'!$V$74:$V$802,MATCH(B165,'Master Data'!$B$74:$B$802,0))</f>
        <v>3</v>
      </c>
      <c r="K165" s="433" t="str">
        <f>INDEX('Master Data'!$P$74:$P$802,MATCH(B165,'Master Data'!$B$74:$B$802,0))</f>
        <v>Van</v>
      </c>
    </row>
    <row r="166" spans="2:11">
      <c r="B166" s="431" t="s">
        <v>298</v>
      </c>
      <c r="C166" s="431" t="s">
        <v>97</v>
      </c>
      <c r="D166" s="288" t="str">
        <f t="shared" si="7"/>
        <v>Medical</v>
      </c>
      <c r="E166" s="287">
        <f>INDEX('Master Data'!$Q$74:$Q$802,MATCH(B166,'Master Data'!$B$74:$B$802,0))</f>
        <v>15</v>
      </c>
      <c r="F166" s="433">
        <f>INDEX('Master Data'!$R$74:$R$802,MATCH(B166,'Master Data'!$B$74:$B$802,0))</f>
        <v>1</v>
      </c>
      <c r="G166" s="434">
        <f t="shared" si="6"/>
        <v>0.25</v>
      </c>
      <c r="H166" s="435">
        <f t="shared" si="8"/>
        <v>3.75</v>
      </c>
      <c r="I166" s="435">
        <f>INDEX('Master Data'!$U$74:$U$802,MATCH(B166,'Master Data'!$B$74:$B$802,0))</f>
        <v>2</v>
      </c>
      <c r="J166" s="435">
        <f>INDEX('Master Data'!$V$74:$V$802,MATCH(B166,'Master Data'!$B$74:$B$802,0))</f>
        <v>3</v>
      </c>
      <c r="K166" s="433" t="str">
        <f>INDEX('Master Data'!$P$74:$P$802,MATCH(B166,'Master Data'!$B$74:$B$802,0))</f>
        <v>Van</v>
      </c>
    </row>
    <row r="167" spans="2:11">
      <c r="B167" s="431" t="s">
        <v>299</v>
      </c>
      <c r="C167" s="431" t="s">
        <v>97</v>
      </c>
      <c r="D167" s="288" t="str">
        <f t="shared" si="7"/>
        <v>Medical</v>
      </c>
      <c r="E167" s="287">
        <f>INDEX('Master Data'!$Q$74:$Q$802,MATCH(B167,'Master Data'!$B$74:$B$802,0))</f>
        <v>15.5</v>
      </c>
      <c r="F167" s="433">
        <f>INDEX('Master Data'!$R$74:$R$802,MATCH(B167,'Master Data'!$B$74:$B$802,0))</f>
        <v>1</v>
      </c>
      <c r="G167" s="434">
        <f t="shared" si="6"/>
        <v>0.25</v>
      </c>
      <c r="H167" s="435">
        <f t="shared" si="8"/>
        <v>3.875</v>
      </c>
      <c r="I167" s="435">
        <f>INDEX('Master Data'!$U$74:$U$802,MATCH(B167,'Master Data'!$B$74:$B$802,0))</f>
        <v>2</v>
      </c>
      <c r="J167" s="435">
        <f>INDEX('Master Data'!$V$74:$V$802,MATCH(B167,'Master Data'!$B$74:$B$802,0))</f>
        <v>3</v>
      </c>
      <c r="K167" s="433" t="str">
        <f>INDEX('Master Data'!$P$74:$P$802,MATCH(B167,'Master Data'!$B$74:$B$802,0))</f>
        <v>Van</v>
      </c>
    </row>
    <row r="168" spans="2:11">
      <c r="B168" s="431" t="s">
        <v>300</v>
      </c>
      <c r="C168" s="431" t="s">
        <v>97</v>
      </c>
      <c r="D168" s="288" t="str">
        <f t="shared" si="7"/>
        <v>Medical</v>
      </c>
      <c r="E168" s="287">
        <f>INDEX('Master Data'!$Q$74:$Q$802,MATCH(B168,'Master Data'!$B$74:$B$802,0))</f>
        <v>6</v>
      </c>
      <c r="F168" s="433">
        <f>INDEX('Master Data'!$R$74:$R$802,MATCH(B168,'Master Data'!$B$74:$B$802,0))</f>
        <v>1</v>
      </c>
      <c r="G168" s="434">
        <f t="shared" si="6"/>
        <v>0.35</v>
      </c>
      <c r="H168" s="435">
        <f t="shared" si="8"/>
        <v>2.0999999999999996</v>
      </c>
      <c r="I168" s="435">
        <f>INDEX('Master Data'!$U$74:$U$802,MATCH(B168,'Master Data'!$B$74:$B$802,0))</f>
        <v>2</v>
      </c>
      <c r="J168" s="435">
        <f>INDEX('Master Data'!$V$74:$V$802,MATCH(B168,'Master Data'!$B$74:$B$802,0))</f>
        <v>3</v>
      </c>
      <c r="K168" s="433" t="str">
        <f>INDEX('Master Data'!$P$74:$P$802,MATCH(B168,'Master Data'!$B$74:$B$802,0))</f>
        <v>Van</v>
      </c>
    </row>
    <row r="169" spans="2:11">
      <c r="B169" s="431" t="s">
        <v>301</v>
      </c>
      <c r="C169" s="431" t="s">
        <v>97</v>
      </c>
      <c r="D169" s="288" t="str">
        <f t="shared" si="7"/>
        <v>Medical</v>
      </c>
      <c r="E169" s="287">
        <f>INDEX('Master Data'!$Q$74:$Q$802,MATCH(B169,'Master Data'!$B$74:$B$802,0))</f>
        <v>6.5</v>
      </c>
      <c r="F169" s="433">
        <f>INDEX('Master Data'!$R$74:$R$802,MATCH(B169,'Master Data'!$B$74:$B$802,0))</f>
        <v>1</v>
      </c>
      <c r="G169" s="434">
        <f t="shared" si="6"/>
        <v>0.35</v>
      </c>
      <c r="H169" s="435">
        <f t="shared" si="8"/>
        <v>2.2749999999999999</v>
      </c>
      <c r="I169" s="435">
        <f>INDEX('Master Data'!$U$74:$U$802,MATCH(B169,'Master Data'!$B$74:$B$802,0))</f>
        <v>2</v>
      </c>
      <c r="J169" s="435">
        <f>INDEX('Master Data'!$V$74:$V$802,MATCH(B169,'Master Data'!$B$74:$B$802,0))</f>
        <v>3</v>
      </c>
      <c r="K169" s="433" t="str">
        <f>INDEX('Master Data'!$P$74:$P$802,MATCH(B169,'Master Data'!$B$74:$B$802,0))</f>
        <v>Van</v>
      </c>
    </row>
    <row r="170" spans="2:11">
      <c r="B170" s="431" t="s">
        <v>302</v>
      </c>
      <c r="C170" s="431" t="s">
        <v>97</v>
      </c>
      <c r="D170" s="288" t="str">
        <f t="shared" si="7"/>
        <v>Medical</v>
      </c>
      <c r="E170" s="287">
        <f>INDEX('Master Data'!$Q$74:$Q$802,MATCH(B170,'Master Data'!$B$74:$B$802,0))</f>
        <v>7</v>
      </c>
      <c r="F170" s="433">
        <f>INDEX('Master Data'!$R$74:$R$802,MATCH(B170,'Master Data'!$B$74:$B$802,0))</f>
        <v>1</v>
      </c>
      <c r="G170" s="434">
        <f t="shared" ref="G170:G227" si="9">IF(LEFT(B170,1)="M",IF(RIGHT(B170,1)="1",0.25,IF(RIGHT(B170,1)="2",0.35,IF(RIGHT(B170,1)="3",0.45,0))),0)</f>
        <v>0.35</v>
      </c>
      <c r="H170" s="435">
        <f t="shared" si="8"/>
        <v>2.4499999999999997</v>
      </c>
      <c r="I170" s="435">
        <f>INDEX('Master Data'!$U$74:$U$802,MATCH(B170,'Master Data'!$B$74:$B$802,0))</f>
        <v>2</v>
      </c>
      <c r="J170" s="435">
        <f>INDEX('Master Data'!$V$74:$V$802,MATCH(B170,'Master Data'!$B$74:$B$802,0))</f>
        <v>3</v>
      </c>
      <c r="K170" s="433" t="str">
        <f>INDEX('Master Data'!$P$74:$P$802,MATCH(B170,'Master Data'!$B$74:$B$802,0))</f>
        <v>Van</v>
      </c>
    </row>
    <row r="171" spans="2:11">
      <c r="B171" s="431" t="s">
        <v>303</v>
      </c>
      <c r="C171" s="431" t="s">
        <v>97</v>
      </c>
      <c r="D171" s="288" t="str">
        <f t="shared" si="7"/>
        <v>Medical</v>
      </c>
      <c r="E171" s="287">
        <f>INDEX('Master Data'!$Q$74:$Q$802,MATCH(B171,'Master Data'!$B$74:$B$802,0))</f>
        <v>7.5</v>
      </c>
      <c r="F171" s="433">
        <f>INDEX('Master Data'!$R$74:$R$802,MATCH(B171,'Master Data'!$B$74:$B$802,0))</f>
        <v>1</v>
      </c>
      <c r="G171" s="434">
        <f t="shared" si="9"/>
        <v>0.35</v>
      </c>
      <c r="H171" s="435">
        <f t="shared" si="8"/>
        <v>2.625</v>
      </c>
      <c r="I171" s="435">
        <f>INDEX('Master Data'!$U$74:$U$802,MATCH(B171,'Master Data'!$B$74:$B$802,0))</f>
        <v>2</v>
      </c>
      <c r="J171" s="435">
        <f>INDEX('Master Data'!$V$74:$V$802,MATCH(B171,'Master Data'!$B$74:$B$802,0))</f>
        <v>3</v>
      </c>
      <c r="K171" s="433" t="str">
        <f>INDEX('Master Data'!$P$74:$P$802,MATCH(B171,'Master Data'!$B$74:$B$802,0))</f>
        <v>Van</v>
      </c>
    </row>
    <row r="172" spans="2:11">
      <c r="B172" s="431" t="s">
        <v>304</v>
      </c>
      <c r="C172" s="431" t="s">
        <v>97</v>
      </c>
      <c r="D172" s="288" t="str">
        <f t="shared" si="7"/>
        <v>Medical</v>
      </c>
      <c r="E172" s="287">
        <f>INDEX('Master Data'!$Q$74:$Q$802,MATCH(B172,'Master Data'!$B$74:$B$802,0))</f>
        <v>8</v>
      </c>
      <c r="F172" s="433">
        <f>INDEX('Master Data'!$R$74:$R$802,MATCH(B172,'Master Data'!$B$74:$B$802,0))</f>
        <v>1</v>
      </c>
      <c r="G172" s="434">
        <f t="shared" si="9"/>
        <v>0.35</v>
      </c>
      <c r="H172" s="435">
        <f t="shared" si="8"/>
        <v>2.8</v>
      </c>
      <c r="I172" s="435">
        <f>INDEX('Master Data'!$U$74:$U$802,MATCH(B172,'Master Data'!$B$74:$B$802,0))</f>
        <v>2</v>
      </c>
      <c r="J172" s="435">
        <f>INDEX('Master Data'!$V$74:$V$802,MATCH(B172,'Master Data'!$B$74:$B$802,0))</f>
        <v>3</v>
      </c>
      <c r="K172" s="433" t="str">
        <f>INDEX('Master Data'!$P$74:$P$802,MATCH(B172,'Master Data'!$B$74:$B$802,0))</f>
        <v>Van</v>
      </c>
    </row>
    <row r="173" spans="2:11">
      <c r="B173" s="431" t="s">
        <v>305</v>
      </c>
      <c r="C173" s="431" t="s">
        <v>97</v>
      </c>
      <c r="D173" s="288" t="str">
        <f t="shared" si="7"/>
        <v>Medical</v>
      </c>
      <c r="E173" s="287">
        <f>INDEX('Master Data'!$Q$74:$Q$802,MATCH(B173,'Master Data'!$B$74:$B$802,0))</f>
        <v>8.5</v>
      </c>
      <c r="F173" s="433">
        <f>INDEX('Master Data'!$R$74:$R$802,MATCH(B173,'Master Data'!$B$74:$B$802,0))</f>
        <v>1</v>
      </c>
      <c r="G173" s="434">
        <f t="shared" si="9"/>
        <v>0.35</v>
      </c>
      <c r="H173" s="435">
        <f t="shared" si="8"/>
        <v>2.9749999999999996</v>
      </c>
      <c r="I173" s="435">
        <f>INDEX('Master Data'!$U$74:$U$802,MATCH(B173,'Master Data'!$B$74:$B$802,0))</f>
        <v>2</v>
      </c>
      <c r="J173" s="435">
        <f>INDEX('Master Data'!$V$74:$V$802,MATCH(B173,'Master Data'!$B$74:$B$802,0))</f>
        <v>3</v>
      </c>
      <c r="K173" s="433" t="str">
        <f>INDEX('Master Data'!$P$74:$P$802,MATCH(B173,'Master Data'!$B$74:$B$802,0))</f>
        <v>Van</v>
      </c>
    </row>
    <row r="174" spans="2:11">
      <c r="B174" s="431" t="s">
        <v>306</v>
      </c>
      <c r="C174" s="431" t="s">
        <v>97</v>
      </c>
      <c r="D174" s="288" t="str">
        <f t="shared" si="7"/>
        <v>Medical</v>
      </c>
      <c r="E174" s="287">
        <f>INDEX('Master Data'!$Q$74:$Q$802,MATCH(B174,'Master Data'!$B$74:$B$802,0))</f>
        <v>9</v>
      </c>
      <c r="F174" s="433">
        <f>INDEX('Master Data'!$R$74:$R$802,MATCH(B174,'Master Data'!$B$74:$B$802,0))</f>
        <v>1</v>
      </c>
      <c r="G174" s="434">
        <f t="shared" si="9"/>
        <v>0.35</v>
      </c>
      <c r="H174" s="435">
        <f t="shared" si="8"/>
        <v>3.15</v>
      </c>
      <c r="I174" s="435">
        <f>INDEX('Master Data'!$U$74:$U$802,MATCH(B174,'Master Data'!$B$74:$B$802,0))</f>
        <v>2</v>
      </c>
      <c r="J174" s="435">
        <f>INDEX('Master Data'!$V$74:$V$802,MATCH(B174,'Master Data'!$B$74:$B$802,0))</f>
        <v>3</v>
      </c>
      <c r="K174" s="433" t="str">
        <f>INDEX('Master Data'!$P$74:$P$802,MATCH(B174,'Master Data'!$B$74:$B$802,0))</f>
        <v>Van</v>
      </c>
    </row>
    <row r="175" spans="2:11">
      <c r="B175" s="431" t="s">
        <v>307</v>
      </c>
      <c r="C175" s="431" t="s">
        <v>97</v>
      </c>
      <c r="D175" s="288" t="str">
        <f t="shared" si="7"/>
        <v>Medical</v>
      </c>
      <c r="E175" s="287">
        <f>INDEX('Master Data'!$Q$74:$Q$802,MATCH(B175,'Master Data'!$B$74:$B$802,0))</f>
        <v>9.5</v>
      </c>
      <c r="F175" s="433">
        <f>INDEX('Master Data'!$R$74:$R$802,MATCH(B175,'Master Data'!$B$74:$B$802,0))</f>
        <v>1</v>
      </c>
      <c r="G175" s="434">
        <f t="shared" si="9"/>
        <v>0.35</v>
      </c>
      <c r="H175" s="435">
        <f t="shared" si="8"/>
        <v>3.3249999999999997</v>
      </c>
      <c r="I175" s="435">
        <f>INDEX('Master Data'!$U$74:$U$802,MATCH(B175,'Master Data'!$B$74:$B$802,0))</f>
        <v>2</v>
      </c>
      <c r="J175" s="435">
        <f>INDEX('Master Data'!$V$74:$V$802,MATCH(B175,'Master Data'!$B$74:$B$802,0))</f>
        <v>3</v>
      </c>
      <c r="K175" s="433" t="str">
        <f>INDEX('Master Data'!$P$74:$P$802,MATCH(B175,'Master Data'!$B$74:$B$802,0))</f>
        <v>Van</v>
      </c>
    </row>
    <row r="176" spans="2:11">
      <c r="B176" s="431" t="s">
        <v>308</v>
      </c>
      <c r="C176" s="431" t="s">
        <v>97</v>
      </c>
      <c r="D176" s="288" t="str">
        <f t="shared" si="7"/>
        <v>Medical</v>
      </c>
      <c r="E176" s="287">
        <f>INDEX('Master Data'!$Q$74:$Q$802,MATCH(B176,'Master Data'!$B$74:$B$802,0))</f>
        <v>10</v>
      </c>
      <c r="F176" s="433">
        <f>INDEX('Master Data'!$R$74:$R$802,MATCH(B176,'Master Data'!$B$74:$B$802,0))</f>
        <v>1</v>
      </c>
      <c r="G176" s="434">
        <f t="shared" si="9"/>
        <v>0.35</v>
      </c>
      <c r="H176" s="435">
        <f t="shared" si="8"/>
        <v>3.5</v>
      </c>
      <c r="I176" s="435">
        <f>INDEX('Master Data'!$U$74:$U$802,MATCH(B176,'Master Data'!$B$74:$B$802,0))</f>
        <v>2</v>
      </c>
      <c r="J176" s="435">
        <f>INDEX('Master Data'!$V$74:$V$802,MATCH(B176,'Master Data'!$B$74:$B$802,0))</f>
        <v>3</v>
      </c>
      <c r="K176" s="433" t="str">
        <f>INDEX('Master Data'!$P$74:$P$802,MATCH(B176,'Master Data'!$B$74:$B$802,0))</f>
        <v>Van</v>
      </c>
    </row>
    <row r="177" spans="2:11">
      <c r="B177" s="431" t="s">
        <v>309</v>
      </c>
      <c r="C177" s="431" t="s">
        <v>97</v>
      </c>
      <c r="D177" s="288" t="str">
        <f t="shared" si="7"/>
        <v>Medical</v>
      </c>
      <c r="E177" s="287">
        <f>INDEX('Master Data'!$Q$74:$Q$802,MATCH(B177,'Master Data'!$B$74:$B$802,0))</f>
        <v>10.5</v>
      </c>
      <c r="F177" s="433">
        <f>INDEX('Master Data'!$R$74:$R$802,MATCH(B177,'Master Data'!$B$74:$B$802,0))</f>
        <v>1</v>
      </c>
      <c r="G177" s="434">
        <f t="shared" si="9"/>
        <v>0.35</v>
      </c>
      <c r="H177" s="435">
        <f t="shared" si="8"/>
        <v>3.6749999999999998</v>
      </c>
      <c r="I177" s="435">
        <f>INDEX('Master Data'!$U$74:$U$802,MATCH(B177,'Master Data'!$B$74:$B$802,0))</f>
        <v>2</v>
      </c>
      <c r="J177" s="435">
        <f>INDEX('Master Data'!$V$74:$V$802,MATCH(B177,'Master Data'!$B$74:$B$802,0))</f>
        <v>3</v>
      </c>
      <c r="K177" s="433" t="str">
        <f>INDEX('Master Data'!$P$74:$P$802,MATCH(B177,'Master Data'!$B$74:$B$802,0))</f>
        <v>Van</v>
      </c>
    </row>
    <row r="178" spans="2:11">
      <c r="B178" s="431" t="s">
        <v>310</v>
      </c>
      <c r="C178" s="431" t="s">
        <v>97</v>
      </c>
      <c r="D178" s="288" t="str">
        <f t="shared" si="7"/>
        <v>Medical</v>
      </c>
      <c r="E178" s="287">
        <f>INDEX('Master Data'!$Q$74:$Q$802,MATCH(B178,'Master Data'!$B$74:$B$802,0))</f>
        <v>11</v>
      </c>
      <c r="F178" s="433">
        <f>INDEX('Master Data'!$R$74:$R$802,MATCH(B178,'Master Data'!$B$74:$B$802,0))</f>
        <v>1</v>
      </c>
      <c r="G178" s="434">
        <f t="shared" si="9"/>
        <v>0.35</v>
      </c>
      <c r="H178" s="435">
        <f t="shared" si="8"/>
        <v>3.8499999999999996</v>
      </c>
      <c r="I178" s="435">
        <f>INDEX('Master Data'!$U$74:$U$802,MATCH(B178,'Master Data'!$B$74:$B$802,0))</f>
        <v>2</v>
      </c>
      <c r="J178" s="435">
        <f>INDEX('Master Data'!$V$74:$V$802,MATCH(B178,'Master Data'!$B$74:$B$802,0))</f>
        <v>3</v>
      </c>
      <c r="K178" s="433" t="str">
        <f>INDEX('Master Data'!$P$74:$P$802,MATCH(B178,'Master Data'!$B$74:$B$802,0))</f>
        <v>Van</v>
      </c>
    </row>
    <row r="179" spans="2:11">
      <c r="B179" s="431" t="s">
        <v>311</v>
      </c>
      <c r="C179" s="431" t="s">
        <v>97</v>
      </c>
      <c r="D179" s="288" t="str">
        <f t="shared" si="7"/>
        <v>Medical</v>
      </c>
      <c r="E179" s="287">
        <f>INDEX('Master Data'!$Q$74:$Q$802,MATCH(B179,'Master Data'!$B$74:$B$802,0))</f>
        <v>11.5</v>
      </c>
      <c r="F179" s="433">
        <f>INDEX('Master Data'!$R$74:$R$802,MATCH(B179,'Master Data'!$B$74:$B$802,0))</f>
        <v>1</v>
      </c>
      <c r="G179" s="434">
        <f t="shared" si="9"/>
        <v>0.35</v>
      </c>
      <c r="H179" s="435">
        <f t="shared" si="8"/>
        <v>4.0249999999999995</v>
      </c>
      <c r="I179" s="435">
        <f>INDEX('Master Data'!$U$74:$U$802,MATCH(B179,'Master Data'!$B$74:$B$802,0))</f>
        <v>2</v>
      </c>
      <c r="J179" s="435">
        <f>INDEX('Master Data'!$V$74:$V$802,MATCH(B179,'Master Data'!$B$74:$B$802,0))</f>
        <v>3</v>
      </c>
      <c r="K179" s="433" t="str">
        <f>INDEX('Master Data'!$P$74:$P$802,MATCH(B179,'Master Data'!$B$74:$B$802,0))</f>
        <v>Van</v>
      </c>
    </row>
    <row r="180" spans="2:11">
      <c r="B180" s="431" t="s">
        <v>312</v>
      </c>
      <c r="C180" s="431" t="s">
        <v>97</v>
      </c>
      <c r="D180" s="288" t="str">
        <f t="shared" si="7"/>
        <v>Medical</v>
      </c>
      <c r="E180" s="287">
        <f>INDEX('Master Data'!$Q$74:$Q$802,MATCH(B180,'Master Data'!$B$74:$B$802,0))</f>
        <v>12</v>
      </c>
      <c r="F180" s="433">
        <f>INDEX('Master Data'!$R$74:$R$802,MATCH(B180,'Master Data'!$B$74:$B$802,0))</f>
        <v>1</v>
      </c>
      <c r="G180" s="434">
        <f t="shared" si="9"/>
        <v>0.35</v>
      </c>
      <c r="H180" s="435">
        <f t="shared" si="8"/>
        <v>4.1999999999999993</v>
      </c>
      <c r="I180" s="435">
        <f>INDEX('Master Data'!$U$74:$U$802,MATCH(B180,'Master Data'!$B$74:$B$802,0))</f>
        <v>2</v>
      </c>
      <c r="J180" s="435">
        <f>INDEX('Master Data'!$V$74:$V$802,MATCH(B180,'Master Data'!$B$74:$B$802,0))</f>
        <v>3</v>
      </c>
      <c r="K180" s="433" t="str">
        <f>INDEX('Master Data'!$P$74:$P$802,MATCH(B180,'Master Data'!$B$74:$B$802,0))</f>
        <v>Van</v>
      </c>
    </row>
    <row r="181" spans="2:11">
      <c r="B181" s="431" t="s">
        <v>313</v>
      </c>
      <c r="C181" s="431" t="s">
        <v>97</v>
      </c>
      <c r="D181" s="288" t="str">
        <f t="shared" si="7"/>
        <v>Medical</v>
      </c>
      <c r="E181" s="287">
        <f>INDEX('Master Data'!$Q$74:$Q$802,MATCH(B181,'Master Data'!$B$74:$B$802,0))</f>
        <v>12.5</v>
      </c>
      <c r="F181" s="433">
        <f>INDEX('Master Data'!$R$74:$R$802,MATCH(B181,'Master Data'!$B$74:$B$802,0))</f>
        <v>1</v>
      </c>
      <c r="G181" s="434">
        <f t="shared" si="9"/>
        <v>0.35</v>
      </c>
      <c r="H181" s="435">
        <f t="shared" si="8"/>
        <v>4.375</v>
      </c>
      <c r="I181" s="435">
        <f>INDEX('Master Data'!$U$74:$U$802,MATCH(B181,'Master Data'!$B$74:$B$802,0))</f>
        <v>2</v>
      </c>
      <c r="J181" s="435">
        <f>INDEX('Master Data'!$V$74:$V$802,MATCH(B181,'Master Data'!$B$74:$B$802,0))</f>
        <v>3</v>
      </c>
      <c r="K181" s="433" t="str">
        <f>INDEX('Master Data'!$P$74:$P$802,MATCH(B181,'Master Data'!$B$74:$B$802,0))</f>
        <v>Van</v>
      </c>
    </row>
    <row r="182" spans="2:11">
      <c r="B182" s="431" t="s">
        <v>314</v>
      </c>
      <c r="C182" s="431" t="s">
        <v>97</v>
      </c>
      <c r="D182" s="288" t="str">
        <f t="shared" si="7"/>
        <v>Medical</v>
      </c>
      <c r="E182" s="287">
        <f>INDEX('Master Data'!$Q$74:$Q$802,MATCH(B182,'Master Data'!$B$74:$B$802,0))</f>
        <v>13</v>
      </c>
      <c r="F182" s="433">
        <f>INDEX('Master Data'!$R$74:$R$802,MATCH(B182,'Master Data'!$B$74:$B$802,0))</f>
        <v>1</v>
      </c>
      <c r="G182" s="434">
        <f t="shared" si="9"/>
        <v>0.35</v>
      </c>
      <c r="H182" s="435">
        <f t="shared" si="8"/>
        <v>4.55</v>
      </c>
      <c r="I182" s="435">
        <f>INDEX('Master Data'!$U$74:$U$802,MATCH(B182,'Master Data'!$B$74:$B$802,0))</f>
        <v>2</v>
      </c>
      <c r="J182" s="435">
        <f>INDEX('Master Data'!$V$74:$V$802,MATCH(B182,'Master Data'!$B$74:$B$802,0))</f>
        <v>3</v>
      </c>
      <c r="K182" s="433" t="str">
        <f>INDEX('Master Data'!$P$74:$P$802,MATCH(B182,'Master Data'!$B$74:$B$802,0))</f>
        <v>Van</v>
      </c>
    </row>
    <row r="183" spans="2:11">
      <c r="B183" s="431" t="s">
        <v>315</v>
      </c>
      <c r="C183" s="431" t="s">
        <v>97</v>
      </c>
      <c r="D183" s="288" t="str">
        <f t="shared" si="7"/>
        <v>Medical</v>
      </c>
      <c r="E183" s="287">
        <f>INDEX('Master Data'!$Q$74:$Q$802,MATCH(B183,'Master Data'!$B$74:$B$802,0))</f>
        <v>13.5</v>
      </c>
      <c r="F183" s="433">
        <f>INDEX('Master Data'!$R$74:$R$802,MATCH(B183,'Master Data'!$B$74:$B$802,0))</f>
        <v>1</v>
      </c>
      <c r="G183" s="434">
        <f t="shared" si="9"/>
        <v>0.35</v>
      </c>
      <c r="H183" s="435">
        <f t="shared" si="8"/>
        <v>4.7249999999999996</v>
      </c>
      <c r="I183" s="435">
        <f>INDEX('Master Data'!$U$74:$U$802,MATCH(B183,'Master Data'!$B$74:$B$802,0))</f>
        <v>2</v>
      </c>
      <c r="J183" s="435">
        <f>INDEX('Master Data'!$V$74:$V$802,MATCH(B183,'Master Data'!$B$74:$B$802,0))</f>
        <v>3</v>
      </c>
      <c r="K183" s="433" t="str">
        <f>INDEX('Master Data'!$P$74:$P$802,MATCH(B183,'Master Data'!$B$74:$B$802,0))</f>
        <v>Van</v>
      </c>
    </row>
    <row r="184" spans="2:11">
      <c r="B184" s="431" t="s">
        <v>316</v>
      </c>
      <c r="C184" s="431" t="s">
        <v>97</v>
      </c>
      <c r="D184" s="288" t="str">
        <f t="shared" si="7"/>
        <v>Medical</v>
      </c>
      <c r="E184" s="287">
        <f>INDEX('Master Data'!$Q$74:$Q$802,MATCH(B184,'Master Data'!$B$74:$B$802,0))</f>
        <v>14</v>
      </c>
      <c r="F184" s="433">
        <f>INDEX('Master Data'!$R$74:$R$802,MATCH(B184,'Master Data'!$B$74:$B$802,0))</f>
        <v>1</v>
      </c>
      <c r="G184" s="434">
        <f t="shared" si="9"/>
        <v>0.35</v>
      </c>
      <c r="H184" s="435">
        <f t="shared" si="8"/>
        <v>4.8999999999999995</v>
      </c>
      <c r="I184" s="435">
        <f>INDEX('Master Data'!$U$74:$U$802,MATCH(B184,'Master Data'!$B$74:$B$802,0))</f>
        <v>2</v>
      </c>
      <c r="J184" s="435">
        <f>INDEX('Master Data'!$V$74:$V$802,MATCH(B184,'Master Data'!$B$74:$B$802,0))</f>
        <v>3</v>
      </c>
      <c r="K184" s="433" t="str">
        <f>INDEX('Master Data'!$P$74:$P$802,MATCH(B184,'Master Data'!$B$74:$B$802,0))</f>
        <v>Van</v>
      </c>
    </row>
    <row r="185" spans="2:11">
      <c r="B185" s="431" t="s">
        <v>317</v>
      </c>
      <c r="C185" s="431" t="s">
        <v>97</v>
      </c>
      <c r="D185" s="288" t="str">
        <f t="shared" si="7"/>
        <v>Medical</v>
      </c>
      <c r="E185" s="287">
        <f>INDEX('Master Data'!$Q$74:$Q$802,MATCH(B185,'Master Data'!$B$74:$B$802,0))</f>
        <v>14.5</v>
      </c>
      <c r="F185" s="433">
        <f>INDEX('Master Data'!$R$74:$R$802,MATCH(B185,'Master Data'!$B$74:$B$802,0))</f>
        <v>1</v>
      </c>
      <c r="G185" s="434">
        <f t="shared" si="9"/>
        <v>0.35</v>
      </c>
      <c r="H185" s="435">
        <f t="shared" si="8"/>
        <v>5.0749999999999993</v>
      </c>
      <c r="I185" s="435">
        <f>INDEX('Master Data'!$U$74:$U$802,MATCH(B185,'Master Data'!$B$74:$B$802,0))</f>
        <v>2</v>
      </c>
      <c r="J185" s="435">
        <f>INDEX('Master Data'!$V$74:$V$802,MATCH(B185,'Master Data'!$B$74:$B$802,0))</f>
        <v>3</v>
      </c>
      <c r="K185" s="433" t="str">
        <f>INDEX('Master Data'!$P$74:$P$802,MATCH(B185,'Master Data'!$B$74:$B$802,0))</f>
        <v>Van</v>
      </c>
    </row>
    <row r="186" spans="2:11">
      <c r="B186" s="431" t="s">
        <v>318</v>
      </c>
      <c r="C186" s="431" t="s">
        <v>97</v>
      </c>
      <c r="D186" s="288" t="str">
        <f t="shared" si="7"/>
        <v>Medical</v>
      </c>
      <c r="E186" s="287">
        <f>INDEX('Master Data'!$Q$74:$Q$802,MATCH(B186,'Master Data'!$B$74:$B$802,0))</f>
        <v>15</v>
      </c>
      <c r="F186" s="433">
        <f>INDEX('Master Data'!$R$74:$R$802,MATCH(B186,'Master Data'!$B$74:$B$802,0))</f>
        <v>1</v>
      </c>
      <c r="G186" s="434">
        <f t="shared" si="9"/>
        <v>0.35</v>
      </c>
      <c r="H186" s="435">
        <f t="shared" si="8"/>
        <v>5.25</v>
      </c>
      <c r="I186" s="435">
        <f>INDEX('Master Data'!$U$74:$U$802,MATCH(B186,'Master Data'!$B$74:$B$802,0))</f>
        <v>2</v>
      </c>
      <c r="J186" s="435">
        <f>INDEX('Master Data'!$V$74:$V$802,MATCH(B186,'Master Data'!$B$74:$B$802,0))</f>
        <v>3</v>
      </c>
      <c r="K186" s="433" t="str">
        <f>INDEX('Master Data'!$P$74:$P$802,MATCH(B186,'Master Data'!$B$74:$B$802,0))</f>
        <v>Van</v>
      </c>
    </row>
    <row r="187" spans="2:11">
      <c r="B187" s="431" t="s">
        <v>319</v>
      </c>
      <c r="C187" s="431" t="s">
        <v>97</v>
      </c>
      <c r="D187" s="288" t="str">
        <f t="shared" si="7"/>
        <v>Medical</v>
      </c>
      <c r="E187" s="287">
        <f>INDEX('Master Data'!$Q$74:$Q$802,MATCH(B187,'Master Data'!$B$74:$B$802,0))</f>
        <v>15.5</v>
      </c>
      <c r="F187" s="433">
        <f>INDEX('Master Data'!$R$74:$R$802,MATCH(B187,'Master Data'!$B$74:$B$802,0))</f>
        <v>1</v>
      </c>
      <c r="G187" s="434">
        <f t="shared" si="9"/>
        <v>0.35</v>
      </c>
      <c r="H187" s="435">
        <f t="shared" si="8"/>
        <v>5.4249999999999998</v>
      </c>
      <c r="I187" s="435">
        <f>INDEX('Master Data'!$U$74:$U$802,MATCH(B187,'Master Data'!$B$74:$B$802,0))</f>
        <v>2</v>
      </c>
      <c r="J187" s="435">
        <f>INDEX('Master Data'!$V$74:$V$802,MATCH(B187,'Master Data'!$B$74:$B$802,0))</f>
        <v>3</v>
      </c>
      <c r="K187" s="433" t="str">
        <f>INDEX('Master Data'!$P$74:$P$802,MATCH(B187,'Master Data'!$B$74:$B$802,0))</f>
        <v>Van</v>
      </c>
    </row>
    <row r="188" spans="2:11">
      <c r="B188" s="431" t="s">
        <v>320</v>
      </c>
      <c r="C188" s="431" t="s">
        <v>97</v>
      </c>
      <c r="D188" s="288" t="str">
        <f t="shared" si="7"/>
        <v>Medical</v>
      </c>
      <c r="E188" s="287">
        <f>INDEX('Master Data'!$Q$74:$Q$802,MATCH(B188,'Master Data'!$B$74:$B$802,0))</f>
        <v>6</v>
      </c>
      <c r="F188" s="433">
        <f>INDEX('Master Data'!$R$74:$R$802,MATCH(B188,'Master Data'!$B$74:$B$802,0))</f>
        <v>1</v>
      </c>
      <c r="G188" s="434">
        <f t="shared" si="9"/>
        <v>0.45</v>
      </c>
      <c r="H188" s="435">
        <f t="shared" si="8"/>
        <v>2.7</v>
      </c>
      <c r="I188" s="435">
        <f>INDEX('Master Data'!$U$74:$U$802,MATCH(B188,'Master Data'!$B$74:$B$802,0))</f>
        <v>2</v>
      </c>
      <c r="J188" s="435">
        <f>INDEX('Master Data'!$V$74:$V$802,MATCH(B188,'Master Data'!$B$74:$B$802,0))</f>
        <v>3</v>
      </c>
      <c r="K188" s="433" t="str">
        <f>INDEX('Master Data'!$P$74:$P$802,MATCH(B188,'Master Data'!$B$74:$B$802,0))</f>
        <v>Van</v>
      </c>
    </row>
    <row r="189" spans="2:11">
      <c r="B189" s="431" t="s">
        <v>321</v>
      </c>
      <c r="C189" s="431" t="s">
        <v>97</v>
      </c>
      <c r="D189" s="288" t="str">
        <f t="shared" si="7"/>
        <v>Medical</v>
      </c>
      <c r="E189" s="287">
        <f>INDEX('Master Data'!$Q$74:$Q$802,MATCH(B189,'Master Data'!$B$74:$B$802,0))</f>
        <v>6.5</v>
      </c>
      <c r="F189" s="433">
        <f>INDEX('Master Data'!$R$74:$R$802,MATCH(B189,'Master Data'!$B$74:$B$802,0))</f>
        <v>1</v>
      </c>
      <c r="G189" s="434">
        <f t="shared" si="9"/>
        <v>0.45</v>
      </c>
      <c r="H189" s="435">
        <f t="shared" si="8"/>
        <v>2.9250000000000003</v>
      </c>
      <c r="I189" s="435">
        <f>INDEX('Master Data'!$U$74:$U$802,MATCH(B189,'Master Data'!$B$74:$B$802,0))</f>
        <v>2</v>
      </c>
      <c r="J189" s="435">
        <f>INDEX('Master Data'!$V$74:$V$802,MATCH(B189,'Master Data'!$B$74:$B$802,0))</f>
        <v>3</v>
      </c>
      <c r="K189" s="433" t="str">
        <f>INDEX('Master Data'!$P$74:$P$802,MATCH(B189,'Master Data'!$B$74:$B$802,0))</f>
        <v>Van</v>
      </c>
    </row>
    <row r="190" spans="2:11">
      <c r="B190" s="431" t="s">
        <v>322</v>
      </c>
      <c r="C190" s="431" t="s">
        <v>97</v>
      </c>
      <c r="D190" s="288" t="str">
        <f t="shared" si="7"/>
        <v>Medical</v>
      </c>
      <c r="E190" s="287">
        <f>INDEX('Master Data'!$Q$74:$Q$802,MATCH(B190,'Master Data'!$B$74:$B$802,0))</f>
        <v>7</v>
      </c>
      <c r="F190" s="433">
        <f>INDEX('Master Data'!$R$74:$R$802,MATCH(B190,'Master Data'!$B$74:$B$802,0))</f>
        <v>1</v>
      </c>
      <c r="G190" s="434">
        <f t="shared" si="9"/>
        <v>0.45</v>
      </c>
      <c r="H190" s="435">
        <f t="shared" si="8"/>
        <v>3.15</v>
      </c>
      <c r="I190" s="435">
        <f>INDEX('Master Data'!$U$74:$U$802,MATCH(B190,'Master Data'!$B$74:$B$802,0))</f>
        <v>2</v>
      </c>
      <c r="J190" s="435">
        <f>INDEX('Master Data'!$V$74:$V$802,MATCH(B190,'Master Data'!$B$74:$B$802,0))</f>
        <v>3</v>
      </c>
      <c r="K190" s="433" t="str">
        <f>INDEX('Master Data'!$P$74:$P$802,MATCH(B190,'Master Data'!$B$74:$B$802,0))</f>
        <v>Van</v>
      </c>
    </row>
    <row r="191" spans="2:11">
      <c r="B191" s="431" t="s">
        <v>323</v>
      </c>
      <c r="C191" s="431" t="s">
        <v>97</v>
      </c>
      <c r="D191" s="288" t="str">
        <f t="shared" si="7"/>
        <v>Medical</v>
      </c>
      <c r="E191" s="287">
        <f>INDEX('Master Data'!$Q$74:$Q$802,MATCH(B191,'Master Data'!$B$74:$B$802,0))</f>
        <v>7.5</v>
      </c>
      <c r="F191" s="433">
        <f>INDEX('Master Data'!$R$74:$R$802,MATCH(B191,'Master Data'!$B$74:$B$802,0))</f>
        <v>1</v>
      </c>
      <c r="G191" s="434">
        <f t="shared" si="9"/>
        <v>0.45</v>
      </c>
      <c r="H191" s="435">
        <f t="shared" si="8"/>
        <v>3.375</v>
      </c>
      <c r="I191" s="435">
        <f>INDEX('Master Data'!$U$74:$U$802,MATCH(B191,'Master Data'!$B$74:$B$802,0))</f>
        <v>2</v>
      </c>
      <c r="J191" s="435">
        <f>INDEX('Master Data'!$V$74:$V$802,MATCH(B191,'Master Data'!$B$74:$B$802,0))</f>
        <v>3</v>
      </c>
      <c r="K191" s="433" t="str">
        <f>INDEX('Master Data'!$P$74:$P$802,MATCH(B191,'Master Data'!$B$74:$B$802,0))</f>
        <v>Van</v>
      </c>
    </row>
    <row r="192" spans="2:11">
      <c r="B192" s="431" t="s">
        <v>324</v>
      </c>
      <c r="C192" s="431" t="s">
        <v>97</v>
      </c>
      <c r="D192" s="288" t="str">
        <f t="shared" si="7"/>
        <v>Medical</v>
      </c>
      <c r="E192" s="287">
        <f>INDEX('Master Data'!$Q$74:$Q$802,MATCH(B192,'Master Data'!$B$74:$B$802,0))</f>
        <v>8</v>
      </c>
      <c r="F192" s="433">
        <f>INDEX('Master Data'!$R$74:$R$802,MATCH(B192,'Master Data'!$B$74:$B$802,0))</f>
        <v>1</v>
      </c>
      <c r="G192" s="434">
        <f t="shared" si="9"/>
        <v>0.45</v>
      </c>
      <c r="H192" s="435">
        <f t="shared" si="8"/>
        <v>3.6</v>
      </c>
      <c r="I192" s="435">
        <f>INDEX('Master Data'!$U$74:$U$802,MATCH(B192,'Master Data'!$B$74:$B$802,0))</f>
        <v>2</v>
      </c>
      <c r="J192" s="435">
        <f>INDEX('Master Data'!$V$74:$V$802,MATCH(B192,'Master Data'!$B$74:$B$802,0))</f>
        <v>3</v>
      </c>
      <c r="K192" s="433" t="str">
        <f>INDEX('Master Data'!$P$74:$P$802,MATCH(B192,'Master Data'!$B$74:$B$802,0))</f>
        <v>Van</v>
      </c>
    </row>
    <row r="193" spans="2:11">
      <c r="B193" s="431" t="s">
        <v>325</v>
      </c>
      <c r="C193" s="431" t="s">
        <v>97</v>
      </c>
      <c r="D193" s="288" t="str">
        <f t="shared" si="7"/>
        <v>Medical</v>
      </c>
      <c r="E193" s="287">
        <f>INDEX('Master Data'!$Q$74:$Q$802,MATCH(B193,'Master Data'!$B$74:$B$802,0))</f>
        <v>8.5</v>
      </c>
      <c r="F193" s="433">
        <f>INDEX('Master Data'!$R$74:$R$802,MATCH(B193,'Master Data'!$B$74:$B$802,0))</f>
        <v>1</v>
      </c>
      <c r="G193" s="434">
        <f t="shared" si="9"/>
        <v>0.45</v>
      </c>
      <c r="H193" s="435">
        <f t="shared" si="8"/>
        <v>3.8250000000000002</v>
      </c>
      <c r="I193" s="435">
        <f>INDEX('Master Data'!$U$74:$U$802,MATCH(B193,'Master Data'!$B$74:$B$802,0))</f>
        <v>2</v>
      </c>
      <c r="J193" s="435">
        <f>INDEX('Master Data'!$V$74:$V$802,MATCH(B193,'Master Data'!$B$74:$B$802,0))</f>
        <v>3</v>
      </c>
      <c r="K193" s="433" t="str">
        <f>INDEX('Master Data'!$P$74:$P$802,MATCH(B193,'Master Data'!$B$74:$B$802,0))</f>
        <v>Van</v>
      </c>
    </row>
    <row r="194" spans="2:11">
      <c r="B194" s="431" t="s">
        <v>326</v>
      </c>
      <c r="C194" s="431" t="s">
        <v>97</v>
      </c>
      <c r="D194" s="288" t="str">
        <f t="shared" si="7"/>
        <v>Medical</v>
      </c>
      <c r="E194" s="287">
        <f>INDEX('Master Data'!$Q$74:$Q$802,MATCH(B194,'Master Data'!$B$74:$B$802,0))</f>
        <v>9</v>
      </c>
      <c r="F194" s="433">
        <f>INDEX('Master Data'!$R$74:$R$802,MATCH(B194,'Master Data'!$B$74:$B$802,0))</f>
        <v>1</v>
      </c>
      <c r="G194" s="434">
        <f t="shared" si="9"/>
        <v>0.45</v>
      </c>
      <c r="H194" s="435">
        <f t="shared" si="8"/>
        <v>4.05</v>
      </c>
      <c r="I194" s="435">
        <f>INDEX('Master Data'!$U$74:$U$802,MATCH(B194,'Master Data'!$B$74:$B$802,0))</f>
        <v>2</v>
      </c>
      <c r="J194" s="435">
        <f>INDEX('Master Data'!$V$74:$V$802,MATCH(B194,'Master Data'!$B$74:$B$802,0))</f>
        <v>3</v>
      </c>
      <c r="K194" s="433" t="str">
        <f>INDEX('Master Data'!$P$74:$P$802,MATCH(B194,'Master Data'!$B$74:$B$802,0))</f>
        <v>Van</v>
      </c>
    </row>
    <row r="195" spans="2:11">
      <c r="B195" s="431" t="s">
        <v>327</v>
      </c>
      <c r="C195" s="431" t="s">
        <v>97</v>
      </c>
      <c r="D195" s="288" t="str">
        <f t="shared" si="7"/>
        <v>Medical</v>
      </c>
      <c r="E195" s="287">
        <f>INDEX('Master Data'!$Q$74:$Q$802,MATCH(B195,'Master Data'!$B$74:$B$802,0))</f>
        <v>9.5</v>
      </c>
      <c r="F195" s="433">
        <f>INDEX('Master Data'!$R$74:$R$802,MATCH(B195,'Master Data'!$B$74:$B$802,0))</f>
        <v>1</v>
      </c>
      <c r="G195" s="434">
        <f t="shared" si="9"/>
        <v>0.45</v>
      </c>
      <c r="H195" s="435">
        <f t="shared" si="8"/>
        <v>4.2750000000000004</v>
      </c>
      <c r="I195" s="435">
        <f>INDEX('Master Data'!$U$74:$U$802,MATCH(B195,'Master Data'!$B$74:$B$802,0))</f>
        <v>2</v>
      </c>
      <c r="J195" s="435">
        <f>INDEX('Master Data'!$V$74:$V$802,MATCH(B195,'Master Data'!$B$74:$B$802,0))</f>
        <v>3</v>
      </c>
      <c r="K195" s="433" t="str">
        <f>INDEX('Master Data'!$P$74:$P$802,MATCH(B195,'Master Data'!$B$74:$B$802,0))</f>
        <v>Van</v>
      </c>
    </row>
    <row r="196" spans="2:11">
      <c r="B196" s="431" t="s">
        <v>328</v>
      </c>
      <c r="C196" s="431" t="s">
        <v>97</v>
      </c>
      <c r="D196" s="288" t="str">
        <f t="shared" ref="D196:D227" si="10">IF(LEFT(B196,1)="B","Basic",IF(LEFT(B196,1)="I","Intermediate",IF(LEFT(B196,1)="M","Medical",IF(LEFT(B196,1)="S","Specialized Behavioral",""))))</f>
        <v>Medical</v>
      </c>
      <c r="E196" s="287">
        <f>INDEX('Master Data'!$Q$74:$Q$802,MATCH(B196,'Master Data'!$B$74:$B$802,0))</f>
        <v>10</v>
      </c>
      <c r="F196" s="433">
        <f>INDEX('Master Data'!$R$74:$R$802,MATCH(B196,'Master Data'!$B$74:$B$802,0))</f>
        <v>1</v>
      </c>
      <c r="G196" s="434">
        <f t="shared" si="9"/>
        <v>0.45</v>
      </c>
      <c r="H196" s="435">
        <f t="shared" ref="H196:H227" si="11">E196*G196</f>
        <v>4.5</v>
      </c>
      <c r="I196" s="435">
        <f>INDEX('Master Data'!$U$74:$U$802,MATCH(B196,'Master Data'!$B$74:$B$802,0))</f>
        <v>2</v>
      </c>
      <c r="J196" s="435">
        <f>INDEX('Master Data'!$V$74:$V$802,MATCH(B196,'Master Data'!$B$74:$B$802,0))</f>
        <v>3</v>
      </c>
      <c r="K196" s="433" t="str">
        <f>INDEX('Master Data'!$P$74:$P$802,MATCH(B196,'Master Data'!$B$74:$B$802,0))</f>
        <v>Van</v>
      </c>
    </row>
    <row r="197" spans="2:11">
      <c r="B197" s="431" t="s">
        <v>329</v>
      </c>
      <c r="C197" s="431" t="s">
        <v>97</v>
      </c>
      <c r="D197" s="288" t="str">
        <f t="shared" si="10"/>
        <v>Medical</v>
      </c>
      <c r="E197" s="287">
        <f>INDEX('Master Data'!$Q$74:$Q$802,MATCH(B197,'Master Data'!$B$74:$B$802,0))</f>
        <v>10.5</v>
      </c>
      <c r="F197" s="433">
        <f>INDEX('Master Data'!$R$74:$R$802,MATCH(B197,'Master Data'!$B$74:$B$802,0))</f>
        <v>1</v>
      </c>
      <c r="G197" s="434">
        <f t="shared" si="9"/>
        <v>0.45</v>
      </c>
      <c r="H197" s="435">
        <f t="shared" si="11"/>
        <v>4.7250000000000005</v>
      </c>
      <c r="I197" s="435">
        <f>INDEX('Master Data'!$U$74:$U$802,MATCH(B197,'Master Data'!$B$74:$B$802,0))</f>
        <v>2</v>
      </c>
      <c r="J197" s="435">
        <f>INDEX('Master Data'!$V$74:$V$802,MATCH(B197,'Master Data'!$B$74:$B$802,0))</f>
        <v>3</v>
      </c>
      <c r="K197" s="433" t="str">
        <f>INDEX('Master Data'!$P$74:$P$802,MATCH(B197,'Master Data'!$B$74:$B$802,0))</f>
        <v>Van</v>
      </c>
    </row>
    <row r="198" spans="2:11">
      <c r="B198" s="431" t="s">
        <v>330</v>
      </c>
      <c r="C198" s="431" t="s">
        <v>97</v>
      </c>
      <c r="D198" s="288" t="str">
        <f t="shared" si="10"/>
        <v>Medical</v>
      </c>
      <c r="E198" s="287">
        <f>INDEX('Master Data'!$Q$74:$Q$802,MATCH(B198,'Master Data'!$B$74:$B$802,0))</f>
        <v>11</v>
      </c>
      <c r="F198" s="433">
        <f>INDEX('Master Data'!$R$74:$R$802,MATCH(B198,'Master Data'!$B$74:$B$802,0))</f>
        <v>1</v>
      </c>
      <c r="G198" s="434">
        <f t="shared" si="9"/>
        <v>0.45</v>
      </c>
      <c r="H198" s="435">
        <f t="shared" si="11"/>
        <v>4.95</v>
      </c>
      <c r="I198" s="435">
        <f>INDEX('Master Data'!$U$74:$U$802,MATCH(B198,'Master Data'!$B$74:$B$802,0))</f>
        <v>2</v>
      </c>
      <c r="J198" s="435">
        <f>INDEX('Master Data'!$V$74:$V$802,MATCH(B198,'Master Data'!$B$74:$B$802,0))</f>
        <v>3</v>
      </c>
      <c r="K198" s="433" t="str">
        <f>INDEX('Master Data'!$P$74:$P$802,MATCH(B198,'Master Data'!$B$74:$B$802,0))</f>
        <v>Van</v>
      </c>
    </row>
    <row r="199" spans="2:11">
      <c r="B199" s="431" t="s">
        <v>331</v>
      </c>
      <c r="C199" s="431" t="s">
        <v>97</v>
      </c>
      <c r="D199" s="288" t="str">
        <f t="shared" si="10"/>
        <v>Medical</v>
      </c>
      <c r="E199" s="287">
        <f>INDEX('Master Data'!$Q$74:$Q$802,MATCH(B199,'Master Data'!$B$74:$B$802,0))</f>
        <v>11.5</v>
      </c>
      <c r="F199" s="433">
        <f>INDEX('Master Data'!$R$74:$R$802,MATCH(B199,'Master Data'!$B$74:$B$802,0))</f>
        <v>1</v>
      </c>
      <c r="G199" s="434">
        <f t="shared" si="9"/>
        <v>0.45</v>
      </c>
      <c r="H199" s="435">
        <f t="shared" si="11"/>
        <v>5.1749999999999998</v>
      </c>
      <c r="I199" s="435">
        <f>INDEX('Master Data'!$U$74:$U$802,MATCH(B199,'Master Data'!$B$74:$B$802,0))</f>
        <v>2</v>
      </c>
      <c r="J199" s="435">
        <f>INDEX('Master Data'!$V$74:$V$802,MATCH(B199,'Master Data'!$B$74:$B$802,0))</f>
        <v>3</v>
      </c>
      <c r="K199" s="433" t="str">
        <f>INDEX('Master Data'!$P$74:$P$802,MATCH(B199,'Master Data'!$B$74:$B$802,0))</f>
        <v>Van</v>
      </c>
    </row>
    <row r="200" spans="2:11">
      <c r="B200" s="431" t="s">
        <v>332</v>
      </c>
      <c r="C200" s="431" t="s">
        <v>97</v>
      </c>
      <c r="D200" s="288" t="str">
        <f t="shared" si="10"/>
        <v>Medical</v>
      </c>
      <c r="E200" s="287">
        <f>INDEX('Master Data'!$Q$74:$Q$802,MATCH(B200,'Master Data'!$B$74:$B$802,0))</f>
        <v>12</v>
      </c>
      <c r="F200" s="433">
        <f>INDEX('Master Data'!$R$74:$R$802,MATCH(B200,'Master Data'!$B$74:$B$802,0))</f>
        <v>1</v>
      </c>
      <c r="G200" s="434">
        <f t="shared" si="9"/>
        <v>0.45</v>
      </c>
      <c r="H200" s="435">
        <f t="shared" si="11"/>
        <v>5.4</v>
      </c>
      <c r="I200" s="435">
        <f>INDEX('Master Data'!$U$74:$U$802,MATCH(B200,'Master Data'!$B$74:$B$802,0))</f>
        <v>2</v>
      </c>
      <c r="J200" s="435">
        <f>INDEX('Master Data'!$V$74:$V$802,MATCH(B200,'Master Data'!$B$74:$B$802,0))</f>
        <v>3</v>
      </c>
      <c r="K200" s="433" t="str">
        <f>INDEX('Master Data'!$P$74:$P$802,MATCH(B200,'Master Data'!$B$74:$B$802,0))</f>
        <v>Van</v>
      </c>
    </row>
    <row r="201" spans="2:11">
      <c r="B201" s="431" t="s">
        <v>333</v>
      </c>
      <c r="C201" s="431" t="s">
        <v>97</v>
      </c>
      <c r="D201" s="288" t="str">
        <f t="shared" si="10"/>
        <v>Medical</v>
      </c>
      <c r="E201" s="287">
        <f>INDEX('Master Data'!$Q$74:$Q$802,MATCH(B201,'Master Data'!$B$74:$B$802,0))</f>
        <v>12.5</v>
      </c>
      <c r="F201" s="433">
        <f>INDEX('Master Data'!$R$74:$R$802,MATCH(B201,'Master Data'!$B$74:$B$802,0))</f>
        <v>1</v>
      </c>
      <c r="G201" s="434">
        <f t="shared" si="9"/>
        <v>0.45</v>
      </c>
      <c r="H201" s="435">
        <f t="shared" si="11"/>
        <v>5.625</v>
      </c>
      <c r="I201" s="435">
        <f>INDEX('Master Data'!$U$74:$U$802,MATCH(B201,'Master Data'!$B$74:$B$802,0))</f>
        <v>2</v>
      </c>
      <c r="J201" s="435">
        <f>INDEX('Master Data'!$V$74:$V$802,MATCH(B201,'Master Data'!$B$74:$B$802,0))</f>
        <v>3</v>
      </c>
      <c r="K201" s="433" t="str">
        <f>INDEX('Master Data'!$P$74:$P$802,MATCH(B201,'Master Data'!$B$74:$B$802,0))</f>
        <v>Van</v>
      </c>
    </row>
    <row r="202" spans="2:11">
      <c r="B202" s="431" t="s">
        <v>334</v>
      </c>
      <c r="C202" s="431" t="s">
        <v>97</v>
      </c>
      <c r="D202" s="288" t="str">
        <f t="shared" si="10"/>
        <v>Medical</v>
      </c>
      <c r="E202" s="287">
        <f>INDEX('Master Data'!$Q$74:$Q$802,MATCH(B202,'Master Data'!$B$74:$B$802,0))</f>
        <v>13</v>
      </c>
      <c r="F202" s="433">
        <f>INDEX('Master Data'!$R$74:$R$802,MATCH(B202,'Master Data'!$B$74:$B$802,0))</f>
        <v>1</v>
      </c>
      <c r="G202" s="434">
        <f t="shared" si="9"/>
        <v>0.45</v>
      </c>
      <c r="H202" s="435">
        <f t="shared" si="11"/>
        <v>5.8500000000000005</v>
      </c>
      <c r="I202" s="435">
        <f>INDEX('Master Data'!$U$74:$U$802,MATCH(B202,'Master Data'!$B$74:$B$802,0))</f>
        <v>2</v>
      </c>
      <c r="J202" s="435">
        <f>INDEX('Master Data'!$V$74:$V$802,MATCH(B202,'Master Data'!$B$74:$B$802,0))</f>
        <v>3</v>
      </c>
      <c r="K202" s="433" t="str">
        <f>INDEX('Master Data'!$P$74:$P$802,MATCH(B202,'Master Data'!$B$74:$B$802,0))</f>
        <v>Van</v>
      </c>
    </row>
    <row r="203" spans="2:11">
      <c r="B203" s="431" t="s">
        <v>335</v>
      </c>
      <c r="C203" s="431" t="s">
        <v>97</v>
      </c>
      <c r="D203" s="288" t="str">
        <f t="shared" si="10"/>
        <v>Medical</v>
      </c>
      <c r="E203" s="287">
        <f>INDEX('Master Data'!$Q$74:$Q$802,MATCH(B203,'Master Data'!$B$74:$B$802,0))</f>
        <v>13.5</v>
      </c>
      <c r="F203" s="433">
        <f>INDEX('Master Data'!$R$74:$R$802,MATCH(B203,'Master Data'!$B$74:$B$802,0))</f>
        <v>1</v>
      </c>
      <c r="G203" s="434">
        <f t="shared" si="9"/>
        <v>0.45</v>
      </c>
      <c r="H203" s="435">
        <f t="shared" si="11"/>
        <v>6.0750000000000002</v>
      </c>
      <c r="I203" s="435">
        <f>INDEX('Master Data'!$U$74:$U$802,MATCH(B203,'Master Data'!$B$74:$B$802,0))</f>
        <v>2</v>
      </c>
      <c r="J203" s="435">
        <f>INDEX('Master Data'!$V$74:$V$802,MATCH(B203,'Master Data'!$B$74:$B$802,0))</f>
        <v>3</v>
      </c>
      <c r="K203" s="433" t="str">
        <f>INDEX('Master Data'!$P$74:$P$802,MATCH(B203,'Master Data'!$B$74:$B$802,0))</f>
        <v>Van</v>
      </c>
    </row>
    <row r="204" spans="2:11">
      <c r="B204" s="431" t="s">
        <v>336</v>
      </c>
      <c r="C204" s="431" t="s">
        <v>97</v>
      </c>
      <c r="D204" s="288" t="str">
        <f t="shared" si="10"/>
        <v>Medical</v>
      </c>
      <c r="E204" s="287">
        <f>INDEX('Master Data'!$Q$74:$Q$802,MATCH(B204,'Master Data'!$B$74:$B$802,0))</f>
        <v>14</v>
      </c>
      <c r="F204" s="433">
        <f>INDEX('Master Data'!$R$74:$R$802,MATCH(B204,'Master Data'!$B$74:$B$802,0))</f>
        <v>1</v>
      </c>
      <c r="G204" s="434">
        <f t="shared" si="9"/>
        <v>0.45</v>
      </c>
      <c r="H204" s="435">
        <f t="shared" si="11"/>
        <v>6.3</v>
      </c>
      <c r="I204" s="435">
        <f>INDEX('Master Data'!$U$74:$U$802,MATCH(B204,'Master Data'!$B$74:$B$802,0))</f>
        <v>2</v>
      </c>
      <c r="J204" s="435">
        <f>INDEX('Master Data'!$V$74:$V$802,MATCH(B204,'Master Data'!$B$74:$B$802,0))</f>
        <v>3</v>
      </c>
      <c r="K204" s="433" t="str">
        <f>INDEX('Master Data'!$P$74:$P$802,MATCH(B204,'Master Data'!$B$74:$B$802,0))</f>
        <v>Van</v>
      </c>
    </row>
    <row r="205" spans="2:11">
      <c r="B205" s="431" t="s">
        <v>337</v>
      </c>
      <c r="C205" s="431" t="s">
        <v>97</v>
      </c>
      <c r="D205" s="288" t="str">
        <f t="shared" si="10"/>
        <v>Medical</v>
      </c>
      <c r="E205" s="287">
        <f>INDEX('Master Data'!$Q$74:$Q$802,MATCH(B205,'Master Data'!$B$74:$B$802,0))</f>
        <v>14.5</v>
      </c>
      <c r="F205" s="433">
        <f>INDEX('Master Data'!$R$74:$R$802,MATCH(B205,'Master Data'!$B$74:$B$802,0))</f>
        <v>1</v>
      </c>
      <c r="G205" s="434">
        <f t="shared" si="9"/>
        <v>0.45</v>
      </c>
      <c r="H205" s="435">
        <f t="shared" si="11"/>
        <v>6.5250000000000004</v>
      </c>
      <c r="I205" s="435">
        <f>INDEX('Master Data'!$U$74:$U$802,MATCH(B205,'Master Data'!$B$74:$B$802,0))</f>
        <v>2</v>
      </c>
      <c r="J205" s="435">
        <f>INDEX('Master Data'!$V$74:$V$802,MATCH(B205,'Master Data'!$B$74:$B$802,0))</f>
        <v>3</v>
      </c>
      <c r="K205" s="433" t="str">
        <f>INDEX('Master Data'!$P$74:$P$802,MATCH(B205,'Master Data'!$B$74:$B$802,0))</f>
        <v>Van</v>
      </c>
    </row>
    <row r="206" spans="2:11">
      <c r="B206" s="431" t="s">
        <v>338</v>
      </c>
      <c r="C206" s="431" t="s">
        <v>97</v>
      </c>
      <c r="D206" s="288" t="str">
        <f t="shared" si="10"/>
        <v>Medical</v>
      </c>
      <c r="E206" s="287">
        <f>INDEX('Master Data'!$Q$74:$Q$802,MATCH(B206,'Master Data'!$B$74:$B$802,0))</f>
        <v>15</v>
      </c>
      <c r="F206" s="433">
        <f>INDEX('Master Data'!$R$74:$R$802,MATCH(B206,'Master Data'!$B$74:$B$802,0))</f>
        <v>1</v>
      </c>
      <c r="G206" s="434">
        <f t="shared" si="9"/>
        <v>0.45</v>
      </c>
      <c r="H206" s="435">
        <f t="shared" si="11"/>
        <v>6.75</v>
      </c>
      <c r="I206" s="435">
        <f>INDEX('Master Data'!$U$74:$U$802,MATCH(B206,'Master Data'!$B$74:$B$802,0))</f>
        <v>2</v>
      </c>
      <c r="J206" s="435">
        <f>INDEX('Master Data'!$V$74:$V$802,MATCH(B206,'Master Data'!$B$74:$B$802,0))</f>
        <v>3</v>
      </c>
      <c r="K206" s="433" t="str">
        <f>INDEX('Master Data'!$P$74:$P$802,MATCH(B206,'Master Data'!$B$74:$B$802,0))</f>
        <v>Van</v>
      </c>
    </row>
    <row r="207" spans="2:11">
      <c r="B207" s="431" t="s">
        <v>339</v>
      </c>
      <c r="C207" s="431" t="s">
        <v>97</v>
      </c>
      <c r="D207" s="288" t="str">
        <f t="shared" si="10"/>
        <v>Medical</v>
      </c>
      <c r="E207" s="287">
        <f>INDEX('Master Data'!$Q$74:$Q$802,MATCH(B207,'Master Data'!$B$74:$B$802,0))</f>
        <v>15.5</v>
      </c>
      <c r="F207" s="433">
        <f>INDEX('Master Data'!$R$74:$R$802,MATCH(B207,'Master Data'!$B$74:$B$802,0))</f>
        <v>1</v>
      </c>
      <c r="G207" s="434">
        <f t="shared" si="9"/>
        <v>0.45</v>
      </c>
      <c r="H207" s="435">
        <f t="shared" si="11"/>
        <v>6.9750000000000005</v>
      </c>
      <c r="I207" s="435">
        <f>INDEX('Master Data'!$U$74:$U$802,MATCH(B207,'Master Data'!$B$74:$B$802,0))</f>
        <v>2</v>
      </c>
      <c r="J207" s="435">
        <f>INDEX('Master Data'!$V$74:$V$802,MATCH(B207,'Master Data'!$B$74:$B$802,0))</f>
        <v>3</v>
      </c>
      <c r="K207" s="433" t="str">
        <f>INDEX('Master Data'!$P$74:$P$802,MATCH(B207,'Master Data'!$B$74:$B$802,0))</f>
        <v>Van</v>
      </c>
    </row>
    <row r="208" spans="2:11">
      <c r="B208" s="432" t="s">
        <v>429</v>
      </c>
      <c r="C208" s="432" t="s">
        <v>97</v>
      </c>
      <c r="D208" s="288" t="str">
        <f t="shared" si="10"/>
        <v>Specialized Behavioral</v>
      </c>
      <c r="E208" s="287">
        <f>INDEX('Master Data'!$Q$74:$Q$802,MATCH(B208,'Master Data'!$B$74:$B$802,0))</f>
        <v>6</v>
      </c>
      <c r="F208" s="433">
        <f>INDEX('Master Data'!$R$74:$R$802,MATCH(B208,'Master Data'!$B$74:$B$802,0))</f>
        <v>1</v>
      </c>
      <c r="G208" s="434">
        <f t="shared" si="9"/>
        <v>0</v>
      </c>
      <c r="H208" s="435">
        <f t="shared" si="11"/>
        <v>0</v>
      </c>
      <c r="I208" s="435">
        <f>INDEX('Master Data'!$U$74:$U$802,MATCH(B208,'Master Data'!$B$74:$B$802,0))</f>
        <v>4</v>
      </c>
      <c r="J208" s="435">
        <f>INDEX('Master Data'!$V$74:$V$802,MATCH(B208,'Master Data'!$B$74:$B$802,0))</f>
        <v>0</v>
      </c>
      <c r="K208" s="433" t="str">
        <f>INDEX('Master Data'!$P$74:$P$802,MATCH(B208,'Master Data'!$B$74:$B$802,0))</f>
        <v>Van</v>
      </c>
    </row>
    <row r="209" spans="2:11">
      <c r="B209" s="432" t="s">
        <v>442</v>
      </c>
      <c r="C209" s="432" t="s">
        <v>97</v>
      </c>
      <c r="D209" s="288" t="str">
        <f t="shared" si="10"/>
        <v>Specialized Behavioral</v>
      </c>
      <c r="E209" s="287">
        <f>INDEX('Master Data'!$Q$74:$Q$802,MATCH(B209,'Master Data'!$B$74:$B$802,0))</f>
        <v>6.5</v>
      </c>
      <c r="F209" s="433">
        <f>INDEX('Master Data'!$R$74:$R$802,MATCH(B209,'Master Data'!$B$74:$B$802,0))</f>
        <v>1</v>
      </c>
      <c r="G209" s="434">
        <f t="shared" si="9"/>
        <v>0</v>
      </c>
      <c r="H209" s="435">
        <f t="shared" si="11"/>
        <v>0</v>
      </c>
      <c r="I209" s="435">
        <f>INDEX('Master Data'!$U$74:$U$802,MATCH(B209,'Master Data'!$B$74:$B$802,0))</f>
        <v>4</v>
      </c>
      <c r="J209" s="435">
        <f>INDEX('Master Data'!$V$74:$V$802,MATCH(B209,'Master Data'!$B$74:$B$802,0))</f>
        <v>0</v>
      </c>
      <c r="K209" s="433" t="str">
        <f>INDEX('Master Data'!$P$74:$P$802,MATCH(B209,'Master Data'!$B$74:$B$802,0))</f>
        <v>Van</v>
      </c>
    </row>
    <row r="210" spans="2:11">
      <c r="B210" s="432" t="s">
        <v>443</v>
      </c>
      <c r="C210" s="432" t="s">
        <v>97</v>
      </c>
      <c r="D210" s="288" t="str">
        <f t="shared" si="10"/>
        <v>Specialized Behavioral</v>
      </c>
      <c r="E210" s="287">
        <f>INDEX('Master Data'!$Q$74:$Q$802,MATCH(B210,'Master Data'!$B$74:$B$802,0))</f>
        <v>7</v>
      </c>
      <c r="F210" s="433">
        <f>INDEX('Master Data'!$R$74:$R$802,MATCH(B210,'Master Data'!$B$74:$B$802,0))</f>
        <v>1</v>
      </c>
      <c r="G210" s="434">
        <f t="shared" si="9"/>
        <v>0</v>
      </c>
      <c r="H210" s="435">
        <f t="shared" si="11"/>
        <v>0</v>
      </c>
      <c r="I210" s="435">
        <f>INDEX('Master Data'!$U$74:$U$802,MATCH(B210,'Master Data'!$B$74:$B$802,0))</f>
        <v>4</v>
      </c>
      <c r="J210" s="435">
        <f>INDEX('Master Data'!$V$74:$V$802,MATCH(B210,'Master Data'!$B$74:$B$802,0))</f>
        <v>0</v>
      </c>
      <c r="K210" s="433" t="str">
        <f>INDEX('Master Data'!$P$74:$P$802,MATCH(B210,'Master Data'!$B$74:$B$802,0))</f>
        <v>Van</v>
      </c>
    </row>
    <row r="211" spans="2:11">
      <c r="B211" s="432" t="s">
        <v>444</v>
      </c>
      <c r="C211" s="432" t="s">
        <v>97</v>
      </c>
      <c r="D211" s="288" t="str">
        <f t="shared" si="10"/>
        <v>Specialized Behavioral</v>
      </c>
      <c r="E211" s="287">
        <f>INDEX('Master Data'!$Q$74:$Q$802,MATCH(B211,'Master Data'!$B$74:$B$802,0))</f>
        <v>7.5</v>
      </c>
      <c r="F211" s="433">
        <f>INDEX('Master Data'!$R$74:$R$802,MATCH(B211,'Master Data'!$B$74:$B$802,0))</f>
        <v>1</v>
      </c>
      <c r="G211" s="434">
        <f t="shared" si="9"/>
        <v>0</v>
      </c>
      <c r="H211" s="435">
        <f t="shared" si="11"/>
        <v>0</v>
      </c>
      <c r="I211" s="435">
        <f>INDEX('Master Data'!$U$74:$U$802,MATCH(B211,'Master Data'!$B$74:$B$802,0))</f>
        <v>4</v>
      </c>
      <c r="J211" s="435">
        <f>INDEX('Master Data'!$V$74:$V$802,MATCH(B211,'Master Data'!$B$74:$B$802,0))</f>
        <v>0</v>
      </c>
      <c r="K211" s="433" t="str">
        <f>INDEX('Master Data'!$P$74:$P$802,MATCH(B211,'Master Data'!$B$74:$B$802,0))</f>
        <v>Van</v>
      </c>
    </row>
    <row r="212" spans="2:11">
      <c r="B212" s="432" t="s">
        <v>445</v>
      </c>
      <c r="C212" s="432" t="s">
        <v>97</v>
      </c>
      <c r="D212" s="288" t="str">
        <f t="shared" si="10"/>
        <v>Specialized Behavioral</v>
      </c>
      <c r="E212" s="287">
        <f>INDEX('Master Data'!$Q$74:$Q$802,MATCH(B212,'Master Data'!$B$74:$B$802,0))</f>
        <v>8</v>
      </c>
      <c r="F212" s="433">
        <f>INDEX('Master Data'!$R$74:$R$802,MATCH(B212,'Master Data'!$B$74:$B$802,0))</f>
        <v>1</v>
      </c>
      <c r="G212" s="434">
        <f t="shared" si="9"/>
        <v>0</v>
      </c>
      <c r="H212" s="435">
        <f t="shared" si="11"/>
        <v>0</v>
      </c>
      <c r="I212" s="435">
        <f>INDEX('Master Data'!$U$74:$U$802,MATCH(B212,'Master Data'!$B$74:$B$802,0))</f>
        <v>4</v>
      </c>
      <c r="J212" s="435">
        <f>INDEX('Master Data'!$V$74:$V$802,MATCH(B212,'Master Data'!$B$74:$B$802,0))</f>
        <v>0</v>
      </c>
      <c r="K212" s="433" t="str">
        <f>INDEX('Master Data'!$P$74:$P$802,MATCH(B212,'Master Data'!$B$74:$B$802,0))</f>
        <v>Van</v>
      </c>
    </row>
    <row r="213" spans="2:11">
      <c r="B213" s="432" t="s">
        <v>446</v>
      </c>
      <c r="C213" s="432" t="s">
        <v>97</v>
      </c>
      <c r="D213" s="288" t="str">
        <f t="shared" si="10"/>
        <v>Specialized Behavioral</v>
      </c>
      <c r="E213" s="287">
        <f>INDEX('Master Data'!$Q$74:$Q$802,MATCH(B213,'Master Data'!$B$74:$B$802,0))</f>
        <v>8.5</v>
      </c>
      <c r="F213" s="433">
        <f>INDEX('Master Data'!$R$74:$R$802,MATCH(B213,'Master Data'!$B$74:$B$802,0))</f>
        <v>1</v>
      </c>
      <c r="G213" s="434">
        <f t="shared" si="9"/>
        <v>0</v>
      </c>
      <c r="H213" s="435">
        <f t="shared" si="11"/>
        <v>0</v>
      </c>
      <c r="I213" s="435">
        <f>INDEX('Master Data'!$U$74:$U$802,MATCH(B213,'Master Data'!$B$74:$B$802,0))</f>
        <v>4</v>
      </c>
      <c r="J213" s="435">
        <f>INDEX('Master Data'!$V$74:$V$802,MATCH(B213,'Master Data'!$B$74:$B$802,0))</f>
        <v>0</v>
      </c>
      <c r="K213" s="433" t="str">
        <f>INDEX('Master Data'!$P$74:$P$802,MATCH(B213,'Master Data'!$B$74:$B$802,0))</f>
        <v>Van</v>
      </c>
    </row>
    <row r="214" spans="2:11">
      <c r="B214" s="432" t="s">
        <v>447</v>
      </c>
      <c r="C214" s="432" t="s">
        <v>97</v>
      </c>
      <c r="D214" s="288" t="str">
        <f t="shared" si="10"/>
        <v>Specialized Behavioral</v>
      </c>
      <c r="E214" s="287">
        <f>INDEX('Master Data'!$Q$74:$Q$802,MATCH(B214,'Master Data'!$B$74:$B$802,0))</f>
        <v>9</v>
      </c>
      <c r="F214" s="433">
        <f>INDEX('Master Data'!$R$74:$R$802,MATCH(B214,'Master Data'!$B$74:$B$802,0))</f>
        <v>1</v>
      </c>
      <c r="G214" s="434">
        <f t="shared" si="9"/>
        <v>0</v>
      </c>
      <c r="H214" s="435">
        <f t="shared" si="11"/>
        <v>0</v>
      </c>
      <c r="I214" s="435">
        <f>INDEX('Master Data'!$U$74:$U$802,MATCH(B214,'Master Data'!$B$74:$B$802,0))</f>
        <v>4</v>
      </c>
      <c r="J214" s="435">
        <f>INDEX('Master Data'!$V$74:$V$802,MATCH(B214,'Master Data'!$B$74:$B$802,0))</f>
        <v>0</v>
      </c>
      <c r="K214" s="433" t="str">
        <f>INDEX('Master Data'!$P$74:$P$802,MATCH(B214,'Master Data'!$B$74:$B$802,0))</f>
        <v>Van</v>
      </c>
    </row>
    <row r="215" spans="2:11">
      <c r="B215" s="432" t="s">
        <v>448</v>
      </c>
      <c r="C215" s="432" t="s">
        <v>97</v>
      </c>
      <c r="D215" s="288" t="str">
        <f t="shared" si="10"/>
        <v>Specialized Behavioral</v>
      </c>
      <c r="E215" s="287">
        <f>INDEX('Master Data'!$Q$74:$Q$802,MATCH(B215,'Master Data'!$B$74:$B$802,0))</f>
        <v>9.5</v>
      </c>
      <c r="F215" s="433">
        <f>INDEX('Master Data'!$R$74:$R$802,MATCH(B215,'Master Data'!$B$74:$B$802,0))</f>
        <v>1</v>
      </c>
      <c r="G215" s="434">
        <f t="shared" si="9"/>
        <v>0</v>
      </c>
      <c r="H215" s="435">
        <f t="shared" si="11"/>
        <v>0</v>
      </c>
      <c r="I215" s="435">
        <f>INDEX('Master Data'!$U$74:$U$802,MATCH(B215,'Master Data'!$B$74:$B$802,0))</f>
        <v>4</v>
      </c>
      <c r="J215" s="435">
        <f>INDEX('Master Data'!$V$74:$V$802,MATCH(B215,'Master Data'!$B$74:$B$802,0))</f>
        <v>0</v>
      </c>
      <c r="K215" s="433" t="str">
        <f>INDEX('Master Data'!$P$74:$P$802,MATCH(B215,'Master Data'!$B$74:$B$802,0))</f>
        <v>Van</v>
      </c>
    </row>
    <row r="216" spans="2:11">
      <c r="B216" s="432" t="s">
        <v>466</v>
      </c>
      <c r="C216" s="432" t="s">
        <v>97</v>
      </c>
      <c r="D216" s="288" t="str">
        <f t="shared" si="10"/>
        <v>Specialized Behavioral</v>
      </c>
      <c r="E216" s="287">
        <f>INDEX('Master Data'!$Q$74:$Q$802,MATCH(B216,'Master Data'!$B$74:$B$802,0))</f>
        <v>10</v>
      </c>
      <c r="F216" s="433">
        <f>INDEX('Master Data'!$R$74:$R$802,MATCH(B216,'Master Data'!$B$74:$B$802,0))</f>
        <v>1</v>
      </c>
      <c r="G216" s="434">
        <f t="shared" si="9"/>
        <v>0</v>
      </c>
      <c r="H216" s="435">
        <f t="shared" si="11"/>
        <v>0</v>
      </c>
      <c r="I216" s="435">
        <f>INDEX('Master Data'!$U$74:$U$802,MATCH(B216,'Master Data'!$B$74:$B$802,0))</f>
        <v>4</v>
      </c>
      <c r="J216" s="435">
        <f>INDEX('Master Data'!$V$74:$V$802,MATCH(B216,'Master Data'!$B$74:$B$802,0))</f>
        <v>0</v>
      </c>
      <c r="K216" s="433" t="str">
        <f>INDEX('Master Data'!$P$74:$P$802,MATCH(B216,'Master Data'!$B$74:$B$802,0))</f>
        <v>Van</v>
      </c>
    </row>
    <row r="217" spans="2:11">
      <c r="B217" s="432" t="s">
        <v>467</v>
      </c>
      <c r="C217" s="432" t="s">
        <v>97</v>
      </c>
      <c r="D217" s="288" t="str">
        <f t="shared" si="10"/>
        <v>Specialized Behavioral</v>
      </c>
      <c r="E217" s="287">
        <f>INDEX('Master Data'!$Q$74:$Q$802,MATCH(B217,'Master Data'!$B$74:$B$802,0))</f>
        <v>10.5</v>
      </c>
      <c r="F217" s="433">
        <f>INDEX('Master Data'!$R$74:$R$802,MATCH(B217,'Master Data'!$B$74:$B$802,0))</f>
        <v>1</v>
      </c>
      <c r="G217" s="434">
        <f t="shared" si="9"/>
        <v>0</v>
      </c>
      <c r="H217" s="435">
        <f t="shared" si="11"/>
        <v>0</v>
      </c>
      <c r="I217" s="435">
        <f>INDEX('Master Data'!$U$74:$U$802,MATCH(B217,'Master Data'!$B$74:$B$802,0))</f>
        <v>4</v>
      </c>
      <c r="J217" s="435">
        <f>INDEX('Master Data'!$V$74:$V$802,MATCH(B217,'Master Data'!$B$74:$B$802,0))</f>
        <v>0</v>
      </c>
      <c r="K217" s="433" t="str">
        <f>INDEX('Master Data'!$P$74:$P$802,MATCH(B217,'Master Data'!$B$74:$B$802,0))</f>
        <v>Van</v>
      </c>
    </row>
    <row r="218" spans="2:11">
      <c r="B218" s="432" t="s">
        <v>468</v>
      </c>
      <c r="C218" s="432" t="s">
        <v>97</v>
      </c>
      <c r="D218" s="288" t="str">
        <f t="shared" si="10"/>
        <v>Specialized Behavioral</v>
      </c>
      <c r="E218" s="287">
        <f>INDEX('Master Data'!$Q$74:$Q$802,MATCH(B218,'Master Data'!$B$74:$B$802,0))</f>
        <v>11</v>
      </c>
      <c r="F218" s="433">
        <f>INDEX('Master Data'!$R$74:$R$802,MATCH(B218,'Master Data'!$B$74:$B$802,0))</f>
        <v>1</v>
      </c>
      <c r="G218" s="434">
        <f t="shared" si="9"/>
        <v>0</v>
      </c>
      <c r="H218" s="435">
        <f t="shared" si="11"/>
        <v>0</v>
      </c>
      <c r="I218" s="435">
        <f>INDEX('Master Data'!$U$74:$U$802,MATCH(B218,'Master Data'!$B$74:$B$802,0))</f>
        <v>4</v>
      </c>
      <c r="J218" s="435">
        <f>INDEX('Master Data'!$V$74:$V$802,MATCH(B218,'Master Data'!$B$74:$B$802,0))</f>
        <v>0</v>
      </c>
      <c r="K218" s="433" t="str">
        <f>INDEX('Master Data'!$P$74:$P$802,MATCH(B218,'Master Data'!$B$74:$B$802,0))</f>
        <v>Van</v>
      </c>
    </row>
    <row r="219" spans="2:11">
      <c r="B219" s="432" t="s">
        <v>469</v>
      </c>
      <c r="C219" s="432" t="s">
        <v>97</v>
      </c>
      <c r="D219" s="288" t="str">
        <f t="shared" si="10"/>
        <v>Specialized Behavioral</v>
      </c>
      <c r="E219" s="287">
        <f>INDEX('Master Data'!$Q$74:$Q$802,MATCH(B219,'Master Data'!$B$74:$B$802,0))</f>
        <v>11.5</v>
      </c>
      <c r="F219" s="433">
        <f>INDEX('Master Data'!$R$74:$R$802,MATCH(B219,'Master Data'!$B$74:$B$802,0))</f>
        <v>1</v>
      </c>
      <c r="G219" s="434">
        <f t="shared" si="9"/>
        <v>0</v>
      </c>
      <c r="H219" s="435">
        <f t="shared" si="11"/>
        <v>0</v>
      </c>
      <c r="I219" s="435">
        <f>INDEX('Master Data'!$U$74:$U$802,MATCH(B219,'Master Data'!$B$74:$B$802,0))</f>
        <v>4</v>
      </c>
      <c r="J219" s="435">
        <f>INDEX('Master Data'!$V$74:$V$802,MATCH(B219,'Master Data'!$B$74:$B$802,0))</f>
        <v>0</v>
      </c>
      <c r="K219" s="433" t="str">
        <f>INDEX('Master Data'!$P$74:$P$802,MATCH(B219,'Master Data'!$B$74:$B$802,0))</f>
        <v>Van</v>
      </c>
    </row>
    <row r="220" spans="2:11">
      <c r="B220" s="432" t="s">
        <v>470</v>
      </c>
      <c r="C220" s="432" t="s">
        <v>97</v>
      </c>
      <c r="D220" s="288" t="str">
        <f t="shared" si="10"/>
        <v>Specialized Behavioral</v>
      </c>
      <c r="E220" s="287">
        <f>INDEX('Master Data'!$Q$74:$Q$802,MATCH(B220,'Master Data'!$B$74:$B$802,0))</f>
        <v>12</v>
      </c>
      <c r="F220" s="433">
        <f>INDEX('Master Data'!$R$74:$R$802,MATCH(B220,'Master Data'!$B$74:$B$802,0))</f>
        <v>1</v>
      </c>
      <c r="G220" s="434">
        <f t="shared" si="9"/>
        <v>0</v>
      </c>
      <c r="H220" s="435">
        <f t="shared" si="11"/>
        <v>0</v>
      </c>
      <c r="I220" s="435">
        <f>INDEX('Master Data'!$U$74:$U$802,MATCH(B220,'Master Data'!$B$74:$B$802,0))</f>
        <v>4</v>
      </c>
      <c r="J220" s="435">
        <f>INDEX('Master Data'!$V$74:$V$802,MATCH(B220,'Master Data'!$B$74:$B$802,0))</f>
        <v>0</v>
      </c>
      <c r="K220" s="433" t="str">
        <f>INDEX('Master Data'!$P$74:$P$802,MATCH(B220,'Master Data'!$B$74:$B$802,0))</f>
        <v>Van</v>
      </c>
    </row>
    <row r="221" spans="2:11">
      <c r="B221" s="432" t="s">
        <v>477</v>
      </c>
      <c r="C221" s="432" t="s">
        <v>97</v>
      </c>
      <c r="D221" s="288" t="str">
        <f t="shared" si="10"/>
        <v>Specialized Behavioral</v>
      </c>
      <c r="E221" s="287">
        <f>INDEX('Master Data'!$Q$74:$Q$802,MATCH(B221,'Master Data'!$B$74:$B$802,0))</f>
        <v>12.5</v>
      </c>
      <c r="F221" s="433">
        <f>INDEX('Master Data'!$R$74:$R$802,MATCH(B221,'Master Data'!$B$74:$B$802,0))</f>
        <v>1</v>
      </c>
      <c r="G221" s="434">
        <f t="shared" si="9"/>
        <v>0</v>
      </c>
      <c r="H221" s="435">
        <f t="shared" si="11"/>
        <v>0</v>
      </c>
      <c r="I221" s="435">
        <f>INDEX('Master Data'!$U$74:$U$802,MATCH(B221,'Master Data'!$B$74:$B$802,0))</f>
        <v>4</v>
      </c>
      <c r="J221" s="435">
        <f>INDEX('Master Data'!$V$74:$V$802,MATCH(B221,'Master Data'!$B$74:$B$802,0))</f>
        <v>0</v>
      </c>
      <c r="K221" s="433" t="str">
        <f>INDEX('Master Data'!$P$74:$P$802,MATCH(B221,'Master Data'!$B$74:$B$802,0))</f>
        <v>Van</v>
      </c>
    </row>
    <row r="222" spans="2:11">
      <c r="B222" s="432" t="s">
        <v>471</v>
      </c>
      <c r="C222" s="432" t="s">
        <v>97</v>
      </c>
      <c r="D222" s="288" t="str">
        <f t="shared" si="10"/>
        <v>Specialized Behavioral</v>
      </c>
      <c r="E222" s="287">
        <f>INDEX('Master Data'!$Q$74:$Q$802,MATCH(B222,'Master Data'!$B$74:$B$802,0))</f>
        <v>13</v>
      </c>
      <c r="F222" s="433">
        <f>INDEX('Master Data'!$R$74:$R$802,MATCH(B222,'Master Data'!$B$74:$B$802,0))</f>
        <v>1</v>
      </c>
      <c r="G222" s="434">
        <f t="shared" si="9"/>
        <v>0</v>
      </c>
      <c r="H222" s="435">
        <f t="shared" si="11"/>
        <v>0</v>
      </c>
      <c r="I222" s="435">
        <f>INDEX('Master Data'!$U$74:$U$802,MATCH(B222,'Master Data'!$B$74:$B$802,0))</f>
        <v>4</v>
      </c>
      <c r="J222" s="435">
        <f>INDEX('Master Data'!$V$74:$V$802,MATCH(B222,'Master Data'!$B$74:$B$802,0))</f>
        <v>0</v>
      </c>
      <c r="K222" s="433" t="str">
        <f>INDEX('Master Data'!$P$74:$P$802,MATCH(B222,'Master Data'!$B$74:$B$802,0))</f>
        <v>Van</v>
      </c>
    </row>
    <row r="223" spans="2:11">
      <c r="B223" s="432" t="s">
        <v>472</v>
      </c>
      <c r="C223" s="432" t="s">
        <v>97</v>
      </c>
      <c r="D223" s="288" t="str">
        <f t="shared" si="10"/>
        <v>Specialized Behavioral</v>
      </c>
      <c r="E223" s="287">
        <f>INDEX('Master Data'!$Q$74:$Q$802,MATCH(B223,'Master Data'!$B$74:$B$802,0))</f>
        <v>13.5</v>
      </c>
      <c r="F223" s="433">
        <f>INDEX('Master Data'!$R$74:$R$802,MATCH(B223,'Master Data'!$B$74:$B$802,0))</f>
        <v>1</v>
      </c>
      <c r="G223" s="434">
        <f t="shared" si="9"/>
        <v>0</v>
      </c>
      <c r="H223" s="435">
        <f t="shared" si="11"/>
        <v>0</v>
      </c>
      <c r="I223" s="435">
        <f>INDEX('Master Data'!$U$74:$U$802,MATCH(B223,'Master Data'!$B$74:$B$802,0))</f>
        <v>4</v>
      </c>
      <c r="J223" s="435">
        <f>INDEX('Master Data'!$V$74:$V$802,MATCH(B223,'Master Data'!$B$74:$B$802,0))</f>
        <v>0</v>
      </c>
      <c r="K223" s="433" t="str">
        <f>INDEX('Master Data'!$P$74:$P$802,MATCH(B223,'Master Data'!$B$74:$B$802,0))</f>
        <v>Van</v>
      </c>
    </row>
    <row r="224" spans="2:11">
      <c r="B224" s="432" t="s">
        <v>473</v>
      </c>
      <c r="C224" s="432" t="s">
        <v>97</v>
      </c>
      <c r="D224" s="288" t="str">
        <f t="shared" si="10"/>
        <v>Specialized Behavioral</v>
      </c>
      <c r="E224" s="287">
        <f>INDEX('Master Data'!$Q$74:$Q$802,MATCH(B224,'Master Data'!$B$74:$B$802,0))</f>
        <v>14</v>
      </c>
      <c r="F224" s="433">
        <f>INDEX('Master Data'!$R$74:$R$802,MATCH(B224,'Master Data'!$B$74:$B$802,0))</f>
        <v>1</v>
      </c>
      <c r="G224" s="434">
        <f t="shared" si="9"/>
        <v>0</v>
      </c>
      <c r="H224" s="435">
        <f t="shared" si="11"/>
        <v>0</v>
      </c>
      <c r="I224" s="435">
        <f>INDEX('Master Data'!$U$74:$U$802,MATCH(B224,'Master Data'!$B$74:$B$802,0))</f>
        <v>4</v>
      </c>
      <c r="J224" s="435">
        <f>INDEX('Master Data'!$V$74:$V$802,MATCH(B224,'Master Data'!$B$74:$B$802,0))</f>
        <v>0</v>
      </c>
      <c r="K224" s="433" t="str">
        <f>INDEX('Master Data'!$P$74:$P$802,MATCH(B224,'Master Data'!$B$74:$B$802,0))</f>
        <v>Van</v>
      </c>
    </row>
    <row r="225" spans="2:11">
      <c r="B225" s="432" t="s">
        <v>474</v>
      </c>
      <c r="C225" s="432" t="s">
        <v>97</v>
      </c>
      <c r="D225" s="288" t="str">
        <f t="shared" si="10"/>
        <v>Specialized Behavioral</v>
      </c>
      <c r="E225" s="287">
        <f>INDEX('Master Data'!$Q$74:$Q$802,MATCH(B225,'Master Data'!$B$74:$B$802,0))</f>
        <v>14.5</v>
      </c>
      <c r="F225" s="433">
        <f>INDEX('Master Data'!$R$74:$R$802,MATCH(B225,'Master Data'!$B$74:$B$802,0))</f>
        <v>1</v>
      </c>
      <c r="G225" s="434">
        <f t="shared" si="9"/>
        <v>0</v>
      </c>
      <c r="H225" s="435">
        <f t="shared" si="11"/>
        <v>0</v>
      </c>
      <c r="I225" s="435">
        <f>INDEX('Master Data'!$U$74:$U$802,MATCH(B225,'Master Data'!$B$74:$B$802,0))</f>
        <v>4</v>
      </c>
      <c r="J225" s="435">
        <f>INDEX('Master Data'!$V$74:$V$802,MATCH(B225,'Master Data'!$B$74:$B$802,0))</f>
        <v>0</v>
      </c>
      <c r="K225" s="433" t="str">
        <f>INDEX('Master Data'!$P$74:$P$802,MATCH(B225,'Master Data'!$B$74:$B$802,0))</f>
        <v>Van</v>
      </c>
    </row>
    <row r="226" spans="2:11">
      <c r="B226" s="432" t="s">
        <v>475</v>
      </c>
      <c r="C226" s="432" t="s">
        <v>97</v>
      </c>
      <c r="D226" s="288" t="str">
        <f t="shared" si="10"/>
        <v>Specialized Behavioral</v>
      </c>
      <c r="E226" s="287">
        <f>INDEX('Master Data'!$Q$74:$Q$802,MATCH(B226,'Master Data'!$B$74:$B$802,0))</f>
        <v>15</v>
      </c>
      <c r="F226" s="433">
        <f>INDEX('Master Data'!$R$74:$R$802,MATCH(B226,'Master Data'!$B$74:$B$802,0))</f>
        <v>1</v>
      </c>
      <c r="G226" s="434">
        <f t="shared" si="9"/>
        <v>0</v>
      </c>
      <c r="H226" s="435">
        <f t="shared" si="11"/>
        <v>0</v>
      </c>
      <c r="I226" s="435">
        <f>INDEX('Master Data'!$U$74:$U$802,MATCH(B226,'Master Data'!$B$74:$B$802,0))</f>
        <v>4</v>
      </c>
      <c r="J226" s="435">
        <f>INDEX('Master Data'!$V$74:$V$802,MATCH(B226,'Master Data'!$B$74:$B$802,0))</f>
        <v>0</v>
      </c>
      <c r="K226" s="433" t="str">
        <f>INDEX('Master Data'!$P$74:$P$802,MATCH(B226,'Master Data'!$B$74:$B$802,0))</f>
        <v>Van</v>
      </c>
    </row>
    <row r="227" spans="2:11">
      <c r="B227" s="432" t="s">
        <v>476</v>
      </c>
      <c r="C227" s="432" t="s">
        <v>97</v>
      </c>
      <c r="D227" s="288" t="str">
        <f t="shared" si="10"/>
        <v>Specialized Behavioral</v>
      </c>
      <c r="E227" s="287">
        <f>INDEX('Master Data'!$Q$74:$Q$802,MATCH(B227,'Master Data'!$B$74:$B$802,0))</f>
        <v>15.5</v>
      </c>
      <c r="F227" s="433">
        <f>INDEX('Master Data'!$R$74:$R$802,MATCH(B227,'Master Data'!$B$74:$B$802,0))</f>
        <v>1</v>
      </c>
      <c r="G227" s="434">
        <f t="shared" si="9"/>
        <v>0</v>
      </c>
      <c r="H227" s="435">
        <f t="shared" si="11"/>
        <v>0</v>
      </c>
      <c r="I227" s="435">
        <f>INDEX('Master Data'!$U$74:$U$802,MATCH(B227,'Master Data'!$B$74:$B$802,0))</f>
        <v>4</v>
      </c>
      <c r="J227" s="435">
        <f>INDEX('Master Data'!$V$74:$V$802,MATCH(B227,'Master Data'!$B$74:$B$802,0))</f>
        <v>0</v>
      </c>
      <c r="K227" s="433" t="str">
        <f>INDEX('Master Data'!$P$74:$P$802,MATCH(B227,'Master Data'!$B$74:$B$802,0))</f>
        <v>Van</v>
      </c>
    </row>
  </sheetData>
  <mergeCells count="1">
    <mergeCell ref="B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447B-B019-4D8C-B2A3-F8F070CBED1D}">
  <sheetPr>
    <tabColor rgb="FFFFC000"/>
  </sheetPr>
  <dimension ref="A1:AS226"/>
  <sheetViews>
    <sheetView zoomScale="80" zoomScaleNormal="80" workbookViewId="0">
      <pane xSplit="4" ySplit="1" topLeftCell="AA158" activePane="bottomRight" state="frozen"/>
      <selection activeCell="B54" sqref="B54"/>
      <selection pane="topRight" activeCell="B54" sqref="B54"/>
      <selection pane="bottomLeft" activeCell="B54" sqref="B54"/>
      <selection pane="bottomRight" activeCell="F2" sqref="F2"/>
    </sheetView>
  </sheetViews>
  <sheetFormatPr defaultColWidth="8.5703125" defaultRowHeight="15"/>
  <cols>
    <col min="1" max="1" width="17.5703125" style="77" bestFit="1" customWidth="1"/>
    <col min="2" max="3" width="16.85546875" style="77" bestFit="1" customWidth="1"/>
    <col min="4" max="4" width="13.5703125" style="77" bestFit="1" customWidth="1"/>
    <col min="5" max="5" width="14" style="150" bestFit="1" customWidth="1"/>
    <col min="6" max="6" width="18.5703125" style="77" bestFit="1" customWidth="1"/>
    <col min="7" max="7" width="18.85546875" style="150" bestFit="1" customWidth="1"/>
    <col min="8" max="8" width="16.140625" style="77" bestFit="1" customWidth="1"/>
    <col min="9" max="9" width="12.5703125" style="150" bestFit="1" customWidth="1"/>
    <col min="10" max="10" width="17" style="77" bestFit="1" customWidth="1"/>
    <col min="11" max="11" width="15.140625" style="150" bestFit="1" customWidth="1"/>
    <col min="12" max="12" width="18.42578125" style="77" bestFit="1" customWidth="1"/>
    <col min="13" max="13" width="13.140625" style="150" bestFit="1" customWidth="1"/>
    <col min="14" max="14" width="13.42578125" style="77" bestFit="1" customWidth="1"/>
    <col min="15" max="15" width="13.140625" style="150" bestFit="1" customWidth="1"/>
    <col min="16" max="16" width="13.140625" style="77" bestFit="1" customWidth="1"/>
    <col min="17" max="17" width="13.42578125" style="150" bestFit="1" customWidth="1"/>
    <col min="18" max="18" width="13.42578125" style="77" bestFit="1" customWidth="1"/>
    <col min="19" max="22" width="13.42578125" style="77" customWidth="1"/>
    <col min="23" max="23" width="17.85546875" style="77" bestFit="1" customWidth="1"/>
    <col min="24" max="24" width="13.42578125" style="77" bestFit="1" customWidth="1"/>
    <col min="25" max="25" width="19.42578125" style="77" bestFit="1" customWidth="1"/>
    <col min="26" max="26" width="8.42578125" style="150" bestFit="1" customWidth="1"/>
    <col min="27" max="27" width="12.85546875" style="77" bestFit="1" customWidth="1"/>
    <col min="28" max="28" width="13.5703125" style="150" bestFit="1" customWidth="1"/>
    <col min="29" max="29" width="14.140625" style="77" bestFit="1" customWidth="1"/>
    <col min="30" max="30" width="16.85546875" style="77" bestFit="1" customWidth="1"/>
    <col min="31" max="31" width="20.42578125" style="77" bestFit="1" customWidth="1"/>
    <col min="32" max="32" width="13.140625" style="77" bestFit="1" customWidth="1"/>
    <col min="33" max="33" width="14.5703125" style="77" bestFit="1" customWidth="1"/>
    <col min="34" max="34" width="19.5703125" style="77" bestFit="1" customWidth="1"/>
    <col min="35" max="35" width="15.5703125" style="77" bestFit="1" customWidth="1"/>
    <col min="36" max="36" width="14.140625" style="77" bestFit="1" customWidth="1"/>
    <col min="37" max="37" width="12.42578125" style="77" bestFit="1" customWidth="1"/>
    <col min="38" max="38" width="21" style="77" bestFit="1" customWidth="1"/>
    <col min="39" max="39" width="12.42578125" style="77" bestFit="1" customWidth="1"/>
    <col min="40" max="45" width="9.42578125" style="77" customWidth="1"/>
    <col min="46" max="16384" width="8.5703125" style="77"/>
  </cols>
  <sheetData>
    <row r="1" spans="1:45" s="146" customFormat="1" ht="30.75" thickBot="1">
      <c r="A1" s="138" t="s">
        <v>142</v>
      </c>
      <c r="B1" s="139" t="s">
        <v>353</v>
      </c>
      <c r="C1" s="139" t="s">
        <v>345</v>
      </c>
      <c r="D1" s="141" t="s">
        <v>98</v>
      </c>
      <c r="E1" s="142" t="s">
        <v>48</v>
      </c>
      <c r="F1" s="436" t="s">
        <v>342</v>
      </c>
      <c r="G1" s="142" t="s">
        <v>0</v>
      </c>
      <c r="H1" s="436" t="s">
        <v>0</v>
      </c>
      <c r="I1" s="142" t="s">
        <v>47</v>
      </c>
      <c r="J1" s="436" t="s">
        <v>49</v>
      </c>
      <c r="K1" s="142" t="s">
        <v>46</v>
      </c>
      <c r="L1" s="436" t="s">
        <v>50</v>
      </c>
      <c r="M1" s="142" t="s">
        <v>357</v>
      </c>
      <c r="N1" s="436" t="s">
        <v>343</v>
      </c>
      <c r="O1" s="142" t="s">
        <v>358</v>
      </c>
      <c r="P1" s="436" t="s">
        <v>51</v>
      </c>
      <c r="Q1" s="142" t="s">
        <v>1</v>
      </c>
      <c r="R1" s="436" t="s">
        <v>52</v>
      </c>
      <c r="S1" s="266" t="s">
        <v>460</v>
      </c>
      <c r="T1" s="266" t="s">
        <v>461</v>
      </c>
      <c r="U1" s="266" t="s">
        <v>453</v>
      </c>
      <c r="V1" s="436" t="s">
        <v>454</v>
      </c>
      <c r="W1" s="143" t="s">
        <v>53</v>
      </c>
      <c r="X1" s="143" t="s">
        <v>54</v>
      </c>
      <c r="Y1" s="143" t="s">
        <v>56</v>
      </c>
      <c r="Z1" s="144" t="s">
        <v>20</v>
      </c>
      <c r="AA1" s="144" t="s">
        <v>57</v>
      </c>
      <c r="AB1" s="144" t="s">
        <v>3</v>
      </c>
      <c r="AC1" s="144" t="s">
        <v>344</v>
      </c>
      <c r="AD1" s="143" t="s">
        <v>91</v>
      </c>
      <c r="AE1" s="144" t="s">
        <v>92</v>
      </c>
      <c r="AF1" s="144" t="s">
        <v>89</v>
      </c>
      <c r="AG1" s="144" t="s">
        <v>90</v>
      </c>
      <c r="AH1" s="143" t="s">
        <v>93</v>
      </c>
      <c r="AI1" s="143" t="s">
        <v>94</v>
      </c>
      <c r="AJ1" s="143" t="s">
        <v>100</v>
      </c>
      <c r="AK1" s="143" t="s">
        <v>55</v>
      </c>
      <c r="AL1" s="143" t="s">
        <v>95</v>
      </c>
      <c r="AM1" s="145" t="s">
        <v>96</v>
      </c>
      <c r="AN1" s="135"/>
      <c r="AO1" s="135"/>
      <c r="AP1" s="135"/>
      <c r="AQ1" s="135"/>
      <c r="AR1" s="135"/>
      <c r="AS1" s="135"/>
    </row>
    <row r="2" spans="1:45">
      <c r="A2" s="121" t="s">
        <v>155</v>
      </c>
      <c r="B2" s="121" t="str">
        <f t="shared" ref="B2:B65" si="0">IF(LEFT(A2,1)="M",RIGHT(A2,1)," ")</f>
        <v xml:space="preserve"> </v>
      </c>
      <c r="C2" s="121" t="str">
        <f>CONCATENATE(IF(LEFT(A2,1)="B","Basic",IF(LEFT(A2,1)="I","Intermediate",IF(LEFT(A2,1)="M","Medical",0)))," ",B2)</f>
        <v xml:space="preserve">Basic  </v>
      </c>
      <c r="D2" s="121">
        <f>INDEX('Master Data'!$C$75:$C$279,MATCH(A2,'Master Data'!$B$75:$B$279,0))</f>
        <v>1</v>
      </c>
      <c r="E2" s="147">
        <f>INDEX('Master Data'!$C$75:$O$299,MATCH(A2,'Master Data'!$B$75:$B$299,0),MATCH($E$1,'Master Data'!$C$74:$O$74,0))</f>
        <v>0.09</v>
      </c>
      <c r="F2" s="148">
        <f>ROUND(E2*INDEX('Master Data'!$F$4:$K$12,MATCH($E$1,'Master Data'!$E$4:$E$12,0),MATCH(C2,'Master Data'!$F$3:$K$3,0)),2)</f>
        <v>7333.82</v>
      </c>
      <c r="G2" s="147">
        <f>INDEX('Master Data'!$C$75:$O$299,MATCH(A2,'Master Data'!$B$75:$B$299,0),MATCH($G$1,'Master Data'!$C$74:$O$74,0))</f>
        <v>0.25</v>
      </c>
      <c r="H2" s="148">
        <f>ROUND(G2*INDEX('Master Data'!$F$4:$K$12,MATCH($G$1,'Master Data'!$E$4:$E$12,0),MATCH(C2,'Master Data'!$F$3:$K$3,0)),2)</f>
        <v>14097.16</v>
      </c>
      <c r="I2" s="147">
        <f>INDEX('Master Data'!$C$75:$O$299,MATCH(A2,'Master Data'!$B$75:$B$299,0),MATCH($I$1,'Master Data'!$C$74:$O$74,0))</f>
        <v>1.6</v>
      </c>
      <c r="J2" s="148">
        <f>ROUND(I2*INDEX('Master Data'!$F$4:$K$12,MATCH($I$1,'Master Data'!$E$4:$E$12,0),MATCH(C2,'Master Data'!$F$3:$K$3,0)),2)</f>
        <v>74947.89</v>
      </c>
      <c r="K2" s="147">
        <f>INDEX('Master Data'!$C$75:$O$299,MATCH(A2,'Master Data'!$B$75:$B$299,0),MATCH($K$1,'Master Data'!$C$74:$O$74,0))</f>
        <v>1.4</v>
      </c>
      <c r="L2" s="148">
        <f>ROUND(K2*INDEX('Master Data'!$F$4:$K$12,MATCH($K$1,'Master Data'!$E$4:$E$12,0),MATCH(C2,'Master Data'!$F$3:$K$3,0)),2)</f>
        <v>65579.399999999994</v>
      </c>
      <c r="M2" s="147">
        <f>INDEX('Master Data'!$C$75:$O$299,MATCH(A2,'Master Data'!$B$75:$B$299,0),MATCH($M$1,'Master Data'!$C$74:$O$74,0))</f>
        <v>0.26</v>
      </c>
      <c r="N2" s="148">
        <f>ROUND(M2*INDEX('Master Data'!$F$4:$K$12,MATCH($M$1,'Master Data'!$E$4:$E$12,0),MATCH(C2,'Master Data'!$F$3:$K$3,0)),2)</f>
        <v>12179.03</v>
      </c>
      <c r="O2" s="147">
        <f>INDEX('Master Data'!$C$75:$O$299,MATCH(A2,'Master Data'!$B$75:$B$299,0),MATCH($O$1,'Master Data'!$C$74:$O$74,0))</f>
        <v>0.23</v>
      </c>
      <c r="P2" s="148">
        <f>ROUND(O2*INDEX('Master Data'!$F$4:$K$12,MATCH($O$1,'Master Data'!$E$4:$E$12,0),MATCH(C2,'Master Data'!$F$3:$K$3,0)),2)</f>
        <v>7176</v>
      </c>
      <c r="Q2" s="147">
        <f>INDEX('Master Data'!$C$75:$O$299,MATCH(A2,'Master Data'!$B$75:$B$299,0),MATCH($Q$1,'Master Data'!$C$74:$O$74,0))</f>
        <v>0.03</v>
      </c>
      <c r="R2" s="148">
        <f>ROUND(Q2*INDEX('Master Data'!$F$4:$K$12,MATCH($Q$1,'Master Data'!$E$4:$E$12,0),MATCH(C2,'Master Data'!$F$3:$K$3,0)),2)</f>
        <v>1405.27</v>
      </c>
      <c r="S2" s="147">
        <f>INDEX('Master Data'!$C$75:$O$299,MATCH(A2,'Master Data'!$B$75:$B$299,0),MATCH($S$1,'Master Data'!$C$74:$O$74,0))</f>
        <v>0</v>
      </c>
      <c r="T2" s="148">
        <f>ROUND(S2*INDEX('Master Data'!$F$4:$K$12,MATCH($S$1,'Master Data'!$E$4:$E$12,0),MATCH(C2,'Master Data'!$F$3:$K$3,0)),2)</f>
        <v>0</v>
      </c>
      <c r="U2" s="147">
        <f>INDEX('Master Data'!$C$75:$O$299,MATCH(A2,'Master Data'!$B$75:$B$299,0),MATCH($U$1,'Master Data'!$C$74:$O$74,0))</f>
        <v>0</v>
      </c>
      <c r="V2" s="148">
        <f>ROUND(U2*INDEX('Master Data'!$F$4:$K$12,MATCH($U$1,'Master Data'!$E$4:$E$12,0),MATCH(C2,'Master Data'!$F$3:$K$3,0)),2)</f>
        <v>0</v>
      </c>
      <c r="W2" s="149">
        <f>SUM(F2,H2,J2,L2,N2,P2,R2,T2,V2)</f>
        <v>182718.56999999998</v>
      </c>
      <c r="X2" s="148">
        <f>ROUND(W2*('Master Data'!$B$54),2)</f>
        <v>45624.83</v>
      </c>
      <c r="Y2" s="149">
        <f>SUM(W2:X2)</f>
        <v>228343.39999999997</v>
      </c>
      <c r="Z2" s="147">
        <f>52*INDEX('Master Data'!$C$75:$O$299,MATCH(A2,'Master Data'!$B$75:$B$299,0),MATCH($Z$1,'Master Data'!$C$74:$O$74,0))</f>
        <v>52</v>
      </c>
      <c r="AA2" s="148">
        <f>Z2*('Master Data'!$F$15)</f>
        <v>3920.8</v>
      </c>
      <c r="AB2" s="147">
        <f>52*INDEX('Master Data'!$C$75:$O$299,MATCH(A2,'Master Data'!$B$75:$B$299,0),MATCH($AB$1,'Master Data'!$C$74:$O$74,0))</f>
        <v>52</v>
      </c>
      <c r="AC2" s="148">
        <f>AB2*('Master Data'!$F$16)</f>
        <v>3760.6399999999994</v>
      </c>
      <c r="AD2" s="149">
        <f>SUM(AA2,AC2)</f>
        <v>7681.44</v>
      </c>
      <c r="AE2" s="148">
        <f>INDEX('Master Data'!$D$58:$D$60,MATCH(D2,'Master Data'!$B$58:$B$60,0))</f>
        <v>13456.36</v>
      </c>
      <c r="AF2" s="148">
        <f>INDEX('Master Data'!$E$58:$E$60,MATCH(D2,'Master Data'!$B$58:$B$60,0))</f>
        <v>496.4</v>
      </c>
      <c r="AG2" s="148">
        <f>INDEX('Master Data'!$F$58:$F$60,MATCH(D2,'Master Data'!$B$58:$B$60,0))</f>
        <v>1438.1</v>
      </c>
      <c r="AH2" s="149">
        <f>SUM(Y2,AD2:AG2)</f>
        <v>251415.69999999995</v>
      </c>
      <c r="AI2" s="148">
        <f>ROUND(AH2*('Master Data'!$C$54),2)</f>
        <v>30169.88</v>
      </c>
      <c r="AJ2" s="148">
        <f>ROUND(SUM(AH2:AI2,AK2)*('Master Data'!$E$54),2)</f>
        <v>8436.0300000000007</v>
      </c>
      <c r="AK2" s="148">
        <f>ROUND(W2*('Master Data'!$F$54),2)</f>
        <v>0</v>
      </c>
      <c r="AL2" s="149">
        <f>SUM(AH2:AK2)</f>
        <v>290021.61</v>
      </c>
      <c r="AM2" s="140">
        <f>ROUND(AL2/347,2)</f>
        <v>835.8</v>
      </c>
      <c r="AN2" s="121"/>
      <c r="AO2" s="121"/>
      <c r="AP2" s="121"/>
      <c r="AQ2" s="121"/>
      <c r="AR2" s="121"/>
      <c r="AS2" s="121"/>
    </row>
    <row r="3" spans="1:45">
      <c r="A3" s="121" t="s">
        <v>156</v>
      </c>
      <c r="B3" s="121" t="str">
        <f t="shared" si="0"/>
        <v xml:space="preserve"> </v>
      </c>
      <c r="C3" s="121" t="str">
        <f t="shared" ref="C3:C66" si="1">CONCATENATE(IF(LEFT(A3,1)="B","Basic",IF(LEFT(A3,1)="I","Intermediate",IF(LEFT(A3,1)="S","Specialty",IF(LEFT(A3,1)="M","Medical",0))))," ",B3)</f>
        <v xml:space="preserve">Intermediate  </v>
      </c>
      <c r="D3" s="121">
        <f>INDEX('Master Data'!$C$75:$C$299,MATCH(A3,'Master Data'!$B$75:$B$299,0))</f>
        <v>1</v>
      </c>
      <c r="E3" s="147">
        <f>INDEX('Master Data'!$C$75:$O$299,MATCH(A3,'Master Data'!$B$75:$B$299,0),MATCH($E$1,'Master Data'!$C$74:$O$74,0))</f>
        <v>0.09</v>
      </c>
      <c r="F3" s="148">
        <f>ROUND(E3*INDEX('Master Data'!$F$4:$K$12,MATCH($E$1,'Master Data'!$E$4:$E$12,0),MATCH(C3,'Master Data'!$F$3:$K$3,0)),2)</f>
        <v>7333.82</v>
      </c>
      <c r="G3" s="147">
        <f>INDEX('Master Data'!$C$75:$O$299,MATCH(A3,'Master Data'!$B$75:$B$299,0),MATCH($G$1,'Master Data'!$C$74:$O$74,0))</f>
        <v>0.25</v>
      </c>
      <c r="H3" s="148">
        <f>ROUND(G3*INDEX('Master Data'!$F$4:$K$12,MATCH($G$1,'Master Data'!$E$4:$E$12,0),MATCH(C3,'Master Data'!$F$3:$K$3,0)),2)</f>
        <v>14097.16</v>
      </c>
      <c r="I3" s="147">
        <f>INDEX('Master Data'!$C$75:$O$299,MATCH(A3,'Master Data'!$B$75:$B$299,0),MATCH($I$1,'Master Data'!$C$74:$O$74,0))</f>
        <v>1.6</v>
      </c>
      <c r="J3" s="148">
        <f>ROUND(I3*INDEX('Master Data'!$F$4:$K$12,MATCH($I$1,'Master Data'!$E$4:$E$12,0),MATCH(C3,'Master Data'!$F$3:$K$3,0)),2)</f>
        <v>76322.539999999994</v>
      </c>
      <c r="K3" s="147">
        <f>INDEX('Master Data'!$C$75:$O$299,MATCH(A3,'Master Data'!$B$75:$B$299,0),MATCH($K$1,'Master Data'!$C$74:$O$74,0))</f>
        <v>1.4</v>
      </c>
      <c r="L3" s="148">
        <f>ROUND(K3*INDEX('Master Data'!$F$4:$K$12,MATCH($K$1,'Master Data'!$E$4:$E$12,0),MATCH(C3,'Master Data'!$F$3:$K$3,0)),2)</f>
        <v>65579.399999999994</v>
      </c>
      <c r="M3" s="147">
        <f>INDEX('Master Data'!$C$75:$O$299,MATCH(A3,'Master Data'!$B$75:$B$299,0),MATCH($M$1,'Master Data'!$C$74:$O$74,0))</f>
        <v>0.26</v>
      </c>
      <c r="N3" s="148">
        <f>ROUND(M3*INDEX('Master Data'!$F$4:$K$12,MATCH($M$1,'Master Data'!$E$4:$E$12,0),MATCH(C3,'Master Data'!$F$3:$K$3,0)),2)</f>
        <v>12402.41</v>
      </c>
      <c r="O3" s="147">
        <f>INDEX('Master Data'!$C$75:$O$299,MATCH(A3,'Master Data'!$B$75:$B$299,0),MATCH($O$1,'Master Data'!$C$74:$O$74,0))</f>
        <v>0.23</v>
      </c>
      <c r="P3" s="148">
        <f>ROUND(O3*INDEX('Master Data'!$F$4:$K$12,MATCH($O$1,'Master Data'!$E$4:$E$12,0),MATCH(C3,'Master Data'!$F$3:$K$3,0)),2)</f>
        <v>7176</v>
      </c>
      <c r="Q3" s="147">
        <f>INDEX('Master Data'!$C$75:$O$299,MATCH(A3,'Master Data'!$B$75:$B$299,0),MATCH($Q$1,'Master Data'!$C$74:$O$74,0))</f>
        <v>0.03</v>
      </c>
      <c r="R3" s="148">
        <f>ROUND(Q3*INDEX('Master Data'!$F$4:$K$12,MATCH($Q$1,'Master Data'!$E$4:$E$12,0),MATCH(C3,'Master Data'!$F$3:$K$3,0)),2)</f>
        <v>1405.27</v>
      </c>
      <c r="S3" s="147">
        <f>INDEX('Master Data'!$C$75:$O$299,MATCH(A3,'Master Data'!$B$75:$B$299,0),MATCH($S$1,'Master Data'!$C$74:$O$74,0))</f>
        <v>0</v>
      </c>
      <c r="T3" s="148">
        <f>ROUND(S3*INDEX('Master Data'!$F$4:$K$12,MATCH($S$1,'Master Data'!$E$4:$E$12,0),MATCH(C3,'Master Data'!$F$3:$K$3,0)),2)</f>
        <v>0</v>
      </c>
      <c r="U3" s="147">
        <f>INDEX('Master Data'!$C$75:$O$299,MATCH(A3,'Master Data'!$B$75:$B$299,0),MATCH($U$1,'Master Data'!$C$74:$O$74,0))</f>
        <v>0</v>
      </c>
      <c r="V3" s="148">
        <f>ROUND(U3*INDEX('Master Data'!$F$4:$K$12,MATCH($U$1,'Master Data'!$E$4:$E$12,0),MATCH(C3,'Master Data'!$F$3:$K$3,0)),2)</f>
        <v>0</v>
      </c>
      <c r="W3" s="149">
        <f t="shared" ref="W3:W65" si="2">SUM(F3,H3,J3,L3,N3,P3,R3,T3,V3)</f>
        <v>184316.59999999998</v>
      </c>
      <c r="X3" s="148">
        <f>ROUND(W3*('Master Data'!$B$54),2)</f>
        <v>46023.86</v>
      </c>
      <c r="Y3" s="149">
        <f t="shared" ref="Y3:Y66" si="3">SUM(W3:X3)</f>
        <v>230340.45999999996</v>
      </c>
      <c r="Z3" s="147">
        <f>52*INDEX('Master Data'!$C$75:$O$299,MATCH(A3,'Master Data'!$B$75:$B$299,0),MATCH($Z$1,'Master Data'!$C$74:$O$74,0))</f>
        <v>52</v>
      </c>
      <c r="AA3" s="148">
        <f>Z3*('Master Data'!$F$15)</f>
        <v>3920.8</v>
      </c>
      <c r="AB3" s="147">
        <f>52*INDEX('Master Data'!$C$75:$O$299,MATCH(A3,'Master Data'!$B$75:$B$299,0),MATCH($AB$1,'Master Data'!$C$74:$O$74,0))</f>
        <v>52</v>
      </c>
      <c r="AC3" s="148">
        <f>AB3*('Master Data'!$F$16)</f>
        <v>3760.6399999999994</v>
      </c>
      <c r="AD3" s="149">
        <f t="shared" ref="AD3:AD66" si="4">SUM(AA3,AC3)</f>
        <v>7681.44</v>
      </c>
      <c r="AE3" s="148">
        <f>INDEX('Master Data'!$D$58:$D$60,MATCH(D3,'Master Data'!$B$58:$B$60,0))</f>
        <v>13456.36</v>
      </c>
      <c r="AF3" s="148">
        <f>INDEX('Master Data'!$E$58:$E$60,MATCH(D3,'Master Data'!$B$58:$B$60,0))</f>
        <v>496.4</v>
      </c>
      <c r="AG3" s="148">
        <f>INDEX('Master Data'!$F$58:$F$60,MATCH(D3,'Master Data'!$B$58:$B$60,0))</f>
        <v>1438.1</v>
      </c>
      <c r="AH3" s="149">
        <f t="shared" ref="AH3:AH66" si="5">SUM(Y3,AD3:AG3)</f>
        <v>253412.75999999995</v>
      </c>
      <c r="AI3" s="148">
        <f>ROUND(AH3*('Master Data'!$C$54),2)</f>
        <v>30409.53</v>
      </c>
      <c r="AJ3" s="148">
        <f>ROUND(SUM(AH3:AI3,AK3)*('Master Data'!$E$54),2)</f>
        <v>8503.0400000000009</v>
      </c>
      <c r="AK3" s="148">
        <f>ROUND(W3*('Master Data'!$F$54),2)</f>
        <v>0</v>
      </c>
      <c r="AL3" s="149">
        <f t="shared" ref="AL3:AL66" si="6">SUM(AH3:AK3)</f>
        <v>292325.3299999999</v>
      </c>
      <c r="AM3" s="140">
        <f t="shared" ref="AM3:AM66" si="7">ROUND(AL3/347,2)</f>
        <v>842.44</v>
      </c>
      <c r="AN3" s="121"/>
      <c r="AO3" s="121"/>
      <c r="AP3" s="121"/>
      <c r="AQ3" s="121"/>
      <c r="AR3" s="121"/>
      <c r="AS3" s="121"/>
    </row>
    <row r="4" spans="1:45">
      <c r="A4" s="121" t="s">
        <v>157</v>
      </c>
      <c r="B4" s="121" t="str">
        <f t="shared" si="0"/>
        <v xml:space="preserve"> </v>
      </c>
      <c r="C4" s="121" t="str">
        <f t="shared" si="1"/>
        <v xml:space="preserve">Intermediate  </v>
      </c>
      <c r="D4" s="121">
        <f>INDEX('Master Data'!$C$75:$C$299,MATCH(A4,'Master Data'!$B$75:$B$299,0))</f>
        <v>1</v>
      </c>
      <c r="E4" s="147">
        <f>INDEX('Master Data'!$C$75:$O$299,MATCH(A4,'Master Data'!$B$75:$B$299,0),MATCH($E$1,'Master Data'!$C$74:$O$74,0))</f>
        <v>0.09</v>
      </c>
      <c r="F4" s="148">
        <f>ROUND(E4*INDEX('Master Data'!$F$4:$K$12,MATCH($E$1,'Master Data'!$E$4:$E$12,0),MATCH(C4,'Master Data'!$F$3:$K$3,0)),2)</f>
        <v>7333.82</v>
      </c>
      <c r="G4" s="147">
        <f>INDEX('Master Data'!$C$75:$O$299,MATCH(A4,'Master Data'!$B$75:$B$299,0),MATCH($G$1,'Master Data'!$C$74:$O$74,0))</f>
        <v>0.25</v>
      </c>
      <c r="H4" s="148">
        <f>ROUND(G4*INDEX('Master Data'!$F$4:$K$12,MATCH($G$1,'Master Data'!$E$4:$E$12,0),MATCH(C4,'Master Data'!$F$3:$K$3,0)),2)</f>
        <v>14097.16</v>
      </c>
      <c r="I4" s="147">
        <f>INDEX('Master Data'!$C$75:$O$299,MATCH(A4,'Master Data'!$B$75:$B$299,0),MATCH($I$1,'Master Data'!$C$74:$O$74,0))</f>
        <v>2.1</v>
      </c>
      <c r="J4" s="148">
        <f>ROUND(I4*INDEX('Master Data'!$F$4:$K$12,MATCH($I$1,'Master Data'!$E$4:$E$12,0),MATCH(C4,'Master Data'!$F$3:$K$3,0)),2)</f>
        <v>100173.34</v>
      </c>
      <c r="K4" s="147">
        <f>INDEX('Master Data'!$C$75:$O$299,MATCH(A4,'Master Data'!$B$75:$B$299,0),MATCH($K$1,'Master Data'!$C$74:$O$74,0))</f>
        <v>1.4</v>
      </c>
      <c r="L4" s="148">
        <f>ROUND(K4*INDEX('Master Data'!$F$4:$K$12,MATCH($K$1,'Master Data'!$E$4:$E$12,0),MATCH(C4,'Master Data'!$F$3:$K$3,0)),2)</f>
        <v>65579.399999999994</v>
      </c>
      <c r="M4" s="147">
        <f>INDEX('Master Data'!$C$75:$O$299,MATCH(A4,'Master Data'!$B$75:$B$299,0),MATCH($M$1,'Master Data'!$C$74:$O$74,0))</f>
        <v>0.34</v>
      </c>
      <c r="N4" s="148">
        <f>ROUND(M4*INDEX('Master Data'!$F$4:$K$12,MATCH($M$1,'Master Data'!$E$4:$E$12,0),MATCH(C4,'Master Data'!$F$3:$K$3,0)),2)</f>
        <v>16218.54</v>
      </c>
      <c r="O4" s="147">
        <f>INDEX('Master Data'!$C$75:$O$299,MATCH(A4,'Master Data'!$B$75:$B$299,0),MATCH($O$1,'Master Data'!$C$74:$O$74,0))</f>
        <v>0.23</v>
      </c>
      <c r="P4" s="148">
        <f>ROUND(O4*INDEX('Master Data'!$F$4:$K$12,MATCH($O$1,'Master Data'!$E$4:$E$12,0),MATCH(C4,'Master Data'!$F$3:$K$3,0)),2)</f>
        <v>7176</v>
      </c>
      <c r="Q4" s="147">
        <f>INDEX('Master Data'!$C$75:$O$299,MATCH(A4,'Master Data'!$B$75:$B$299,0),MATCH($Q$1,'Master Data'!$C$74:$O$74,0))</f>
        <v>0.03</v>
      </c>
      <c r="R4" s="148">
        <f>ROUND(Q4*INDEX('Master Data'!$F$4:$K$12,MATCH($Q$1,'Master Data'!$E$4:$E$12,0),MATCH(C4,'Master Data'!$F$3:$K$3,0)),2)</f>
        <v>1405.27</v>
      </c>
      <c r="S4" s="147">
        <f>INDEX('Master Data'!$C$75:$O$299,MATCH(A4,'Master Data'!$B$75:$B$299,0),MATCH($S$1,'Master Data'!$C$74:$O$74,0))</f>
        <v>0</v>
      </c>
      <c r="T4" s="148">
        <f>ROUND(S4*INDEX('Master Data'!$F$4:$K$12,MATCH($S$1,'Master Data'!$E$4:$E$12,0),MATCH(C4,'Master Data'!$F$3:$K$3,0)),2)</f>
        <v>0</v>
      </c>
      <c r="U4" s="147">
        <f>INDEX('Master Data'!$C$75:$O$299,MATCH(A4,'Master Data'!$B$75:$B$299,0),MATCH($U$1,'Master Data'!$C$74:$O$74,0))</f>
        <v>0</v>
      </c>
      <c r="V4" s="148">
        <f>ROUND(U4*INDEX('Master Data'!$F$4:$K$12,MATCH($U$1,'Master Data'!$E$4:$E$12,0),MATCH(C4,'Master Data'!$F$3:$K$3,0)),2)</f>
        <v>0</v>
      </c>
      <c r="W4" s="149">
        <f t="shared" si="2"/>
        <v>211983.52999999997</v>
      </c>
      <c r="X4" s="148">
        <f>ROUND(W4*('Master Data'!$B$54),2)</f>
        <v>52932.29</v>
      </c>
      <c r="Y4" s="149">
        <f t="shared" si="3"/>
        <v>264915.81999999995</v>
      </c>
      <c r="Z4" s="147">
        <f>52*INDEX('Master Data'!$C$75:$O$299,MATCH(A4,'Master Data'!$B$75:$B$299,0),MATCH($Z$1,'Master Data'!$C$74:$O$74,0))</f>
        <v>52</v>
      </c>
      <c r="AA4" s="148">
        <f>Z4*('Master Data'!$F$15)</f>
        <v>3920.8</v>
      </c>
      <c r="AB4" s="147">
        <f>52*INDEX('Master Data'!$C$75:$O$299,MATCH(A4,'Master Data'!$B$75:$B$299,0),MATCH($AB$1,'Master Data'!$C$74:$O$74,0))</f>
        <v>52</v>
      </c>
      <c r="AC4" s="148">
        <f>AB4*('Master Data'!$F$16)</f>
        <v>3760.6399999999994</v>
      </c>
      <c r="AD4" s="149">
        <f t="shared" si="4"/>
        <v>7681.44</v>
      </c>
      <c r="AE4" s="148">
        <f>INDEX('Master Data'!$D$58:$D$60,MATCH(D4,'Master Data'!$B$58:$B$60,0))</f>
        <v>13456.36</v>
      </c>
      <c r="AF4" s="148">
        <f>INDEX('Master Data'!$E$58:$E$60,MATCH(D4,'Master Data'!$B$58:$B$60,0))</f>
        <v>496.4</v>
      </c>
      <c r="AG4" s="148">
        <f>INDEX('Master Data'!$F$58:$F$60,MATCH(D4,'Master Data'!$B$58:$B$60,0))</f>
        <v>1438.1</v>
      </c>
      <c r="AH4" s="149">
        <f t="shared" si="5"/>
        <v>287988.11999999994</v>
      </c>
      <c r="AI4" s="148">
        <f>ROUND(AH4*('Master Data'!$C$54),2)</f>
        <v>34558.57</v>
      </c>
      <c r="AJ4" s="148">
        <f>ROUND(SUM(AH4:AI4,AK4)*('Master Data'!$E$54),2)</f>
        <v>9663.19</v>
      </c>
      <c r="AK4" s="148">
        <f>ROUND(W4*('Master Data'!$F$54),2)</f>
        <v>0</v>
      </c>
      <c r="AL4" s="149">
        <f t="shared" si="6"/>
        <v>332209.87999999995</v>
      </c>
      <c r="AM4" s="140">
        <f t="shared" si="7"/>
        <v>957.38</v>
      </c>
      <c r="AN4" s="121"/>
      <c r="AO4" s="121"/>
      <c r="AP4" s="121"/>
      <c r="AQ4" s="121"/>
      <c r="AR4" s="121"/>
      <c r="AS4" s="121"/>
    </row>
    <row r="5" spans="1:45">
      <c r="A5" s="121" t="s">
        <v>158</v>
      </c>
      <c r="B5" s="121" t="str">
        <f t="shared" si="0"/>
        <v xml:space="preserve"> </v>
      </c>
      <c r="C5" s="121" t="str">
        <f t="shared" si="1"/>
        <v xml:space="preserve">Intermediate  </v>
      </c>
      <c r="D5" s="121">
        <f>INDEX('Master Data'!$C$75:$C$299,MATCH(A5,'Master Data'!$B$75:$B$299,0))</f>
        <v>1</v>
      </c>
      <c r="E5" s="147">
        <f>INDEX('Master Data'!$C$75:$O$299,MATCH(A5,'Master Data'!$B$75:$B$299,0),MATCH($E$1,'Master Data'!$C$74:$O$74,0))</f>
        <v>0.09</v>
      </c>
      <c r="F5" s="148">
        <f>ROUND(E5*INDEX('Master Data'!$F$4:$K$12,MATCH($E$1,'Master Data'!$E$4:$E$12,0),MATCH(C5,'Master Data'!$F$3:$K$3,0)),2)</f>
        <v>7333.82</v>
      </c>
      <c r="G5" s="147">
        <f>INDEX('Master Data'!$C$75:$O$299,MATCH(A5,'Master Data'!$B$75:$B$299,0),MATCH($G$1,'Master Data'!$C$74:$O$74,0))</f>
        <v>0.25</v>
      </c>
      <c r="H5" s="148">
        <f>ROUND(G5*INDEX('Master Data'!$F$4:$K$12,MATCH($G$1,'Master Data'!$E$4:$E$12,0),MATCH(C5,'Master Data'!$F$3:$K$3,0)),2)</f>
        <v>14097.16</v>
      </c>
      <c r="I5" s="147">
        <f>INDEX('Master Data'!$C$75:$O$299,MATCH(A5,'Master Data'!$B$75:$B$299,0),MATCH($I$1,'Master Data'!$C$74:$O$74,0))</f>
        <v>2.6</v>
      </c>
      <c r="J5" s="148">
        <f>ROUND(I5*INDEX('Master Data'!$F$4:$K$12,MATCH($I$1,'Master Data'!$E$4:$E$12,0),MATCH(C5,'Master Data'!$F$3:$K$3,0)),2)</f>
        <v>124024.13</v>
      </c>
      <c r="K5" s="147">
        <f>INDEX('Master Data'!$C$75:$O$299,MATCH(A5,'Master Data'!$B$75:$B$299,0),MATCH($K$1,'Master Data'!$C$74:$O$74,0))</f>
        <v>1.4</v>
      </c>
      <c r="L5" s="148">
        <f>ROUND(K5*INDEX('Master Data'!$F$4:$K$12,MATCH($K$1,'Master Data'!$E$4:$E$12,0),MATCH(C5,'Master Data'!$F$3:$K$3,0)),2)</f>
        <v>65579.399999999994</v>
      </c>
      <c r="M5" s="147">
        <f>INDEX('Master Data'!$C$75:$O$299,MATCH(A5,'Master Data'!$B$75:$B$299,0),MATCH($M$1,'Master Data'!$C$74:$O$74,0))</f>
        <v>0.42</v>
      </c>
      <c r="N5" s="148">
        <f>ROUND(M5*INDEX('Master Data'!$F$4:$K$12,MATCH($M$1,'Master Data'!$E$4:$E$12,0),MATCH(C5,'Master Data'!$F$3:$K$3,0)),2)</f>
        <v>20034.669999999998</v>
      </c>
      <c r="O5" s="147">
        <f>INDEX('Master Data'!$C$75:$O$299,MATCH(A5,'Master Data'!$B$75:$B$299,0),MATCH($O$1,'Master Data'!$C$74:$O$74,0))</f>
        <v>0.23</v>
      </c>
      <c r="P5" s="148">
        <f>ROUND(O5*INDEX('Master Data'!$F$4:$K$12,MATCH($O$1,'Master Data'!$E$4:$E$12,0),MATCH(C5,'Master Data'!$F$3:$K$3,0)),2)</f>
        <v>7176</v>
      </c>
      <c r="Q5" s="147">
        <f>INDEX('Master Data'!$C$75:$O$299,MATCH(A5,'Master Data'!$B$75:$B$299,0),MATCH($Q$1,'Master Data'!$C$74:$O$74,0))</f>
        <v>0.03</v>
      </c>
      <c r="R5" s="148">
        <f>ROUND(Q5*INDEX('Master Data'!$F$4:$K$12,MATCH($Q$1,'Master Data'!$E$4:$E$12,0),MATCH(C5,'Master Data'!$F$3:$K$3,0)),2)</f>
        <v>1405.27</v>
      </c>
      <c r="S5" s="147">
        <f>INDEX('Master Data'!$C$75:$O$299,MATCH(A5,'Master Data'!$B$75:$B$299,0),MATCH($S$1,'Master Data'!$C$74:$O$74,0))</f>
        <v>0</v>
      </c>
      <c r="T5" s="148">
        <f>ROUND(S5*INDEX('Master Data'!$F$4:$K$12,MATCH($S$1,'Master Data'!$E$4:$E$12,0),MATCH(C5,'Master Data'!$F$3:$K$3,0)),2)</f>
        <v>0</v>
      </c>
      <c r="U5" s="147">
        <f>INDEX('Master Data'!$C$75:$O$299,MATCH(A5,'Master Data'!$B$75:$B$299,0),MATCH($U$1,'Master Data'!$C$74:$O$74,0))</f>
        <v>0</v>
      </c>
      <c r="V5" s="148">
        <f>ROUND(U5*INDEX('Master Data'!$F$4:$K$12,MATCH($U$1,'Master Data'!$E$4:$E$12,0),MATCH(C5,'Master Data'!$F$3:$K$3,0)),2)</f>
        <v>0</v>
      </c>
      <c r="W5" s="149">
        <f t="shared" si="2"/>
        <v>239650.44999999998</v>
      </c>
      <c r="X5" s="148">
        <f>ROUND(W5*('Master Data'!$B$54),2)</f>
        <v>59840.72</v>
      </c>
      <c r="Y5" s="149">
        <f t="shared" si="3"/>
        <v>299491.17</v>
      </c>
      <c r="Z5" s="147">
        <f>52*INDEX('Master Data'!$C$75:$O$299,MATCH(A5,'Master Data'!$B$75:$B$299,0),MATCH($Z$1,'Master Data'!$C$74:$O$74,0))</f>
        <v>52</v>
      </c>
      <c r="AA5" s="148">
        <f>Z5*('Master Data'!$F$15)</f>
        <v>3920.8</v>
      </c>
      <c r="AB5" s="147">
        <f>52*INDEX('Master Data'!$C$75:$O$299,MATCH(A5,'Master Data'!$B$75:$B$299,0),MATCH($AB$1,'Master Data'!$C$74:$O$74,0))</f>
        <v>52</v>
      </c>
      <c r="AC5" s="148">
        <f>AB5*('Master Data'!$F$16)</f>
        <v>3760.6399999999994</v>
      </c>
      <c r="AD5" s="149">
        <f t="shared" si="4"/>
        <v>7681.44</v>
      </c>
      <c r="AE5" s="148">
        <f>INDEX('Master Data'!$D$58:$D$60,MATCH(D5,'Master Data'!$B$58:$B$60,0))</f>
        <v>13456.36</v>
      </c>
      <c r="AF5" s="148">
        <f>INDEX('Master Data'!$E$58:$E$60,MATCH(D5,'Master Data'!$B$58:$B$60,0))</f>
        <v>496.4</v>
      </c>
      <c r="AG5" s="148">
        <f>INDEX('Master Data'!$F$58:$F$60,MATCH(D5,'Master Data'!$B$58:$B$60,0))</f>
        <v>1438.1</v>
      </c>
      <c r="AH5" s="149">
        <f t="shared" si="5"/>
        <v>322563.46999999997</v>
      </c>
      <c r="AI5" s="148">
        <f>ROUND(AH5*('Master Data'!$C$54),2)</f>
        <v>38707.620000000003</v>
      </c>
      <c r="AJ5" s="148">
        <f>ROUND(SUM(AH5:AI5,AK5)*('Master Data'!$E$54),2)</f>
        <v>10823.34</v>
      </c>
      <c r="AK5" s="148">
        <f>ROUND(W5*('Master Data'!$F$54),2)</f>
        <v>0</v>
      </c>
      <c r="AL5" s="149">
        <f t="shared" si="6"/>
        <v>372094.43</v>
      </c>
      <c r="AM5" s="140">
        <f t="shared" si="7"/>
        <v>1072.32</v>
      </c>
      <c r="AN5" s="121"/>
      <c r="AO5" s="121"/>
      <c r="AP5" s="121"/>
      <c r="AQ5" s="121"/>
      <c r="AR5" s="121"/>
      <c r="AS5" s="121"/>
    </row>
    <row r="6" spans="1:45">
      <c r="A6" s="121" t="s">
        <v>159</v>
      </c>
      <c r="B6" s="121" t="str">
        <f t="shared" si="0"/>
        <v xml:space="preserve"> </v>
      </c>
      <c r="C6" s="121" t="str">
        <f t="shared" si="1"/>
        <v xml:space="preserve">Intermediate  </v>
      </c>
      <c r="D6" s="121">
        <f>INDEX('Master Data'!$C$75:$C$299,MATCH(A6,'Master Data'!$B$75:$B$299,0))</f>
        <v>1</v>
      </c>
      <c r="E6" s="147">
        <f>INDEX('Master Data'!$C$75:$O$299,MATCH(A6,'Master Data'!$B$75:$B$299,0),MATCH($E$1,'Master Data'!$C$74:$O$74,0))</f>
        <v>0.09</v>
      </c>
      <c r="F6" s="148">
        <f>ROUND(E6*INDEX('Master Data'!$F$4:$K$12,MATCH($E$1,'Master Data'!$E$4:$E$12,0),MATCH(C6,'Master Data'!$F$3:$K$3,0)),2)</f>
        <v>7333.82</v>
      </c>
      <c r="G6" s="147">
        <f>INDEX('Master Data'!$C$75:$O$299,MATCH(A6,'Master Data'!$B$75:$B$299,0),MATCH($G$1,'Master Data'!$C$74:$O$74,0))</f>
        <v>0.25</v>
      </c>
      <c r="H6" s="148">
        <f>ROUND(G6*INDEX('Master Data'!$F$4:$K$12,MATCH($G$1,'Master Data'!$E$4:$E$12,0),MATCH(C6,'Master Data'!$F$3:$K$3,0)),2)</f>
        <v>14097.16</v>
      </c>
      <c r="I6" s="147">
        <f>INDEX('Master Data'!$C$75:$O$299,MATCH(A6,'Master Data'!$B$75:$B$299,0),MATCH($I$1,'Master Data'!$C$74:$O$74,0))</f>
        <v>3.1</v>
      </c>
      <c r="J6" s="148">
        <f>ROUND(I6*INDEX('Master Data'!$F$4:$K$12,MATCH($I$1,'Master Data'!$E$4:$E$12,0),MATCH(C6,'Master Data'!$F$3:$K$3,0)),2)</f>
        <v>147874.93</v>
      </c>
      <c r="K6" s="147">
        <f>INDEX('Master Data'!$C$75:$O$299,MATCH(A6,'Master Data'!$B$75:$B$299,0),MATCH($K$1,'Master Data'!$C$74:$O$74,0))</f>
        <v>1.4</v>
      </c>
      <c r="L6" s="148">
        <f>ROUND(K6*INDEX('Master Data'!$F$4:$K$12,MATCH($K$1,'Master Data'!$E$4:$E$12,0),MATCH(C6,'Master Data'!$F$3:$K$3,0)),2)</f>
        <v>65579.399999999994</v>
      </c>
      <c r="M6" s="147">
        <f>INDEX('Master Data'!$C$75:$O$299,MATCH(A6,'Master Data'!$B$75:$B$299,0),MATCH($M$1,'Master Data'!$C$74:$O$74,0))</f>
        <v>0.5</v>
      </c>
      <c r="N6" s="148">
        <f>ROUND(M6*INDEX('Master Data'!$F$4:$K$12,MATCH($M$1,'Master Data'!$E$4:$E$12,0),MATCH(C6,'Master Data'!$F$3:$K$3,0)),2)</f>
        <v>23850.799999999999</v>
      </c>
      <c r="O6" s="147">
        <f>INDEX('Master Data'!$C$75:$O$299,MATCH(A6,'Master Data'!$B$75:$B$299,0),MATCH($O$1,'Master Data'!$C$74:$O$74,0))</f>
        <v>0.23</v>
      </c>
      <c r="P6" s="148">
        <f>ROUND(O6*INDEX('Master Data'!$F$4:$K$12,MATCH($O$1,'Master Data'!$E$4:$E$12,0),MATCH(C6,'Master Data'!$F$3:$K$3,0)),2)</f>
        <v>7176</v>
      </c>
      <c r="Q6" s="147">
        <f>INDEX('Master Data'!$C$75:$O$299,MATCH(A6,'Master Data'!$B$75:$B$299,0),MATCH($Q$1,'Master Data'!$C$74:$O$74,0))</f>
        <v>0.03</v>
      </c>
      <c r="R6" s="148">
        <f>ROUND(Q6*INDEX('Master Data'!$F$4:$K$12,MATCH($Q$1,'Master Data'!$E$4:$E$12,0),MATCH(C6,'Master Data'!$F$3:$K$3,0)),2)</f>
        <v>1405.27</v>
      </c>
      <c r="S6" s="147">
        <f>INDEX('Master Data'!$C$75:$O$299,MATCH(A6,'Master Data'!$B$75:$B$299,0),MATCH($S$1,'Master Data'!$C$74:$O$74,0))</f>
        <v>0</v>
      </c>
      <c r="T6" s="148">
        <f>ROUND(S6*INDEX('Master Data'!$F$4:$K$12,MATCH($S$1,'Master Data'!$E$4:$E$12,0),MATCH(C6,'Master Data'!$F$3:$K$3,0)),2)</f>
        <v>0</v>
      </c>
      <c r="U6" s="147">
        <f>INDEX('Master Data'!$C$75:$O$299,MATCH(A6,'Master Data'!$B$75:$B$299,0),MATCH($U$1,'Master Data'!$C$74:$O$74,0))</f>
        <v>0</v>
      </c>
      <c r="V6" s="148">
        <f>ROUND(U6*INDEX('Master Data'!$F$4:$K$12,MATCH($U$1,'Master Data'!$E$4:$E$12,0),MATCH(C6,'Master Data'!$F$3:$K$3,0)),2)</f>
        <v>0</v>
      </c>
      <c r="W6" s="149">
        <f t="shared" si="2"/>
        <v>267317.38</v>
      </c>
      <c r="X6" s="148">
        <f>ROUND(W6*('Master Data'!$B$54),2)</f>
        <v>66749.149999999994</v>
      </c>
      <c r="Y6" s="149">
        <f t="shared" si="3"/>
        <v>334066.53000000003</v>
      </c>
      <c r="Z6" s="147">
        <f>52*INDEX('Master Data'!$C$75:$O$299,MATCH(A6,'Master Data'!$B$75:$B$299,0),MATCH($Z$1,'Master Data'!$C$74:$O$74,0))</f>
        <v>52</v>
      </c>
      <c r="AA6" s="148">
        <f>Z6*('Master Data'!$F$15)</f>
        <v>3920.8</v>
      </c>
      <c r="AB6" s="147">
        <f>52*INDEX('Master Data'!$C$75:$O$299,MATCH(A6,'Master Data'!$B$75:$B$299,0),MATCH($AB$1,'Master Data'!$C$74:$O$74,0))</f>
        <v>52</v>
      </c>
      <c r="AC6" s="148">
        <f>AB6*('Master Data'!$F$16)</f>
        <v>3760.6399999999994</v>
      </c>
      <c r="AD6" s="149">
        <f t="shared" si="4"/>
        <v>7681.44</v>
      </c>
      <c r="AE6" s="148">
        <f>INDEX('Master Data'!$D$58:$D$60,MATCH(D6,'Master Data'!$B$58:$B$60,0))</f>
        <v>13456.36</v>
      </c>
      <c r="AF6" s="148">
        <f>INDEX('Master Data'!$E$58:$E$60,MATCH(D6,'Master Data'!$B$58:$B$60,0))</f>
        <v>496.4</v>
      </c>
      <c r="AG6" s="148">
        <f>INDEX('Master Data'!$F$58:$F$60,MATCH(D6,'Master Data'!$B$58:$B$60,0))</f>
        <v>1438.1</v>
      </c>
      <c r="AH6" s="149">
        <f t="shared" si="5"/>
        <v>357138.83</v>
      </c>
      <c r="AI6" s="148">
        <f>ROUND(AH6*('Master Data'!$C$54),2)</f>
        <v>42856.66</v>
      </c>
      <c r="AJ6" s="148">
        <f>ROUND(SUM(AH6:AI6,AK6)*('Master Data'!$E$54),2)</f>
        <v>11983.48</v>
      </c>
      <c r="AK6" s="148">
        <f>ROUND(W6*('Master Data'!$F$54),2)</f>
        <v>0</v>
      </c>
      <c r="AL6" s="149">
        <f t="shared" si="6"/>
        <v>411978.97</v>
      </c>
      <c r="AM6" s="140">
        <f t="shared" si="7"/>
        <v>1187.26</v>
      </c>
      <c r="AN6" s="121"/>
      <c r="AO6" s="121"/>
      <c r="AP6" s="121"/>
      <c r="AQ6" s="121"/>
      <c r="AR6" s="121"/>
      <c r="AS6" s="121"/>
    </row>
    <row r="7" spans="1:45">
      <c r="A7" s="121" t="s">
        <v>160</v>
      </c>
      <c r="B7" s="121" t="str">
        <f t="shared" si="0"/>
        <v xml:space="preserve"> </v>
      </c>
      <c r="C7" s="121" t="str">
        <f t="shared" si="1"/>
        <v xml:space="preserve">Intermediate  </v>
      </c>
      <c r="D7" s="121">
        <f>INDEX('Master Data'!$C$75:$C$299,MATCH(A7,'Master Data'!$B$75:$B$299,0))</f>
        <v>1</v>
      </c>
      <c r="E7" s="147">
        <f>INDEX('Master Data'!$C$75:$O$299,MATCH(A7,'Master Data'!$B$75:$B$299,0),MATCH($E$1,'Master Data'!$C$74:$O$74,0))</f>
        <v>0.09</v>
      </c>
      <c r="F7" s="148">
        <f>ROUND(E7*INDEX('Master Data'!$F$4:$K$12,MATCH($E$1,'Master Data'!$E$4:$E$12,0),MATCH(C7,'Master Data'!$F$3:$K$3,0)),2)</f>
        <v>7333.82</v>
      </c>
      <c r="G7" s="147">
        <f>INDEX('Master Data'!$C$75:$O$299,MATCH(A7,'Master Data'!$B$75:$B$299,0),MATCH($G$1,'Master Data'!$C$74:$O$74,0))</f>
        <v>0.25</v>
      </c>
      <c r="H7" s="148">
        <f>ROUND(G7*INDEX('Master Data'!$F$4:$K$12,MATCH($G$1,'Master Data'!$E$4:$E$12,0),MATCH(C7,'Master Data'!$F$3:$K$3,0)),2)</f>
        <v>14097.16</v>
      </c>
      <c r="I7" s="147">
        <f>INDEX('Master Data'!$C$75:$O$299,MATCH(A7,'Master Data'!$B$75:$B$299,0),MATCH($I$1,'Master Data'!$C$74:$O$74,0))</f>
        <v>3.6</v>
      </c>
      <c r="J7" s="148">
        <f>ROUND(I7*INDEX('Master Data'!$F$4:$K$12,MATCH($I$1,'Master Data'!$E$4:$E$12,0),MATCH(C7,'Master Data'!$F$3:$K$3,0)),2)</f>
        <v>171725.72</v>
      </c>
      <c r="K7" s="147">
        <f>INDEX('Master Data'!$C$75:$O$299,MATCH(A7,'Master Data'!$B$75:$B$299,0),MATCH($K$1,'Master Data'!$C$74:$O$74,0))</f>
        <v>1.4</v>
      </c>
      <c r="L7" s="148">
        <f>ROUND(K7*INDEX('Master Data'!$F$4:$K$12,MATCH($K$1,'Master Data'!$E$4:$E$12,0),MATCH(C7,'Master Data'!$F$3:$K$3,0)),2)</f>
        <v>65579.399999999994</v>
      </c>
      <c r="M7" s="147">
        <f>INDEX('Master Data'!$C$75:$O$299,MATCH(A7,'Master Data'!$B$75:$B$299,0),MATCH($M$1,'Master Data'!$C$74:$O$74,0))</f>
        <v>0.57999999999999996</v>
      </c>
      <c r="N7" s="148">
        <f>ROUND(M7*INDEX('Master Data'!$F$4:$K$12,MATCH($M$1,'Master Data'!$E$4:$E$12,0),MATCH(C7,'Master Data'!$F$3:$K$3,0)),2)</f>
        <v>27666.92</v>
      </c>
      <c r="O7" s="147">
        <f>INDEX('Master Data'!$C$75:$O$299,MATCH(A7,'Master Data'!$B$75:$B$299,0),MATCH($O$1,'Master Data'!$C$74:$O$74,0))</f>
        <v>0.23</v>
      </c>
      <c r="P7" s="148">
        <f>ROUND(O7*INDEX('Master Data'!$F$4:$K$12,MATCH($O$1,'Master Data'!$E$4:$E$12,0),MATCH(C7,'Master Data'!$F$3:$K$3,0)),2)</f>
        <v>7176</v>
      </c>
      <c r="Q7" s="147">
        <f>INDEX('Master Data'!$C$75:$O$299,MATCH(A7,'Master Data'!$B$75:$B$299,0),MATCH($Q$1,'Master Data'!$C$74:$O$74,0))</f>
        <v>0.03</v>
      </c>
      <c r="R7" s="148">
        <f>ROUND(Q7*INDEX('Master Data'!$F$4:$K$12,MATCH($Q$1,'Master Data'!$E$4:$E$12,0),MATCH(C7,'Master Data'!$F$3:$K$3,0)),2)</f>
        <v>1405.27</v>
      </c>
      <c r="S7" s="147">
        <f>INDEX('Master Data'!$C$75:$O$299,MATCH(A7,'Master Data'!$B$75:$B$299,0),MATCH($S$1,'Master Data'!$C$74:$O$74,0))</f>
        <v>0</v>
      </c>
      <c r="T7" s="148">
        <f>ROUND(S7*INDEX('Master Data'!$F$4:$K$12,MATCH($S$1,'Master Data'!$E$4:$E$12,0),MATCH(C7,'Master Data'!$F$3:$K$3,0)),2)</f>
        <v>0</v>
      </c>
      <c r="U7" s="147">
        <f>INDEX('Master Data'!$C$75:$O$299,MATCH(A7,'Master Data'!$B$75:$B$299,0),MATCH($U$1,'Master Data'!$C$74:$O$74,0))</f>
        <v>0</v>
      </c>
      <c r="V7" s="148">
        <f>ROUND(U7*INDEX('Master Data'!$F$4:$K$12,MATCH($U$1,'Master Data'!$E$4:$E$12,0),MATCH(C7,'Master Data'!$F$3:$K$3,0)),2)</f>
        <v>0</v>
      </c>
      <c r="W7" s="149">
        <f t="shared" si="2"/>
        <v>294984.29000000004</v>
      </c>
      <c r="X7" s="148">
        <f>ROUND(W7*('Master Data'!$B$54),2)</f>
        <v>73657.58</v>
      </c>
      <c r="Y7" s="149">
        <f t="shared" si="3"/>
        <v>368641.87000000005</v>
      </c>
      <c r="Z7" s="147">
        <f>52*INDEX('Master Data'!$C$75:$O$299,MATCH(A7,'Master Data'!$B$75:$B$299,0),MATCH($Z$1,'Master Data'!$C$74:$O$74,0))</f>
        <v>52</v>
      </c>
      <c r="AA7" s="148">
        <f>Z7*('Master Data'!$F$15)</f>
        <v>3920.8</v>
      </c>
      <c r="AB7" s="147">
        <f>52*INDEX('Master Data'!$C$75:$O$299,MATCH(A7,'Master Data'!$B$75:$B$299,0),MATCH($AB$1,'Master Data'!$C$74:$O$74,0))</f>
        <v>52</v>
      </c>
      <c r="AC7" s="148">
        <f>AB7*('Master Data'!$F$16)</f>
        <v>3760.6399999999994</v>
      </c>
      <c r="AD7" s="149">
        <f t="shared" si="4"/>
        <v>7681.44</v>
      </c>
      <c r="AE7" s="148">
        <f>INDEX('Master Data'!$D$58:$D$60,MATCH(D7,'Master Data'!$B$58:$B$60,0))</f>
        <v>13456.36</v>
      </c>
      <c r="AF7" s="148">
        <f>INDEX('Master Data'!$E$58:$E$60,MATCH(D7,'Master Data'!$B$58:$B$60,0))</f>
        <v>496.4</v>
      </c>
      <c r="AG7" s="148">
        <f>INDEX('Master Data'!$F$58:$F$60,MATCH(D7,'Master Data'!$B$58:$B$60,0))</f>
        <v>1438.1</v>
      </c>
      <c r="AH7" s="149">
        <f t="shared" si="5"/>
        <v>391714.17000000004</v>
      </c>
      <c r="AI7" s="148">
        <f>ROUND(AH7*('Master Data'!$C$54),2)</f>
        <v>47005.7</v>
      </c>
      <c r="AJ7" s="148">
        <f>ROUND(SUM(AH7:AI7,AK7)*('Master Data'!$E$54),2)</f>
        <v>13143.63</v>
      </c>
      <c r="AK7" s="148">
        <f>ROUND(W7*('Master Data'!$F$54),2)</f>
        <v>0</v>
      </c>
      <c r="AL7" s="149">
        <f t="shared" si="6"/>
        <v>451863.50000000006</v>
      </c>
      <c r="AM7" s="140">
        <f t="shared" si="7"/>
        <v>1302.2</v>
      </c>
      <c r="AN7" s="121"/>
      <c r="AO7" s="121"/>
      <c r="AP7" s="121"/>
      <c r="AQ7" s="121"/>
      <c r="AR7" s="121"/>
      <c r="AS7" s="121"/>
    </row>
    <row r="8" spans="1:45">
      <c r="A8" s="121" t="s">
        <v>161</v>
      </c>
      <c r="B8" s="121" t="str">
        <f t="shared" si="0"/>
        <v xml:space="preserve"> </v>
      </c>
      <c r="C8" s="121" t="str">
        <f t="shared" si="1"/>
        <v xml:space="preserve">Intermediate  </v>
      </c>
      <c r="D8" s="121">
        <f>INDEX('Master Data'!$C$75:$C$299,MATCH(A8,'Master Data'!$B$75:$B$299,0))</f>
        <v>1</v>
      </c>
      <c r="E8" s="147">
        <f>INDEX('Master Data'!$C$75:$O$299,MATCH(A8,'Master Data'!$B$75:$B$299,0),MATCH($E$1,'Master Data'!$C$74:$O$74,0))</f>
        <v>0.09</v>
      </c>
      <c r="F8" s="148">
        <f>ROUND(E8*INDEX('Master Data'!$F$4:$K$12,MATCH($E$1,'Master Data'!$E$4:$E$12,0),MATCH(C8,'Master Data'!$F$3:$K$3,0)),2)</f>
        <v>7333.82</v>
      </c>
      <c r="G8" s="147">
        <f>INDEX('Master Data'!$C$75:$O$299,MATCH(A8,'Master Data'!$B$75:$B$299,0),MATCH($G$1,'Master Data'!$C$74:$O$74,0))</f>
        <v>0.25</v>
      </c>
      <c r="H8" s="148">
        <f>ROUND(G8*INDEX('Master Data'!$F$4:$K$12,MATCH($G$1,'Master Data'!$E$4:$E$12,0),MATCH(C8,'Master Data'!$F$3:$K$3,0)),2)</f>
        <v>14097.16</v>
      </c>
      <c r="I8" s="147">
        <f>INDEX('Master Data'!$C$75:$O$299,MATCH(A8,'Master Data'!$B$75:$B$299,0),MATCH($I$1,'Master Data'!$C$74:$O$74,0))</f>
        <v>4.0999999999999996</v>
      </c>
      <c r="J8" s="148">
        <f>ROUND(I8*INDEX('Master Data'!$F$4:$K$12,MATCH($I$1,'Master Data'!$E$4:$E$12,0),MATCH(C8,'Master Data'!$F$3:$K$3,0)),2)</f>
        <v>195576.52</v>
      </c>
      <c r="K8" s="147">
        <f>INDEX('Master Data'!$C$75:$O$299,MATCH(A8,'Master Data'!$B$75:$B$299,0),MATCH($K$1,'Master Data'!$C$74:$O$74,0))</f>
        <v>1.4</v>
      </c>
      <c r="L8" s="148">
        <f>ROUND(K8*INDEX('Master Data'!$F$4:$K$12,MATCH($K$1,'Master Data'!$E$4:$E$12,0),MATCH(C8,'Master Data'!$F$3:$K$3,0)),2)</f>
        <v>65579.399999999994</v>
      </c>
      <c r="M8" s="147">
        <f>INDEX('Master Data'!$C$75:$O$299,MATCH(A8,'Master Data'!$B$75:$B$299,0),MATCH($M$1,'Master Data'!$C$74:$O$74,0))</f>
        <v>0.66</v>
      </c>
      <c r="N8" s="148">
        <f>ROUND(M8*INDEX('Master Data'!$F$4:$K$12,MATCH($M$1,'Master Data'!$E$4:$E$12,0),MATCH(C8,'Master Data'!$F$3:$K$3,0)),2)</f>
        <v>31483.05</v>
      </c>
      <c r="O8" s="147">
        <f>INDEX('Master Data'!$C$75:$O$299,MATCH(A8,'Master Data'!$B$75:$B$299,0),MATCH($O$1,'Master Data'!$C$74:$O$74,0))</f>
        <v>0.23</v>
      </c>
      <c r="P8" s="148">
        <f>ROUND(O8*INDEX('Master Data'!$F$4:$K$12,MATCH($O$1,'Master Data'!$E$4:$E$12,0),MATCH(C8,'Master Data'!$F$3:$K$3,0)),2)</f>
        <v>7176</v>
      </c>
      <c r="Q8" s="147">
        <f>INDEX('Master Data'!$C$75:$O$299,MATCH(A8,'Master Data'!$B$75:$B$299,0),MATCH($Q$1,'Master Data'!$C$74:$O$74,0))</f>
        <v>0.03</v>
      </c>
      <c r="R8" s="148">
        <f>ROUND(Q8*INDEX('Master Data'!$F$4:$K$12,MATCH($Q$1,'Master Data'!$E$4:$E$12,0),MATCH(C8,'Master Data'!$F$3:$K$3,0)),2)</f>
        <v>1405.27</v>
      </c>
      <c r="S8" s="147">
        <f>INDEX('Master Data'!$C$75:$O$299,MATCH(A8,'Master Data'!$B$75:$B$299,0),MATCH($S$1,'Master Data'!$C$74:$O$74,0))</f>
        <v>0</v>
      </c>
      <c r="T8" s="148">
        <f>ROUND(S8*INDEX('Master Data'!$F$4:$K$12,MATCH($S$1,'Master Data'!$E$4:$E$12,0),MATCH(C8,'Master Data'!$F$3:$K$3,0)),2)</f>
        <v>0</v>
      </c>
      <c r="U8" s="147">
        <f>INDEX('Master Data'!$C$75:$O$299,MATCH(A8,'Master Data'!$B$75:$B$299,0),MATCH($U$1,'Master Data'!$C$74:$O$74,0))</f>
        <v>0</v>
      </c>
      <c r="V8" s="148">
        <f>ROUND(U8*INDEX('Master Data'!$F$4:$K$12,MATCH($U$1,'Master Data'!$E$4:$E$12,0),MATCH(C8,'Master Data'!$F$3:$K$3,0)),2)</f>
        <v>0</v>
      </c>
      <c r="W8" s="149">
        <f t="shared" si="2"/>
        <v>322651.22000000003</v>
      </c>
      <c r="X8" s="148">
        <f>ROUND(W8*('Master Data'!$B$54),2)</f>
        <v>80566.009999999995</v>
      </c>
      <c r="Y8" s="149">
        <f t="shared" si="3"/>
        <v>403217.23000000004</v>
      </c>
      <c r="Z8" s="147">
        <f>52*INDEX('Master Data'!$C$75:$O$299,MATCH(A8,'Master Data'!$B$75:$B$299,0),MATCH($Z$1,'Master Data'!$C$74:$O$74,0))</f>
        <v>52</v>
      </c>
      <c r="AA8" s="148">
        <f>Z8*('Master Data'!$F$15)</f>
        <v>3920.8</v>
      </c>
      <c r="AB8" s="147">
        <f>52*INDEX('Master Data'!$C$75:$O$299,MATCH(A8,'Master Data'!$B$75:$B$299,0),MATCH($AB$1,'Master Data'!$C$74:$O$74,0))</f>
        <v>52</v>
      </c>
      <c r="AC8" s="148">
        <f>AB8*('Master Data'!$F$16)</f>
        <v>3760.6399999999994</v>
      </c>
      <c r="AD8" s="149">
        <f t="shared" si="4"/>
        <v>7681.44</v>
      </c>
      <c r="AE8" s="148">
        <f>INDEX('Master Data'!$D$58:$D$60,MATCH(D8,'Master Data'!$B$58:$B$60,0))</f>
        <v>13456.36</v>
      </c>
      <c r="AF8" s="148">
        <f>INDEX('Master Data'!$E$58:$E$60,MATCH(D8,'Master Data'!$B$58:$B$60,0))</f>
        <v>496.4</v>
      </c>
      <c r="AG8" s="148">
        <f>INDEX('Master Data'!$F$58:$F$60,MATCH(D8,'Master Data'!$B$58:$B$60,0))</f>
        <v>1438.1</v>
      </c>
      <c r="AH8" s="149">
        <f t="shared" si="5"/>
        <v>426289.53</v>
      </c>
      <c r="AI8" s="148">
        <f>ROUND(AH8*('Master Data'!$C$54),2)</f>
        <v>51154.74</v>
      </c>
      <c r="AJ8" s="148">
        <f>ROUND(SUM(AH8:AI8,AK8)*('Master Data'!$E$54),2)</f>
        <v>14303.77</v>
      </c>
      <c r="AK8" s="148">
        <f>ROUND(W8*('Master Data'!$F$54),2)</f>
        <v>0</v>
      </c>
      <c r="AL8" s="149">
        <f t="shared" si="6"/>
        <v>491748.04000000004</v>
      </c>
      <c r="AM8" s="140">
        <f t="shared" si="7"/>
        <v>1417.14</v>
      </c>
      <c r="AN8" s="121"/>
      <c r="AO8" s="121"/>
      <c r="AP8" s="121"/>
      <c r="AQ8" s="121"/>
      <c r="AR8" s="121"/>
      <c r="AS8" s="121"/>
    </row>
    <row r="9" spans="1:45">
      <c r="A9" s="121" t="s">
        <v>162</v>
      </c>
      <c r="B9" s="121" t="str">
        <f t="shared" si="0"/>
        <v xml:space="preserve"> </v>
      </c>
      <c r="C9" s="121" t="str">
        <f t="shared" si="1"/>
        <v xml:space="preserve">Intermediate  </v>
      </c>
      <c r="D9" s="121">
        <f>INDEX('Master Data'!$C$75:$C$299,MATCH(A9,'Master Data'!$B$75:$B$299,0))</f>
        <v>1</v>
      </c>
      <c r="E9" s="147">
        <f>INDEX('Master Data'!$C$75:$O$299,MATCH(A9,'Master Data'!$B$75:$B$299,0),MATCH($E$1,'Master Data'!$C$74:$O$74,0))</f>
        <v>0.09</v>
      </c>
      <c r="F9" s="148">
        <f>ROUND(E9*INDEX('Master Data'!$F$4:$K$12,MATCH($E$1,'Master Data'!$E$4:$E$12,0),MATCH(C9,'Master Data'!$F$3:$K$3,0)),2)</f>
        <v>7333.82</v>
      </c>
      <c r="G9" s="147">
        <f>INDEX('Master Data'!$C$75:$O$299,MATCH(A9,'Master Data'!$B$75:$B$299,0),MATCH($G$1,'Master Data'!$C$74:$O$74,0))</f>
        <v>0.25</v>
      </c>
      <c r="H9" s="148">
        <f>ROUND(G9*INDEX('Master Data'!$F$4:$K$12,MATCH($G$1,'Master Data'!$E$4:$E$12,0),MATCH(C9,'Master Data'!$F$3:$K$3,0)),2)</f>
        <v>14097.16</v>
      </c>
      <c r="I9" s="147">
        <f>INDEX('Master Data'!$C$75:$O$299,MATCH(A9,'Master Data'!$B$75:$B$299,0),MATCH($I$1,'Master Data'!$C$74:$O$74,0))</f>
        <v>4.5999999999999996</v>
      </c>
      <c r="J9" s="148">
        <f>ROUND(I9*INDEX('Master Data'!$F$4:$K$12,MATCH($I$1,'Master Data'!$E$4:$E$12,0),MATCH(C9,'Master Data'!$F$3:$K$3,0)),2)</f>
        <v>219427.31</v>
      </c>
      <c r="K9" s="147">
        <f>INDEX('Master Data'!$C$75:$O$299,MATCH(A9,'Master Data'!$B$75:$B$299,0),MATCH($K$1,'Master Data'!$C$74:$O$74,0))</f>
        <v>1.4</v>
      </c>
      <c r="L9" s="148">
        <f>ROUND(K9*INDEX('Master Data'!$F$4:$K$12,MATCH($K$1,'Master Data'!$E$4:$E$12,0),MATCH(C9,'Master Data'!$F$3:$K$3,0)),2)</f>
        <v>65579.399999999994</v>
      </c>
      <c r="M9" s="147">
        <f>INDEX('Master Data'!$C$75:$O$299,MATCH(A9,'Master Data'!$B$75:$B$299,0),MATCH($M$1,'Master Data'!$C$74:$O$74,0))</f>
        <v>0.75</v>
      </c>
      <c r="N9" s="148">
        <f>ROUND(M9*INDEX('Master Data'!$F$4:$K$12,MATCH($M$1,'Master Data'!$E$4:$E$12,0),MATCH(C9,'Master Data'!$F$3:$K$3,0)),2)</f>
        <v>35776.19</v>
      </c>
      <c r="O9" s="147">
        <f>INDEX('Master Data'!$C$75:$O$299,MATCH(A9,'Master Data'!$B$75:$B$299,0),MATCH($O$1,'Master Data'!$C$74:$O$74,0))</f>
        <v>0.23</v>
      </c>
      <c r="P9" s="148">
        <f>ROUND(O9*INDEX('Master Data'!$F$4:$K$12,MATCH($O$1,'Master Data'!$E$4:$E$12,0),MATCH(C9,'Master Data'!$F$3:$K$3,0)),2)</f>
        <v>7176</v>
      </c>
      <c r="Q9" s="147">
        <f>INDEX('Master Data'!$C$75:$O$299,MATCH(A9,'Master Data'!$B$75:$B$299,0),MATCH($Q$1,'Master Data'!$C$74:$O$74,0))</f>
        <v>0.03</v>
      </c>
      <c r="R9" s="148">
        <f>ROUND(Q9*INDEX('Master Data'!$F$4:$K$12,MATCH($Q$1,'Master Data'!$E$4:$E$12,0),MATCH(C9,'Master Data'!$F$3:$K$3,0)),2)</f>
        <v>1405.27</v>
      </c>
      <c r="S9" s="147">
        <f>INDEX('Master Data'!$C$75:$O$299,MATCH(A9,'Master Data'!$B$75:$B$299,0),MATCH($S$1,'Master Data'!$C$74:$O$74,0))</f>
        <v>0</v>
      </c>
      <c r="T9" s="148">
        <f>ROUND(S9*INDEX('Master Data'!$F$4:$K$12,MATCH($S$1,'Master Data'!$E$4:$E$12,0),MATCH(C9,'Master Data'!$F$3:$K$3,0)),2)</f>
        <v>0</v>
      </c>
      <c r="U9" s="147">
        <f>INDEX('Master Data'!$C$75:$O$299,MATCH(A9,'Master Data'!$B$75:$B$299,0),MATCH($U$1,'Master Data'!$C$74:$O$74,0))</f>
        <v>0</v>
      </c>
      <c r="V9" s="148">
        <f>ROUND(U9*INDEX('Master Data'!$F$4:$K$12,MATCH($U$1,'Master Data'!$E$4:$E$12,0),MATCH(C9,'Master Data'!$F$3:$K$3,0)),2)</f>
        <v>0</v>
      </c>
      <c r="W9" s="149">
        <f t="shared" si="2"/>
        <v>350795.15</v>
      </c>
      <c r="X9" s="148">
        <f>ROUND(W9*('Master Data'!$B$54),2)</f>
        <v>87593.55</v>
      </c>
      <c r="Y9" s="149">
        <f t="shared" si="3"/>
        <v>438388.7</v>
      </c>
      <c r="Z9" s="147">
        <f>52*INDEX('Master Data'!$C$75:$O$299,MATCH(A9,'Master Data'!$B$75:$B$299,0),MATCH($Z$1,'Master Data'!$C$74:$O$74,0))</f>
        <v>52</v>
      </c>
      <c r="AA9" s="148">
        <f>Z9*('Master Data'!$F$15)</f>
        <v>3920.8</v>
      </c>
      <c r="AB9" s="147">
        <f>52*INDEX('Master Data'!$C$75:$O$299,MATCH(A9,'Master Data'!$B$75:$B$299,0),MATCH($AB$1,'Master Data'!$C$74:$O$74,0))</f>
        <v>52</v>
      </c>
      <c r="AC9" s="148">
        <f>AB9*('Master Data'!$F$16)</f>
        <v>3760.6399999999994</v>
      </c>
      <c r="AD9" s="149">
        <f t="shared" si="4"/>
        <v>7681.44</v>
      </c>
      <c r="AE9" s="148">
        <f>INDEX('Master Data'!$D$58:$D$60,MATCH(D9,'Master Data'!$B$58:$B$60,0))</f>
        <v>13456.36</v>
      </c>
      <c r="AF9" s="148">
        <f>INDEX('Master Data'!$E$58:$E$60,MATCH(D9,'Master Data'!$B$58:$B$60,0))</f>
        <v>496.4</v>
      </c>
      <c r="AG9" s="148">
        <f>INDEX('Master Data'!$F$58:$F$60,MATCH(D9,'Master Data'!$B$58:$B$60,0))</f>
        <v>1438.1</v>
      </c>
      <c r="AH9" s="149">
        <f t="shared" si="5"/>
        <v>461461</v>
      </c>
      <c r="AI9" s="148">
        <f>ROUND(AH9*('Master Data'!$C$54),2)</f>
        <v>55375.32</v>
      </c>
      <c r="AJ9" s="148">
        <f>ROUND(SUM(AH9:AI9,AK9)*('Master Data'!$E$54),2)</f>
        <v>15483.92</v>
      </c>
      <c r="AK9" s="148">
        <f>ROUND(W9*('Master Data'!$F$54),2)</f>
        <v>0</v>
      </c>
      <c r="AL9" s="149">
        <f t="shared" si="6"/>
        <v>532320.24</v>
      </c>
      <c r="AM9" s="140">
        <f t="shared" si="7"/>
        <v>1534.06</v>
      </c>
      <c r="AN9" s="121"/>
      <c r="AO9" s="121"/>
      <c r="AP9" s="121"/>
      <c r="AQ9" s="121"/>
      <c r="AR9" s="121"/>
      <c r="AS9" s="121"/>
    </row>
    <row r="10" spans="1:45">
      <c r="A10" s="121" t="s">
        <v>163</v>
      </c>
      <c r="B10" s="121" t="str">
        <f t="shared" si="0"/>
        <v xml:space="preserve"> </v>
      </c>
      <c r="C10" s="121" t="str">
        <f t="shared" si="1"/>
        <v xml:space="preserve">Intermediate  </v>
      </c>
      <c r="D10" s="121">
        <f>INDEX('Master Data'!$C$75:$C$299,MATCH(A10,'Master Data'!$B$75:$B$299,0))</f>
        <v>1</v>
      </c>
      <c r="E10" s="147">
        <f>INDEX('Master Data'!$C$75:$O$299,MATCH(A10,'Master Data'!$B$75:$B$299,0),MATCH($E$1,'Master Data'!$C$74:$O$74,0))</f>
        <v>0.09</v>
      </c>
      <c r="F10" s="148">
        <f>ROUND(E10*INDEX('Master Data'!$F$4:$K$12,MATCH($E$1,'Master Data'!$E$4:$E$12,0),MATCH(C10,'Master Data'!$F$3:$K$3,0)),2)</f>
        <v>7333.82</v>
      </c>
      <c r="G10" s="147">
        <f>INDEX('Master Data'!$C$75:$O$299,MATCH(A10,'Master Data'!$B$75:$B$299,0),MATCH($G$1,'Master Data'!$C$74:$O$74,0))</f>
        <v>0.25</v>
      </c>
      <c r="H10" s="148">
        <f>ROUND(G10*INDEX('Master Data'!$F$4:$K$12,MATCH($G$1,'Master Data'!$E$4:$E$12,0),MATCH(C10,'Master Data'!$F$3:$K$3,0)),2)</f>
        <v>14097.16</v>
      </c>
      <c r="I10" s="147">
        <f>INDEX('Master Data'!$C$75:$O$299,MATCH(A10,'Master Data'!$B$75:$B$299,0),MATCH($I$1,'Master Data'!$C$74:$O$74,0))</f>
        <v>5.0999999999999996</v>
      </c>
      <c r="J10" s="148">
        <f>ROUND(I10*INDEX('Master Data'!$F$4:$K$12,MATCH($I$1,'Master Data'!$E$4:$E$12,0),MATCH(C10,'Master Data'!$F$3:$K$3,0)),2)</f>
        <v>243278.11</v>
      </c>
      <c r="K10" s="147">
        <f>INDEX('Master Data'!$C$75:$O$299,MATCH(A10,'Master Data'!$B$75:$B$299,0),MATCH($K$1,'Master Data'!$C$74:$O$74,0))</f>
        <v>1.4</v>
      </c>
      <c r="L10" s="148">
        <f>ROUND(K10*INDEX('Master Data'!$F$4:$K$12,MATCH($K$1,'Master Data'!$E$4:$E$12,0),MATCH(C10,'Master Data'!$F$3:$K$3,0)),2)</f>
        <v>65579.399999999994</v>
      </c>
      <c r="M10" s="147">
        <f>INDEX('Master Data'!$C$75:$O$299,MATCH(A10,'Master Data'!$B$75:$B$299,0),MATCH($M$1,'Master Data'!$C$74:$O$74,0))</f>
        <v>0.83</v>
      </c>
      <c r="N10" s="148">
        <f>ROUND(M10*INDEX('Master Data'!$F$4:$K$12,MATCH($M$1,'Master Data'!$E$4:$E$12,0),MATCH(C10,'Master Data'!$F$3:$K$3,0)),2)</f>
        <v>39592.32</v>
      </c>
      <c r="O10" s="147">
        <f>INDEX('Master Data'!$C$75:$O$299,MATCH(A10,'Master Data'!$B$75:$B$299,0),MATCH($O$1,'Master Data'!$C$74:$O$74,0))</f>
        <v>0.23</v>
      </c>
      <c r="P10" s="148">
        <f>ROUND(O10*INDEX('Master Data'!$F$4:$K$12,MATCH($O$1,'Master Data'!$E$4:$E$12,0),MATCH(C10,'Master Data'!$F$3:$K$3,0)),2)</f>
        <v>7176</v>
      </c>
      <c r="Q10" s="147">
        <f>INDEX('Master Data'!$C$75:$O$299,MATCH(A10,'Master Data'!$B$75:$B$299,0),MATCH($Q$1,'Master Data'!$C$74:$O$74,0))</f>
        <v>0.03</v>
      </c>
      <c r="R10" s="148">
        <f>ROUND(Q10*INDEX('Master Data'!$F$4:$K$12,MATCH($Q$1,'Master Data'!$E$4:$E$12,0),MATCH(C10,'Master Data'!$F$3:$K$3,0)),2)</f>
        <v>1405.27</v>
      </c>
      <c r="S10" s="147">
        <f>INDEX('Master Data'!$C$75:$O$299,MATCH(A10,'Master Data'!$B$75:$B$299,0),MATCH($S$1,'Master Data'!$C$74:$O$74,0))</f>
        <v>0</v>
      </c>
      <c r="T10" s="148">
        <f>ROUND(S10*INDEX('Master Data'!$F$4:$K$12,MATCH($S$1,'Master Data'!$E$4:$E$12,0),MATCH(C10,'Master Data'!$F$3:$K$3,0)),2)</f>
        <v>0</v>
      </c>
      <c r="U10" s="147">
        <f>INDEX('Master Data'!$C$75:$O$299,MATCH(A10,'Master Data'!$B$75:$B$299,0),MATCH($U$1,'Master Data'!$C$74:$O$74,0))</f>
        <v>0</v>
      </c>
      <c r="V10" s="148">
        <f>ROUND(U10*INDEX('Master Data'!$F$4:$K$12,MATCH($U$1,'Master Data'!$E$4:$E$12,0),MATCH(C10,'Master Data'!$F$3:$K$3,0)),2)</f>
        <v>0</v>
      </c>
      <c r="W10" s="149">
        <f t="shared" si="2"/>
        <v>378462.08</v>
      </c>
      <c r="X10" s="148">
        <f>ROUND(W10*('Master Data'!$B$54),2)</f>
        <v>94501.98</v>
      </c>
      <c r="Y10" s="149">
        <f t="shared" si="3"/>
        <v>472964.06</v>
      </c>
      <c r="Z10" s="147">
        <f>52*INDEX('Master Data'!$C$75:$O$299,MATCH(A10,'Master Data'!$B$75:$B$299,0),MATCH($Z$1,'Master Data'!$C$74:$O$74,0))</f>
        <v>52</v>
      </c>
      <c r="AA10" s="148">
        <f>Z10*('Master Data'!$F$15)</f>
        <v>3920.8</v>
      </c>
      <c r="AB10" s="147">
        <f>52*INDEX('Master Data'!$C$75:$O$299,MATCH(A10,'Master Data'!$B$75:$B$299,0),MATCH($AB$1,'Master Data'!$C$74:$O$74,0))</f>
        <v>52</v>
      </c>
      <c r="AC10" s="148">
        <f>AB10*('Master Data'!$F$16)</f>
        <v>3760.6399999999994</v>
      </c>
      <c r="AD10" s="149">
        <f t="shared" si="4"/>
        <v>7681.44</v>
      </c>
      <c r="AE10" s="148">
        <f>INDEX('Master Data'!$D$58:$D$60,MATCH(D10,'Master Data'!$B$58:$B$60,0))</f>
        <v>13456.36</v>
      </c>
      <c r="AF10" s="148">
        <f>INDEX('Master Data'!$E$58:$E$60,MATCH(D10,'Master Data'!$B$58:$B$60,0))</f>
        <v>496.4</v>
      </c>
      <c r="AG10" s="148">
        <f>INDEX('Master Data'!$F$58:$F$60,MATCH(D10,'Master Data'!$B$58:$B$60,0))</f>
        <v>1438.1</v>
      </c>
      <c r="AH10" s="149">
        <f t="shared" si="5"/>
        <v>496036.36</v>
      </c>
      <c r="AI10" s="148">
        <f>ROUND(AH10*('Master Data'!$C$54),2)</f>
        <v>59524.36</v>
      </c>
      <c r="AJ10" s="148">
        <f>ROUND(SUM(AH10:AI10,AK10)*('Master Data'!$E$54),2)</f>
        <v>16644.07</v>
      </c>
      <c r="AK10" s="148">
        <f>ROUND(W10*('Master Data'!$F$54),2)</f>
        <v>0</v>
      </c>
      <c r="AL10" s="149">
        <f t="shared" si="6"/>
        <v>572204.78999999992</v>
      </c>
      <c r="AM10" s="140">
        <f t="shared" si="7"/>
        <v>1649.01</v>
      </c>
      <c r="AN10" s="121"/>
      <c r="AO10" s="121"/>
      <c r="AP10" s="121"/>
      <c r="AQ10" s="121"/>
      <c r="AR10" s="121"/>
      <c r="AS10" s="121"/>
    </row>
    <row r="11" spans="1:45">
      <c r="A11" s="121" t="s">
        <v>164</v>
      </c>
      <c r="B11" s="121" t="str">
        <f t="shared" si="0"/>
        <v xml:space="preserve"> </v>
      </c>
      <c r="C11" s="121" t="str">
        <f t="shared" si="1"/>
        <v xml:space="preserve">Intermediate  </v>
      </c>
      <c r="D11" s="121">
        <f>INDEX('Master Data'!$C$75:$C$299,MATCH(A11,'Master Data'!$B$75:$B$299,0))</f>
        <v>1</v>
      </c>
      <c r="E11" s="147">
        <f>INDEX('Master Data'!$C$75:$O$299,MATCH(A11,'Master Data'!$B$75:$B$299,0),MATCH($E$1,'Master Data'!$C$74:$O$74,0))</f>
        <v>0.09</v>
      </c>
      <c r="F11" s="148">
        <f>ROUND(E11*INDEX('Master Data'!$F$4:$K$12,MATCH($E$1,'Master Data'!$E$4:$E$12,0),MATCH(C11,'Master Data'!$F$3:$K$3,0)),2)</f>
        <v>7333.82</v>
      </c>
      <c r="G11" s="147">
        <f>INDEX('Master Data'!$C$75:$O$299,MATCH(A11,'Master Data'!$B$75:$B$299,0),MATCH($G$1,'Master Data'!$C$74:$O$74,0))</f>
        <v>0.25</v>
      </c>
      <c r="H11" s="148">
        <f>ROUND(G11*INDEX('Master Data'!$F$4:$K$12,MATCH($G$1,'Master Data'!$E$4:$E$12,0),MATCH(C11,'Master Data'!$F$3:$K$3,0)),2)</f>
        <v>14097.16</v>
      </c>
      <c r="I11" s="147">
        <f>INDEX('Master Data'!$C$75:$O$299,MATCH(A11,'Master Data'!$B$75:$B$299,0),MATCH($I$1,'Master Data'!$C$74:$O$74,0))</f>
        <v>5.6</v>
      </c>
      <c r="J11" s="148">
        <f>ROUND(I11*INDEX('Master Data'!$F$4:$K$12,MATCH($I$1,'Master Data'!$E$4:$E$12,0),MATCH(C11,'Master Data'!$F$3:$K$3,0)),2)</f>
        <v>267128.90000000002</v>
      </c>
      <c r="K11" s="147">
        <f>INDEX('Master Data'!$C$75:$O$299,MATCH(A11,'Master Data'!$B$75:$B$299,0),MATCH($K$1,'Master Data'!$C$74:$O$74,0))</f>
        <v>1.4</v>
      </c>
      <c r="L11" s="148">
        <f>ROUND(K11*INDEX('Master Data'!$F$4:$K$12,MATCH($K$1,'Master Data'!$E$4:$E$12,0),MATCH(C11,'Master Data'!$F$3:$K$3,0)),2)</f>
        <v>65579.399999999994</v>
      </c>
      <c r="M11" s="147">
        <f>INDEX('Master Data'!$C$75:$O$299,MATCH(A11,'Master Data'!$B$75:$B$299,0),MATCH($M$1,'Master Data'!$C$74:$O$74,0))</f>
        <v>0.91</v>
      </c>
      <c r="N11" s="148">
        <f>ROUND(M11*INDEX('Master Data'!$F$4:$K$12,MATCH($M$1,'Master Data'!$E$4:$E$12,0),MATCH(C11,'Master Data'!$F$3:$K$3,0)),2)</f>
        <v>43408.45</v>
      </c>
      <c r="O11" s="147">
        <f>INDEX('Master Data'!$C$75:$O$299,MATCH(A11,'Master Data'!$B$75:$B$299,0),MATCH($O$1,'Master Data'!$C$74:$O$74,0))</f>
        <v>0.23</v>
      </c>
      <c r="P11" s="148">
        <f>ROUND(O11*INDEX('Master Data'!$F$4:$K$12,MATCH($O$1,'Master Data'!$E$4:$E$12,0),MATCH(C11,'Master Data'!$F$3:$K$3,0)),2)</f>
        <v>7176</v>
      </c>
      <c r="Q11" s="147">
        <f>INDEX('Master Data'!$C$75:$O$299,MATCH(A11,'Master Data'!$B$75:$B$299,0),MATCH($Q$1,'Master Data'!$C$74:$O$74,0))</f>
        <v>0.03</v>
      </c>
      <c r="R11" s="148">
        <f>ROUND(Q11*INDEX('Master Data'!$F$4:$K$12,MATCH($Q$1,'Master Data'!$E$4:$E$12,0),MATCH(C11,'Master Data'!$F$3:$K$3,0)),2)</f>
        <v>1405.27</v>
      </c>
      <c r="S11" s="147">
        <f>INDEX('Master Data'!$C$75:$O$299,MATCH(A11,'Master Data'!$B$75:$B$299,0),MATCH($S$1,'Master Data'!$C$74:$O$74,0))</f>
        <v>0</v>
      </c>
      <c r="T11" s="148">
        <f>ROUND(S11*INDEX('Master Data'!$F$4:$K$12,MATCH($S$1,'Master Data'!$E$4:$E$12,0),MATCH(C11,'Master Data'!$F$3:$K$3,0)),2)</f>
        <v>0</v>
      </c>
      <c r="U11" s="147">
        <f>INDEX('Master Data'!$C$75:$O$299,MATCH(A11,'Master Data'!$B$75:$B$299,0),MATCH($U$1,'Master Data'!$C$74:$O$74,0))</f>
        <v>0</v>
      </c>
      <c r="V11" s="148">
        <f>ROUND(U11*INDEX('Master Data'!$F$4:$K$12,MATCH($U$1,'Master Data'!$E$4:$E$12,0),MATCH(C11,'Master Data'!$F$3:$K$3,0)),2)</f>
        <v>0</v>
      </c>
      <c r="W11" s="149">
        <f t="shared" si="2"/>
        <v>406129.00000000006</v>
      </c>
      <c r="X11" s="148">
        <f>ROUND(W11*('Master Data'!$B$54),2)</f>
        <v>101410.41</v>
      </c>
      <c r="Y11" s="149">
        <f t="shared" si="3"/>
        <v>507539.41000000003</v>
      </c>
      <c r="Z11" s="147">
        <f>52*INDEX('Master Data'!$C$75:$O$299,MATCH(A11,'Master Data'!$B$75:$B$299,0),MATCH($Z$1,'Master Data'!$C$74:$O$74,0))</f>
        <v>52</v>
      </c>
      <c r="AA11" s="148">
        <f>Z11*('Master Data'!$F$15)</f>
        <v>3920.8</v>
      </c>
      <c r="AB11" s="147">
        <f>52*INDEX('Master Data'!$C$75:$O$299,MATCH(A11,'Master Data'!$B$75:$B$299,0),MATCH($AB$1,'Master Data'!$C$74:$O$74,0))</f>
        <v>52</v>
      </c>
      <c r="AC11" s="148">
        <f>AB11*('Master Data'!$F$16)</f>
        <v>3760.6399999999994</v>
      </c>
      <c r="AD11" s="149">
        <f t="shared" si="4"/>
        <v>7681.44</v>
      </c>
      <c r="AE11" s="148">
        <f>INDEX('Master Data'!$D$58:$D$60,MATCH(D11,'Master Data'!$B$58:$B$60,0))</f>
        <v>13456.36</v>
      </c>
      <c r="AF11" s="148">
        <f>INDEX('Master Data'!$E$58:$E$60,MATCH(D11,'Master Data'!$B$58:$B$60,0))</f>
        <v>496.4</v>
      </c>
      <c r="AG11" s="148">
        <f>INDEX('Master Data'!$F$58:$F$60,MATCH(D11,'Master Data'!$B$58:$B$60,0))</f>
        <v>1438.1</v>
      </c>
      <c r="AH11" s="149">
        <f t="shared" si="5"/>
        <v>530611.71000000008</v>
      </c>
      <c r="AI11" s="148">
        <f>ROUND(AH11*('Master Data'!$C$54),2)</f>
        <v>63673.41</v>
      </c>
      <c r="AJ11" s="148">
        <f>ROUND(SUM(AH11:AI11,AK11)*('Master Data'!$E$54),2)</f>
        <v>17804.21</v>
      </c>
      <c r="AK11" s="148">
        <f>ROUND(W11*('Master Data'!$F$54),2)</f>
        <v>0</v>
      </c>
      <c r="AL11" s="149">
        <f t="shared" si="6"/>
        <v>612089.33000000007</v>
      </c>
      <c r="AM11" s="140">
        <f t="shared" si="7"/>
        <v>1763.95</v>
      </c>
      <c r="AN11" s="121"/>
      <c r="AO11" s="121"/>
      <c r="AP11" s="121"/>
      <c r="AQ11" s="121"/>
      <c r="AR11" s="121"/>
      <c r="AS11" s="121"/>
    </row>
    <row r="12" spans="1:45">
      <c r="A12" s="121" t="s">
        <v>165</v>
      </c>
      <c r="B12" s="121" t="str">
        <f t="shared" si="0"/>
        <v xml:space="preserve"> </v>
      </c>
      <c r="C12" s="121" t="str">
        <f t="shared" si="1"/>
        <v xml:space="preserve">Basic  </v>
      </c>
      <c r="D12" s="121" t="str">
        <f>INDEX('Master Data'!$C$75:$C$299,MATCH(A12,'Master Data'!$B$75:$B$299,0))</f>
        <v>2-3</v>
      </c>
      <c r="E12" s="147">
        <f>INDEX('Master Data'!$C$75:$O$299,MATCH(A12,'Master Data'!$B$75:$B$299,0),MATCH($E$1,'Master Data'!$C$74:$O$74,0))</f>
        <v>0.18</v>
      </c>
      <c r="F12" s="148">
        <f>ROUND(E12*INDEX('Master Data'!$F$4:$K$12,MATCH($E$1,'Master Data'!$E$4:$E$12,0),MATCH(C12,'Master Data'!$F$3:$K$3,0)),2)</f>
        <v>14667.64</v>
      </c>
      <c r="G12" s="147">
        <f>INDEX('Master Data'!$C$75:$O$299,MATCH(A12,'Master Data'!$B$75:$B$299,0),MATCH($G$1,'Master Data'!$C$74:$O$74,0))</f>
        <v>0.66</v>
      </c>
      <c r="H12" s="148">
        <f>ROUND(G12*INDEX('Master Data'!$F$4:$K$12,MATCH($G$1,'Master Data'!$E$4:$E$12,0),MATCH(C12,'Master Data'!$F$3:$K$3,0)),2)</f>
        <v>37216.5</v>
      </c>
      <c r="I12" s="147">
        <f>INDEX('Master Data'!$C$75:$O$299,MATCH(A12,'Master Data'!$B$75:$B$299,0),MATCH($I$1,'Master Data'!$C$74:$O$74,0))</f>
        <v>2.1</v>
      </c>
      <c r="J12" s="148">
        <f>ROUND(I12*INDEX('Master Data'!$F$4:$K$12,MATCH($I$1,'Master Data'!$E$4:$E$12,0),MATCH(C12,'Master Data'!$F$3:$K$3,0)),2)</f>
        <v>98369.11</v>
      </c>
      <c r="K12" s="147">
        <f>INDEX('Master Data'!$C$75:$O$299,MATCH(A12,'Master Data'!$B$75:$B$299,0),MATCH($K$1,'Master Data'!$C$74:$O$74,0))</f>
        <v>1.4</v>
      </c>
      <c r="L12" s="148">
        <f>ROUND(K12*INDEX('Master Data'!$F$4:$K$12,MATCH($K$1,'Master Data'!$E$4:$E$12,0),MATCH(C12,'Master Data'!$F$3:$K$3,0)),2)</f>
        <v>65579.399999999994</v>
      </c>
      <c r="M12" s="147">
        <f>INDEX('Master Data'!$C$75:$O$299,MATCH(A12,'Master Data'!$B$75:$B$299,0),MATCH($M$1,'Master Data'!$C$74:$O$74,0))</f>
        <v>0.34</v>
      </c>
      <c r="N12" s="148">
        <f>ROUND(M12*INDEX('Master Data'!$F$4:$K$12,MATCH($M$1,'Master Data'!$E$4:$E$12,0),MATCH(C12,'Master Data'!$F$3:$K$3,0)),2)</f>
        <v>15926.43</v>
      </c>
      <c r="O12" s="147">
        <f>INDEX('Master Data'!$C$75:$O$299,MATCH(A12,'Master Data'!$B$75:$B$299,0),MATCH($O$1,'Master Data'!$C$74:$O$74,0))</f>
        <v>0.23</v>
      </c>
      <c r="P12" s="148">
        <f>ROUND(O12*INDEX('Master Data'!$F$4:$K$12,MATCH($O$1,'Master Data'!$E$4:$E$12,0),MATCH(C12,'Master Data'!$F$3:$K$3,0)),2)</f>
        <v>7176</v>
      </c>
      <c r="Q12" s="147">
        <f>INDEX('Master Data'!$C$75:$O$299,MATCH(A12,'Master Data'!$B$75:$B$299,0),MATCH($Q$1,'Master Data'!$C$74:$O$74,0))</f>
        <v>0.12</v>
      </c>
      <c r="R12" s="148">
        <f>ROUND(Q12*INDEX('Master Data'!$F$4:$K$12,MATCH($Q$1,'Master Data'!$E$4:$E$12,0),MATCH(C12,'Master Data'!$F$3:$K$3,0)),2)</f>
        <v>5621.09</v>
      </c>
      <c r="S12" s="147">
        <f>INDEX('Master Data'!$C$75:$O$299,MATCH(A12,'Master Data'!$B$75:$B$299,0),MATCH($S$1,'Master Data'!$C$74:$O$74,0))</f>
        <v>0</v>
      </c>
      <c r="T12" s="148">
        <f>ROUND(S12*INDEX('Master Data'!$F$4:$K$12,MATCH($S$1,'Master Data'!$E$4:$E$12,0),MATCH(C12,'Master Data'!$F$3:$K$3,0)),2)</f>
        <v>0</v>
      </c>
      <c r="U12" s="147">
        <f>INDEX('Master Data'!$C$75:$O$299,MATCH(A12,'Master Data'!$B$75:$B$299,0),MATCH($U$1,'Master Data'!$C$74:$O$74,0))</f>
        <v>0</v>
      </c>
      <c r="V12" s="148">
        <f>ROUND(U12*INDEX('Master Data'!$F$4:$K$12,MATCH($U$1,'Master Data'!$E$4:$E$12,0),MATCH(C12,'Master Data'!$F$3:$K$3,0)),2)</f>
        <v>0</v>
      </c>
      <c r="W12" s="149">
        <f t="shared" si="2"/>
        <v>244556.16999999998</v>
      </c>
      <c r="X12" s="148">
        <f>ROUND(W12*('Master Data'!$B$54),2)</f>
        <v>61065.68</v>
      </c>
      <c r="Y12" s="149">
        <f t="shared" si="3"/>
        <v>305621.84999999998</v>
      </c>
      <c r="Z12" s="147">
        <f>52*INDEX('Master Data'!$C$75:$O$299,MATCH(A12,'Master Data'!$B$75:$B$299,0),MATCH($Z$1,'Master Data'!$C$74:$O$74,0))</f>
        <v>52</v>
      </c>
      <c r="AA12" s="148">
        <f>Z12*('Master Data'!$F$15)</f>
        <v>3920.8</v>
      </c>
      <c r="AB12" s="147">
        <f>52*INDEX('Master Data'!$C$75:$O$299,MATCH(A12,'Master Data'!$B$75:$B$299,0),MATCH($AB$1,'Master Data'!$C$74:$O$74,0))</f>
        <v>52</v>
      </c>
      <c r="AC12" s="148">
        <f>AB12*('Master Data'!$F$16)</f>
        <v>3760.6399999999994</v>
      </c>
      <c r="AD12" s="149">
        <f t="shared" si="4"/>
        <v>7681.44</v>
      </c>
      <c r="AE12" s="148">
        <f>INDEX('Master Data'!$D$58:$D$60,MATCH(D12,'Master Data'!$B$58:$B$60,0))</f>
        <v>19577.099999999999</v>
      </c>
      <c r="AF12" s="148">
        <f>INDEX('Master Data'!$E$58:$E$60,MATCH(D12,'Master Data'!$B$58:$B$60,0))</f>
        <v>992.8</v>
      </c>
      <c r="AG12" s="148">
        <f>INDEX('Master Data'!$F$58:$F$60,MATCH(D12,'Master Data'!$B$58:$B$60,0))</f>
        <v>2876.2</v>
      </c>
      <c r="AH12" s="149">
        <f t="shared" si="5"/>
        <v>336749.38999999996</v>
      </c>
      <c r="AI12" s="148">
        <f>ROUND(AH12*('Master Data'!$C$54),2)</f>
        <v>40409.93</v>
      </c>
      <c r="AJ12" s="148">
        <f>ROUND(SUM(AH12:AI12,AK12)*('Master Data'!$E$54),2)</f>
        <v>11299.33</v>
      </c>
      <c r="AK12" s="148">
        <f>ROUND(W12*('Master Data'!$F$54),2)</f>
        <v>0</v>
      </c>
      <c r="AL12" s="149">
        <f t="shared" si="6"/>
        <v>388458.64999999997</v>
      </c>
      <c r="AM12" s="140">
        <f t="shared" si="7"/>
        <v>1119.48</v>
      </c>
      <c r="AN12" s="121"/>
      <c r="AO12" s="121"/>
      <c r="AP12" s="121"/>
      <c r="AQ12" s="121"/>
      <c r="AR12" s="121"/>
      <c r="AS12" s="121"/>
    </row>
    <row r="13" spans="1:45">
      <c r="A13" s="121" t="s">
        <v>166</v>
      </c>
      <c r="B13" s="121" t="str">
        <f t="shared" si="0"/>
        <v xml:space="preserve"> </v>
      </c>
      <c r="C13" s="121" t="str">
        <f t="shared" si="1"/>
        <v xml:space="preserve">Basic  </v>
      </c>
      <c r="D13" s="121" t="str">
        <f>INDEX('Master Data'!$C$75:$C$299,MATCH(A13,'Master Data'!$B$75:$B$299,0))</f>
        <v>2-3</v>
      </c>
      <c r="E13" s="147">
        <f>INDEX('Master Data'!$C$75:$O$299,MATCH(A13,'Master Data'!$B$75:$B$299,0),MATCH($E$1,'Master Data'!$C$74:$O$74,0))</f>
        <v>0.18</v>
      </c>
      <c r="F13" s="148">
        <f>ROUND(E13*INDEX('Master Data'!$F$4:$K$12,MATCH($E$1,'Master Data'!$E$4:$E$12,0),MATCH(C13,'Master Data'!$F$3:$K$3,0)),2)</f>
        <v>14667.64</v>
      </c>
      <c r="G13" s="147">
        <f>INDEX('Master Data'!$C$75:$O$299,MATCH(A13,'Master Data'!$B$75:$B$299,0),MATCH($G$1,'Master Data'!$C$74:$O$74,0))</f>
        <v>0.66</v>
      </c>
      <c r="H13" s="148">
        <f>ROUND(G13*INDEX('Master Data'!$F$4:$K$12,MATCH($G$1,'Master Data'!$E$4:$E$12,0),MATCH(C13,'Master Data'!$F$3:$K$3,0)),2)</f>
        <v>37216.5</v>
      </c>
      <c r="I13" s="147">
        <f>INDEX('Master Data'!$C$75:$O$299,MATCH(A13,'Master Data'!$B$75:$B$299,0),MATCH($I$1,'Master Data'!$C$74:$O$74,0))</f>
        <v>2.6</v>
      </c>
      <c r="J13" s="148">
        <f>ROUND(I13*INDEX('Master Data'!$F$4:$K$12,MATCH($I$1,'Master Data'!$E$4:$E$12,0),MATCH(C13,'Master Data'!$F$3:$K$3,0)),2)</f>
        <v>121790.32</v>
      </c>
      <c r="K13" s="147">
        <f>INDEX('Master Data'!$C$75:$O$299,MATCH(A13,'Master Data'!$B$75:$B$299,0),MATCH($K$1,'Master Data'!$C$74:$O$74,0))</f>
        <v>1.4</v>
      </c>
      <c r="L13" s="148">
        <f>ROUND(K13*INDEX('Master Data'!$F$4:$K$12,MATCH($K$1,'Master Data'!$E$4:$E$12,0),MATCH(C13,'Master Data'!$F$3:$K$3,0)),2)</f>
        <v>65579.399999999994</v>
      </c>
      <c r="M13" s="147">
        <f>INDEX('Master Data'!$C$75:$O$299,MATCH(A13,'Master Data'!$B$75:$B$299,0),MATCH($M$1,'Master Data'!$C$74:$O$74,0))</f>
        <v>0.42</v>
      </c>
      <c r="N13" s="148">
        <f>ROUND(M13*INDEX('Master Data'!$F$4:$K$12,MATCH($M$1,'Master Data'!$E$4:$E$12,0),MATCH(C13,'Master Data'!$F$3:$K$3,0)),2)</f>
        <v>19673.82</v>
      </c>
      <c r="O13" s="147">
        <f>INDEX('Master Data'!$C$75:$O$299,MATCH(A13,'Master Data'!$B$75:$B$299,0),MATCH($O$1,'Master Data'!$C$74:$O$74,0))</f>
        <v>0.23</v>
      </c>
      <c r="P13" s="148">
        <f>ROUND(O13*INDEX('Master Data'!$F$4:$K$12,MATCH($O$1,'Master Data'!$E$4:$E$12,0),MATCH(C13,'Master Data'!$F$3:$K$3,0)),2)</f>
        <v>7176</v>
      </c>
      <c r="Q13" s="147">
        <f>INDEX('Master Data'!$C$75:$O$299,MATCH(A13,'Master Data'!$B$75:$B$299,0),MATCH($Q$1,'Master Data'!$C$74:$O$74,0))</f>
        <v>0.12</v>
      </c>
      <c r="R13" s="148">
        <f>ROUND(Q13*INDEX('Master Data'!$F$4:$K$12,MATCH($Q$1,'Master Data'!$E$4:$E$12,0),MATCH(C13,'Master Data'!$F$3:$K$3,0)),2)</f>
        <v>5621.09</v>
      </c>
      <c r="S13" s="147">
        <f>INDEX('Master Data'!$C$75:$O$299,MATCH(A13,'Master Data'!$B$75:$B$299,0),MATCH($S$1,'Master Data'!$C$74:$O$74,0))</f>
        <v>0</v>
      </c>
      <c r="T13" s="148">
        <f>ROUND(S13*INDEX('Master Data'!$F$4:$K$12,MATCH($S$1,'Master Data'!$E$4:$E$12,0),MATCH(C13,'Master Data'!$F$3:$K$3,0)),2)</f>
        <v>0</v>
      </c>
      <c r="U13" s="147">
        <f>INDEX('Master Data'!$C$75:$O$299,MATCH(A13,'Master Data'!$B$75:$B$299,0),MATCH($U$1,'Master Data'!$C$74:$O$74,0))</f>
        <v>0</v>
      </c>
      <c r="V13" s="148">
        <f>ROUND(U13*INDEX('Master Data'!$F$4:$K$12,MATCH($U$1,'Master Data'!$E$4:$E$12,0),MATCH(C13,'Master Data'!$F$3:$K$3,0)),2)</f>
        <v>0</v>
      </c>
      <c r="W13" s="149">
        <f t="shared" si="2"/>
        <v>271724.77000000008</v>
      </c>
      <c r="X13" s="148">
        <f>ROUND(W13*('Master Data'!$B$54),2)</f>
        <v>67849.679999999993</v>
      </c>
      <c r="Y13" s="149">
        <f t="shared" si="3"/>
        <v>339574.45000000007</v>
      </c>
      <c r="Z13" s="147">
        <f>52*INDEX('Master Data'!$C$75:$O$299,MATCH(A13,'Master Data'!$B$75:$B$299,0),MATCH($Z$1,'Master Data'!$C$74:$O$74,0))</f>
        <v>52</v>
      </c>
      <c r="AA13" s="148">
        <f>Z13*('Master Data'!$F$15)</f>
        <v>3920.8</v>
      </c>
      <c r="AB13" s="147">
        <f>52*INDEX('Master Data'!$C$75:$O$299,MATCH(A13,'Master Data'!$B$75:$B$299,0),MATCH($AB$1,'Master Data'!$C$74:$O$74,0))</f>
        <v>52</v>
      </c>
      <c r="AC13" s="148">
        <f>AB13*('Master Data'!$F$16)</f>
        <v>3760.6399999999994</v>
      </c>
      <c r="AD13" s="149">
        <f t="shared" si="4"/>
        <v>7681.44</v>
      </c>
      <c r="AE13" s="148">
        <f>INDEX('Master Data'!$D$58:$D$60,MATCH(D13,'Master Data'!$B$58:$B$60,0))</f>
        <v>19577.099999999999</v>
      </c>
      <c r="AF13" s="148">
        <f>INDEX('Master Data'!$E$58:$E$60,MATCH(D13,'Master Data'!$B$58:$B$60,0))</f>
        <v>992.8</v>
      </c>
      <c r="AG13" s="148">
        <f>INDEX('Master Data'!$F$58:$F$60,MATCH(D13,'Master Data'!$B$58:$B$60,0))</f>
        <v>2876.2</v>
      </c>
      <c r="AH13" s="149">
        <f t="shared" si="5"/>
        <v>370701.99000000005</v>
      </c>
      <c r="AI13" s="148">
        <f>ROUND(AH13*('Master Data'!$C$54),2)</f>
        <v>44484.24</v>
      </c>
      <c r="AJ13" s="148">
        <f>ROUND(SUM(AH13:AI13,AK13)*('Master Data'!$E$54),2)</f>
        <v>12438.58</v>
      </c>
      <c r="AK13" s="148">
        <f>ROUND(W13*('Master Data'!$F$54),2)</f>
        <v>0</v>
      </c>
      <c r="AL13" s="149">
        <f t="shared" si="6"/>
        <v>427624.81000000006</v>
      </c>
      <c r="AM13" s="140">
        <f t="shared" si="7"/>
        <v>1232.3499999999999</v>
      </c>
      <c r="AN13" s="121"/>
      <c r="AO13" s="121"/>
      <c r="AP13" s="121"/>
      <c r="AQ13" s="121"/>
      <c r="AR13" s="121"/>
      <c r="AS13" s="121"/>
    </row>
    <row r="14" spans="1:45">
      <c r="A14" s="121" t="s">
        <v>167</v>
      </c>
      <c r="B14" s="121" t="str">
        <f t="shared" si="0"/>
        <v xml:space="preserve"> </v>
      </c>
      <c r="C14" s="121" t="str">
        <f t="shared" si="1"/>
        <v xml:space="preserve">Basic  </v>
      </c>
      <c r="D14" s="121" t="str">
        <f>INDEX('Master Data'!$C$75:$C$299,MATCH(A14,'Master Data'!$B$75:$B$299,0))</f>
        <v>2-3</v>
      </c>
      <c r="E14" s="147">
        <f>INDEX('Master Data'!$C$75:$O$299,MATCH(A14,'Master Data'!$B$75:$B$299,0),MATCH($E$1,'Master Data'!$C$74:$O$74,0))</f>
        <v>0.18</v>
      </c>
      <c r="F14" s="148">
        <f>ROUND(E14*INDEX('Master Data'!$F$4:$K$12,MATCH($E$1,'Master Data'!$E$4:$E$12,0),MATCH(C14,'Master Data'!$F$3:$K$3,0)),2)</f>
        <v>14667.64</v>
      </c>
      <c r="G14" s="147">
        <f>INDEX('Master Data'!$C$75:$O$299,MATCH(A14,'Master Data'!$B$75:$B$299,0),MATCH($G$1,'Master Data'!$C$74:$O$74,0))</f>
        <v>0.66</v>
      </c>
      <c r="H14" s="148">
        <f>ROUND(G14*INDEX('Master Data'!$F$4:$K$12,MATCH($G$1,'Master Data'!$E$4:$E$12,0),MATCH(C14,'Master Data'!$F$3:$K$3,0)),2)</f>
        <v>37216.5</v>
      </c>
      <c r="I14" s="147">
        <f>INDEX('Master Data'!$C$75:$O$299,MATCH(A14,'Master Data'!$B$75:$B$299,0),MATCH($I$1,'Master Data'!$C$74:$O$74,0))</f>
        <v>3.1</v>
      </c>
      <c r="J14" s="148">
        <f>ROUND(I14*INDEX('Master Data'!$F$4:$K$12,MATCH($I$1,'Master Data'!$E$4:$E$12,0),MATCH(C14,'Master Data'!$F$3:$K$3,0)),2)</f>
        <v>145211.54</v>
      </c>
      <c r="K14" s="147">
        <f>INDEX('Master Data'!$C$75:$O$299,MATCH(A14,'Master Data'!$B$75:$B$299,0),MATCH($K$1,'Master Data'!$C$74:$O$74,0))</f>
        <v>1.4</v>
      </c>
      <c r="L14" s="148">
        <f>ROUND(K14*INDEX('Master Data'!$F$4:$K$12,MATCH($K$1,'Master Data'!$E$4:$E$12,0),MATCH(C14,'Master Data'!$F$3:$K$3,0)),2)</f>
        <v>65579.399999999994</v>
      </c>
      <c r="M14" s="147">
        <f>INDEX('Master Data'!$C$75:$O$299,MATCH(A14,'Master Data'!$B$75:$B$299,0),MATCH($M$1,'Master Data'!$C$74:$O$74,0))</f>
        <v>0.5</v>
      </c>
      <c r="N14" s="148">
        <f>ROUND(M14*INDEX('Master Data'!$F$4:$K$12,MATCH($M$1,'Master Data'!$E$4:$E$12,0),MATCH(C14,'Master Data'!$F$3:$K$3,0)),2)</f>
        <v>23421.22</v>
      </c>
      <c r="O14" s="147">
        <f>INDEX('Master Data'!$C$75:$O$299,MATCH(A14,'Master Data'!$B$75:$B$299,0),MATCH($O$1,'Master Data'!$C$74:$O$74,0))</f>
        <v>0.23</v>
      </c>
      <c r="P14" s="148">
        <f>ROUND(O14*INDEX('Master Data'!$F$4:$K$12,MATCH($O$1,'Master Data'!$E$4:$E$12,0),MATCH(C14,'Master Data'!$F$3:$K$3,0)),2)</f>
        <v>7176</v>
      </c>
      <c r="Q14" s="147">
        <f>INDEX('Master Data'!$C$75:$O$299,MATCH(A14,'Master Data'!$B$75:$B$299,0),MATCH($Q$1,'Master Data'!$C$74:$O$74,0))</f>
        <v>0.12</v>
      </c>
      <c r="R14" s="148">
        <f>ROUND(Q14*INDEX('Master Data'!$F$4:$K$12,MATCH($Q$1,'Master Data'!$E$4:$E$12,0),MATCH(C14,'Master Data'!$F$3:$K$3,0)),2)</f>
        <v>5621.09</v>
      </c>
      <c r="S14" s="147">
        <f>INDEX('Master Data'!$C$75:$O$299,MATCH(A14,'Master Data'!$B$75:$B$299,0),MATCH($S$1,'Master Data'!$C$74:$O$74,0))</f>
        <v>0</v>
      </c>
      <c r="T14" s="148">
        <f>ROUND(S14*INDEX('Master Data'!$F$4:$K$12,MATCH($S$1,'Master Data'!$E$4:$E$12,0),MATCH(C14,'Master Data'!$F$3:$K$3,0)),2)</f>
        <v>0</v>
      </c>
      <c r="U14" s="147">
        <f>INDEX('Master Data'!$C$75:$O$299,MATCH(A14,'Master Data'!$B$75:$B$299,0),MATCH($U$1,'Master Data'!$C$74:$O$74,0))</f>
        <v>0</v>
      </c>
      <c r="V14" s="148">
        <f>ROUND(U14*INDEX('Master Data'!$F$4:$K$12,MATCH($U$1,'Master Data'!$E$4:$E$12,0),MATCH(C14,'Master Data'!$F$3:$K$3,0)),2)</f>
        <v>0</v>
      </c>
      <c r="W14" s="149">
        <f t="shared" si="2"/>
        <v>298893.38999999996</v>
      </c>
      <c r="X14" s="148">
        <f>ROUND(W14*('Master Data'!$B$54),2)</f>
        <v>74633.679999999993</v>
      </c>
      <c r="Y14" s="149">
        <f t="shared" si="3"/>
        <v>373527.06999999995</v>
      </c>
      <c r="Z14" s="147">
        <f>52*INDEX('Master Data'!$C$75:$O$299,MATCH(A14,'Master Data'!$B$75:$B$299,0),MATCH($Z$1,'Master Data'!$C$74:$O$74,0))</f>
        <v>52</v>
      </c>
      <c r="AA14" s="148">
        <f>Z14*('Master Data'!$F$15)</f>
        <v>3920.8</v>
      </c>
      <c r="AB14" s="147">
        <f>52*INDEX('Master Data'!$C$75:$O$299,MATCH(A14,'Master Data'!$B$75:$B$299,0),MATCH($AB$1,'Master Data'!$C$74:$O$74,0))</f>
        <v>52</v>
      </c>
      <c r="AC14" s="148">
        <f>AB14*('Master Data'!$F$16)</f>
        <v>3760.6399999999994</v>
      </c>
      <c r="AD14" s="149">
        <f t="shared" si="4"/>
        <v>7681.44</v>
      </c>
      <c r="AE14" s="148">
        <f>INDEX('Master Data'!$D$58:$D$60,MATCH(D14,'Master Data'!$B$58:$B$60,0))</f>
        <v>19577.099999999999</v>
      </c>
      <c r="AF14" s="148">
        <f>INDEX('Master Data'!$E$58:$E$60,MATCH(D14,'Master Data'!$B$58:$B$60,0))</f>
        <v>992.8</v>
      </c>
      <c r="AG14" s="148">
        <f>INDEX('Master Data'!$F$58:$F$60,MATCH(D14,'Master Data'!$B$58:$B$60,0))</f>
        <v>2876.2</v>
      </c>
      <c r="AH14" s="149">
        <f t="shared" si="5"/>
        <v>404654.60999999993</v>
      </c>
      <c r="AI14" s="148">
        <f>ROUND(AH14*('Master Data'!$C$54),2)</f>
        <v>48558.55</v>
      </c>
      <c r="AJ14" s="148">
        <f>ROUND(SUM(AH14:AI14,AK14)*('Master Data'!$E$54),2)</f>
        <v>13577.83</v>
      </c>
      <c r="AK14" s="148">
        <f>ROUND(W14*('Master Data'!$F$54),2)</f>
        <v>0</v>
      </c>
      <c r="AL14" s="149">
        <f t="shared" si="6"/>
        <v>466790.98999999993</v>
      </c>
      <c r="AM14" s="140">
        <f t="shared" si="7"/>
        <v>1345.22</v>
      </c>
      <c r="AN14" s="121"/>
      <c r="AO14" s="121"/>
      <c r="AP14" s="121"/>
      <c r="AQ14" s="121"/>
      <c r="AR14" s="121"/>
      <c r="AS14" s="121"/>
    </row>
    <row r="15" spans="1:45">
      <c r="A15" s="121" t="s">
        <v>168</v>
      </c>
      <c r="B15" s="121" t="str">
        <f t="shared" si="0"/>
        <v xml:space="preserve"> </v>
      </c>
      <c r="C15" s="121" t="str">
        <f t="shared" si="1"/>
        <v xml:space="preserve">Basic  </v>
      </c>
      <c r="D15" s="121" t="str">
        <f>INDEX('Master Data'!$C$75:$C$299,MATCH(A15,'Master Data'!$B$75:$B$299,0))</f>
        <v>2-3</v>
      </c>
      <c r="E15" s="147">
        <f>INDEX('Master Data'!$C$75:$O$299,MATCH(A15,'Master Data'!$B$75:$B$299,0),MATCH($E$1,'Master Data'!$C$74:$O$74,0))</f>
        <v>0.18</v>
      </c>
      <c r="F15" s="148">
        <f>ROUND(E15*INDEX('Master Data'!$F$4:$K$12,MATCH($E$1,'Master Data'!$E$4:$E$12,0),MATCH(C15,'Master Data'!$F$3:$K$3,0)),2)</f>
        <v>14667.64</v>
      </c>
      <c r="G15" s="147">
        <f>INDEX('Master Data'!$C$75:$O$299,MATCH(A15,'Master Data'!$B$75:$B$299,0),MATCH($G$1,'Master Data'!$C$74:$O$74,0))</f>
        <v>0.66</v>
      </c>
      <c r="H15" s="148">
        <f>ROUND(G15*INDEX('Master Data'!$F$4:$K$12,MATCH($G$1,'Master Data'!$E$4:$E$12,0),MATCH(C15,'Master Data'!$F$3:$K$3,0)),2)</f>
        <v>37216.5</v>
      </c>
      <c r="I15" s="147">
        <f>INDEX('Master Data'!$C$75:$O$299,MATCH(A15,'Master Data'!$B$75:$B$299,0),MATCH($I$1,'Master Data'!$C$74:$O$74,0))</f>
        <v>3.6</v>
      </c>
      <c r="J15" s="148">
        <f>ROUND(I15*INDEX('Master Data'!$F$4:$K$12,MATCH($I$1,'Master Data'!$E$4:$E$12,0),MATCH(C15,'Master Data'!$F$3:$K$3,0)),2)</f>
        <v>168632.76</v>
      </c>
      <c r="K15" s="147">
        <f>INDEX('Master Data'!$C$75:$O$299,MATCH(A15,'Master Data'!$B$75:$B$299,0),MATCH($K$1,'Master Data'!$C$74:$O$74,0))</f>
        <v>1.4</v>
      </c>
      <c r="L15" s="148">
        <f>ROUND(K15*INDEX('Master Data'!$F$4:$K$12,MATCH($K$1,'Master Data'!$E$4:$E$12,0),MATCH(C15,'Master Data'!$F$3:$K$3,0)),2)</f>
        <v>65579.399999999994</v>
      </c>
      <c r="M15" s="147">
        <f>INDEX('Master Data'!$C$75:$O$299,MATCH(A15,'Master Data'!$B$75:$B$299,0),MATCH($M$1,'Master Data'!$C$74:$O$74,0))</f>
        <v>0.57999999999999996</v>
      </c>
      <c r="N15" s="148">
        <f>ROUND(M15*INDEX('Master Data'!$F$4:$K$12,MATCH($M$1,'Master Data'!$E$4:$E$12,0),MATCH(C15,'Master Data'!$F$3:$K$3,0)),2)</f>
        <v>27168.61</v>
      </c>
      <c r="O15" s="147">
        <f>INDEX('Master Data'!$C$75:$O$299,MATCH(A15,'Master Data'!$B$75:$B$299,0),MATCH($O$1,'Master Data'!$C$74:$O$74,0))</f>
        <v>0.23</v>
      </c>
      <c r="P15" s="148">
        <f>ROUND(O15*INDEX('Master Data'!$F$4:$K$12,MATCH($O$1,'Master Data'!$E$4:$E$12,0),MATCH(C15,'Master Data'!$F$3:$K$3,0)),2)</f>
        <v>7176</v>
      </c>
      <c r="Q15" s="147">
        <f>INDEX('Master Data'!$C$75:$O$299,MATCH(A15,'Master Data'!$B$75:$B$299,0),MATCH($Q$1,'Master Data'!$C$74:$O$74,0))</f>
        <v>0.12</v>
      </c>
      <c r="R15" s="148">
        <f>ROUND(Q15*INDEX('Master Data'!$F$4:$K$12,MATCH($Q$1,'Master Data'!$E$4:$E$12,0),MATCH(C15,'Master Data'!$F$3:$K$3,0)),2)</f>
        <v>5621.09</v>
      </c>
      <c r="S15" s="147">
        <f>INDEX('Master Data'!$C$75:$O$299,MATCH(A15,'Master Data'!$B$75:$B$299,0),MATCH($S$1,'Master Data'!$C$74:$O$74,0))</f>
        <v>0</v>
      </c>
      <c r="T15" s="148">
        <f>ROUND(S15*INDEX('Master Data'!$F$4:$K$12,MATCH($S$1,'Master Data'!$E$4:$E$12,0),MATCH(C15,'Master Data'!$F$3:$K$3,0)),2)</f>
        <v>0</v>
      </c>
      <c r="U15" s="147">
        <f>INDEX('Master Data'!$C$75:$O$299,MATCH(A15,'Master Data'!$B$75:$B$299,0),MATCH($U$1,'Master Data'!$C$74:$O$74,0))</f>
        <v>0</v>
      </c>
      <c r="V15" s="148">
        <f>ROUND(U15*INDEX('Master Data'!$F$4:$K$12,MATCH($U$1,'Master Data'!$E$4:$E$12,0),MATCH(C15,'Master Data'!$F$3:$K$3,0)),2)</f>
        <v>0</v>
      </c>
      <c r="W15" s="149">
        <f t="shared" si="2"/>
        <v>326062.00000000006</v>
      </c>
      <c r="X15" s="148">
        <f>ROUND(W15*('Master Data'!$B$54),2)</f>
        <v>81417.679999999993</v>
      </c>
      <c r="Y15" s="149">
        <f t="shared" si="3"/>
        <v>407479.68000000005</v>
      </c>
      <c r="Z15" s="147">
        <f>52*INDEX('Master Data'!$C$75:$O$299,MATCH(A15,'Master Data'!$B$75:$B$299,0),MATCH($Z$1,'Master Data'!$C$74:$O$74,0))</f>
        <v>52</v>
      </c>
      <c r="AA15" s="148">
        <f>Z15*('Master Data'!$F$15)</f>
        <v>3920.8</v>
      </c>
      <c r="AB15" s="147">
        <f>52*INDEX('Master Data'!$C$75:$O$299,MATCH(A15,'Master Data'!$B$75:$B$299,0),MATCH($AB$1,'Master Data'!$C$74:$O$74,0))</f>
        <v>52</v>
      </c>
      <c r="AC15" s="148">
        <f>AB15*('Master Data'!$F$16)</f>
        <v>3760.6399999999994</v>
      </c>
      <c r="AD15" s="149">
        <f t="shared" si="4"/>
        <v>7681.44</v>
      </c>
      <c r="AE15" s="148">
        <f>INDEX('Master Data'!$D$58:$D$60,MATCH(D15,'Master Data'!$B$58:$B$60,0))</f>
        <v>19577.099999999999</v>
      </c>
      <c r="AF15" s="148">
        <f>INDEX('Master Data'!$E$58:$E$60,MATCH(D15,'Master Data'!$B$58:$B$60,0))</f>
        <v>992.8</v>
      </c>
      <c r="AG15" s="148">
        <f>INDEX('Master Data'!$F$58:$F$60,MATCH(D15,'Master Data'!$B$58:$B$60,0))</f>
        <v>2876.2</v>
      </c>
      <c r="AH15" s="149">
        <f t="shared" si="5"/>
        <v>438607.22000000003</v>
      </c>
      <c r="AI15" s="148">
        <f>ROUND(AH15*('Master Data'!$C$54),2)</f>
        <v>52632.87</v>
      </c>
      <c r="AJ15" s="148">
        <f>ROUND(SUM(AH15:AI15,AK15)*('Master Data'!$E$54),2)</f>
        <v>14717.08</v>
      </c>
      <c r="AK15" s="148">
        <f>ROUND(W15*('Master Data'!$F$54),2)</f>
        <v>0</v>
      </c>
      <c r="AL15" s="149">
        <f t="shared" si="6"/>
        <v>505957.17000000004</v>
      </c>
      <c r="AM15" s="140">
        <f t="shared" si="7"/>
        <v>1458.09</v>
      </c>
      <c r="AN15" s="121"/>
      <c r="AO15" s="121"/>
      <c r="AP15" s="121"/>
      <c r="AQ15" s="121"/>
      <c r="AR15" s="121"/>
      <c r="AS15" s="121"/>
    </row>
    <row r="16" spans="1:45">
      <c r="A16" s="121" t="s">
        <v>169</v>
      </c>
      <c r="B16" s="121" t="str">
        <f t="shared" si="0"/>
        <v xml:space="preserve"> </v>
      </c>
      <c r="C16" s="121" t="str">
        <f t="shared" si="1"/>
        <v xml:space="preserve">Basic  </v>
      </c>
      <c r="D16" s="121" t="str">
        <f>INDEX('Master Data'!$C$75:$C$299,MATCH(A16,'Master Data'!$B$75:$B$299,0))</f>
        <v>2-3</v>
      </c>
      <c r="E16" s="147">
        <f>INDEX('Master Data'!$C$75:$O$299,MATCH(A16,'Master Data'!$B$75:$B$299,0),MATCH($E$1,'Master Data'!$C$74:$O$74,0))</f>
        <v>0.18</v>
      </c>
      <c r="F16" s="148">
        <f>ROUND(E16*INDEX('Master Data'!$F$4:$K$12,MATCH($E$1,'Master Data'!$E$4:$E$12,0),MATCH(C16,'Master Data'!$F$3:$K$3,0)),2)</f>
        <v>14667.64</v>
      </c>
      <c r="G16" s="147">
        <f>INDEX('Master Data'!$C$75:$O$299,MATCH(A16,'Master Data'!$B$75:$B$299,0),MATCH($G$1,'Master Data'!$C$74:$O$74,0))</f>
        <v>0.66</v>
      </c>
      <c r="H16" s="148">
        <f>ROUND(G16*INDEX('Master Data'!$F$4:$K$12,MATCH($G$1,'Master Data'!$E$4:$E$12,0),MATCH(C16,'Master Data'!$F$3:$K$3,0)),2)</f>
        <v>37216.5</v>
      </c>
      <c r="I16" s="147">
        <f>INDEX('Master Data'!$C$75:$O$299,MATCH(A16,'Master Data'!$B$75:$B$299,0),MATCH($I$1,'Master Data'!$C$74:$O$74,0))</f>
        <v>4.0999999999999996</v>
      </c>
      <c r="J16" s="148">
        <f>ROUND(I16*INDEX('Master Data'!$F$4:$K$12,MATCH($I$1,'Master Data'!$E$4:$E$12,0),MATCH(C16,'Master Data'!$F$3:$K$3,0)),2)</f>
        <v>192053.97</v>
      </c>
      <c r="K16" s="147">
        <f>INDEX('Master Data'!$C$75:$O$299,MATCH(A16,'Master Data'!$B$75:$B$299,0),MATCH($K$1,'Master Data'!$C$74:$O$74,0))</f>
        <v>1.4</v>
      </c>
      <c r="L16" s="148">
        <f>ROUND(K16*INDEX('Master Data'!$F$4:$K$12,MATCH($K$1,'Master Data'!$E$4:$E$12,0),MATCH(C16,'Master Data'!$F$3:$K$3,0)),2)</f>
        <v>65579.399999999994</v>
      </c>
      <c r="M16" s="147">
        <f>INDEX('Master Data'!$C$75:$O$299,MATCH(A16,'Master Data'!$B$75:$B$299,0),MATCH($M$1,'Master Data'!$C$74:$O$74,0))</f>
        <v>0.66</v>
      </c>
      <c r="N16" s="148">
        <f>ROUND(M16*INDEX('Master Data'!$F$4:$K$12,MATCH($M$1,'Master Data'!$E$4:$E$12,0),MATCH(C16,'Master Data'!$F$3:$K$3,0)),2)</f>
        <v>30916.01</v>
      </c>
      <c r="O16" s="147">
        <f>INDEX('Master Data'!$C$75:$O$299,MATCH(A16,'Master Data'!$B$75:$B$299,0),MATCH($O$1,'Master Data'!$C$74:$O$74,0))</f>
        <v>0.23</v>
      </c>
      <c r="P16" s="148">
        <f>ROUND(O16*INDEX('Master Data'!$F$4:$K$12,MATCH($O$1,'Master Data'!$E$4:$E$12,0),MATCH(C16,'Master Data'!$F$3:$K$3,0)),2)</f>
        <v>7176</v>
      </c>
      <c r="Q16" s="147">
        <f>INDEX('Master Data'!$C$75:$O$299,MATCH(A16,'Master Data'!$B$75:$B$299,0),MATCH($Q$1,'Master Data'!$C$74:$O$74,0))</f>
        <v>0.12</v>
      </c>
      <c r="R16" s="148">
        <f>ROUND(Q16*INDEX('Master Data'!$F$4:$K$12,MATCH($Q$1,'Master Data'!$E$4:$E$12,0),MATCH(C16,'Master Data'!$F$3:$K$3,0)),2)</f>
        <v>5621.09</v>
      </c>
      <c r="S16" s="147">
        <f>INDEX('Master Data'!$C$75:$O$299,MATCH(A16,'Master Data'!$B$75:$B$299,0),MATCH($S$1,'Master Data'!$C$74:$O$74,0))</f>
        <v>0</v>
      </c>
      <c r="T16" s="148">
        <f>ROUND(S16*INDEX('Master Data'!$F$4:$K$12,MATCH($S$1,'Master Data'!$E$4:$E$12,0),MATCH(C16,'Master Data'!$F$3:$K$3,0)),2)</f>
        <v>0</v>
      </c>
      <c r="U16" s="147">
        <f>INDEX('Master Data'!$C$75:$O$299,MATCH(A16,'Master Data'!$B$75:$B$299,0),MATCH($U$1,'Master Data'!$C$74:$O$74,0))</f>
        <v>0</v>
      </c>
      <c r="V16" s="148">
        <f>ROUND(U16*INDEX('Master Data'!$F$4:$K$12,MATCH($U$1,'Master Data'!$E$4:$E$12,0),MATCH(C16,'Master Data'!$F$3:$K$3,0)),2)</f>
        <v>0</v>
      </c>
      <c r="W16" s="149">
        <f t="shared" si="2"/>
        <v>353230.61000000004</v>
      </c>
      <c r="X16" s="148">
        <f>ROUND(W16*('Master Data'!$B$54),2)</f>
        <v>88201.68</v>
      </c>
      <c r="Y16" s="149">
        <f t="shared" si="3"/>
        <v>441432.29000000004</v>
      </c>
      <c r="Z16" s="147">
        <f>52*INDEX('Master Data'!$C$75:$O$299,MATCH(A16,'Master Data'!$B$75:$B$299,0),MATCH($Z$1,'Master Data'!$C$74:$O$74,0))</f>
        <v>52</v>
      </c>
      <c r="AA16" s="148">
        <f>Z16*('Master Data'!$F$15)</f>
        <v>3920.8</v>
      </c>
      <c r="AB16" s="147">
        <f>52*INDEX('Master Data'!$C$75:$O$299,MATCH(A16,'Master Data'!$B$75:$B$299,0),MATCH($AB$1,'Master Data'!$C$74:$O$74,0))</f>
        <v>52</v>
      </c>
      <c r="AC16" s="148">
        <f>AB16*('Master Data'!$F$16)</f>
        <v>3760.6399999999994</v>
      </c>
      <c r="AD16" s="149">
        <f t="shared" si="4"/>
        <v>7681.44</v>
      </c>
      <c r="AE16" s="148">
        <f>INDEX('Master Data'!$D$58:$D$60,MATCH(D16,'Master Data'!$B$58:$B$60,0))</f>
        <v>19577.099999999999</v>
      </c>
      <c r="AF16" s="148">
        <f>INDEX('Master Data'!$E$58:$E$60,MATCH(D16,'Master Data'!$B$58:$B$60,0))</f>
        <v>992.8</v>
      </c>
      <c r="AG16" s="148">
        <f>INDEX('Master Data'!$F$58:$F$60,MATCH(D16,'Master Data'!$B$58:$B$60,0))</f>
        <v>2876.2</v>
      </c>
      <c r="AH16" s="149">
        <f t="shared" si="5"/>
        <v>472559.83</v>
      </c>
      <c r="AI16" s="148">
        <f>ROUND(AH16*('Master Data'!$C$54),2)</f>
        <v>56707.18</v>
      </c>
      <c r="AJ16" s="148">
        <f>ROUND(SUM(AH16:AI16,AK16)*('Master Data'!$E$54),2)</f>
        <v>15856.33</v>
      </c>
      <c r="AK16" s="148">
        <f>ROUND(W16*('Master Data'!$F$54),2)</f>
        <v>0</v>
      </c>
      <c r="AL16" s="149">
        <f t="shared" si="6"/>
        <v>545123.34</v>
      </c>
      <c r="AM16" s="140">
        <f t="shared" si="7"/>
        <v>1570.96</v>
      </c>
      <c r="AN16" s="121"/>
      <c r="AO16" s="121"/>
      <c r="AP16" s="121"/>
      <c r="AQ16" s="121"/>
      <c r="AR16" s="121"/>
      <c r="AS16" s="121"/>
    </row>
    <row r="17" spans="1:45">
      <c r="A17" s="121" t="s">
        <v>170</v>
      </c>
      <c r="B17" s="121" t="str">
        <f t="shared" si="0"/>
        <v xml:space="preserve"> </v>
      </c>
      <c r="C17" s="121" t="str">
        <f t="shared" si="1"/>
        <v xml:space="preserve">Basic  </v>
      </c>
      <c r="D17" s="121" t="str">
        <f>INDEX('Master Data'!$C$75:$C$299,MATCH(A17,'Master Data'!$B$75:$B$299,0))</f>
        <v>2-3</v>
      </c>
      <c r="E17" s="147">
        <f>INDEX('Master Data'!$C$75:$O$299,MATCH(A17,'Master Data'!$B$75:$B$299,0),MATCH($E$1,'Master Data'!$C$74:$O$74,0))</f>
        <v>0.18</v>
      </c>
      <c r="F17" s="148">
        <f>ROUND(E17*INDEX('Master Data'!$F$4:$K$12,MATCH($E$1,'Master Data'!$E$4:$E$12,0),MATCH(C17,'Master Data'!$F$3:$K$3,0)),2)</f>
        <v>14667.64</v>
      </c>
      <c r="G17" s="147">
        <f>INDEX('Master Data'!$C$75:$O$299,MATCH(A17,'Master Data'!$B$75:$B$299,0),MATCH($G$1,'Master Data'!$C$74:$O$74,0))</f>
        <v>0.66</v>
      </c>
      <c r="H17" s="148">
        <f>ROUND(G17*INDEX('Master Data'!$F$4:$K$12,MATCH($G$1,'Master Data'!$E$4:$E$12,0),MATCH(C17,'Master Data'!$F$3:$K$3,0)),2)</f>
        <v>37216.5</v>
      </c>
      <c r="I17" s="147">
        <f>INDEX('Master Data'!$C$75:$O$299,MATCH(A17,'Master Data'!$B$75:$B$299,0),MATCH($I$1,'Master Data'!$C$74:$O$74,0))</f>
        <v>4.5999999999999996</v>
      </c>
      <c r="J17" s="148">
        <f>ROUND(I17*INDEX('Master Data'!$F$4:$K$12,MATCH($I$1,'Master Data'!$E$4:$E$12,0),MATCH(C17,'Master Data'!$F$3:$K$3,0)),2)</f>
        <v>215475.19</v>
      </c>
      <c r="K17" s="147">
        <f>INDEX('Master Data'!$C$75:$O$299,MATCH(A17,'Master Data'!$B$75:$B$299,0),MATCH($K$1,'Master Data'!$C$74:$O$74,0))</f>
        <v>1.4</v>
      </c>
      <c r="L17" s="148">
        <f>ROUND(K17*INDEX('Master Data'!$F$4:$K$12,MATCH($K$1,'Master Data'!$E$4:$E$12,0),MATCH(C17,'Master Data'!$F$3:$K$3,0)),2)</f>
        <v>65579.399999999994</v>
      </c>
      <c r="M17" s="147">
        <f>INDEX('Master Data'!$C$75:$O$299,MATCH(A17,'Master Data'!$B$75:$B$299,0),MATCH($M$1,'Master Data'!$C$74:$O$74,0))</f>
        <v>0.75</v>
      </c>
      <c r="N17" s="148">
        <f>ROUND(M17*INDEX('Master Data'!$F$4:$K$12,MATCH($M$1,'Master Data'!$E$4:$E$12,0),MATCH(C17,'Master Data'!$F$3:$K$3,0)),2)</f>
        <v>35131.82</v>
      </c>
      <c r="O17" s="147">
        <f>INDEX('Master Data'!$C$75:$O$299,MATCH(A17,'Master Data'!$B$75:$B$299,0),MATCH($O$1,'Master Data'!$C$74:$O$74,0))</f>
        <v>0.23</v>
      </c>
      <c r="P17" s="148">
        <f>ROUND(O17*INDEX('Master Data'!$F$4:$K$12,MATCH($O$1,'Master Data'!$E$4:$E$12,0),MATCH(C17,'Master Data'!$F$3:$K$3,0)),2)</f>
        <v>7176</v>
      </c>
      <c r="Q17" s="147">
        <f>INDEX('Master Data'!$C$75:$O$299,MATCH(A17,'Master Data'!$B$75:$B$299,0),MATCH($Q$1,'Master Data'!$C$74:$O$74,0))</f>
        <v>0.12</v>
      </c>
      <c r="R17" s="148">
        <f>ROUND(Q17*INDEX('Master Data'!$F$4:$K$12,MATCH($Q$1,'Master Data'!$E$4:$E$12,0),MATCH(C17,'Master Data'!$F$3:$K$3,0)),2)</f>
        <v>5621.09</v>
      </c>
      <c r="S17" s="147">
        <f>INDEX('Master Data'!$C$75:$O$299,MATCH(A17,'Master Data'!$B$75:$B$299,0),MATCH($S$1,'Master Data'!$C$74:$O$74,0))</f>
        <v>0</v>
      </c>
      <c r="T17" s="148">
        <f>ROUND(S17*INDEX('Master Data'!$F$4:$K$12,MATCH($S$1,'Master Data'!$E$4:$E$12,0),MATCH(C17,'Master Data'!$F$3:$K$3,0)),2)</f>
        <v>0</v>
      </c>
      <c r="U17" s="147">
        <f>INDEX('Master Data'!$C$75:$O$299,MATCH(A17,'Master Data'!$B$75:$B$299,0),MATCH($U$1,'Master Data'!$C$74:$O$74,0))</f>
        <v>0</v>
      </c>
      <c r="V17" s="148">
        <f>ROUND(U17*INDEX('Master Data'!$F$4:$K$12,MATCH($U$1,'Master Data'!$E$4:$E$12,0),MATCH(C17,'Master Data'!$F$3:$K$3,0)),2)</f>
        <v>0</v>
      </c>
      <c r="W17" s="149">
        <f t="shared" si="2"/>
        <v>380867.64</v>
      </c>
      <c r="X17" s="148">
        <f>ROUND(W17*('Master Data'!$B$54),2)</f>
        <v>95102.65</v>
      </c>
      <c r="Y17" s="149">
        <f t="shared" si="3"/>
        <v>475970.29000000004</v>
      </c>
      <c r="Z17" s="147">
        <f>52*INDEX('Master Data'!$C$75:$O$299,MATCH(A17,'Master Data'!$B$75:$B$299,0),MATCH($Z$1,'Master Data'!$C$74:$O$74,0))</f>
        <v>52</v>
      </c>
      <c r="AA17" s="148">
        <f>Z17*('Master Data'!$F$15)</f>
        <v>3920.8</v>
      </c>
      <c r="AB17" s="147">
        <f>52*INDEX('Master Data'!$C$75:$O$299,MATCH(A17,'Master Data'!$B$75:$B$299,0),MATCH($AB$1,'Master Data'!$C$74:$O$74,0))</f>
        <v>52</v>
      </c>
      <c r="AC17" s="148">
        <f>AB17*('Master Data'!$F$16)</f>
        <v>3760.6399999999994</v>
      </c>
      <c r="AD17" s="149">
        <f t="shared" si="4"/>
        <v>7681.44</v>
      </c>
      <c r="AE17" s="148">
        <f>INDEX('Master Data'!$D$58:$D$60,MATCH(D17,'Master Data'!$B$58:$B$60,0))</f>
        <v>19577.099999999999</v>
      </c>
      <c r="AF17" s="148">
        <f>INDEX('Master Data'!$E$58:$E$60,MATCH(D17,'Master Data'!$B$58:$B$60,0))</f>
        <v>992.8</v>
      </c>
      <c r="AG17" s="148">
        <f>INDEX('Master Data'!$F$58:$F$60,MATCH(D17,'Master Data'!$B$58:$B$60,0))</f>
        <v>2876.2</v>
      </c>
      <c r="AH17" s="149">
        <f t="shared" si="5"/>
        <v>507097.83</v>
      </c>
      <c r="AI17" s="148">
        <f>ROUND(AH17*('Master Data'!$C$54),2)</f>
        <v>60851.74</v>
      </c>
      <c r="AJ17" s="148">
        <f>ROUND(SUM(AH17:AI17,AK17)*('Master Data'!$E$54),2)</f>
        <v>17015.22</v>
      </c>
      <c r="AK17" s="148">
        <f>ROUND(W17*('Master Data'!$F$54),2)</f>
        <v>0</v>
      </c>
      <c r="AL17" s="149">
        <f t="shared" si="6"/>
        <v>584964.79</v>
      </c>
      <c r="AM17" s="140">
        <f t="shared" si="7"/>
        <v>1685.78</v>
      </c>
      <c r="AN17" s="121"/>
      <c r="AO17" s="121"/>
      <c r="AP17" s="121"/>
      <c r="AQ17" s="121"/>
      <c r="AR17" s="121"/>
      <c r="AS17" s="121"/>
    </row>
    <row r="18" spans="1:45">
      <c r="A18" s="121" t="s">
        <v>171</v>
      </c>
      <c r="B18" s="121" t="str">
        <f t="shared" si="0"/>
        <v xml:space="preserve"> </v>
      </c>
      <c r="C18" s="121" t="str">
        <f t="shared" si="1"/>
        <v xml:space="preserve">Basic  </v>
      </c>
      <c r="D18" s="121" t="str">
        <f>INDEX('Master Data'!$C$75:$C$299,MATCH(A18,'Master Data'!$B$75:$B$299,0))</f>
        <v>2-3</v>
      </c>
      <c r="E18" s="147">
        <f>INDEX('Master Data'!$C$75:$O$299,MATCH(A18,'Master Data'!$B$75:$B$299,0),MATCH($E$1,'Master Data'!$C$74:$O$74,0))</f>
        <v>0.18</v>
      </c>
      <c r="F18" s="148">
        <f>ROUND(E18*INDEX('Master Data'!$F$4:$K$12,MATCH($E$1,'Master Data'!$E$4:$E$12,0),MATCH(C18,'Master Data'!$F$3:$K$3,0)),2)</f>
        <v>14667.64</v>
      </c>
      <c r="G18" s="147">
        <f>INDEX('Master Data'!$C$75:$O$299,MATCH(A18,'Master Data'!$B$75:$B$299,0),MATCH($G$1,'Master Data'!$C$74:$O$74,0))</f>
        <v>0.66</v>
      </c>
      <c r="H18" s="148">
        <f>ROUND(G18*INDEX('Master Data'!$F$4:$K$12,MATCH($G$1,'Master Data'!$E$4:$E$12,0),MATCH(C18,'Master Data'!$F$3:$K$3,0)),2)</f>
        <v>37216.5</v>
      </c>
      <c r="I18" s="147">
        <f>INDEX('Master Data'!$C$75:$O$299,MATCH(A18,'Master Data'!$B$75:$B$299,0),MATCH($I$1,'Master Data'!$C$74:$O$74,0))</f>
        <v>5.0999999999999996</v>
      </c>
      <c r="J18" s="148">
        <f>ROUND(I18*INDEX('Master Data'!$F$4:$K$12,MATCH($I$1,'Master Data'!$E$4:$E$12,0),MATCH(C18,'Master Data'!$F$3:$K$3,0)),2)</f>
        <v>238896.4</v>
      </c>
      <c r="K18" s="147">
        <f>INDEX('Master Data'!$C$75:$O$299,MATCH(A18,'Master Data'!$B$75:$B$299,0),MATCH($K$1,'Master Data'!$C$74:$O$74,0))</f>
        <v>1.4</v>
      </c>
      <c r="L18" s="148">
        <f>ROUND(K18*INDEX('Master Data'!$F$4:$K$12,MATCH($K$1,'Master Data'!$E$4:$E$12,0),MATCH(C18,'Master Data'!$F$3:$K$3,0)),2)</f>
        <v>65579.399999999994</v>
      </c>
      <c r="M18" s="147">
        <f>INDEX('Master Data'!$C$75:$O$299,MATCH(A18,'Master Data'!$B$75:$B$299,0),MATCH($M$1,'Master Data'!$C$74:$O$74,0))</f>
        <v>0.83</v>
      </c>
      <c r="N18" s="148">
        <f>ROUND(M18*INDEX('Master Data'!$F$4:$K$12,MATCH($M$1,'Master Data'!$E$4:$E$12,0),MATCH(C18,'Master Data'!$F$3:$K$3,0)),2)</f>
        <v>38879.22</v>
      </c>
      <c r="O18" s="147">
        <f>INDEX('Master Data'!$C$75:$O$299,MATCH(A18,'Master Data'!$B$75:$B$299,0),MATCH($O$1,'Master Data'!$C$74:$O$74,0))</f>
        <v>0.23</v>
      </c>
      <c r="P18" s="148">
        <f>ROUND(O18*INDEX('Master Data'!$F$4:$K$12,MATCH($O$1,'Master Data'!$E$4:$E$12,0),MATCH(C18,'Master Data'!$F$3:$K$3,0)),2)</f>
        <v>7176</v>
      </c>
      <c r="Q18" s="147">
        <f>INDEX('Master Data'!$C$75:$O$299,MATCH(A18,'Master Data'!$B$75:$B$299,0),MATCH($Q$1,'Master Data'!$C$74:$O$74,0))</f>
        <v>0.12</v>
      </c>
      <c r="R18" s="148">
        <f>ROUND(Q18*INDEX('Master Data'!$F$4:$K$12,MATCH($Q$1,'Master Data'!$E$4:$E$12,0),MATCH(C18,'Master Data'!$F$3:$K$3,0)),2)</f>
        <v>5621.09</v>
      </c>
      <c r="S18" s="147">
        <f>INDEX('Master Data'!$C$75:$O$299,MATCH(A18,'Master Data'!$B$75:$B$299,0),MATCH($S$1,'Master Data'!$C$74:$O$74,0))</f>
        <v>0</v>
      </c>
      <c r="T18" s="148">
        <f>ROUND(S18*INDEX('Master Data'!$F$4:$K$12,MATCH($S$1,'Master Data'!$E$4:$E$12,0),MATCH(C18,'Master Data'!$F$3:$K$3,0)),2)</f>
        <v>0</v>
      </c>
      <c r="U18" s="147">
        <f>INDEX('Master Data'!$C$75:$O$299,MATCH(A18,'Master Data'!$B$75:$B$299,0),MATCH($U$1,'Master Data'!$C$74:$O$74,0))</f>
        <v>0</v>
      </c>
      <c r="V18" s="148">
        <f>ROUND(U18*INDEX('Master Data'!$F$4:$K$12,MATCH($U$1,'Master Data'!$E$4:$E$12,0),MATCH(C18,'Master Data'!$F$3:$K$3,0)),2)</f>
        <v>0</v>
      </c>
      <c r="W18" s="149">
        <f t="shared" si="2"/>
        <v>408036.24999999994</v>
      </c>
      <c r="X18" s="148">
        <f>ROUND(W18*('Master Data'!$B$54),2)</f>
        <v>101886.65</v>
      </c>
      <c r="Y18" s="149">
        <f t="shared" si="3"/>
        <v>509922.89999999991</v>
      </c>
      <c r="Z18" s="147">
        <f>52*INDEX('Master Data'!$C$75:$O$299,MATCH(A18,'Master Data'!$B$75:$B$299,0),MATCH($Z$1,'Master Data'!$C$74:$O$74,0))</f>
        <v>52</v>
      </c>
      <c r="AA18" s="148">
        <f>Z18*('Master Data'!$F$15)</f>
        <v>3920.8</v>
      </c>
      <c r="AB18" s="147">
        <f>52*INDEX('Master Data'!$C$75:$O$299,MATCH(A18,'Master Data'!$B$75:$B$299,0),MATCH($AB$1,'Master Data'!$C$74:$O$74,0))</f>
        <v>52</v>
      </c>
      <c r="AC18" s="148">
        <f>AB18*('Master Data'!$F$16)</f>
        <v>3760.6399999999994</v>
      </c>
      <c r="AD18" s="149">
        <f t="shared" si="4"/>
        <v>7681.44</v>
      </c>
      <c r="AE18" s="148">
        <f>INDEX('Master Data'!$D$58:$D$60,MATCH(D18,'Master Data'!$B$58:$B$60,0))</f>
        <v>19577.099999999999</v>
      </c>
      <c r="AF18" s="148">
        <f>INDEX('Master Data'!$E$58:$E$60,MATCH(D18,'Master Data'!$B$58:$B$60,0))</f>
        <v>992.8</v>
      </c>
      <c r="AG18" s="148">
        <f>INDEX('Master Data'!$F$58:$F$60,MATCH(D18,'Master Data'!$B$58:$B$60,0))</f>
        <v>2876.2</v>
      </c>
      <c r="AH18" s="149">
        <f t="shared" si="5"/>
        <v>541050.43999999994</v>
      </c>
      <c r="AI18" s="148">
        <f>ROUND(AH18*('Master Data'!$C$54),2)</f>
        <v>64926.05</v>
      </c>
      <c r="AJ18" s="148">
        <f>ROUND(SUM(AH18:AI18,AK18)*('Master Data'!$E$54),2)</f>
        <v>18154.47</v>
      </c>
      <c r="AK18" s="148">
        <f>ROUND(W18*('Master Data'!$F$54),2)</f>
        <v>0</v>
      </c>
      <c r="AL18" s="149">
        <f t="shared" si="6"/>
        <v>624130.96</v>
      </c>
      <c r="AM18" s="140">
        <f t="shared" si="7"/>
        <v>1798.65</v>
      </c>
      <c r="AN18" s="121"/>
      <c r="AO18" s="121"/>
      <c r="AP18" s="121"/>
      <c r="AQ18" s="121"/>
      <c r="AR18" s="121"/>
      <c r="AS18" s="121"/>
    </row>
    <row r="19" spans="1:45">
      <c r="A19" s="121" t="s">
        <v>172</v>
      </c>
      <c r="B19" s="121" t="str">
        <f t="shared" si="0"/>
        <v xml:space="preserve"> </v>
      </c>
      <c r="C19" s="121" t="str">
        <f t="shared" si="1"/>
        <v xml:space="preserve">Basic  </v>
      </c>
      <c r="D19" s="121" t="str">
        <f>INDEX('Master Data'!$C$75:$C$299,MATCH(A19,'Master Data'!$B$75:$B$299,0))</f>
        <v>2-3</v>
      </c>
      <c r="E19" s="147">
        <f>INDEX('Master Data'!$C$75:$O$299,MATCH(A19,'Master Data'!$B$75:$B$299,0),MATCH($E$1,'Master Data'!$C$74:$O$74,0))</f>
        <v>0.18</v>
      </c>
      <c r="F19" s="148">
        <f>ROUND(E19*INDEX('Master Data'!$F$4:$K$12,MATCH($E$1,'Master Data'!$E$4:$E$12,0),MATCH(C19,'Master Data'!$F$3:$K$3,0)),2)</f>
        <v>14667.64</v>
      </c>
      <c r="G19" s="147">
        <f>INDEX('Master Data'!$C$75:$O$299,MATCH(A19,'Master Data'!$B$75:$B$299,0),MATCH($G$1,'Master Data'!$C$74:$O$74,0))</f>
        <v>0.66</v>
      </c>
      <c r="H19" s="148">
        <f>ROUND(G19*INDEX('Master Data'!$F$4:$K$12,MATCH($G$1,'Master Data'!$E$4:$E$12,0),MATCH(C19,'Master Data'!$F$3:$K$3,0)),2)</f>
        <v>37216.5</v>
      </c>
      <c r="I19" s="147">
        <f>INDEX('Master Data'!$C$75:$O$299,MATCH(A19,'Master Data'!$B$75:$B$299,0),MATCH($I$1,'Master Data'!$C$74:$O$74,0))</f>
        <v>5.6</v>
      </c>
      <c r="J19" s="148">
        <f>ROUND(I19*INDEX('Master Data'!$F$4:$K$12,MATCH($I$1,'Master Data'!$E$4:$E$12,0),MATCH(C19,'Master Data'!$F$3:$K$3,0)),2)</f>
        <v>262317.62</v>
      </c>
      <c r="K19" s="147">
        <f>INDEX('Master Data'!$C$75:$O$299,MATCH(A19,'Master Data'!$B$75:$B$299,0),MATCH($K$1,'Master Data'!$C$74:$O$74,0))</f>
        <v>1.4</v>
      </c>
      <c r="L19" s="148">
        <f>ROUND(K19*INDEX('Master Data'!$F$4:$K$12,MATCH($K$1,'Master Data'!$E$4:$E$12,0),MATCH(C19,'Master Data'!$F$3:$K$3,0)),2)</f>
        <v>65579.399999999994</v>
      </c>
      <c r="M19" s="147">
        <f>INDEX('Master Data'!$C$75:$O$299,MATCH(A19,'Master Data'!$B$75:$B$299,0),MATCH($M$1,'Master Data'!$C$74:$O$74,0))</f>
        <v>0.91</v>
      </c>
      <c r="N19" s="148">
        <f>ROUND(M19*INDEX('Master Data'!$F$4:$K$12,MATCH($M$1,'Master Data'!$E$4:$E$12,0),MATCH(C19,'Master Data'!$F$3:$K$3,0)),2)</f>
        <v>42626.61</v>
      </c>
      <c r="O19" s="147">
        <f>INDEX('Master Data'!$C$75:$O$299,MATCH(A19,'Master Data'!$B$75:$B$299,0),MATCH($O$1,'Master Data'!$C$74:$O$74,0))</f>
        <v>0.23</v>
      </c>
      <c r="P19" s="148">
        <f>ROUND(O19*INDEX('Master Data'!$F$4:$K$12,MATCH($O$1,'Master Data'!$E$4:$E$12,0),MATCH(C19,'Master Data'!$F$3:$K$3,0)),2)</f>
        <v>7176</v>
      </c>
      <c r="Q19" s="147">
        <f>INDEX('Master Data'!$C$75:$O$299,MATCH(A19,'Master Data'!$B$75:$B$299,0),MATCH($Q$1,'Master Data'!$C$74:$O$74,0))</f>
        <v>0.12</v>
      </c>
      <c r="R19" s="148">
        <f>ROUND(Q19*INDEX('Master Data'!$F$4:$K$12,MATCH($Q$1,'Master Data'!$E$4:$E$12,0),MATCH(C19,'Master Data'!$F$3:$K$3,0)),2)</f>
        <v>5621.09</v>
      </c>
      <c r="S19" s="147">
        <f>INDEX('Master Data'!$C$75:$O$299,MATCH(A19,'Master Data'!$B$75:$B$299,0),MATCH($S$1,'Master Data'!$C$74:$O$74,0))</f>
        <v>0</v>
      </c>
      <c r="T19" s="148">
        <f>ROUND(S19*INDEX('Master Data'!$F$4:$K$12,MATCH($S$1,'Master Data'!$E$4:$E$12,0),MATCH(C19,'Master Data'!$F$3:$K$3,0)),2)</f>
        <v>0</v>
      </c>
      <c r="U19" s="147">
        <f>INDEX('Master Data'!$C$75:$O$299,MATCH(A19,'Master Data'!$B$75:$B$299,0),MATCH($U$1,'Master Data'!$C$74:$O$74,0))</f>
        <v>0</v>
      </c>
      <c r="V19" s="148">
        <f>ROUND(U19*INDEX('Master Data'!$F$4:$K$12,MATCH($U$1,'Master Data'!$E$4:$E$12,0),MATCH(C19,'Master Data'!$F$3:$K$3,0)),2)</f>
        <v>0</v>
      </c>
      <c r="W19" s="149">
        <f t="shared" si="2"/>
        <v>435204.86000000004</v>
      </c>
      <c r="X19" s="148">
        <f>ROUND(W19*('Master Data'!$B$54),2)</f>
        <v>108670.65</v>
      </c>
      <c r="Y19" s="149">
        <f t="shared" si="3"/>
        <v>543875.51</v>
      </c>
      <c r="Z19" s="147">
        <f>52*INDEX('Master Data'!$C$75:$O$299,MATCH(A19,'Master Data'!$B$75:$B$299,0),MATCH($Z$1,'Master Data'!$C$74:$O$74,0))</f>
        <v>52</v>
      </c>
      <c r="AA19" s="148">
        <f>Z19*('Master Data'!$F$15)</f>
        <v>3920.8</v>
      </c>
      <c r="AB19" s="147">
        <f>52*INDEX('Master Data'!$C$75:$O$299,MATCH(A19,'Master Data'!$B$75:$B$299,0),MATCH($AB$1,'Master Data'!$C$74:$O$74,0))</f>
        <v>52</v>
      </c>
      <c r="AC19" s="148">
        <f>AB19*('Master Data'!$F$16)</f>
        <v>3760.6399999999994</v>
      </c>
      <c r="AD19" s="149">
        <f t="shared" si="4"/>
        <v>7681.44</v>
      </c>
      <c r="AE19" s="148">
        <f>INDEX('Master Data'!$D$58:$D$60,MATCH(D19,'Master Data'!$B$58:$B$60,0))</f>
        <v>19577.099999999999</v>
      </c>
      <c r="AF19" s="148">
        <f>INDEX('Master Data'!$E$58:$E$60,MATCH(D19,'Master Data'!$B$58:$B$60,0))</f>
        <v>992.8</v>
      </c>
      <c r="AG19" s="148">
        <f>INDEX('Master Data'!$F$58:$F$60,MATCH(D19,'Master Data'!$B$58:$B$60,0))</f>
        <v>2876.2</v>
      </c>
      <c r="AH19" s="149">
        <f t="shared" si="5"/>
        <v>575003.04999999993</v>
      </c>
      <c r="AI19" s="148">
        <f>ROUND(AH19*('Master Data'!$C$54),2)</f>
        <v>69000.37</v>
      </c>
      <c r="AJ19" s="148">
        <f>ROUND(SUM(AH19:AI19,AK19)*('Master Data'!$E$54),2)</f>
        <v>19293.73</v>
      </c>
      <c r="AK19" s="148">
        <f>ROUND(W19*('Master Data'!$F$54),2)</f>
        <v>0</v>
      </c>
      <c r="AL19" s="149">
        <f t="shared" si="6"/>
        <v>663297.14999999991</v>
      </c>
      <c r="AM19" s="140">
        <f t="shared" si="7"/>
        <v>1911.52</v>
      </c>
      <c r="AN19" s="121"/>
      <c r="AO19" s="121"/>
      <c r="AP19" s="121"/>
      <c r="AQ19" s="121"/>
      <c r="AR19" s="121"/>
      <c r="AS19" s="121"/>
    </row>
    <row r="20" spans="1:45">
      <c r="A20" s="121" t="s">
        <v>173</v>
      </c>
      <c r="B20" s="121" t="str">
        <f t="shared" si="0"/>
        <v xml:space="preserve"> </v>
      </c>
      <c r="C20" s="121" t="str">
        <f t="shared" si="1"/>
        <v xml:space="preserve">Basic  </v>
      </c>
      <c r="D20" s="121" t="str">
        <f>INDEX('Master Data'!$C$75:$C$299,MATCH(A20,'Master Data'!$B$75:$B$299,0))</f>
        <v>2-3</v>
      </c>
      <c r="E20" s="147">
        <f>INDEX('Master Data'!$C$75:$O$299,MATCH(A20,'Master Data'!$B$75:$B$299,0),MATCH($E$1,'Master Data'!$C$74:$O$74,0))</f>
        <v>0.18</v>
      </c>
      <c r="F20" s="148">
        <f>ROUND(E20*INDEX('Master Data'!$F$4:$K$12,MATCH($E$1,'Master Data'!$E$4:$E$12,0),MATCH(C20,'Master Data'!$F$3:$K$3,0)),2)</f>
        <v>14667.64</v>
      </c>
      <c r="G20" s="147">
        <f>INDEX('Master Data'!$C$75:$O$299,MATCH(A20,'Master Data'!$B$75:$B$299,0),MATCH($G$1,'Master Data'!$C$74:$O$74,0))</f>
        <v>0.66</v>
      </c>
      <c r="H20" s="148">
        <f>ROUND(G20*INDEX('Master Data'!$F$4:$K$12,MATCH($G$1,'Master Data'!$E$4:$E$12,0),MATCH(C20,'Master Data'!$F$3:$K$3,0)),2)</f>
        <v>37216.5</v>
      </c>
      <c r="I20" s="147">
        <f>INDEX('Master Data'!$C$75:$O$299,MATCH(A20,'Master Data'!$B$75:$B$299,0),MATCH($I$1,'Master Data'!$C$74:$O$74,0))</f>
        <v>6.1</v>
      </c>
      <c r="J20" s="148">
        <f>ROUND(I20*INDEX('Master Data'!$F$4:$K$12,MATCH($I$1,'Master Data'!$E$4:$E$12,0),MATCH(C20,'Master Data'!$F$3:$K$3,0)),2)</f>
        <v>285738.84000000003</v>
      </c>
      <c r="K20" s="147">
        <f>INDEX('Master Data'!$C$75:$O$299,MATCH(A20,'Master Data'!$B$75:$B$299,0),MATCH($K$1,'Master Data'!$C$74:$O$74,0))</f>
        <v>1.4</v>
      </c>
      <c r="L20" s="148">
        <f>ROUND(K20*INDEX('Master Data'!$F$4:$K$12,MATCH($K$1,'Master Data'!$E$4:$E$12,0),MATCH(C20,'Master Data'!$F$3:$K$3,0)),2)</f>
        <v>65579.399999999994</v>
      </c>
      <c r="M20" s="147">
        <f>INDEX('Master Data'!$C$75:$O$299,MATCH(A20,'Master Data'!$B$75:$B$299,0),MATCH($M$1,'Master Data'!$C$74:$O$74,0))</f>
        <v>0.99</v>
      </c>
      <c r="N20" s="148">
        <f>ROUND(M20*INDEX('Master Data'!$F$4:$K$12,MATCH($M$1,'Master Data'!$E$4:$E$12,0),MATCH(C20,'Master Data'!$F$3:$K$3,0)),2)</f>
        <v>46374.01</v>
      </c>
      <c r="O20" s="147">
        <f>INDEX('Master Data'!$C$75:$O$299,MATCH(A20,'Master Data'!$B$75:$B$299,0),MATCH($O$1,'Master Data'!$C$74:$O$74,0))</f>
        <v>0.23</v>
      </c>
      <c r="P20" s="148">
        <f>ROUND(O20*INDEX('Master Data'!$F$4:$K$12,MATCH($O$1,'Master Data'!$E$4:$E$12,0),MATCH(C20,'Master Data'!$F$3:$K$3,0)),2)</f>
        <v>7176</v>
      </c>
      <c r="Q20" s="147">
        <f>INDEX('Master Data'!$C$75:$O$299,MATCH(A20,'Master Data'!$B$75:$B$299,0),MATCH($Q$1,'Master Data'!$C$74:$O$74,0))</f>
        <v>0.12</v>
      </c>
      <c r="R20" s="148">
        <f>ROUND(Q20*INDEX('Master Data'!$F$4:$K$12,MATCH($Q$1,'Master Data'!$E$4:$E$12,0),MATCH(C20,'Master Data'!$F$3:$K$3,0)),2)</f>
        <v>5621.09</v>
      </c>
      <c r="S20" s="147">
        <f>INDEX('Master Data'!$C$75:$O$299,MATCH(A20,'Master Data'!$B$75:$B$299,0),MATCH($S$1,'Master Data'!$C$74:$O$74,0))</f>
        <v>0</v>
      </c>
      <c r="T20" s="148">
        <f>ROUND(S20*INDEX('Master Data'!$F$4:$K$12,MATCH($S$1,'Master Data'!$E$4:$E$12,0),MATCH(C20,'Master Data'!$F$3:$K$3,0)),2)</f>
        <v>0</v>
      </c>
      <c r="U20" s="147">
        <f>INDEX('Master Data'!$C$75:$O$299,MATCH(A20,'Master Data'!$B$75:$B$299,0),MATCH($U$1,'Master Data'!$C$74:$O$74,0))</f>
        <v>0</v>
      </c>
      <c r="V20" s="148">
        <f>ROUND(U20*INDEX('Master Data'!$F$4:$K$12,MATCH($U$1,'Master Data'!$E$4:$E$12,0),MATCH(C20,'Master Data'!$F$3:$K$3,0)),2)</f>
        <v>0</v>
      </c>
      <c r="W20" s="149">
        <f t="shared" si="2"/>
        <v>462373.48000000004</v>
      </c>
      <c r="X20" s="148">
        <f>ROUND(W20*('Master Data'!$B$54),2)</f>
        <v>115454.66</v>
      </c>
      <c r="Y20" s="149">
        <f t="shared" si="3"/>
        <v>577828.14</v>
      </c>
      <c r="Z20" s="147">
        <f>52*INDEX('Master Data'!$C$75:$O$299,MATCH(A20,'Master Data'!$B$75:$B$299,0),MATCH($Z$1,'Master Data'!$C$74:$O$74,0))</f>
        <v>52</v>
      </c>
      <c r="AA20" s="148">
        <f>Z20*('Master Data'!$F$15)</f>
        <v>3920.8</v>
      </c>
      <c r="AB20" s="147">
        <f>52*INDEX('Master Data'!$C$75:$O$299,MATCH(A20,'Master Data'!$B$75:$B$299,0),MATCH($AB$1,'Master Data'!$C$74:$O$74,0))</f>
        <v>52</v>
      </c>
      <c r="AC20" s="148">
        <f>AB20*('Master Data'!$F$16)</f>
        <v>3760.6399999999994</v>
      </c>
      <c r="AD20" s="149">
        <f t="shared" si="4"/>
        <v>7681.44</v>
      </c>
      <c r="AE20" s="148">
        <f>INDEX('Master Data'!$D$58:$D$60,MATCH(D20,'Master Data'!$B$58:$B$60,0))</f>
        <v>19577.099999999999</v>
      </c>
      <c r="AF20" s="148">
        <f>INDEX('Master Data'!$E$58:$E$60,MATCH(D20,'Master Data'!$B$58:$B$60,0))</f>
        <v>992.8</v>
      </c>
      <c r="AG20" s="148">
        <f>INDEX('Master Data'!$F$58:$F$60,MATCH(D20,'Master Data'!$B$58:$B$60,0))</f>
        <v>2876.2</v>
      </c>
      <c r="AH20" s="149">
        <f t="shared" si="5"/>
        <v>608955.67999999993</v>
      </c>
      <c r="AI20" s="148">
        <f>ROUND(AH20*('Master Data'!$C$54),2)</f>
        <v>73074.679999999993</v>
      </c>
      <c r="AJ20" s="148">
        <f>ROUND(SUM(AH20:AI20,AK20)*('Master Data'!$E$54),2)</f>
        <v>20432.98</v>
      </c>
      <c r="AK20" s="148">
        <f>ROUND(W20*('Master Data'!$F$54),2)</f>
        <v>0</v>
      </c>
      <c r="AL20" s="149">
        <f t="shared" si="6"/>
        <v>702463.33999999985</v>
      </c>
      <c r="AM20" s="140">
        <f t="shared" si="7"/>
        <v>2024.39</v>
      </c>
      <c r="AN20" s="121"/>
      <c r="AO20" s="121"/>
      <c r="AP20" s="121"/>
      <c r="AQ20" s="121"/>
      <c r="AR20" s="121"/>
      <c r="AS20" s="121"/>
    </row>
    <row r="21" spans="1:45">
      <c r="A21" s="121" t="s">
        <v>174</v>
      </c>
      <c r="B21" s="121" t="str">
        <f t="shared" si="0"/>
        <v xml:space="preserve"> </v>
      </c>
      <c r="C21" s="121" t="str">
        <f t="shared" si="1"/>
        <v xml:space="preserve">Basic  </v>
      </c>
      <c r="D21" s="121" t="str">
        <f>INDEX('Master Data'!$C$75:$C$299,MATCH(A21,'Master Data'!$B$75:$B$299,0))</f>
        <v>2-3</v>
      </c>
      <c r="E21" s="147">
        <f>INDEX('Master Data'!$C$75:$O$299,MATCH(A21,'Master Data'!$B$75:$B$299,0),MATCH($E$1,'Master Data'!$C$74:$O$74,0))</f>
        <v>0.18</v>
      </c>
      <c r="F21" s="148">
        <f>ROUND(E21*INDEX('Master Data'!$F$4:$K$12,MATCH($E$1,'Master Data'!$E$4:$E$12,0),MATCH(C21,'Master Data'!$F$3:$K$3,0)),2)</f>
        <v>14667.64</v>
      </c>
      <c r="G21" s="147">
        <f>INDEX('Master Data'!$C$75:$O$299,MATCH(A21,'Master Data'!$B$75:$B$299,0),MATCH($G$1,'Master Data'!$C$74:$O$74,0))</f>
        <v>0.66</v>
      </c>
      <c r="H21" s="148">
        <f>ROUND(G21*INDEX('Master Data'!$F$4:$K$12,MATCH($G$1,'Master Data'!$E$4:$E$12,0),MATCH(C21,'Master Data'!$F$3:$K$3,0)),2)</f>
        <v>37216.5</v>
      </c>
      <c r="I21" s="147">
        <f>INDEX('Master Data'!$C$75:$O$299,MATCH(A21,'Master Data'!$B$75:$B$299,0),MATCH($I$1,'Master Data'!$C$74:$O$74,0))</f>
        <v>6.6</v>
      </c>
      <c r="J21" s="148">
        <f>ROUND(I21*INDEX('Master Data'!$F$4:$K$12,MATCH($I$1,'Master Data'!$E$4:$E$12,0),MATCH(C21,'Master Data'!$F$3:$K$3,0)),2)</f>
        <v>309160.05</v>
      </c>
      <c r="K21" s="147">
        <f>INDEX('Master Data'!$C$75:$O$299,MATCH(A21,'Master Data'!$B$75:$B$299,0),MATCH($K$1,'Master Data'!$C$74:$O$74,0))</f>
        <v>1.4</v>
      </c>
      <c r="L21" s="148">
        <f>ROUND(K21*INDEX('Master Data'!$F$4:$K$12,MATCH($K$1,'Master Data'!$E$4:$E$12,0),MATCH(C21,'Master Data'!$F$3:$K$3,0)),2)</f>
        <v>65579.399999999994</v>
      </c>
      <c r="M21" s="147">
        <f>INDEX('Master Data'!$C$75:$O$299,MATCH(A21,'Master Data'!$B$75:$B$299,0),MATCH($M$1,'Master Data'!$C$74:$O$74,0))</f>
        <v>1.07</v>
      </c>
      <c r="N21" s="148">
        <f>ROUND(M21*INDEX('Master Data'!$F$4:$K$12,MATCH($M$1,'Master Data'!$E$4:$E$12,0),MATCH(C21,'Master Data'!$F$3:$K$3,0)),2)</f>
        <v>50121.4</v>
      </c>
      <c r="O21" s="147">
        <f>INDEX('Master Data'!$C$75:$O$299,MATCH(A21,'Master Data'!$B$75:$B$299,0),MATCH($O$1,'Master Data'!$C$74:$O$74,0))</f>
        <v>0.23</v>
      </c>
      <c r="P21" s="148">
        <f>ROUND(O21*INDEX('Master Data'!$F$4:$K$12,MATCH($O$1,'Master Data'!$E$4:$E$12,0),MATCH(C21,'Master Data'!$F$3:$K$3,0)),2)</f>
        <v>7176</v>
      </c>
      <c r="Q21" s="147">
        <f>INDEX('Master Data'!$C$75:$O$299,MATCH(A21,'Master Data'!$B$75:$B$299,0),MATCH($Q$1,'Master Data'!$C$74:$O$74,0))</f>
        <v>0.12</v>
      </c>
      <c r="R21" s="148">
        <f>ROUND(Q21*INDEX('Master Data'!$F$4:$K$12,MATCH($Q$1,'Master Data'!$E$4:$E$12,0),MATCH(C21,'Master Data'!$F$3:$K$3,0)),2)</f>
        <v>5621.09</v>
      </c>
      <c r="S21" s="147">
        <f>INDEX('Master Data'!$C$75:$O$299,MATCH(A21,'Master Data'!$B$75:$B$299,0),MATCH($S$1,'Master Data'!$C$74:$O$74,0))</f>
        <v>0</v>
      </c>
      <c r="T21" s="148">
        <f>ROUND(S21*INDEX('Master Data'!$F$4:$K$12,MATCH($S$1,'Master Data'!$E$4:$E$12,0),MATCH(C21,'Master Data'!$F$3:$K$3,0)),2)</f>
        <v>0</v>
      </c>
      <c r="U21" s="147">
        <f>INDEX('Master Data'!$C$75:$O$299,MATCH(A21,'Master Data'!$B$75:$B$299,0),MATCH($U$1,'Master Data'!$C$74:$O$74,0))</f>
        <v>0</v>
      </c>
      <c r="V21" s="148">
        <f>ROUND(U21*INDEX('Master Data'!$F$4:$K$12,MATCH($U$1,'Master Data'!$E$4:$E$12,0),MATCH(C21,'Master Data'!$F$3:$K$3,0)),2)</f>
        <v>0</v>
      </c>
      <c r="W21" s="149">
        <f t="shared" si="2"/>
        <v>489542.08</v>
      </c>
      <c r="X21" s="148">
        <f>ROUND(W21*('Master Data'!$B$54),2)</f>
        <v>122238.66</v>
      </c>
      <c r="Y21" s="149">
        <f t="shared" si="3"/>
        <v>611780.74</v>
      </c>
      <c r="Z21" s="147">
        <f>52*INDEX('Master Data'!$C$75:$O$299,MATCH(A21,'Master Data'!$B$75:$B$299,0),MATCH($Z$1,'Master Data'!$C$74:$O$74,0))</f>
        <v>52</v>
      </c>
      <c r="AA21" s="148">
        <f>Z21*('Master Data'!$F$15)</f>
        <v>3920.8</v>
      </c>
      <c r="AB21" s="147">
        <f>52*INDEX('Master Data'!$C$75:$O$299,MATCH(A21,'Master Data'!$B$75:$B$299,0),MATCH($AB$1,'Master Data'!$C$74:$O$74,0))</f>
        <v>52</v>
      </c>
      <c r="AC21" s="148">
        <f>AB21*('Master Data'!$F$16)</f>
        <v>3760.6399999999994</v>
      </c>
      <c r="AD21" s="149">
        <f t="shared" si="4"/>
        <v>7681.44</v>
      </c>
      <c r="AE21" s="148">
        <f>INDEX('Master Data'!$D$58:$D$60,MATCH(D21,'Master Data'!$B$58:$B$60,0))</f>
        <v>19577.099999999999</v>
      </c>
      <c r="AF21" s="148">
        <f>INDEX('Master Data'!$E$58:$E$60,MATCH(D21,'Master Data'!$B$58:$B$60,0))</f>
        <v>992.8</v>
      </c>
      <c r="AG21" s="148">
        <f>INDEX('Master Data'!$F$58:$F$60,MATCH(D21,'Master Data'!$B$58:$B$60,0))</f>
        <v>2876.2</v>
      </c>
      <c r="AH21" s="149">
        <f t="shared" si="5"/>
        <v>642908.27999999991</v>
      </c>
      <c r="AI21" s="148">
        <f>ROUND(AH21*('Master Data'!$C$54),2)</f>
        <v>77148.990000000005</v>
      </c>
      <c r="AJ21" s="148">
        <f>ROUND(SUM(AH21:AI21,AK21)*('Master Data'!$E$54),2)</f>
        <v>21572.23</v>
      </c>
      <c r="AK21" s="148">
        <f>ROUND(W21*('Master Data'!$F$54),2)</f>
        <v>0</v>
      </c>
      <c r="AL21" s="149">
        <f t="shared" si="6"/>
        <v>741629.49999999988</v>
      </c>
      <c r="AM21" s="140">
        <f t="shared" si="7"/>
        <v>2137.2600000000002</v>
      </c>
      <c r="AN21" s="121"/>
      <c r="AO21" s="121"/>
      <c r="AP21" s="121"/>
      <c r="AQ21" s="121"/>
      <c r="AR21" s="121"/>
      <c r="AS21" s="121"/>
    </row>
    <row r="22" spans="1:45">
      <c r="A22" s="121" t="s">
        <v>175</v>
      </c>
      <c r="B22" s="121" t="str">
        <f t="shared" si="0"/>
        <v xml:space="preserve"> </v>
      </c>
      <c r="C22" s="121" t="str">
        <f t="shared" si="1"/>
        <v xml:space="preserve">Basic  </v>
      </c>
      <c r="D22" s="121" t="str">
        <f>INDEX('Master Data'!$C$75:$C$299,MATCH(A22,'Master Data'!$B$75:$B$299,0))</f>
        <v>2-3</v>
      </c>
      <c r="E22" s="147">
        <f>INDEX('Master Data'!$C$75:$O$299,MATCH(A22,'Master Data'!$B$75:$B$299,0),MATCH($E$1,'Master Data'!$C$74:$O$74,0))</f>
        <v>0.18</v>
      </c>
      <c r="F22" s="148">
        <f>ROUND(E22*INDEX('Master Data'!$F$4:$K$12,MATCH($E$1,'Master Data'!$E$4:$E$12,0),MATCH(C22,'Master Data'!$F$3:$K$3,0)),2)</f>
        <v>14667.64</v>
      </c>
      <c r="G22" s="147">
        <f>INDEX('Master Data'!$C$75:$O$299,MATCH(A22,'Master Data'!$B$75:$B$299,0),MATCH($G$1,'Master Data'!$C$74:$O$74,0))</f>
        <v>0.66</v>
      </c>
      <c r="H22" s="148">
        <f>ROUND(G22*INDEX('Master Data'!$F$4:$K$12,MATCH($G$1,'Master Data'!$E$4:$E$12,0),MATCH(C22,'Master Data'!$F$3:$K$3,0)),2)</f>
        <v>37216.5</v>
      </c>
      <c r="I22" s="147">
        <f>INDEX('Master Data'!$C$75:$O$299,MATCH(A22,'Master Data'!$B$75:$B$299,0),MATCH($I$1,'Master Data'!$C$74:$O$74,0))</f>
        <v>7.1</v>
      </c>
      <c r="J22" s="148">
        <f>ROUND(I22*INDEX('Master Data'!$F$4:$K$12,MATCH($I$1,'Master Data'!$E$4:$E$12,0),MATCH(C22,'Master Data'!$F$3:$K$3,0)),2)</f>
        <v>332581.27</v>
      </c>
      <c r="K22" s="147">
        <f>INDEX('Master Data'!$C$75:$O$299,MATCH(A22,'Master Data'!$B$75:$B$299,0),MATCH($K$1,'Master Data'!$C$74:$O$74,0))</f>
        <v>1.4</v>
      </c>
      <c r="L22" s="148">
        <f>ROUND(K22*INDEX('Master Data'!$F$4:$K$12,MATCH($K$1,'Master Data'!$E$4:$E$12,0),MATCH(C22,'Master Data'!$F$3:$K$3,0)),2)</f>
        <v>65579.399999999994</v>
      </c>
      <c r="M22" s="147">
        <f>INDEX('Master Data'!$C$75:$O$299,MATCH(A22,'Master Data'!$B$75:$B$299,0),MATCH($M$1,'Master Data'!$C$74:$O$74,0))</f>
        <v>1.1499999999999999</v>
      </c>
      <c r="N22" s="148">
        <f>ROUND(M22*INDEX('Master Data'!$F$4:$K$12,MATCH($M$1,'Master Data'!$E$4:$E$12,0),MATCH(C22,'Master Data'!$F$3:$K$3,0)),2)</f>
        <v>53868.800000000003</v>
      </c>
      <c r="O22" s="147">
        <f>INDEX('Master Data'!$C$75:$O$299,MATCH(A22,'Master Data'!$B$75:$B$299,0),MATCH($O$1,'Master Data'!$C$74:$O$74,0))</f>
        <v>0.23</v>
      </c>
      <c r="P22" s="148">
        <f>ROUND(O22*INDEX('Master Data'!$F$4:$K$12,MATCH($O$1,'Master Data'!$E$4:$E$12,0),MATCH(C22,'Master Data'!$F$3:$K$3,0)),2)</f>
        <v>7176</v>
      </c>
      <c r="Q22" s="147">
        <f>INDEX('Master Data'!$C$75:$O$299,MATCH(A22,'Master Data'!$B$75:$B$299,0),MATCH($Q$1,'Master Data'!$C$74:$O$74,0))</f>
        <v>0.12</v>
      </c>
      <c r="R22" s="148">
        <f>ROUND(Q22*INDEX('Master Data'!$F$4:$K$12,MATCH($Q$1,'Master Data'!$E$4:$E$12,0),MATCH(C22,'Master Data'!$F$3:$K$3,0)),2)</f>
        <v>5621.09</v>
      </c>
      <c r="S22" s="147">
        <f>INDEX('Master Data'!$C$75:$O$299,MATCH(A22,'Master Data'!$B$75:$B$299,0),MATCH($S$1,'Master Data'!$C$74:$O$74,0))</f>
        <v>0</v>
      </c>
      <c r="T22" s="148">
        <f>ROUND(S22*INDEX('Master Data'!$F$4:$K$12,MATCH($S$1,'Master Data'!$E$4:$E$12,0),MATCH(C22,'Master Data'!$F$3:$K$3,0)),2)</f>
        <v>0</v>
      </c>
      <c r="U22" s="147">
        <f>INDEX('Master Data'!$C$75:$O$299,MATCH(A22,'Master Data'!$B$75:$B$299,0),MATCH($U$1,'Master Data'!$C$74:$O$74,0))</f>
        <v>0</v>
      </c>
      <c r="V22" s="148">
        <f>ROUND(U22*INDEX('Master Data'!$F$4:$K$12,MATCH($U$1,'Master Data'!$E$4:$E$12,0),MATCH(C22,'Master Data'!$F$3:$K$3,0)),2)</f>
        <v>0</v>
      </c>
      <c r="W22" s="149">
        <f t="shared" si="2"/>
        <v>516710.70000000007</v>
      </c>
      <c r="X22" s="148">
        <f>ROUND(W22*('Master Data'!$B$54),2)</f>
        <v>129022.66</v>
      </c>
      <c r="Y22" s="149">
        <f t="shared" si="3"/>
        <v>645733.3600000001</v>
      </c>
      <c r="Z22" s="147">
        <f>52*INDEX('Master Data'!$C$75:$O$299,MATCH(A22,'Master Data'!$B$75:$B$299,0),MATCH($Z$1,'Master Data'!$C$74:$O$74,0))</f>
        <v>52</v>
      </c>
      <c r="AA22" s="148">
        <f>Z22*('Master Data'!$F$15)</f>
        <v>3920.8</v>
      </c>
      <c r="AB22" s="147">
        <f>52*INDEX('Master Data'!$C$75:$O$299,MATCH(A22,'Master Data'!$B$75:$B$299,0),MATCH($AB$1,'Master Data'!$C$74:$O$74,0))</f>
        <v>52</v>
      </c>
      <c r="AC22" s="148">
        <f>AB22*('Master Data'!$F$16)</f>
        <v>3760.6399999999994</v>
      </c>
      <c r="AD22" s="149">
        <f t="shared" si="4"/>
        <v>7681.44</v>
      </c>
      <c r="AE22" s="148">
        <f>INDEX('Master Data'!$D$58:$D$60,MATCH(D22,'Master Data'!$B$58:$B$60,0))</f>
        <v>19577.099999999999</v>
      </c>
      <c r="AF22" s="148">
        <f>INDEX('Master Data'!$E$58:$E$60,MATCH(D22,'Master Data'!$B$58:$B$60,0))</f>
        <v>992.8</v>
      </c>
      <c r="AG22" s="148">
        <f>INDEX('Master Data'!$F$58:$F$60,MATCH(D22,'Master Data'!$B$58:$B$60,0))</f>
        <v>2876.2</v>
      </c>
      <c r="AH22" s="149">
        <f t="shared" si="5"/>
        <v>676860.9</v>
      </c>
      <c r="AI22" s="148">
        <f>ROUND(AH22*('Master Data'!$C$54),2)</f>
        <v>81223.31</v>
      </c>
      <c r="AJ22" s="148">
        <f>ROUND(SUM(AH22:AI22,AK22)*('Master Data'!$E$54),2)</f>
        <v>22711.48</v>
      </c>
      <c r="AK22" s="148">
        <f>ROUND(W22*('Master Data'!$F$54),2)</f>
        <v>0</v>
      </c>
      <c r="AL22" s="149">
        <f t="shared" si="6"/>
        <v>780795.69</v>
      </c>
      <c r="AM22" s="140">
        <f t="shared" si="7"/>
        <v>2250.13</v>
      </c>
      <c r="AN22" s="121"/>
      <c r="AO22" s="121"/>
      <c r="AP22" s="121"/>
      <c r="AQ22" s="121"/>
      <c r="AR22" s="121"/>
      <c r="AS22" s="121"/>
    </row>
    <row r="23" spans="1:45">
      <c r="A23" s="121" t="s">
        <v>176</v>
      </c>
      <c r="B23" s="121" t="str">
        <f t="shared" si="0"/>
        <v xml:space="preserve"> </v>
      </c>
      <c r="C23" s="121" t="str">
        <f t="shared" si="1"/>
        <v xml:space="preserve">Basic  </v>
      </c>
      <c r="D23" s="121" t="str">
        <f>INDEX('Master Data'!$C$75:$C$299,MATCH(A23,'Master Data'!$B$75:$B$299,0))</f>
        <v>2-3</v>
      </c>
      <c r="E23" s="147">
        <f>INDEX('Master Data'!$C$75:$O$299,MATCH(A23,'Master Data'!$B$75:$B$299,0),MATCH($E$1,'Master Data'!$C$74:$O$74,0))</f>
        <v>0.18</v>
      </c>
      <c r="F23" s="148">
        <f>ROUND(E23*INDEX('Master Data'!$F$4:$K$12,MATCH($E$1,'Master Data'!$E$4:$E$12,0),MATCH(C23,'Master Data'!$F$3:$K$3,0)),2)</f>
        <v>14667.64</v>
      </c>
      <c r="G23" s="147">
        <f>INDEX('Master Data'!$C$75:$O$299,MATCH(A23,'Master Data'!$B$75:$B$299,0),MATCH($G$1,'Master Data'!$C$74:$O$74,0))</f>
        <v>0.66</v>
      </c>
      <c r="H23" s="148">
        <f>ROUND(G23*INDEX('Master Data'!$F$4:$K$12,MATCH($G$1,'Master Data'!$E$4:$E$12,0),MATCH(C23,'Master Data'!$F$3:$K$3,0)),2)</f>
        <v>37216.5</v>
      </c>
      <c r="I23" s="147">
        <f>INDEX('Master Data'!$C$75:$O$299,MATCH(A23,'Master Data'!$B$75:$B$299,0),MATCH($I$1,'Master Data'!$C$74:$O$74,0))</f>
        <v>7.6</v>
      </c>
      <c r="J23" s="148">
        <f>ROUND(I23*INDEX('Master Data'!$F$4:$K$12,MATCH($I$1,'Master Data'!$E$4:$E$12,0),MATCH(C23,'Master Data'!$F$3:$K$3,0)),2)</f>
        <v>356002.48</v>
      </c>
      <c r="K23" s="147">
        <f>INDEX('Master Data'!$C$75:$O$299,MATCH(A23,'Master Data'!$B$75:$B$299,0),MATCH($K$1,'Master Data'!$C$74:$O$74,0))</f>
        <v>1.4</v>
      </c>
      <c r="L23" s="148">
        <f>ROUND(K23*INDEX('Master Data'!$F$4:$K$12,MATCH($K$1,'Master Data'!$E$4:$E$12,0),MATCH(C23,'Master Data'!$F$3:$K$3,0)),2)</f>
        <v>65579.399999999994</v>
      </c>
      <c r="M23" s="147">
        <f>INDEX('Master Data'!$C$75:$O$299,MATCH(A23,'Master Data'!$B$75:$B$299,0),MATCH($M$1,'Master Data'!$C$74:$O$74,0))</f>
        <v>1.23</v>
      </c>
      <c r="N23" s="148">
        <f>ROUND(M23*INDEX('Master Data'!$F$4:$K$12,MATCH($M$1,'Master Data'!$E$4:$E$12,0),MATCH(C23,'Master Data'!$F$3:$K$3,0)),2)</f>
        <v>57616.19</v>
      </c>
      <c r="O23" s="147">
        <f>INDEX('Master Data'!$C$75:$O$299,MATCH(A23,'Master Data'!$B$75:$B$299,0),MATCH($O$1,'Master Data'!$C$74:$O$74,0))</f>
        <v>0.23</v>
      </c>
      <c r="P23" s="148">
        <f>ROUND(O23*INDEX('Master Data'!$F$4:$K$12,MATCH($O$1,'Master Data'!$E$4:$E$12,0),MATCH(C23,'Master Data'!$F$3:$K$3,0)),2)</f>
        <v>7176</v>
      </c>
      <c r="Q23" s="147">
        <f>INDEX('Master Data'!$C$75:$O$299,MATCH(A23,'Master Data'!$B$75:$B$299,0),MATCH($Q$1,'Master Data'!$C$74:$O$74,0))</f>
        <v>0.12</v>
      </c>
      <c r="R23" s="148">
        <f>ROUND(Q23*INDEX('Master Data'!$F$4:$K$12,MATCH($Q$1,'Master Data'!$E$4:$E$12,0),MATCH(C23,'Master Data'!$F$3:$K$3,0)),2)</f>
        <v>5621.09</v>
      </c>
      <c r="S23" s="147">
        <f>INDEX('Master Data'!$C$75:$O$299,MATCH(A23,'Master Data'!$B$75:$B$299,0),MATCH($S$1,'Master Data'!$C$74:$O$74,0))</f>
        <v>0</v>
      </c>
      <c r="T23" s="148">
        <f>ROUND(S23*INDEX('Master Data'!$F$4:$K$12,MATCH($S$1,'Master Data'!$E$4:$E$12,0),MATCH(C23,'Master Data'!$F$3:$K$3,0)),2)</f>
        <v>0</v>
      </c>
      <c r="U23" s="147">
        <f>INDEX('Master Data'!$C$75:$O$299,MATCH(A23,'Master Data'!$B$75:$B$299,0),MATCH($U$1,'Master Data'!$C$74:$O$74,0))</f>
        <v>0</v>
      </c>
      <c r="V23" s="148">
        <f>ROUND(U23*INDEX('Master Data'!$F$4:$K$12,MATCH($U$1,'Master Data'!$E$4:$E$12,0),MATCH(C23,'Master Data'!$F$3:$K$3,0)),2)</f>
        <v>0</v>
      </c>
      <c r="W23" s="149">
        <f t="shared" si="2"/>
        <v>543879.29999999993</v>
      </c>
      <c r="X23" s="148">
        <f>ROUND(W23*('Master Data'!$B$54),2)</f>
        <v>135806.66</v>
      </c>
      <c r="Y23" s="149">
        <f t="shared" si="3"/>
        <v>679685.96</v>
      </c>
      <c r="Z23" s="147">
        <f>52*INDEX('Master Data'!$C$75:$O$299,MATCH(A23,'Master Data'!$B$75:$B$299,0),MATCH($Z$1,'Master Data'!$C$74:$O$74,0))</f>
        <v>52</v>
      </c>
      <c r="AA23" s="148">
        <f>Z23*('Master Data'!$F$15)</f>
        <v>3920.8</v>
      </c>
      <c r="AB23" s="147">
        <f>52*INDEX('Master Data'!$C$75:$O$299,MATCH(A23,'Master Data'!$B$75:$B$299,0),MATCH($AB$1,'Master Data'!$C$74:$O$74,0))</f>
        <v>52</v>
      </c>
      <c r="AC23" s="148">
        <f>AB23*('Master Data'!$F$16)</f>
        <v>3760.6399999999994</v>
      </c>
      <c r="AD23" s="149">
        <f t="shared" si="4"/>
        <v>7681.44</v>
      </c>
      <c r="AE23" s="148">
        <f>INDEX('Master Data'!$D$58:$D$60,MATCH(D23,'Master Data'!$B$58:$B$60,0))</f>
        <v>19577.099999999999</v>
      </c>
      <c r="AF23" s="148">
        <f>INDEX('Master Data'!$E$58:$E$60,MATCH(D23,'Master Data'!$B$58:$B$60,0))</f>
        <v>992.8</v>
      </c>
      <c r="AG23" s="148">
        <f>INDEX('Master Data'!$F$58:$F$60,MATCH(D23,'Master Data'!$B$58:$B$60,0))</f>
        <v>2876.2</v>
      </c>
      <c r="AH23" s="149">
        <f t="shared" si="5"/>
        <v>710813.49999999988</v>
      </c>
      <c r="AI23" s="148">
        <f>ROUND(AH23*('Master Data'!$C$54),2)</f>
        <v>85297.62</v>
      </c>
      <c r="AJ23" s="148">
        <f>ROUND(SUM(AH23:AI23,AK23)*('Master Data'!$E$54),2)</f>
        <v>23850.73</v>
      </c>
      <c r="AK23" s="148">
        <f>ROUND(W23*('Master Data'!$F$54),2)</f>
        <v>0</v>
      </c>
      <c r="AL23" s="149">
        <f t="shared" si="6"/>
        <v>819961.84999999986</v>
      </c>
      <c r="AM23" s="140">
        <f t="shared" si="7"/>
        <v>2363</v>
      </c>
      <c r="AN23" s="121"/>
      <c r="AO23" s="121"/>
      <c r="AP23" s="121"/>
      <c r="AQ23" s="121"/>
      <c r="AR23" s="121"/>
      <c r="AS23" s="121"/>
    </row>
    <row r="24" spans="1:45">
      <c r="A24" s="121" t="s">
        <v>177</v>
      </c>
      <c r="B24" s="121" t="str">
        <f t="shared" si="0"/>
        <v xml:space="preserve"> </v>
      </c>
      <c r="C24" s="121" t="str">
        <f t="shared" si="1"/>
        <v xml:space="preserve">Intermediate  </v>
      </c>
      <c r="D24" s="121" t="str">
        <f>INDEX('Master Data'!$C$75:$C$299,MATCH(A24,'Master Data'!$B$75:$B$299,0))</f>
        <v>2-3</v>
      </c>
      <c r="E24" s="147">
        <f>INDEX('Master Data'!$C$75:$O$299,MATCH(A24,'Master Data'!$B$75:$B$299,0),MATCH($E$1,'Master Data'!$C$74:$O$74,0))</f>
        <v>0.18</v>
      </c>
      <c r="F24" s="148">
        <f>ROUND(E24*INDEX('Master Data'!$F$4:$K$12,MATCH($E$1,'Master Data'!$E$4:$E$12,0),MATCH(C24,'Master Data'!$F$3:$K$3,0)),2)</f>
        <v>14667.64</v>
      </c>
      <c r="G24" s="147">
        <f>INDEX('Master Data'!$C$75:$O$299,MATCH(A24,'Master Data'!$B$75:$B$299,0),MATCH($G$1,'Master Data'!$C$74:$O$74,0))</f>
        <v>0.66</v>
      </c>
      <c r="H24" s="148">
        <f>ROUND(G24*INDEX('Master Data'!$F$4:$K$12,MATCH($G$1,'Master Data'!$E$4:$E$12,0),MATCH(C24,'Master Data'!$F$3:$K$3,0)),2)</f>
        <v>37216.5</v>
      </c>
      <c r="I24" s="147">
        <f>INDEX('Master Data'!$C$75:$O$299,MATCH(A24,'Master Data'!$B$75:$B$299,0),MATCH($I$1,'Master Data'!$C$74:$O$74,0))</f>
        <v>2.1</v>
      </c>
      <c r="J24" s="148">
        <f>ROUND(I24*INDEX('Master Data'!$F$4:$K$12,MATCH($I$1,'Master Data'!$E$4:$E$12,0),MATCH(C24,'Master Data'!$F$3:$K$3,0)),2)</f>
        <v>100173.34</v>
      </c>
      <c r="K24" s="147">
        <f>INDEX('Master Data'!$C$75:$O$299,MATCH(A24,'Master Data'!$B$75:$B$299,0),MATCH($K$1,'Master Data'!$C$74:$O$74,0))</f>
        <v>1.4</v>
      </c>
      <c r="L24" s="148">
        <f>ROUND(K24*INDEX('Master Data'!$F$4:$K$12,MATCH($K$1,'Master Data'!$E$4:$E$12,0),MATCH(C24,'Master Data'!$F$3:$K$3,0)),2)</f>
        <v>65579.399999999994</v>
      </c>
      <c r="M24" s="147">
        <f>INDEX('Master Data'!$C$75:$O$299,MATCH(A24,'Master Data'!$B$75:$B$299,0),MATCH($M$1,'Master Data'!$C$74:$O$74,0))</f>
        <v>0.34</v>
      </c>
      <c r="N24" s="148">
        <f>ROUND(M24*INDEX('Master Data'!$F$4:$K$12,MATCH($M$1,'Master Data'!$E$4:$E$12,0),MATCH(C24,'Master Data'!$F$3:$K$3,0)),2)</f>
        <v>16218.54</v>
      </c>
      <c r="O24" s="147">
        <f>INDEX('Master Data'!$C$75:$O$299,MATCH(A24,'Master Data'!$B$75:$B$299,0),MATCH($O$1,'Master Data'!$C$74:$O$74,0))</f>
        <v>0.23</v>
      </c>
      <c r="P24" s="148">
        <f>ROUND(O24*INDEX('Master Data'!$F$4:$K$12,MATCH($O$1,'Master Data'!$E$4:$E$12,0),MATCH(C24,'Master Data'!$F$3:$K$3,0)),2)</f>
        <v>7176</v>
      </c>
      <c r="Q24" s="147">
        <f>INDEX('Master Data'!$C$75:$O$299,MATCH(A24,'Master Data'!$B$75:$B$299,0),MATCH($Q$1,'Master Data'!$C$74:$O$74,0))</f>
        <v>0.12</v>
      </c>
      <c r="R24" s="148">
        <f>ROUND(Q24*INDEX('Master Data'!$F$4:$K$12,MATCH($Q$1,'Master Data'!$E$4:$E$12,0),MATCH(C24,'Master Data'!$F$3:$K$3,0)),2)</f>
        <v>5621.09</v>
      </c>
      <c r="S24" s="147">
        <f>INDEX('Master Data'!$C$75:$O$299,MATCH(A24,'Master Data'!$B$75:$B$299,0),MATCH($S$1,'Master Data'!$C$74:$O$74,0))</f>
        <v>0</v>
      </c>
      <c r="T24" s="148">
        <f>ROUND(S24*INDEX('Master Data'!$F$4:$K$12,MATCH($S$1,'Master Data'!$E$4:$E$12,0),MATCH(C24,'Master Data'!$F$3:$K$3,0)),2)</f>
        <v>0</v>
      </c>
      <c r="U24" s="147">
        <f>INDEX('Master Data'!$C$75:$O$299,MATCH(A24,'Master Data'!$B$75:$B$299,0),MATCH($U$1,'Master Data'!$C$74:$O$74,0))</f>
        <v>0</v>
      </c>
      <c r="V24" s="148">
        <f>ROUND(U24*INDEX('Master Data'!$F$4:$K$12,MATCH($U$1,'Master Data'!$E$4:$E$12,0),MATCH(C24,'Master Data'!$F$3:$K$3,0)),2)</f>
        <v>0</v>
      </c>
      <c r="W24" s="149">
        <f t="shared" si="2"/>
        <v>246652.50999999998</v>
      </c>
      <c r="X24" s="148">
        <f>ROUND(W24*('Master Data'!$B$54),2)</f>
        <v>61589.13</v>
      </c>
      <c r="Y24" s="149">
        <f t="shared" si="3"/>
        <v>308241.63999999996</v>
      </c>
      <c r="Z24" s="147">
        <f>52*INDEX('Master Data'!$C$75:$O$299,MATCH(A24,'Master Data'!$B$75:$B$299,0),MATCH($Z$1,'Master Data'!$C$74:$O$74,0))</f>
        <v>52</v>
      </c>
      <c r="AA24" s="148">
        <f>Z24*('Master Data'!$F$15)</f>
        <v>3920.8</v>
      </c>
      <c r="AB24" s="147">
        <f>52*INDEX('Master Data'!$C$75:$O$299,MATCH(A24,'Master Data'!$B$75:$B$299,0),MATCH($AB$1,'Master Data'!$C$74:$O$74,0))</f>
        <v>156</v>
      </c>
      <c r="AC24" s="148">
        <f>AB24*('Master Data'!$F$16)</f>
        <v>11281.919999999998</v>
      </c>
      <c r="AD24" s="149">
        <f t="shared" si="4"/>
        <v>15202.719999999998</v>
      </c>
      <c r="AE24" s="148">
        <f>INDEX('Master Data'!$D$58:$D$60,MATCH(D24,'Master Data'!$B$58:$B$60,0))</f>
        <v>19577.099999999999</v>
      </c>
      <c r="AF24" s="148">
        <f>INDEX('Master Data'!$E$58:$E$60,MATCH(D24,'Master Data'!$B$58:$B$60,0))</f>
        <v>992.8</v>
      </c>
      <c r="AG24" s="148">
        <f>INDEX('Master Data'!$F$58:$F$60,MATCH(D24,'Master Data'!$B$58:$B$60,0))</f>
        <v>2876.2</v>
      </c>
      <c r="AH24" s="149">
        <f t="shared" si="5"/>
        <v>346890.4599999999</v>
      </c>
      <c r="AI24" s="148">
        <f>ROUND(AH24*('Master Data'!$C$54),2)</f>
        <v>41626.86</v>
      </c>
      <c r="AJ24" s="148">
        <f>ROUND(SUM(AH24:AI24,AK24)*('Master Data'!$E$54),2)</f>
        <v>11639.61</v>
      </c>
      <c r="AK24" s="148">
        <f>ROUND(W24*('Master Data'!$F$54),2)</f>
        <v>0</v>
      </c>
      <c r="AL24" s="149">
        <f t="shared" si="6"/>
        <v>400156.92999999988</v>
      </c>
      <c r="AM24" s="140">
        <f t="shared" si="7"/>
        <v>1153.19</v>
      </c>
      <c r="AN24" s="121"/>
      <c r="AO24" s="121"/>
      <c r="AP24" s="121"/>
      <c r="AQ24" s="121"/>
      <c r="AR24" s="121"/>
      <c r="AS24" s="121"/>
    </row>
    <row r="25" spans="1:45">
      <c r="A25" s="121" t="s">
        <v>178</v>
      </c>
      <c r="B25" s="121" t="str">
        <f t="shared" si="0"/>
        <v xml:space="preserve"> </v>
      </c>
      <c r="C25" s="121" t="str">
        <f t="shared" si="1"/>
        <v xml:space="preserve">Intermediate  </v>
      </c>
      <c r="D25" s="121" t="str">
        <f>INDEX('Master Data'!$C$75:$C$299,MATCH(A25,'Master Data'!$B$75:$B$299,0))</f>
        <v>2-3</v>
      </c>
      <c r="E25" s="147">
        <f>INDEX('Master Data'!$C$75:$O$299,MATCH(A25,'Master Data'!$B$75:$B$299,0),MATCH($E$1,'Master Data'!$C$74:$O$74,0))</f>
        <v>0.18</v>
      </c>
      <c r="F25" s="148">
        <f>ROUND(E25*INDEX('Master Data'!$F$4:$K$12,MATCH($E$1,'Master Data'!$E$4:$E$12,0),MATCH(C25,'Master Data'!$F$3:$K$3,0)),2)</f>
        <v>14667.64</v>
      </c>
      <c r="G25" s="147">
        <f>INDEX('Master Data'!$C$75:$O$299,MATCH(A25,'Master Data'!$B$75:$B$299,0),MATCH($G$1,'Master Data'!$C$74:$O$74,0))</f>
        <v>0.66</v>
      </c>
      <c r="H25" s="148">
        <f>ROUND(G25*INDEX('Master Data'!$F$4:$K$12,MATCH($G$1,'Master Data'!$E$4:$E$12,0),MATCH(C25,'Master Data'!$F$3:$K$3,0)),2)</f>
        <v>37216.5</v>
      </c>
      <c r="I25" s="147">
        <f>INDEX('Master Data'!$C$75:$O$299,MATCH(A25,'Master Data'!$B$75:$B$299,0),MATCH($I$1,'Master Data'!$C$74:$O$74,0))</f>
        <v>2.6</v>
      </c>
      <c r="J25" s="148">
        <f>ROUND(I25*INDEX('Master Data'!$F$4:$K$12,MATCH($I$1,'Master Data'!$E$4:$E$12,0),MATCH(C25,'Master Data'!$F$3:$K$3,0)),2)</f>
        <v>124024.13</v>
      </c>
      <c r="K25" s="147">
        <f>INDEX('Master Data'!$C$75:$O$299,MATCH(A25,'Master Data'!$B$75:$B$299,0),MATCH($K$1,'Master Data'!$C$74:$O$74,0))</f>
        <v>1.4</v>
      </c>
      <c r="L25" s="148">
        <f>ROUND(K25*INDEX('Master Data'!$F$4:$K$12,MATCH($K$1,'Master Data'!$E$4:$E$12,0),MATCH(C25,'Master Data'!$F$3:$K$3,0)),2)</f>
        <v>65579.399999999994</v>
      </c>
      <c r="M25" s="147">
        <f>INDEX('Master Data'!$C$75:$O$299,MATCH(A25,'Master Data'!$B$75:$B$299,0),MATCH($M$1,'Master Data'!$C$74:$O$74,0))</f>
        <v>0.42</v>
      </c>
      <c r="N25" s="148">
        <f>ROUND(M25*INDEX('Master Data'!$F$4:$K$12,MATCH($M$1,'Master Data'!$E$4:$E$12,0),MATCH(C25,'Master Data'!$F$3:$K$3,0)),2)</f>
        <v>20034.669999999998</v>
      </c>
      <c r="O25" s="147">
        <f>INDEX('Master Data'!$C$75:$O$299,MATCH(A25,'Master Data'!$B$75:$B$299,0),MATCH($O$1,'Master Data'!$C$74:$O$74,0))</f>
        <v>0.23</v>
      </c>
      <c r="P25" s="148">
        <f>ROUND(O25*INDEX('Master Data'!$F$4:$K$12,MATCH($O$1,'Master Data'!$E$4:$E$12,0),MATCH(C25,'Master Data'!$F$3:$K$3,0)),2)</f>
        <v>7176</v>
      </c>
      <c r="Q25" s="147">
        <f>INDEX('Master Data'!$C$75:$O$299,MATCH(A25,'Master Data'!$B$75:$B$299,0),MATCH($Q$1,'Master Data'!$C$74:$O$74,0))</f>
        <v>0.12</v>
      </c>
      <c r="R25" s="148">
        <f>ROUND(Q25*INDEX('Master Data'!$F$4:$K$12,MATCH($Q$1,'Master Data'!$E$4:$E$12,0),MATCH(C25,'Master Data'!$F$3:$K$3,0)),2)</f>
        <v>5621.09</v>
      </c>
      <c r="S25" s="147">
        <f>INDEX('Master Data'!$C$75:$O$299,MATCH(A25,'Master Data'!$B$75:$B$299,0),MATCH($S$1,'Master Data'!$C$74:$O$74,0))</f>
        <v>0</v>
      </c>
      <c r="T25" s="148">
        <f>ROUND(S25*INDEX('Master Data'!$F$4:$K$12,MATCH($S$1,'Master Data'!$E$4:$E$12,0),MATCH(C25,'Master Data'!$F$3:$K$3,0)),2)</f>
        <v>0</v>
      </c>
      <c r="U25" s="147">
        <f>INDEX('Master Data'!$C$75:$O$299,MATCH(A25,'Master Data'!$B$75:$B$299,0),MATCH($U$1,'Master Data'!$C$74:$O$74,0))</f>
        <v>0</v>
      </c>
      <c r="V25" s="148">
        <f>ROUND(U25*INDEX('Master Data'!$F$4:$K$12,MATCH($U$1,'Master Data'!$E$4:$E$12,0),MATCH(C25,'Master Data'!$F$3:$K$3,0)),2)</f>
        <v>0</v>
      </c>
      <c r="W25" s="149">
        <f t="shared" si="2"/>
        <v>274319.43000000005</v>
      </c>
      <c r="X25" s="148">
        <f>ROUND(W25*('Master Data'!$B$54),2)</f>
        <v>68497.56</v>
      </c>
      <c r="Y25" s="149">
        <f t="shared" si="3"/>
        <v>342816.99000000005</v>
      </c>
      <c r="Z25" s="147">
        <f>52*INDEX('Master Data'!$C$75:$O$299,MATCH(A25,'Master Data'!$B$75:$B$299,0),MATCH($Z$1,'Master Data'!$C$74:$O$74,0))</f>
        <v>52</v>
      </c>
      <c r="AA25" s="148">
        <f>Z25*('Master Data'!$F$15)</f>
        <v>3920.8</v>
      </c>
      <c r="AB25" s="147">
        <f>52*INDEX('Master Data'!$C$75:$O$299,MATCH(A25,'Master Data'!$B$75:$B$299,0),MATCH($AB$1,'Master Data'!$C$74:$O$74,0))</f>
        <v>156</v>
      </c>
      <c r="AC25" s="148">
        <f>AB25*('Master Data'!$F$16)</f>
        <v>11281.919999999998</v>
      </c>
      <c r="AD25" s="149">
        <f t="shared" si="4"/>
        <v>15202.719999999998</v>
      </c>
      <c r="AE25" s="148">
        <f>INDEX('Master Data'!$D$58:$D$60,MATCH(D25,'Master Data'!$B$58:$B$60,0))</f>
        <v>19577.099999999999</v>
      </c>
      <c r="AF25" s="148">
        <f>INDEX('Master Data'!$E$58:$E$60,MATCH(D25,'Master Data'!$B$58:$B$60,0))</f>
        <v>992.8</v>
      </c>
      <c r="AG25" s="148">
        <f>INDEX('Master Data'!$F$58:$F$60,MATCH(D25,'Master Data'!$B$58:$B$60,0))</f>
        <v>2876.2</v>
      </c>
      <c r="AH25" s="149">
        <f t="shared" si="5"/>
        <v>381465.81</v>
      </c>
      <c r="AI25" s="148">
        <f>ROUND(AH25*('Master Data'!$C$54),2)</f>
        <v>45775.9</v>
      </c>
      <c r="AJ25" s="148">
        <f>ROUND(SUM(AH25:AI25,AK25)*('Master Data'!$E$54),2)</f>
        <v>12799.75</v>
      </c>
      <c r="AK25" s="148">
        <f>ROUND(W25*('Master Data'!$F$54),2)</f>
        <v>0</v>
      </c>
      <c r="AL25" s="149">
        <f t="shared" si="6"/>
        <v>440041.46</v>
      </c>
      <c r="AM25" s="140">
        <f t="shared" si="7"/>
        <v>1268.1300000000001</v>
      </c>
      <c r="AN25" s="121"/>
      <c r="AO25" s="121"/>
      <c r="AP25" s="121"/>
      <c r="AQ25" s="121"/>
      <c r="AR25" s="121"/>
      <c r="AS25" s="121"/>
    </row>
    <row r="26" spans="1:45">
      <c r="A26" s="121" t="s">
        <v>179</v>
      </c>
      <c r="B26" s="121" t="str">
        <f t="shared" si="0"/>
        <v xml:space="preserve"> </v>
      </c>
      <c r="C26" s="121" t="str">
        <f t="shared" si="1"/>
        <v xml:space="preserve">Intermediate  </v>
      </c>
      <c r="D26" s="121" t="str">
        <f>INDEX('Master Data'!$C$75:$C$299,MATCH(A26,'Master Data'!$B$75:$B$299,0))</f>
        <v>2-3</v>
      </c>
      <c r="E26" s="147">
        <f>INDEX('Master Data'!$C$75:$O$299,MATCH(A26,'Master Data'!$B$75:$B$299,0),MATCH($E$1,'Master Data'!$C$74:$O$74,0))</f>
        <v>0.18</v>
      </c>
      <c r="F26" s="148">
        <f>ROUND(E26*INDEX('Master Data'!$F$4:$K$12,MATCH($E$1,'Master Data'!$E$4:$E$12,0),MATCH(C26,'Master Data'!$F$3:$K$3,0)),2)</f>
        <v>14667.64</v>
      </c>
      <c r="G26" s="147">
        <f>INDEX('Master Data'!$C$75:$O$299,MATCH(A26,'Master Data'!$B$75:$B$299,0),MATCH($G$1,'Master Data'!$C$74:$O$74,0))</f>
        <v>0.66</v>
      </c>
      <c r="H26" s="148">
        <f>ROUND(G26*INDEX('Master Data'!$F$4:$K$12,MATCH($G$1,'Master Data'!$E$4:$E$12,0),MATCH(C26,'Master Data'!$F$3:$K$3,0)),2)</f>
        <v>37216.5</v>
      </c>
      <c r="I26" s="147">
        <f>INDEX('Master Data'!$C$75:$O$299,MATCH(A26,'Master Data'!$B$75:$B$299,0),MATCH($I$1,'Master Data'!$C$74:$O$74,0))</f>
        <v>3.1</v>
      </c>
      <c r="J26" s="148">
        <f>ROUND(I26*INDEX('Master Data'!$F$4:$K$12,MATCH($I$1,'Master Data'!$E$4:$E$12,0),MATCH(C26,'Master Data'!$F$3:$K$3,0)),2)</f>
        <v>147874.93</v>
      </c>
      <c r="K26" s="147">
        <f>INDEX('Master Data'!$C$75:$O$299,MATCH(A26,'Master Data'!$B$75:$B$299,0),MATCH($K$1,'Master Data'!$C$74:$O$74,0))</f>
        <v>1.4</v>
      </c>
      <c r="L26" s="148">
        <f>ROUND(K26*INDEX('Master Data'!$F$4:$K$12,MATCH($K$1,'Master Data'!$E$4:$E$12,0),MATCH(C26,'Master Data'!$F$3:$K$3,0)),2)</f>
        <v>65579.399999999994</v>
      </c>
      <c r="M26" s="147">
        <f>INDEX('Master Data'!$C$75:$O$299,MATCH(A26,'Master Data'!$B$75:$B$299,0),MATCH($M$1,'Master Data'!$C$74:$O$74,0))</f>
        <v>0.5</v>
      </c>
      <c r="N26" s="148">
        <f>ROUND(M26*INDEX('Master Data'!$F$4:$K$12,MATCH($M$1,'Master Data'!$E$4:$E$12,0),MATCH(C26,'Master Data'!$F$3:$K$3,0)),2)</f>
        <v>23850.799999999999</v>
      </c>
      <c r="O26" s="147">
        <f>INDEX('Master Data'!$C$75:$O$299,MATCH(A26,'Master Data'!$B$75:$B$299,0),MATCH($O$1,'Master Data'!$C$74:$O$74,0))</f>
        <v>0.23</v>
      </c>
      <c r="P26" s="148">
        <f>ROUND(O26*INDEX('Master Data'!$F$4:$K$12,MATCH($O$1,'Master Data'!$E$4:$E$12,0),MATCH(C26,'Master Data'!$F$3:$K$3,0)),2)</f>
        <v>7176</v>
      </c>
      <c r="Q26" s="147">
        <f>INDEX('Master Data'!$C$75:$O$299,MATCH(A26,'Master Data'!$B$75:$B$299,0),MATCH($Q$1,'Master Data'!$C$74:$O$74,0))</f>
        <v>0.12</v>
      </c>
      <c r="R26" s="148">
        <f>ROUND(Q26*INDEX('Master Data'!$F$4:$K$12,MATCH($Q$1,'Master Data'!$E$4:$E$12,0),MATCH(C26,'Master Data'!$F$3:$K$3,0)),2)</f>
        <v>5621.09</v>
      </c>
      <c r="S26" s="147">
        <f>INDEX('Master Data'!$C$75:$O$299,MATCH(A26,'Master Data'!$B$75:$B$299,0),MATCH($S$1,'Master Data'!$C$74:$O$74,0))</f>
        <v>0</v>
      </c>
      <c r="T26" s="148">
        <f>ROUND(S26*INDEX('Master Data'!$F$4:$K$12,MATCH($S$1,'Master Data'!$E$4:$E$12,0),MATCH(C26,'Master Data'!$F$3:$K$3,0)),2)</f>
        <v>0</v>
      </c>
      <c r="U26" s="147">
        <f>INDEX('Master Data'!$C$75:$O$299,MATCH(A26,'Master Data'!$B$75:$B$299,0),MATCH($U$1,'Master Data'!$C$74:$O$74,0))</f>
        <v>0</v>
      </c>
      <c r="V26" s="148">
        <f>ROUND(U26*INDEX('Master Data'!$F$4:$K$12,MATCH($U$1,'Master Data'!$E$4:$E$12,0),MATCH(C26,'Master Data'!$F$3:$K$3,0)),2)</f>
        <v>0</v>
      </c>
      <c r="W26" s="149">
        <f t="shared" si="2"/>
        <v>301986.36</v>
      </c>
      <c r="X26" s="148">
        <f>ROUND(W26*('Master Data'!$B$54),2)</f>
        <v>75405.990000000005</v>
      </c>
      <c r="Y26" s="149">
        <f t="shared" si="3"/>
        <v>377392.35</v>
      </c>
      <c r="Z26" s="147">
        <f>52*INDEX('Master Data'!$C$75:$O$299,MATCH(A26,'Master Data'!$B$75:$B$299,0),MATCH($Z$1,'Master Data'!$C$74:$O$74,0))</f>
        <v>52</v>
      </c>
      <c r="AA26" s="148">
        <f>Z26*('Master Data'!$F$15)</f>
        <v>3920.8</v>
      </c>
      <c r="AB26" s="147">
        <f>52*INDEX('Master Data'!$C$75:$O$299,MATCH(A26,'Master Data'!$B$75:$B$299,0),MATCH($AB$1,'Master Data'!$C$74:$O$74,0))</f>
        <v>156</v>
      </c>
      <c r="AC26" s="148">
        <f>AB26*('Master Data'!$F$16)</f>
        <v>11281.919999999998</v>
      </c>
      <c r="AD26" s="149">
        <f t="shared" si="4"/>
        <v>15202.719999999998</v>
      </c>
      <c r="AE26" s="148">
        <f>INDEX('Master Data'!$D$58:$D$60,MATCH(D26,'Master Data'!$B$58:$B$60,0))</f>
        <v>19577.099999999999</v>
      </c>
      <c r="AF26" s="148">
        <f>INDEX('Master Data'!$E$58:$E$60,MATCH(D26,'Master Data'!$B$58:$B$60,0))</f>
        <v>992.8</v>
      </c>
      <c r="AG26" s="148">
        <f>INDEX('Master Data'!$F$58:$F$60,MATCH(D26,'Master Data'!$B$58:$B$60,0))</f>
        <v>2876.2</v>
      </c>
      <c r="AH26" s="149">
        <f t="shared" si="5"/>
        <v>416041.16999999993</v>
      </c>
      <c r="AI26" s="148">
        <f>ROUND(AH26*('Master Data'!$C$54),2)</f>
        <v>49924.94</v>
      </c>
      <c r="AJ26" s="148">
        <f>ROUND(SUM(AH26:AI26,AK26)*('Master Data'!$E$54),2)</f>
        <v>13959.9</v>
      </c>
      <c r="AK26" s="148">
        <f>ROUND(W26*('Master Data'!$F$54),2)</f>
        <v>0</v>
      </c>
      <c r="AL26" s="149">
        <f t="shared" si="6"/>
        <v>479926.00999999995</v>
      </c>
      <c r="AM26" s="140">
        <f t="shared" si="7"/>
        <v>1383.07</v>
      </c>
      <c r="AN26" s="121"/>
      <c r="AO26" s="121"/>
      <c r="AP26" s="121"/>
      <c r="AQ26" s="121"/>
      <c r="AR26" s="121"/>
      <c r="AS26" s="121"/>
    </row>
    <row r="27" spans="1:45">
      <c r="A27" s="121" t="s">
        <v>180</v>
      </c>
      <c r="B27" s="121" t="str">
        <f t="shared" si="0"/>
        <v xml:space="preserve"> </v>
      </c>
      <c r="C27" s="121" t="str">
        <f t="shared" si="1"/>
        <v xml:space="preserve">Intermediate  </v>
      </c>
      <c r="D27" s="121" t="str">
        <f>INDEX('Master Data'!$C$75:$C$299,MATCH(A27,'Master Data'!$B$75:$B$299,0))</f>
        <v>2-3</v>
      </c>
      <c r="E27" s="147">
        <f>INDEX('Master Data'!$C$75:$O$299,MATCH(A27,'Master Data'!$B$75:$B$299,0),MATCH($E$1,'Master Data'!$C$74:$O$74,0))</f>
        <v>0.18</v>
      </c>
      <c r="F27" s="148">
        <f>ROUND(E27*INDEX('Master Data'!$F$4:$K$12,MATCH($E$1,'Master Data'!$E$4:$E$12,0),MATCH(C27,'Master Data'!$F$3:$K$3,0)),2)</f>
        <v>14667.64</v>
      </c>
      <c r="G27" s="147">
        <f>INDEX('Master Data'!$C$75:$O$299,MATCH(A27,'Master Data'!$B$75:$B$299,0),MATCH($G$1,'Master Data'!$C$74:$O$74,0))</f>
        <v>0.66</v>
      </c>
      <c r="H27" s="148">
        <f>ROUND(G27*INDEX('Master Data'!$F$4:$K$12,MATCH($G$1,'Master Data'!$E$4:$E$12,0),MATCH(C27,'Master Data'!$F$3:$K$3,0)),2)</f>
        <v>37216.5</v>
      </c>
      <c r="I27" s="147">
        <f>INDEX('Master Data'!$C$75:$O$299,MATCH(A27,'Master Data'!$B$75:$B$299,0),MATCH($I$1,'Master Data'!$C$74:$O$74,0))</f>
        <v>3.6</v>
      </c>
      <c r="J27" s="148">
        <f>ROUND(I27*INDEX('Master Data'!$F$4:$K$12,MATCH($I$1,'Master Data'!$E$4:$E$12,0),MATCH(C27,'Master Data'!$F$3:$K$3,0)),2)</f>
        <v>171725.72</v>
      </c>
      <c r="K27" s="147">
        <f>INDEX('Master Data'!$C$75:$O$299,MATCH(A27,'Master Data'!$B$75:$B$299,0),MATCH($K$1,'Master Data'!$C$74:$O$74,0))</f>
        <v>1.4</v>
      </c>
      <c r="L27" s="148">
        <f>ROUND(K27*INDEX('Master Data'!$F$4:$K$12,MATCH($K$1,'Master Data'!$E$4:$E$12,0),MATCH(C27,'Master Data'!$F$3:$K$3,0)),2)</f>
        <v>65579.399999999994</v>
      </c>
      <c r="M27" s="147">
        <f>INDEX('Master Data'!$C$75:$O$299,MATCH(A27,'Master Data'!$B$75:$B$299,0),MATCH($M$1,'Master Data'!$C$74:$O$74,0))</f>
        <v>0.57999999999999996</v>
      </c>
      <c r="N27" s="148">
        <f>ROUND(M27*INDEX('Master Data'!$F$4:$K$12,MATCH($M$1,'Master Data'!$E$4:$E$12,0),MATCH(C27,'Master Data'!$F$3:$K$3,0)),2)</f>
        <v>27666.92</v>
      </c>
      <c r="O27" s="147">
        <f>INDEX('Master Data'!$C$75:$O$299,MATCH(A27,'Master Data'!$B$75:$B$299,0),MATCH($O$1,'Master Data'!$C$74:$O$74,0))</f>
        <v>0.23</v>
      </c>
      <c r="P27" s="148">
        <f>ROUND(O27*INDEX('Master Data'!$F$4:$K$12,MATCH($O$1,'Master Data'!$E$4:$E$12,0),MATCH(C27,'Master Data'!$F$3:$K$3,0)),2)</f>
        <v>7176</v>
      </c>
      <c r="Q27" s="147">
        <f>INDEX('Master Data'!$C$75:$O$299,MATCH(A27,'Master Data'!$B$75:$B$299,0),MATCH($Q$1,'Master Data'!$C$74:$O$74,0))</f>
        <v>0.12</v>
      </c>
      <c r="R27" s="148">
        <f>ROUND(Q27*INDEX('Master Data'!$F$4:$K$12,MATCH($Q$1,'Master Data'!$E$4:$E$12,0),MATCH(C27,'Master Data'!$F$3:$K$3,0)),2)</f>
        <v>5621.09</v>
      </c>
      <c r="S27" s="147">
        <f>INDEX('Master Data'!$C$75:$O$299,MATCH(A27,'Master Data'!$B$75:$B$299,0),MATCH($S$1,'Master Data'!$C$74:$O$74,0))</f>
        <v>0</v>
      </c>
      <c r="T27" s="148">
        <f>ROUND(S27*INDEX('Master Data'!$F$4:$K$12,MATCH($S$1,'Master Data'!$E$4:$E$12,0),MATCH(C27,'Master Data'!$F$3:$K$3,0)),2)</f>
        <v>0</v>
      </c>
      <c r="U27" s="147">
        <f>INDEX('Master Data'!$C$75:$O$299,MATCH(A27,'Master Data'!$B$75:$B$299,0),MATCH($U$1,'Master Data'!$C$74:$O$74,0))</f>
        <v>0</v>
      </c>
      <c r="V27" s="148">
        <f>ROUND(U27*INDEX('Master Data'!$F$4:$K$12,MATCH($U$1,'Master Data'!$E$4:$E$12,0),MATCH(C27,'Master Data'!$F$3:$K$3,0)),2)</f>
        <v>0</v>
      </c>
      <c r="W27" s="149">
        <f t="shared" si="2"/>
        <v>329653.27</v>
      </c>
      <c r="X27" s="148">
        <f>ROUND(W27*('Master Data'!$B$54),2)</f>
        <v>82314.42</v>
      </c>
      <c r="Y27" s="149">
        <f t="shared" si="3"/>
        <v>411967.69</v>
      </c>
      <c r="Z27" s="147">
        <f>52*INDEX('Master Data'!$C$75:$O$299,MATCH(A27,'Master Data'!$B$75:$B$299,0),MATCH($Z$1,'Master Data'!$C$74:$O$74,0))</f>
        <v>52</v>
      </c>
      <c r="AA27" s="148">
        <f>Z27*('Master Data'!$F$15)</f>
        <v>3920.8</v>
      </c>
      <c r="AB27" s="147">
        <f>52*INDEX('Master Data'!$C$75:$O$299,MATCH(A27,'Master Data'!$B$75:$B$299,0),MATCH($AB$1,'Master Data'!$C$74:$O$74,0))</f>
        <v>156</v>
      </c>
      <c r="AC27" s="148">
        <f>AB27*('Master Data'!$F$16)</f>
        <v>11281.919999999998</v>
      </c>
      <c r="AD27" s="149">
        <f t="shared" si="4"/>
        <v>15202.719999999998</v>
      </c>
      <c r="AE27" s="148">
        <f>INDEX('Master Data'!$D$58:$D$60,MATCH(D27,'Master Data'!$B$58:$B$60,0))</f>
        <v>19577.099999999999</v>
      </c>
      <c r="AF27" s="148">
        <f>INDEX('Master Data'!$E$58:$E$60,MATCH(D27,'Master Data'!$B$58:$B$60,0))</f>
        <v>992.8</v>
      </c>
      <c r="AG27" s="148">
        <f>INDEX('Master Data'!$F$58:$F$60,MATCH(D27,'Master Data'!$B$58:$B$60,0))</f>
        <v>2876.2</v>
      </c>
      <c r="AH27" s="149">
        <f t="shared" si="5"/>
        <v>450616.50999999995</v>
      </c>
      <c r="AI27" s="148">
        <f>ROUND(AH27*('Master Data'!$C$54),2)</f>
        <v>54073.98</v>
      </c>
      <c r="AJ27" s="148">
        <f>ROUND(SUM(AH27:AI27,AK27)*('Master Data'!$E$54),2)</f>
        <v>15120.04</v>
      </c>
      <c r="AK27" s="148">
        <f>ROUND(W27*('Master Data'!$F$54),2)</f>
        <v>0</v>
      </c>
      <c r="AL27" s="149">
        <f t="shared" si="6"/>
        <v>519810.52999999991</v>
      </c>
      <c r="AM27" s="140">
        <f t="shared" si="7"/>
        <v>1498.01</v>
      </c>
      <c r="AN27" s="121"/>
      <c r="AO27" s="121"/>
      <c r="AP27" s="121"/>
      <c r="AQ27" s="121"/>
      <c r="AR27" s="121"/>
      <c r="AS27" s="121"/>
    </row>
    <row r="28" spans="1:45">
      <c r="A28" s="121" t="s">
        <v>181</v>
      </c>
      <c r="B28" s="121" t="str">
        <f t="shared" si="0"/>
        <v xml:space="preserve"> </v>
      </c>
      <c r="C28" s="121" t="str">
        <f t="shared" si="1"/>
        <v xml:space="preserve">Intermediate  </v>
      </c>
      <c r="D28" s="121" t="str">
        <f>INDEX('Master Data'!$C$75:$C$299,MATCH(A28,'Master Data'!$B$75:$B$299,0))</f>
        <v>2-3</v>
      </c>
      <c r="E28" s="147">
        <f>INDEX('Master Data'!$C$75:$O$299,MATCH(A28,'Master Data'!$B$75:$B$299,0),MATCH($E$1,'Master Data'!$C$74:$O$74,0))</f>
        <v>0.18</v>
      </c>
      <c r="F28" s="148">
        <f>ROUND(E28*INDEX('Master Data'!$F$4:$K$12,MATCH($E$1,'Master Data'!$E$4:$E$12,0),MATCH(C28,'Master Data'!$F$3:$K$3,0)),2)</f>
        <v>14667.64</v>
      </c>
      <c r="G28" s="147">
        <f>INDEX('Master Data'!$C$75:$O$299,MATCH(A28,'Master Data'!$B$75:$B$299,0),MATCH($G$1,'Master Data'!$C$74:$O$74,0))</f>
        <v>0.66</v>
      </c>
      <c r="H28" s="148">
        <f>ROUND(G28*INDEX('Master Data'!$F$4:$K$12,MATCH($G$1,'Master Data'!$E$4:$E$12,0),MATCH(C28,'Master Data'!$F$3:$K$3,0)),2)</f>
        <v>37216.5</v>
      </c>
      <c r="I28" s="147">
        <f>INDEX('Master Data'!$C$75:$O$299,MATCH(A28,'Master Data'!$B$75:$B$299,0),MATCH($I$1,'Master Data'!$C$74:$O$74,0))</f>
        <v>4.0999999999999996</v>
      </c>
      <c r="J28" s="148">
        <f>ROUND(I28*INDEX('Master Data'!$F$4:$K$12,MATCH($I$1,'Master Data'!$E$4:$E$12,0),MATCH(C28,'Master Data'!$F$3:$K$3,0)),2)</f>
        <v>195576.52</v>
      </c>
      <c r="K28" s="147">
        <f>INDEX('Master Data'!$C$75:$O$299,MATCH(A28,'Master Data'!$B$75:$B$299,0),MATCH($K$1,'Master Data'!$C$74:$O$74,0))</f>
        <v>1.4</v>
      </c>
      <c r="L28" s="148">
        <f>ROUND(K28*INDEX('Master Data'!$F$4:$K$12,MATCH($K$1,'Master Data'!$E$4:$E$12,0),MATCH(C28,'Master Data'!$F$3:$K$3,0)),2)</f>
        <v>65579.399999999994</v>
      </c>
      <c r="M28" s="147">
        <f>INDEX('Master Data'!$C$75:$O$299,MATCH(A28,'Master Data'!$B$75:$B$299,0),MATCH($M$1,'Master Data'!$C$74:$O$74,0))</f>
        <v>0.66</v>
      </c>
      <c r="N28" s="148">
        <f>ROUND(M28*INDEX('Master Data'!$F$4:$K$12,MATCH($M$1,'Master Data'!$E$4:$E$12,0),MATCH(C28,'Master Data'!$F$3:$K$3,0)),2)</f>
        <v>31483.05</v>
      </c>
      <c r="O28" s="147">
        <f>INDEX('Master Data'!$C$75:$O$299,MATCH(A28,'Master Data'!$B$75:$B$299,0),MATCH($O$1,'Master Data'!$C$74:$O$74,0))</f>
        <v>0.23</v>
      </c>
      <c r="P28" s="148">
        <f>ROUND(O28*INDEX('Master Data'!$F$4:$K$12,MATCH($O$1,'Master Data'!$E$4:$E$12,0),MATCH(C28,'Master Data'!$F$3:$K$3,0)),2)</f>
        <v>7176</v>
      </c>
      <c r="Q28" s="147">
        <f>INDEX('Master Data'!$C$75:$O$299,MATCH(A28,'Master Data'!$B$75:$B$299,0),MATCH($Q$1,'Master Data'!$C$74:$O$74,0))</f>
        <v>0.12</v>
      </c>
      <c r="R28" s="148">
        <f>ROUND(Q28*INDEX('Master Data'!$F$4:$K$12,MATCH($Q$1,'Master Data'!$E$4:$E$12,0),MATCH(C28,'Master Data'!$F$3:$K$3,0)),2)</f>
        <v>5621.09</v>
      </c>
      <c r="S28" s="147">
        <f>INDEX('Master Data'!$C$75:$O$299,MATCH(A28,'Master Data'!$B$75:$B$299,0),MATCH($S$1,'Master Data'!$C$74:$O$74,0))</f>
        <v>0</v>
      </c>
      <c r="T28" s="148">
        <f>ROUND(S28*INDEX('Master Data'!$F$4:$K$12,MATCH($S$1,'Master Data'!$E$4:$E$12,0),MATCH(C28,'Master Data'!$F$3:$K$3,0)),2)</f>
        <v>0</v>
      </c>
      <c r="U28" s="147">
        <f>INDEX('Master Data'!$C$75:$O$299,MATCH(A28,'Master Data'!$B$75:$B$299,0),MATCH($U$1,'Master Data'!$C$74:$O$74,0))</f>
        <v>0</v>
      </c>
      <c r="V28" s="148">
        <f>ROUND(U28*INDEX('Master Data'!$F$4:$K$12,MATCH($U$1,'Master Data'!$E$4:$E$12,0),MATCH(C28,'Master Data'!$F$3:$K$3,0)),2)</f>
        <v>0</v>
      </c>
      <c r="W28" s="149">
        <f t="shared" si="2"/>
        <v>357320.19999999995</v>
      </c>
      <c r="X28" s="148">
        <f>ROUND(W28*('Master Data'!$B$54),2)</f>
        <v>89222.85</v>
      </c>
      <c r="Y28" s="149">
        <f t="shared" si="3"/>
        <v>446543.04999999993</v>
      </c>
      <c r="Z28" s="147">
        <f>52*INDEX('Master Data'!$C$75:$O$299,MATCH(A28,'Master Data'!$B$75:$B$299,0),MATCH($Z$1,'Master Data'!$C$74:$O$74,0))</f>
        <v>52</v>
      </c>
      <c r="AA28" s="148">
        <f>Z28*('Master Data'!$F$15)</f>
        <v>3920.8</v>
      </c>
      <c r="AB28" s="147">
        <f>52*INDEX('Master Data'!$C$75:$O$299,MATCH(A28,'Master Data'!$B$75:$B$299,0),MATCH($AB$1,'Master Data'!$C$74:$O$74,0))</f>
        <v>156</v>
      </c>
      <c r="AC28" s="148">
        <f>AB28*('Master Data'!$F$16)</f>
        <v>11281.919999999998</v>
      </c>
      <c r="AD28" s="149">
        <f t="shared" si="4"/>
        <v>15202.719999999998</v>
      </c>
      <c r="AE28" s="148">
        <f>INDEX('Master Data'!$D$58:$D$60,MATCH(D28,'Master Data'!$B$58:$B$60,0))</f>
        <v>19577.099999999999</v>
      </c>
      <c r="AF28" s="148">
        <f>INDEX('Master Data'!$E$58:$E$60,MATCH(D28,'Master Data'!$B$58:$B$60,0))</f>
        <v>992.8</v>
      </c>
      <c r="AG28" s="148">
        <f>INDEX('Master Data'!$F$58:$F$60,MATCH(D28,'Master Data'!$B$58:$B$60,0))</f>
        <v>2876.2</v>
      </c>
      <c r="AH28" s="149">
        <f t="shared" si="5"/>
        <v>485191.86999999988</v>
      </c>
      <c r="AI28" s="148">
        <f>ROUND(AH28*('Master Data'!$C$54),2)</f>
        <v>58223.02</v>
      </c>
      <c r="AJ28" s="148">
        <f>ROUND(SUM(AH28:AI28,AK28)*('Master Data'!$E$54),2)</f>
        <v>16280.19</v>
      </c>
      <c r="AK28" s="148">
        <f>ROUND(W28*('Master Data'!$F$54),2)</f>
        <v>0</v>
      </c>
      <c r="AL28" s="149">
        <f t="shared" si="6"/>
        <v>559695.07999999984</v>
      </c>
      <c r="AM28" s="140">
        <f t="shared" si="7"/>
        <v>1612.95</v>
      </c>
      <c r="AN28" s="121"/>
      <c r="AO28" s="121"/>
      <c r="AP28" s="121"/>
      <c r="AQ28" s="121"/>
      <c r="AR28" s="121"/>
      <c r="AS28" s="121"/>
    </row>
    <row r="29" spans="1:45">
      <c r="A29" s="121" t="s">
        <v>182</v>
      </c>
      <c r="B29" s="121" t="str">
        <f t="shared" si="0"/>
        <v xml:space="preserve"> </v>
      </c>
      <c r="C29" s="121" t="str">
        <f t="shared" si="1"/>
        <v xml:space="preserve">Intermediate  </v>
      </c>
      <c r="D29" s="121" t="str">
        <f>INDEX('Master Data'!$C$75:$C$299,MATCH(A29,'Master Data'!$B$75:$B$299,0))</f>
        <v>2-3</v>
      </c>
      <c r="E29" s="147">
        <f>INDEX('Master Data'!$C$75:$O$299,MATCH(A29,'Master Data'!$B$75:$B$299,0),MATCH($E$1,'Master Data'!$C$74:$O$74,0))</f>
        <v>0.18</v>
      </c>
      <c r="F29" s="148">
        <f>ROUND(E29*INDEX('Master Data'!$F$4:$K$12,MATCH($E$1,'Master Data'!$E$4:$E$12,0),MATCH(C29,'Master Data'!$F$3:$K$3,0)),2)</f>
        <v>14667.64</v>
      </c>
      <c r="G29" s="147">
        <f>INDEX('Master Data'!$C$75:$O$299,MATCH(A29,'Master Data'!$B$75:$B$299,0),MATCH($G$1,'Master Data'!$C$74:$O$74,0))</f>
        <v>0.66</v>
      </c>
      <c r="H29" s="148">
        <f>ROUND(G29*INDEX('Master Data'!$F$4:$K$12,MATCH($G$1,'Master Data'!$E$4:$E$12,0),MATCH(C29,'Master Data'!$F$3:$K$3,0)),2)</f>
        <v>37216.5</v>
      </c>
      <c r="I29" s="147">
        <f>INDEX('Master Data'!$C$75:$O$299,MATCH(A29,'Master Data'!$B$75:$B$299,0),MATCH($I$1,'Master Data'!$C$74:$O$74,0))</f>
        <v>4.5999999999999996</v>
      </c>
      <c r="J29" s="148">
        <f>ROUND(I29*INDEX('Master Data'!$F$4:$K$12,MATCH($I$1,'Master Data'!$E$4:$E$12,0),MATCH(C29,'Master Data'!$F$3:$K$3,0)),2)</f>
        <v>219427.31</v>
      </c>
      <c r="K29" s="147">
        <f>INDEX('Master Data'!$C$75:$O$299,MATCH(A29,'Master Data'!$B$75:$B$299,0),MATCH($K$1,'Master Data'!$C$74:$O$74,0))</f>
        <v>1.4</v>
      </c>
      <c r="L29" s="148">
        <f>ROUND(K29*INDEX('Master Data'!$F$4:$K$12,MATCH($K$1,'Master Data'!$E$4:$E$12,0),MATCH(C29,'Master Data'!$F$3:$K$3,0)),2)</f>
        <v>65579.399999999994</v>
      </c>
      <c r="M29" s="147">
        <f>INDEX('Master Data'!$C$75:$O$299,MATCH(A29,'Master Data'!$B$75:$B$299,0),MATCH($M$1,'Master Data'!$C$74:$O$74,0))</f>
        <v>0.75</v>
      </c>
      <c r="N29" s="148">
        <f>ROUND(M29*INDEX('Master Data'!$F$4:$K$12,MATCH($M$1,'Master Data'!$E$4:$E$12,0),MATCH(C29,'Master Data'!$F$3:$K$3,0)),2)</f>
        <v>35776.19</v>
      </c>
      <c r="O29" s="147">
        <f>INDEX('Master Data'!$C$75:$O$299,MATCH(A29,'Master Data'!$B$75:$B$299,0),MATCH($O$1,'Master Data'!$C$74:$O$74,0))</f>
        <v>0.23</v>
      </c>
      <c r="P29" s="148">
        <f>ROUND(O29*INDEX('Master Data'!$F$4:$K$12,MATCH($O$1,'Master Data'!$E$4:$E$12,0),MATCH(C29,'Master Data'!$F$3:$K$3,0)),2)</f>
        <v>7176</v>
      </c>
      <c r="Q29" s="147">
        <f>INDEX('Master Data'!$C$75:$O$299,MATCH(A29,'Master Data'!$B$75:$B$299,0),MATCH($Q$1,'Master Data'!$C$74:$O$74,0))</f>
        <v>0.12</v>
      </c>
      <c r="R29" s="148">
        <f>ROUND(Q29*INDEX('Master Data'!$F$4:$K$12,MATCH($Q$1,'Master Data'!$E$4:$E$12,0),MATCH(C29,'Master Data'!$F$3:$K$3,0)),2)</f>
        <v>5621.09</v>
      </c>
      <c r="S29" s="147">
        <f>INDEX('Master Data'!$C$75:$O$299,MATCH(A29,'Master Data'!$B$75:$B$299,0),MATCH($S$1,'Master Data'!$C$74:$O$74,0))</f>
        <v>0</v>
      </c>
      <c r="T29" s="148">
        <f>ROUND(S29*INDEX('Master Data'!$F$4:$K$12,MATCH($S$1,'Master Data'!$E$4:$E$12,0),MATCH(C29,'Master Data'!$F$3:$K$3,0)),2)</f>
        <v>0</v>
      </c>
      <c r="U29" s="147">
        <f>INDEX('Master Data'!$C$75:$O$299,MATCH(A29,'Master Data'!$B$75:$B$299,0),MATCH($U$1,'Master Data'!$C$74:$O$74,0))</f>
        <v>0</v>
      </c>
      <c r="V29" s="148">
        <f>ROUND(U29*INDEX('Master Data'!$F$4:$K$12,MATCH($U$1,'Master Data'!$E$4:$E$12,0),MATCH(C29,'Master Data'!$F$3:$K$3,0)),2)</f>
        <v>0</v>
      </c>
      <c r="W29" s="149">
        <f t="shared" si="2"/>
        <v>385464.13</v>
      </c>
      <c r="X29" s="148">
        <f>ROUND(W29*('Master Data'!$B$54),2)</f>
        <v>96250.39</v>
      </c>
      <c r="Y29" s="149">
        <f t="shared" si="3"/>
        <v>481714.52</v>
      </c>
      <c r="Z29" s="147">
        <f>52*INDEX('Master Data'!$C$75:$O$299,MATCH(A29,'Master Data'!$B$75:$B$299,0),MATCH($Z$1,'Master Data'!$C$74:$O$74,0))</f>
        <v>52</v>
      </c>
      <c r="AA29" s="148">
        <f>Z29*('Master Data'!$F$15)</f>
        <v>3920.8</v>
      </c>
      <c r="AB29" s="147">
        <f>52*INDEX('Master Data'!$C$75:$O$299,MATCH(A29,'Master Data'!$B$75:$B$299,0),MATCH($AB$1,'Master Data'!$C$74:$O$74,0))</f>
        <v>156</v>
      </c>
      <c r="AC29" s="148">
        <f>AB29*('Master Data'!$F$16)</f>
        <v>11281.919999999998</v>
      </c>
      <c r="AD29" s="149">
        <f t="shared" si="4"/>
        <v>15202.719999999998</v>
      </c>
      <c r="AE29" s="148">
        <f>INDEX('Master Data'!$D$58:$D$60,MATCH(D29,'Master Data'!$B$58:$B$60,0))</f>
        <v>19577.099999999999</v>
      </c>
      <c r="AF29" s="148">
        <f>INDEX('Master Data'!$E$58:$E$60,MATCH(D29,'Master Data'!$B$58:$B$60,0))</f>
        <v>992.8</v>
      </c>
      <c r="AG29" s="148">
        <f>INDEX('Master Data'!$F$58:$F$60,MATCH(D29,'Master Data'!$B$58:$B$60,0))</f>
        <v>2876.2</v>
      </c>
      <c r="AH29" s="149">
        <f t="shared" si="5"/>
        <v>520363.33999999997</v>
      </c>
      <c r="AI29" s="148">
        <f>ROUND(AH29*('Master Data'!$C$54),2)</f>
        <v>62443.6</v>
      </c>
      <c r="AJ29" s="148">
        <f>ROUND(SUM(AH29:AI29,AK29)*('Master Data'!$E$54),2)</f>
        <v>17460.34</v>
      </c>
      <c r="AK29" s="148">
        <f>ROUND(W29*('Master Data'!$F$54),2)</f>
        <v>0</v>
      </c>
      <c r="AL29" s="149">
        <f t="shared" si="6"/>
        <v>600267.27999999991</v>
      </c>
      <c r="AM29" s="140">
        <f t="shared" si="7"/>
        <v>1729.88</v>
      </c>
      <c r="AN29" s="121"/>
      <c r="AO29" s="121"/>
      <c r="AP29" s="121"/>
      <c r="AQ29" s="121"/>
      <c r="AR29" s="121"/>
      <c r="AS29" s="121"/>
    </row>
    <row r="30" spans="1:45">
      <c r="A30" s="121" t="s">
        <v>183</v>
      </c>
      <c r="B30" s="121" t="str">
        <f t="shared" si="0"/>
        <v xml:space="preserve"> </v>
      </c>
      <c r="C30" s="121" t="str">
        <f t="shared" si="1"/>
        <v xml:space="preserve">Intermediate  </v>
      </c>
      <c r="D30" s="121" t="str">
        <f>INDEX('Master Data'!$C$75:$C$299,MATCH(A30,'Master Data'!$B$75:$B$299,0))</f>
        <v>2-3</v>
      </c>
      <c r="E30" s="147">
        <f>INDEX('Master Data'!$C$75:$O$299,MATCH(A30,'Master Data'!$B$75:$B$299,0),MATCH($E$1,'Master Data'!$C$74:$O$74,0))</f>
        <v>0.18</v>
      </c>
      <c r="F30" s="148">
        <f>ROUND(E30*INDEX('Master Data'!$F$4:$K$12,MATCH($E$1,'Master Data'!$E$4:$E$12,0),MATCH(C30,'Master Data'!$F$3:$K$3,0)),2)</f>
        <v>14667.64</v>
      </c>
      <c r="G30" s="147">
        <f>INDEX('Master Data'!$C$75:$O$299,MATCH(A30,'Master Data'!$B$75:$B$299,0),MATCH($G$1,'Master Data'!$C$74:$O$74,0))</f>
        <v>0.66</v>
      </c>
      <c r="H30" s="148">
        <f>ROUND(G30*INDEX('Master Data'!$F$4:$K$12,MATCH($G$1,'Master Data'!$E$4:$E$12,0),MATCH(C30,'Master Data'!$F$3:$K$3,0)),2)</f>
        <v>37216.5</v>
      </c>
      <c r="I30" s="147">
        <f>INDEX('Master Data'!$C$75:$O$299,MATCH(A30,'Master Data'!$B$75:$B$299,0),MATCH($I$1,'Master Data'!$C$74:$O$74,0))</f>
        <v>5.0999999999999996</v>
      </c>
      <c r="J30" s="148">
        <f>ROUND(I30*INDEX('Master Data'!$F$4:$K$12,MATCH($I$1,'Master Data'!$E$4:$E$12,0),MATCH(C30,'Master Data'!$F$3:$K$3,0)),2)</f>
        <v>243278.11</v>
      </c>
      <c r="K30" s="147">
        <f>INDEX('Master Data'!$C$75:$O$299,MATCH(A30,'Master Data'!$B$75:$B$299,0),MATCH($K$1,'Master Data'!$C$74:$O$74,0))</f>
        <v>1.4</v>
      </c>
      <c r="L30" s="148">
        <f>ROUND(K30*INDEX('Master Data'!$F$4:$K$12,MATCH($K$1,'Master Data'!$E$4:$E$12,0),MATCH(C30,'Master Data'!$F$3:$K$3,0)),2)</f>
        <v>65579.399999999994</v>
      </c>
      <c r="M30" s="147">
        <f>INDEX('Master Data'!$C$75:$O$299,MATCH(A30,'Master Data'!$B$75:$B$299,0),MATCH($M$1,'Master Data'!$C$74:$O$74,0))</f>
        <v>0.83</v>
      </c>
      <c r="N30" s="148">
        <f>ROUND(M30*INDEX('Master Data'!$F$4:$K$12,MATCH($M$1,'Master Data'!$E$4:$E$12,0),MATCH(C30,'Master Data'!$F$3:$K$3,0)),2)</f>
        <v>39592.32</v>
      </c>
      <c r="O30" s="147">
        <f>INDEX('Master Data'!$C$75:$O$299,MATCH(A30,'Master Data'!$B$75:$B$299,0),MATCH($O$1,'Master Data'!$C$74:$O$74,0))</f>
        <v>0.23</v>
      </c>
      <c r="P30" s="148">
        <f>ROUND(O30*INDEX('Master Data'!$F$4:$K$12,MATCH($O$1,'Master Data'!$E$4:$E$12,0),MATCH(C30,'Master Data'!$F$3:$K$3,0)),2)</f>
        <v>7176</v>
      </c>
      <c r="Q30" s="147">
        <f>INDEX('Master Data'!$C$75:$O$299,MATCH(A30,'Master Data'!$B$75:$B$299,0),MATCH($Q$1,'Master Data'!$C$74:$O$74,0))</f>
        <v>0.12</v>
      </c>
      <c r="R30" s="148">
        <f>ROUND(Q30*INDEX('Master Data'!$F$4:$K$12,MATCH($Q$1,'Master Data'!$E$4:$E$12,0),MATCH(C30,'Master Data'!$F$3:$K$3,0)),2)</f>
        <v>5621.09</v>
      </c>
      <c r="S30" s="147">
        <f>INDEX('Master Data'!$C$75:$O$299,MATCH(A30,'Master Data'!$B$75:$B$299,0),MATCH($S$1,'Master Data'!$C$74:$O$74,0))</f>
        <v>0</v>
      </c>
      <c r="T30" s="148">
        <f>ROUND(S30*INDEX('Master Data'!$F$4:$K$12,MATCH($S$1,'Master Data'!$E$4:$E$12,0),MATCH(C30,'Master Data'!$F$3:$K$3,0)),2)</f>
        <v>0</v>
      </c>
      <c r="U30" s="147">
        <f>INDEX('Master Data'!$C$75:$O$299,MATCH(A30,'Master Data'!$B$75:$B$299,0),MATCH($U$1,'Master Data'!$C$74:$O$74,0))</f>
        <v>0</v>
      </c>
      <c r="V30" s="148">
        <f>ROUND(U30*INDEX('Master Data'!$F$4:$K$12,MATCH($U$1,'Master Data'!$E$4:$E$12,0),MATCH(C30,'Master Data'!$F$3:$K$3,0)),2)</f>
        <v>0</v>
      </c>
      <c r="W30" s="149">
        <f t="shared" si="2"/>
        <v>413131.06000000006</v>
      </c>
      <c r="X30" s="148">
        <f>ROUND(W30*('Master Data'!$B$54),2)</f>
        <v>103158.83</v>
      </c>
      <c r="Y30" s="149">
        <f t="shared" si="3"/>
        <v>516289.89000000007</v>
      </c>
      <c r="Z30" s="147">
        <f>52*INDEX('Master Data'!$C$75:$O$299,MATCH(A30,'Master Data'!$B$75:$B$299,0),MATCH($Z$1,'Master Data'!$C$74:$O$74,0))</f>
        <v>52</v>
      </c>
      <c r="AA30" s="148">
        <f>Z30*('Master Data'!$F$15)</f>
        <v>3920.8</v>
      </c>
      <c r="AB30" s="147">
        <f>52*INDEX('Master Data'!$C$75:$O$299,MATCH(A30,'Master Data'!$B$75:$B$299,0),MATCH($AB$1,'Master Data'!$C$74:$O$74,0))</f>
        <v>156</v>
      </c>
      <c r="AC30" s="148">
        <f>AB30*('Master Data'!$F$16)</f>
        <v>11281.919999999998</v>
      </c>
      <c r="AD30" s="149">
        <f t="shared" si="4"/>
        <v>15202.719999999998</v>
      </c>
      <c r="AE30" s="148">
        <f>INDEX('Master Data'!$D$58:$D$60,MATCH(D30,'Master Data'!$B$58:$B$60,0))</f>
        <v>19577.099999999999</v>
      </c>
      <c r="AF30" s="148">
        <f>INDEX('Master Data'!$E$58:$E$60,MATCH(D30,'Master Data'!$B$58:$B$60,0))</f>
        <v>992.8</v>
      </c>
      <c r="AG30" s="148">
        <f>INDEX('Master Data'!$F$58:$F$60,MATCH(D30,'Master Data'!$B$58:$B$60,0))</f>
        <v>2876.2</v>
      </c>
      <c r="AH30" s="149">
        <f t="shared" si="5"/>
        <v>554938.71000000008</v>
      </c>
      <c r="AI30" s="148">
        <f>ROUND(AH30*('Master Data'!$C$54),2)</f>
        <v>66592.649999999994</v>
      </c>
      <c r="AJ30" s="148">
        <f>ROUND(SUM(AH30:AI30,AK30)*('Master Data'!$E$54),2)</f>
        <v>18620.48</v>
      </c>
      <c r="AK30" s="148">
        <f>ROUND(W30*('Master Data'!$F$54),2)</f>
        <v>0</v>
      </c>
      <c r="AL30" s="149">
        <f t="shared" si="6"/>
        <v>640151.84000000008</v>
      </c>
      <c r="AM30" s="140">
        <f t="shared" si="7"/>
        <v>1844.82</v>
      </c>
      <c r="AN30" s="121"/>
      <c r="AO30" s="121"/>
      <c r="AP30" s="121"/>
      <c r="AQ30" s="121"/>
      <c r="AR30" s="121"/>
      <c r="AS30" s="121"/>
    </row>
    <row r="31" spans="1:45">
      <c r="A31" s="121" t="s">
        <v>184</v>
      </c>
      <c r="B31" s="121" t="str">
        <f t="shared" si="0"/>
        <v xml:space="preserve"> </v>
      </c>
      <c r="C31" s="121" t="str">
        <f t="shared" si="1"/>
        <v xml:space="preserve">Intermediate  </v>
      </c>
      <c r="D31" s="121" t="str">
        <f>INDEX('Master Data'!$C$75:$C$299,MATCH(A31,'Master Data'!$B$75:$B$299,0))</f>
        <v>2-3</v>
      </c>
      <c r="E31" s="147">
        <f>INDEX('Master Data'!$C$75:$O$299,MATCH(A31,'Master Data'!$B$75:$B$299,0),MATCH($E$1,'Master Data'!$C$74:$O$74,0))</f>
        <v>0.18</v>
      </c>
      <c r="F31" s="148">
        <f>ROUND(E31*INDEX('Master Data'!$F$4:$K$12,MATCH($E$1,'Master Data'!$E$4:$E$12,0),MATCH(C31,'Master Data'!$F$3:$K$3,0)),2)</f>
        <v>14667.64</v>
      </c>
      <c r="G31" s="147">
        <f>INDEX('Master Data'!$C$75:$O$299,MATCH(A31,'Master Data'!$B$75:$B$299,0),MATCH($G$1,'Master Data'!$C$74:$O$74,0))</f>
        <v>0.66</v>
      </c>
      <c r="H31" s="148">
        <f>ROUND(G31*INDEX('Master Data'!$F$4:$K$12,MATCH($G$1,'Master Data'!$E$4:$E$12,0),MATCH(C31,'Master Data'!$F$3:$K$3,0)),2)</f>
        <v>37216.5</v>
      </c>
      <c r="I31" s="147">
        <f>INDEX('Master Data'!$C$75:$O$299,MATCH(A31,'Master Data'!$B$75:$B$299,0),MATCH($I$1,'Master Data'!$C$74:$O$74,0))</f>
        <v>5.6</v>
      </c>
      <c r="J31" s="148">
        <f>ROUND(I31*INDEX('Master Data'!$F$4:$K$12,MATCH($I$1,'Master Data'!$E$4:$E$12,0),MATCH(C31,'Master Data'!$F$3:$K$3,0)),2)</f>
        <v>267128.90000000002</v>
      </c>
      <c r="K31" s="147">
        <f>INDEX('Master Data'!$C$75:$O$299,MATCH(A31,'Master Data'!$B$75:$B$299,0),MATCH($K$1,'Master Data'!$C$74:$O$74,0))</f>
        <v>1.4</v>
      </c>
      <c r="L31" s="148">
        <f>ROUND(K31*INDEX('Master Data'!$F$4:$K$12,MATCH($K$1,'Master Data'!$E$4:$E$12,0),MATCH(C31,'Master Data'!$F$3:$K$3,0)),2)</f>
        <v>65579.399999999994</v>
      </c>
      <c r="M31" s="147">
        <f>INDEX('Master Data'!$C$75:$O$299,MATCH(A31,'Master Data'!$B$75:$B$299,0),MATCH($M$1,'Master Data'!$C$74:$O$74,0))</f>
        <v>0.91</v>
      </c>
      <c r="N31" s="148">
        <f>ROUND(M31*INDEX('Master Data'!$F$4:$K$12,MATCH($M$1,'Master Data'!$E$4:$E$12,0),MATCH(C31,'Master Data'!$F$3:$K$3,0)),2)</f>
        <v>43408.45</v>
      </c>
      <c r="O31" s="147">
        <f>INDEX('Master Data'!$C$75:$O$299,MATCH(A31,'Master Data'!$B$75:$B$299,0),MATCH($O$1,'Master Data'!$C$74:$O$74,0))</f>
        <v>0.23</v>
      </c>
      <c r="P31" s="148">
        <f>ROUND(O31*INDEX('Master Data'!$F$4:$K$12,MATCH($O$1,'Master Data'!$E$4:$E$12,0),MATCH(C31,'Master Data'!$F$3:$K$3,0)),2)</f>
        <v>7176</v>
      </c>
      <c r="Q31" s="147">
        <f>INDEX('Master Data'!$C$75:$O$299,MATCH(A31,'Master Data'!$B$75:$B$299,0),MATCH($Q$1,'Master Data'!$C$74:$O$74,0))</f>
        <v>0.12</v>
      </c>
      <c r="R31" s="148">
        <f>ROUND(Q31*INDEX('Master Data'!$F$4:$K$12,MATCH($Q$1,'Master Data'!$E$4:$E$12,0),MATCH(C31,'Master Data'!$F$3:$K$3,0)),2)</f>
        <v>5621.09</v>
      </c>
      <c r="S31" s="147">
        <f>INDEX('Master Data'!$C$75:$O$299,MATCH(A31,'Master Data'!$B$75:$B$299,0),MATCH($S$1,'Master Data'!$C$74:$O$74,0))</f>
        <v>0</v>
      </c>
      <c r="T31" s="148">
        <f>ROUND(S31*INDEX('Master Data'!$F$4:$K$12,MATCH($S$1,'Master Data'!$E$4:$E$12,0),MATCH(C31,'Master Data'!$F$3:$K$3,0)),2)</f>
        <v>0</v>
      </c>
      <c r="U31" s="147">
        <f>INDEX('Master Data'!$C$75:$O$299,MATCH(A31,'Master Data'!$B$75:$B$299,0),MATCH($U$1,'Master Data'!$C$74:$O$74,0))</f>
        <v>0</v>
      </c>
      <c r="V31" s="148">
        <f>ROUND(U31*INDEX('Master Data'!$F$4:$K$12,MATCH($U$1,'Master Data'!$E$4:$E$12,0),MATCH(C31,'Master Data'!$F$3:$K$3,0)),2)</f>
        <v>0</v>
      </c>
      <c r="W31" s="149">
        <f t="shared" si="2"/>
        <v>440797.9800000001</v>
      </c>
      <c r="X31" s="148">
        <f>ROUND(W31*('Master Data'!$B$54),2)</f>
        <v>110067.26</v>
      </c>
      <c r="Y31" s="149">
        <f t="shared" si="3"/>
        <v>550865.24000000011</v>
      </c>
      <c r="Z31" s="147">
        <f>52*INDEX('Master Data'!$C$75:$O$299,MATCH(A31,'Master Data'!$B$75:$B$299,0),MATCH($Z$1,'Master Data'!$C$74:$O$74,0))</f>
        <v>52</v>
      </c>
      <c r="AA31" s="148">
        <f>Z31*('Master Data'!$F$15)</f>
        <v>3920.8</v>
      </c>
      <c r="AB31" s="147">
        <f>52*INDEX('Master Data'!$C$75:$O$299,MATCH(A31,'Master Data'!$B$75:$B$299,0),MATCH($AB$1,'Master Data'!$C$74:$O$74,0))</f>
        <v>156</v>
      </c>
      <c r="AC31" s="148">
        <f>AB31*('Master Data'!$F$16)</f>
        <v>11281.919999999998</v>
      </c>
      <c r="AD31" s="149">
        <f t="shared" si="4"/>
        <v>15202.719999999998</v>
      </c>
      <c r="AE31" s="148">
        <f>INDEX('Master Data'!$D$58:$D$60,MATCH(D31,'Master Data'!$B$58:$B$60,0))</f>
        <v>19577.099999999999</v>
      </c>
      <c r="AF31" s="148">
        <f>INDEX('Master Data'!$E$58:$E$60,MATCH(D31,'Master Data'!$B$58:$B$60,0))</f>
        <v>992.8</v>
      </c>
      <c r="AG31" s="148">
        <f>INDEX('Master Data'!$F$58:$F$60,MATCH(D31,'Master Data'!$B$58:$B$60,0))</f>
        <v>2876.2</v>
      </c>
      <c r="AH31" s="149">
        <f t="shared" si="5"/>
        <v>589514.06000000006</v>
      </c>
      <c r="AI31" s="148">
        <f>ROUND(AH31*('Master Data'!$C$54),2)</f>
        <v>70741.69</v>
      </c>
      <c r="AJ31" s="148">
        <f>ROUND(SUM(AH31:AI31,AK31)*('Master Data'!$E$54),2)</f>
        <v>19780.63</v>
      </c>
      <c r="AK31" s="148">
        <f>ROUND(W31*('Master Data'!$F$54),2)</f>
        <v>0</v>
      </c>
      <c r="AL31" s="149">
        <f t="shared" si="6"/>
        <v>680036.38</v>
      </c>
      <c r="AM31" s="140">
        <f t="shared" si="7"/>
        <v>1959.76</v>
      </c>
      <c r="AN31" s="121"/>
      <c r="AO31" s="121"/>
      <c r="AP31" s="121"/>
      <c r="AQ31" s="121"/>
      <c r="AR31" s="121"/>
      <c r="AS31" s="121"/>
    </row>
    <row r="32" spans="1:45">
      <c r="A32" s="121" t="s">
        <v>185</v>
      </c>
      <c r="B32" s="121" t="str">
        <f t="shared" si="0"/>
        <v xml:space="preserve"> </v>
      </c>
      <c r="C32" s="121" t="str">
        <f t="shared" si="1"/>
        <v xml:space="preserve">Intermediate  </v>
      </c>
      <c r="D32" s="121" t="str">
        <f>INDEX('Master Data'!$C$75:$C$299,MATCH(A32,'Master Data'!$B$75:$B$299,0))</f>
        <v>2-3</v>
      </c>
      <c r="E32" s="147">
        <f>INDEX('Master Data'!$C$75:$O$299,MATCH(A32,'Master Data'!$B$75:$B$299,0),MATCH($E$1,'Master Data'!$C$74:$O$74,0))</f>
        <v>0.18</v>
      </c>
      <c r="F32" s="148">
        <f>ROUND(E32*INDEX('Master Data'!$F$4:$K$12,MATCH($E$1,'Master Data'!$E$4:$E$12,0),MATCH(C32,'Master Data'!$F$3:$K$3,0)),2)</f>
        <v>14667.64</v>
      </c>
      <c r="G32" s="147">
        <f>INDEX('Master Data'!$C$75:$O$299,MATCH(A32,'Master Data'!$B$75:$B$299,0),MATCH($G$1,'Master Data'!$C$74:$O$74,0))</f>
        <v>0.66</v>
      </c>
      <c r="H32" s="148">
        <f>ROUND(G32*INDEX('Master Data'!$F$4:$K$12,MATCH($G$1,'Master Data'!$E$4:$E$12,0),MATCH(C32,'Master Data'!$F$3:$K$3,0)),2)</f>
        <v>37216.5</v>
      </c>
      <c r="I32" s="147">
        <f>INDEX('Master Data'!$C$75:$O$299,MATCH(A32,'Master Data'!$B$75:$B$299,0),MATCH($I$1,'Master Data'!$C$74:$O$74,0))</f>
        <v>6.1</v>
      </c>
      <c r="J32" s="148">
        <f>ROUND(I32*INDEX('Master Data'!$F$4:$K$12,MATCH($I$1,'Master Data'!$E$4:$E$12,0),MATCH(C32,'Master Data'!$F$3:$K$3,0)),2)</f>
        <v>290979.7</v>
      </c>
      <c r="K32" s="147">
        <f>INDEX('Master Data'!$C$75:$O$299,MATCH(A32,'Master Data'!$B$75:$B$299,0),MATCH($K$1,'Master Data'!$C$74:$O$74,0))</f>
        <v>1.4</v>
      </c>
      <c r="L32" s="148">
        <f>ROUND(K32*INDEX('Master Data'!$F$4:$K$12,MATCH($K$1,'Master Data'!$E$4:$E$12,0),MATCH(C32,'Master Data'!$F$3:$K$3,0)),2)</f>
        <v>65579.399999999994</v>
      </c>
      <c r="M32" s="147">
        <f>INDEX('Master Data'!$C$75:$O$299,MATCH(A32,'Master Data'!$B$75:$B$299,0),MATCH($M$1,'Master Data'!$C$74:$O$74,0))</f>
        <v>0.99</v>
      </c>
      <c r="N32" s="148">
        <f>ROUND(M32*INDEX('Master Data'!$F$4:$K$12,MATCH($M$1,'Master Data'!$E$4:$E$12,0),MATCH(C32,'Master Data'!$F$3:$K$3,0)),2)</f>
        <v>47224.57</v>
      </c>
      <c r="O32" s="147">
        <f>INDEX('Master Data'!$C$75:$O$299,MATCH(A32,'Master Data'!$B$75:$B$299,0),MATCH($O$1,'Master Data'!$C$74:$O$74,0))</f>
        <v>0.23</v>
      </c>
      <c r="P32" s="148">
        <f>ROUND(O32*INDEX('Master Data'!$F$4:$K$12,MATCH($O$1,'Master Data'!$E$4:$E$12,0),MATCH(C32,'Master Data'!$F$3:$K$3,0)),2)</f>
        <v>7176</v>
      </c>
      <c r="Q32" s="147">
        <f>INDEX('Master Data'!$C$75:$O$299,MATCH(A32,'Master Data'!$B$75:$B$299,0),MATCH($Q$1,'Master Data'!$C$74:$O$74,0))</f>
        <v>0.12</v>
      </c>
      <c r="R32" s="148">
        <f>ROUND(Q32*INDEX('Master Data'!$F$4:$K$12,MATCH($Q$1,'Master Data'!$E$4:$E$12,0),MATCH(C32,'Master Data'!$F$3:$K$3,0)),2)</f>
        <v>5621.09</v>
      </c>
      <c r="S32" s="147">
        <f>INDEX('Master Data'!$C$75:$O$299,MATCH(A32,'Master Data'!$B$75:$B$299,0),MATCH($S$1,'Master Data'!$C$74:$O$74,0))</f>
        <v>0</v>
      </c>
      <c r="T32" s="148">
        <f>ROUND(S32*INDEX('Master Data'!$F$4:$K$12,MATCH($S$1,'Master Data'!$E$4:$E$12,0),MATCH(C32,'Master Data'!$F$3:$K$3,0)),2)</f>
        <v>0</v>
      </c>
      <c r="U32" s="147">
        <f>INDEX('Master Data'!$C$75:$O$299,MATCH(A32,'Master Data'!$B$75:$B$299,0),MATCH($U$1,'Master Data'!$C$74:$O$74,0))</f>
        <v>0</v>
      </c>
      <c r="V32" s="148">
        <f>ROUND(U32*INDEX('Master Data'!$F$4:$K$12,MATCH($U$1,'Master Data'!$E$4:$E$12,0),MATCH(C32,'Master Data'!$F$3:$K$3,0)),2)</f>
        <v>0</v>
      </c>
      <c r="W32" s="149">
        <f t="shared" si="2"/>
        <v>468464.9</v>
      </c>
      <c r="X32" s="148">
        <f>ROUND(W32*('Master Data'!$B$54),2)</f>
        <v>116975.69</v>
      </c>
      <c r="Y32" s="149">
        <f t="shared" si="3"/>
        <v>585440.59000000008</v>
      </c>
      <c r="Z32" s="147">
        <f>52*INDEX('Master Data'!$C$75:$O$299,MATCH(A32,'Master Data'!$B$75:$B$299,0),MATCH($Z$1,'Master Data'!$C$74:$O$74,0))</f>
        <v>52</v>
      </c>
      <c r="AA32" s="148">
        <f>Z32*('Master Data'!$F$15)</f>
        <v>3920.8</v>
      </c>
      <c r="AB32" s="147">
        <f>52*INDEX('Master Data'!$C$75:$O$299,MATCH(A32,'Master Data'!$B$75:$B$299,0),MATCH($AB$1,'Master Data'!$C$74:$O$74,0))</f>
        <v>156</v>
      </c>
      <c r="AC32" s="148">
        <f>AB32*('Master Data'!$F$16)</f>
        <v>11281.919999999998</v>
      </c>
      <c r="AD32" s="149">
        <f t="shared" si="4"/>
        <v>15202.719999999998</v>
      </c>
      <c r="AE32" s="148">
        <f>INDEX('Master Data'!$D$58:$D$60,MATCH(D32,'Master Data'!$B$58:$B$60,0))</f>
        <v>19577.099999999999</v>
      </c>
      <c r="AF32" s="148">
        <f>INDEX('Master Data'!$E$58:$E$60,MATCH(D32,'Master Data'!$B$58:$B$60,0))</f>
        <v>992.8</v>
      </c>
      <c r="AG32" s="148">
        <f>INDEX('Master Data'!$F$58:$F$60,MATCH(D32,'Master Data'!$B$58:$B$60,0))</f>
        <v>2876.2</v>
      </c>
      <c r="AH32" s="149">
        <f t="shared" si="5"/>
        <v>624089.41</v>
      </c>
      <c r="AI32" s="148">
        <f>ROUND(AH32*('Master Data'!$C$54),2)</f>
        <v>74890.73</v>
      </c>
      <c r="AJ32" s="148">
        <f>ROUND(SUM(AH32:AI32,AK32)*('Master Data'!$E$54),2)</f>
        <v>20940.77</v>
      </c>
      <c r="AK32" s="148">
        <f>ROUND(W32*('Master Data'!$F$54),2)</f>
        <v>0</v>
      </c>
      <c r="AL32" s="149">
        <f t="shared" si="6"/>
        <v>719920.91</v>
      </c>
      <c r="AM32" s="140">
        <f t="shared" si="7"/>
        <v>2074.6999999999998</v>
      </c>
      <c r="AN32" s="121"/>
      <c r="AO32" s="121"/>
      <c r="AP32" s="121"/>
      <c r="AQ32" s="121"/>
      <c r="AR32" s="121"/>
      <c r="AS32" s="121"/>
    </row>
    <row r="33" spans="1:45">
      <c r="A33" s="121" t="s">
        <v>186</v>
      </c>
      <c r="B33" s="121" t="str">
        <f t="shared" si="0"/>
        <v xml:space="preserve"> </v>
      </c>
      <c r="C33" s="121" t="str">
        <f t="shared" si="1"/>
        <v xml:space="preserve">Intermediate  </v>
      </c>
      <c r="D33" s="121" t="str">
        <f>INDEX('Master Data'!$C$75:$C$299,MATCH(A33,'Master Data'!$B$75:$B$299,0))</f>
        <v>2-3</v>
      </c>
      <c r="E33" s="147">
        <f>INDEX('Master Data'!$C$75:$O$299,MATCH(A33,'Master Data'!$B$75:$B$299,0),MATCH($E$1,'Master Data'!$C$74:$O$74,0))</f>
        <v>0.18</v>
      </c>
      <c r="F33" s="148">
        <f>ROUND(E33*INDEX('Master Data'!$F$4:$K$12,MATCH($E$1,'Master Data'!$E$4:$E$12,0),MATCH(C33,'Master Data'!$F$3:$K$3,0)),2)</f>
        <v>14667.64</v>
      </c>
      <c r="G33" s="147">
        <f>INDEX('Master Data'!$C$75:$O$299,MATCH(A33,'Master Data'!$B$75:$B$299,0),MATCH($G$1,'Master Data'!$C$74:$O$74,0))</f>
        <v>0.66</v>
      </c>
      <c r="H33" s="148">
        <f>ROUND(G33*INDEX('Master Data'!$F$4:$K$12,MATCH($G$1,'Master Data'!$E$4:$E$12,0),MATCH(C33,'Master Data'!$F$3:$K$3,0)),2)</f>
        <v>37216.5</v>
      </c>
      <c r="I33" s="147">
        <f>INDEX('Master Data'!$C$75:$O$299,MATCH(A33,'Master Data'!$B$75:$B$299,0),MATCH($I$1,'Master Data'!$C$74:$O$74,0))</f>
        <v>6.6</v>
      </c>
      <c r="J33" s="148">
        <f>ROUND(I33*INDEX('Master Data'!$F$4:$K$12,MATCH($I$1,'Master Data'!$E$4:$E$12,0),MATCH(C33,'Master Data'!$F$3:$K$3,0)),2)</f>
        <v>314830.49</v>
      </c>
      <c r="K33" s="147">
        <f>INDEX('Master Data'!$C$75:$O$299,MATCH(A33,'Master Data'!$B$75:$B$299,0),MATCH($K$1,'Master Data'!$C$74:$O$74,0))</f>
        <v>1.4</v>
      </c>
      <c r="L33" s="148">
        <f>ROUND(K33*INDEX('Master Data'!$F$4:$K$12,MATCH($K$1,'Master Data'!$E$4:$E$12,0),MATCH(C33,'Master Data'!$F$3:$K$3,0)),2)</f>
        <v>65579.399999999994</v>
      </c>
      <c r="M33" s="147">
        <f>INDEX('Master Data'!$C$75:$O$299,MATCH(A33,'Master Data'!$B$75:$B$299,0),MATCH($M$1,'Master Data'!$C$74:$O$74,0))</f>
        <v>1.07</v>
      </c>
      <c r="N33" s="148">
        <f>ROUND(M33*INDEX('Master Data'!$F$4:$K$12,MATCH($M$1,'Master Data'!$E$4:$E$12,0),MATCH(C33,'Master Data'!$F$3:$K$3,0)),2)</f>
        <v>51040.7</v>
      </c>
      <c r="O33" s="147">
        <f>INDEX('Master Data'!$C$75:$O$299,MATCH(A33,'Master Data'!$B$75:$B$299,0),MATCH($O$1,'Master Data'!$C$74:$O$74,0))</f>
        <v>0.23</v>
      </c>
      <c r="P33" s="148">
        <f>ROUND(O33*INDEX('Master Data'!$F$4:$K$12,MATCH($O$1,'Master Data'!$E$4:$E$12,0),MATCH(C33,'Master Data'!$F$3:$K$3,0)),2)</f>
        <v>7176</v>
      </c>
      <c r="Q33" s="147">
        <f>INDEX('Master Data'!$C$75:$O$299,MATCH(A33,'Master Data'!$B$75:$B$299,0),MATCH($Q$1,'Master Data'!$C$74:$O$74,0))</f>
        <v>0.12</v>
      </c>
      <c r="R33" s="148">
        <f>ROUND(Q33*INDEX('Master Data'!$F$4:$K$12,MATCH($Q$1,'Master Data'!$E$4:$E$12,0),MATCH(C33,'Master Data'!$F$3:$K$3,0)),2)</f>
        <v>5621.09</v>
      </c>
      <c r="S33" s="147">
        <f>INDEX('Master Data'!$C$75:$O$299,MATCH(A33,'Master Data'!$B$75:$B$299,0),MATCH($S$1,'Master Data'!$C$74:$O$74,0))</f>
        <v>0</v>
      </c>
      <c r="T33" s="148">
        <f>ROUND(S33*INDEX('Master Data'!$F$4:$K$12,MATCH($S$1,'Master Data'!$E$4:$E$12,0),MATCH(C33,'Master Data'!$F$3:$K$3,0)),2)</f>
        <v>0</v>
      </c>
      <c r="U33" s="147">
        <f>INDEX('Master Data'!$C$75:$O$299,MATCH(A33,'Master Data'!$B$75:$B$299,0),MATCH($U$1,'Master Data'!$C$74:$O$74,0))</f>
        <v>0</v>
      </c>
      <c r="V33" s="148">
        <f>ROUND(U33*INDEX('Master Data'!$F$4:$K$12,MATCH($U$1,'Master Data'!$E$4:$E$12,0),MATCH(C33,'Master Data'!$F$3:$K$3,0)),2)</f>
        <v>0</v>
      </c>
      <c r="W33" s="149">
        <f t="shared" si="2"/>
        <v>496131.82000000007</v>
      </c>
      <c r="X33" s="148">
        <f>ROUND(W33*('Master Data'!$B$54),2)</f>
        <v>123884.12</v>
      </c>
      <c r="Y33" s="149">
        <f t="shared" si="3"/>
        <v>620015.94000000006</v>
      </c>
      <c r="Z33" s="147">
        <f>52*INDEX('Master Data'!$C$75:$O$299,MATCH(A33,'Master Data'!$B$75:$B$299,0),MATCH($Z$1,'Master Data'!$C$74:$O$74,0))</f>
        <v>52</v>
      </c>
      <c r="AA33" s="148">
        <f>Z33*('Master Data'!$F$15)</f>
        <v>3920.8</v>
      </c>
      <c r="AB33" s="147">
        <f>52*INDEX('Master Data'!$C$75:$O$299,MATCH(A33,'Master Data'!$B$75:$B$299,0),MATCH($AB$1,'Master Data'!$C$74:$O$74,0))</f>
        <v>156</v>
      </c>
      <c r="AC33" s="148">
        <f>AB33*('Master Data'!$F$16)</f>
        <v>11281.919999999998</v>
      </c>
      <c r="AD33" s="149">
        <f t="shared" si="4"/>
        <v>15202.719999999998</v>
      </c>
      <c r="AE33" s="148">
        <f>INDEX('Master Data'!$D$58:$D$60,MATCH(D33,'Master Data'!$B$58:$B$60,0))</f>
        <v>19577.099999999999</v>
      </c>
      <c r="AF33" s="148">
        <f>INDEX('Master Data'!$E$58:$E$60,MATCH(D33,'Master Data'!$B$58:$B$60,0))</f>
        <v>992.8</v>
      </c>
      <c r="AG33" s="148">
        <f>INDEX('Master Data'!$F$58:$F$60,MATCH(D33,'Master Data'!$B$58:$B$60,0))</f>
        <v>2876.2</v>
      </c>
      <c r="AH33" s="149">
        <f t="shared" si="5"/>
        <v>658664.76</v>
      </c>
      <c r="AI33" s="148">
        <f>ROUND(AH33*('Master Data'!$C$54),2)</f>
        <v>79039.77</v>
      </c>
      <c r="AJ33" s="148">
        <f>ROUND(SUM(AH33:AI33,AK33)*('Master Data'!$E$54),2)</f>
        <v>22100.92</v>
      </c>
      <c r="AK33" s="148">
        <f>ROUND(W33*('Master Data'!$F$54),2)</f>
        <v>0</v>
      </c>
      <c r="AL33" s="149">
        <f t="shared" si="6"/>
        <v>759805.45000000007</v>
      </c>
      <c r="AM33" s="140">
        <f t="shared" si="7"/>
        <v>2189.64</v>
      </c>
      <c r="AN33" s="121"/>
      <c r="AO33" s="121"/>
      <c r="AP33" s="121"/>
      <c r="AQ33" s="121"/>
      <c r="AR33" s="121"/>
      <c r="AS33" s="121"/>
    </row>
    <row r="34" spans="1:45">
      <c r="A34" s="121" t="s">
        <v>187</v>
      </c>
      <c r="B34" s="121" t="str">
        <f t="shared" si="0"/>
        <v xml:space="preserve"> </v>
      </c>
      <c r="C34" s="121" t="str">
        <f t="shared" si="1"/>
        <v xml:space="preserve">Intermediate  </v>
      </c>
      <c r="D34" s="121" t="str">
        <f>INDEX('Master Data'!$C$75:$C$299,MATCH(A34,'Master Data'!$B$75:$B$299,0))</f>
        <v>2-3</v>
      </c>
      <c r="E34" s="147">
        <f>INDEX('Master Data'!$C$75:$O$299,MATCH(A34,'Master Data'!$B$75:$B$299,0),MATCH($E$1,'Master Data'!$C$74:$O$74,0))</f>
        <v>0.18</v>
      </c>
      <c r="F34" s="148">
        <f>ROUND(E34*INDEX('Master Data'!$F$4:$K$12,MATCH($E$1,'Master Data'!$E$4:$E$12,0),MATCH(C34,'Master Data'!$F$3:$K$3,0)),2)</f>
        <v>14667.64</v>
      </c>
      <c r="G34" s="147">
        <f>INDEX('Master Data'!$C$75:$O$299,MATCH(A34,'Master Data'!$B$75:$B$299,0),MATCH($G$1,'Master Data'!$C$74:$O$74,0))</f>
        <v>0.66</v>
      </c>
      <c r="H34" s="148">
        <f>ROUND(G34*INDEX('Master Data'!$F$4:$K$12,MATCH($G$1,'Master Data'!$E$4:$E$12,0),MATCH(C34,'Master Data'!$F$3:$K$3,0)),2)</f>
        <v>37216.5</v>
      </c>
      <c r="I34" s="147">
        <f>INDEX('Master Data'!$C$75:$O$299,MATCH(A34,'Master Data'!$B$75:$B$299,0),MATCH($I$1,'Master Data'!$C$74:$O$74,0))</f>
        <v>7.1</v>
      </c>
      <c r="J34" s="148">
        <f>ROUND(I34*INDEX('Master Data'!$F$4:$K$12,MATCH($I$1,'Master Data'!$E$4:$E$12,0),MATCH(C34,'Master Data'!$F$3:$K$3,0)),2)</f>
        <v>338681.29</v>
      </c>
      <c r="K34" s="147">
        <f>INDEX('Master Data'!$C$75:$O$299,MATCH(A34,'Master Data'!$B$75:$B$299,0),MATCH($K$1,'Master Data'!$C$74:$O$74,0))</f>
        <v>1.4</v>
      </c>
      <c r="L34" s="148">
        <f>ROUND(K34*INDEX('Master Data'!$F$4:$K$12,MATCH($K$1,'Master Data'!$E$4:$E$12,0),MATCH(C34,'Master Data'!$F$3:$K$3,0)),2)</f>
        <v>65579.399999999994</v>
      </c>
      <c r="M34" s="147">
        <f>INDEX('Master Data'!$C$75:$O$299,MATCH(A34,'Master Data'!$B$75:$B$299,0),MATCH($M$1,'Master Data'!$C$74:$O$74,0))</f>
        <v>1.1499999999999999</v>
      </c>
      <c r="N34" s="148">
        <f>ROUND(M34*INDEX('Master Data'!$F$4:$K$12,MATCH($M$1,'Master Data'!$E$4:$E$12,0),MATCH(C34,'Master Data'!$F$3:$K$3,0)),2)</f>
        <v>54856.83</v>
      </c>
      <c r="O34" s="147">
        <f>INDEX('Master Data'!$C$75:$O$299,MATCH(A34,'Master Data'!$B$75:$B$299,0),MATCH($O$1,'Master Data'!$C$74:$O$74,0))</f>
        <v>0.23</v>
      </c>
      <c r="P34" s="148">
        <f>ROUND(O34*INDEX('Master Data'!$F$4:$K$12,MATCH($O$1,'Master Data'!$E$4:$E$12,0),MATCH(C34,'Master Data'!$F$3:$K$3,0)),2)</f>
        <v>7176</v>
      </c>
      <c r="Q34" s="147">
        <f>INDEX('Master Data'!$C$75:$O$299,MATCH(A34,'Master Data'!$B$75:$B$299,0),MATCH($Q$1,'Master Data'!$C$74:$O$74,0))</f>
        <v>0.12</v>
      </c>
      <c r="R34" s="148">
        <f>ROUND(Q34*INDEX('Master Data'!$F$4:$K$12,MATCH($Q$1,'Master Data'!$E$4:$E$12,0),MATCH(C34,'Master Data'!$F$3:$K$3,0)),2)</f>
        <v>5621.09</v>
      </c>
      <c r="S34" s="147">
        <f>INDEX('Master Data'!$C$75:$O$299,MATCH(A34,'Master Data'!$B$75:$B$299,0),MATCH($S$1,'Master Data'!$C$74:$O$74,0))</f>
        <v>0</v>
      </c>
      <c r="T34" s="148">
        <f>ROUND(S34*INDEX('Master Data'!$F$4:$K$12,MATCH($S$1,'Master Data'!$E$4:$E$12,0),MATCH(C34,'Master Data'!$F$3:$K$3,0)),2)</f>
        <v>0</v>
      </c>
      <c r="U34" s="147">
        <f>INDEX('Master Data'!$C$75:$O$299,MATCH(A34,'Master Data'!$B$75:$B$299,0),MATCH($U$1,'Master Data'!$C$74:$O$74,0))</f>
        <v>0</v>
      </c>
      <c r="V34" s="148">
        <f>ROUND(U34*INDEX('Master Data'!$F$4:$K$12,MATCH($U$1,'Master Data'!$E$4:$E$12,0),MATCH(C34,'Master Data'!$F$3:$K$3,0)),2)</f>
        <v>0</v>
      </c>
      <c r="W34" s="149">
        <f t="shared" si="2"/>
        <v>523798.75</v>
      </c>
      <c r="X34" s="148">
        <f>ROUND(W34*('Master Data'!$B$54),2)</f>
        <v>130792.55</v>
      </c>
      <c r="Y34" s="149">
        <f t="shared" si="3"/>
        <v>654591.30000000005</v>
      </c>
      <c r="Z34" s="147">
        <f>52*INDEX('Master Data'!$C$75:$O$299,MATCH(A34,'Master Data'!$B$75:$B$299,0),MATCH($Z$1,'Master Data'!$C$74:$O$74,0))</f>
        <v>52</v>
      </c>
      <c r="AA34" s="148">
        <f>Z34*('Master Data'!$F$15)</f>
        <v>3920.8</v>
      </c>
      <c r="AB34" s="147">
        <f>52*INDEX('Master Data'!$C$75:$O$299,MATCH(A34,'Master Data'!$B$75:$B$299,0),MATCH($AB$1,'Master Data'!$C$74:$O$74,0))</f>
        <v>156</v>
      </c>
      <c r="AC34" s="148">
        <f>AB34*('Master Data'!$F$16)</f>
        <v>11281.919999999998</v>
      </c>
      <c r="AD34" s="149">
        <f t="shared" si="4"/>
        <v>15202.719999999998</v>
      </c>
      <c r="AE34" s="148">
        <f>INDEX('Master Data'!$D$58:$D$60,MATCH(D34,'Master Data'!$B$58:$B$60,0))</f>
        <v>19577.099999999999</v>
      </c>
      <c r="AF34" s="148">
        <f>INDEX('Master Data'!$E$58:$E$60,MATCH(D34,'Master Data'!$B$58:$B$60,0))</f>
        <v>992.8</v>
      </c>
      <c r="AG34" s="148">
        <f>INDEX('Master Data'!$F$58:$F$60,MATCH(D34,'Master Data'!$B$58:$B$60,0))</f>
        <v>2876.2</v>
      </c>
      <c r="AH34" s="149">
        <f t="shared" si="5"/>
        <v>693240.12</v>
      </c>
      <c r="AI34" s="148">
        <f>ROUND(AH34*('Master Data'!$C$54),2)</f>
        <v>83188.81</v>
      </c>
      <c r="AJ34" s="148">
        <f>ROUND(SUM(AH34:AI34,AK34)*('Master Data'!$E$54),2)</f>
        <v>23261.07</v>
      </c>
      <c r="AK34" s="148">
        <f>ROUND(W34*('Master Data'!$F$54),2)</f>
        <v>0</v>
      </c>
      <c r="AL34" s="149">
        <f t="shared" si="6"/>
        <v>799689.99999999988</v>
      </c>
      <c r="AM34" s="140">
        <f t="shared" si="7"/>
        <v>2304.58</v>
      </c>
      <c r="AN34" s="121"/>
      <c r="AO34" s="121"/>
      <c r="AP34" s="121"/>
      <c r="AQ34" s="121"/>
      <c r="AR34" s="121"/>
      <c r="AS34" s="121"/>
    </row>
    <row r="35" spans="1:45">
      <c r="A35" s="121" t="s">
        <v>188</v>
      </c>
      <c r="B35" s="121" t="str">
        <f t="shared" si="0"/>
        <v xml:space="preserve"> </v>
      </c>
      <c r="C35" s="121" t="str">
        <f t="shared" si="1"/>
        <v xml:space="preserve">Intermediate  </v>
      </c>
      <c r="D35" s="121" t="str">
        <f>INDEX('Master Data'!$C$75:$C$299,MATCH(A35,'Master Data'!$B$75:$B$299,0))</f>
        <v>2-3</v>
      </c>
      <c r="E35" s="147">
        <f>INDEX('Master Data'!$C$75:$O$299,MATCH(A35,'Master Data'!$B$75:$B$299,0),MATCH($E$1,'Master Data'!$C$74:$O$74,0))</f>
        <v>0.18</v>
      </c>
      <c r="F35" s="148">
        <f>ROUND(E35*INDEX('Master Data'!$F$4:$K$12,MATCH($E$1,'Master Data'!$E$4:$E$12,0),MATCH(C35,'Master Data'!$F$3:$K$3,0)),2)</f>
        <v>14667.64</v>
      </c>
      <c r="G35" s="147">
        <f>INDEX('Master Data'!$C$75:$O$299,MATCH(A35,'Master Data'!$B$75:$B$299,0),MATCH($G$1,'Master Data'!$C$74:$O$74,0))</f>
        <v>0.66</v>
      </c>
      <c r="H35" s="148">
        <f>ROUND(G35*INDEX('Master Data'!$F$4:$K$12,MATCH($G$1,'Master Data'!$E$4:$E$12,0),MATCH(C35,'Master Data'!$F$3:$K$3,0)),2)</f>
        <v>37216.5</v>
      </c>
      <c r="I35" s="147">
        <f>INDEX('Master Data'!$C$75:$O$299,MATCH(A35,'Master Data'!$B$75:$B$299,0),MATCH($I$1,'Master Data'!$C$74:$O$74,0))</f>
        <v>7.6</v>
      </c>
      <c r="J35" s="148">
        <f>ROUND(I35*INDEX('Master Data'!$F$4:$K$12,MATCH($I$1,'Master Data'!$E$4:$E$12,0),MATCH(C35,'Master Data'!$F$3:$K$3,0)),2)</f>
        <v>362532.08</v>
      </c>
      <c r="K35" s="147">
        <f>INDEX('Master Data'!$C$75:$O$299,MATCH(A35,'Master Data'!$B$75:$B$299,0),MATCH($K$1,'Master Data'!$C$74:$O$74,0))</f>
        <v>1.4</v>
      </c>
      <c r="L35" s="148">
        <f>ROUND(K35*INDEX('Master Data'!$F$4:$K$12,MATCH($K$1,'Master Data'!$E$4:$E$12,0),MATCH(C35,'Master Data'!$F$3:$K$3,0)),2)</f>
        <v>65579.399999999994</v>
      </c>
      <c r="M35" s="147">
        <f>INDEX('Master Data'!$C$75:$O$299,MATCH(A35,'Master Data'!$B$75:$B$299,0),MATCH($M$1,'Master Data'!$C$74:$O$74,0))</f>
        <v>1.23</v>
      </c>
      <c r="N35" s="148">
        <f>ROUND(M35*INDEX('Master Data'!$F$4:$K$12,MATCH($M$1,'Master Data'!$E$4:$E$12,0),MATCH(C35,'Master Data'!$F$3:$K$3,0)),2)</f>
        <v>58672.959999999999</v>
      </c>
      <c r="O35" s="147">
        <f>INDEX('Master Data'!$C$75:$O$299,MATCH(A35,'Master Data'!$B$75:$B$299,0),MATCH($O$1,'Master Data'!$C$74:$O$74,0))</f>
        <v>0.23</v>
      </c>
      <c r="P35" s="148">
        <f>ROUND(O35*INDEX('Master Data'!$F$4:$K$12,MATCH($O$1,'Master Data'!$E$4:$E$12,0),MATCH(C35,'Master Data'!$F$3:$K$3,0)),2)</f>
        <v>7176</v>
      </c>
      <c r="Q35" s="147">
        <f>INDEX('Master Data'!$C$75:$O$299,MATCH(A35,'Master Data'!$B$75:$B$299,0),MATCH($Q$1,'Master Data'!$C$74:$O$74,0))</f>
        <v>0.12</v>
      </c>
      <c r="R35" s="148">
        <f>ROUND(Q35*INDEX('Master Data'!$F$4:$K$12,MATCH($Q$1,'Master Data'!$E$4:$E$12,0),MATCH(C35,'Master Data'!$F$3:$K$3,0)),2)</f>
        <v>5621.09</v>
      </c>
      <c r="S35" s="147">
        <f>INDEX('Master Data'!$C$75:$O$299,MATCH(A35,'Master Data'!$B$75:$B$299,0),MATCH($S$1,'Master Data'!$C$74:$O$74,0))</f>
        <v>0</v>
      </c>
      <c r="T35" s="148">
        <f>ROUND(S35*INDEX('Master Data'!$F$4:$K$12,MATCH($S$1,'Master Data'!$E$4:$E$12,0),MATCH(C35,'Master Data'!$F$3:$K$3,0)),2)</f>
        <v>0</v>
      </c>
      <c r="U35" s="147">
        <f>INDEX('Master Data'!$C$75:$O$299,MATCH(A35,'Master Data'!$B$75:$B$299,0),MATCH($U$1,'Master Data'!$C$74:$O$74,0))</f>
        <v>0</v>
      </c>
      <c r="V35" s="148">
        <f>ROUND(U35*INDEX('Master Data'!$F$4:$K$12,MATCH($U$1,'Master Data'!$E$4:$E$12,0),MATCH(C35,'Master Data'!$F$3:$K$3,0)),2)</f>
        <v>0</v>
      </c>
      <c r="W35" s="149">
        <f t="shared" si="2"/>
        <v>551465.66999999993</v>
      </c>
      <c r="X35" s="148">
        <f>ROUND(W35*('Master Data'!$B$54),2)</f>
        <v>137700.98000000001</v>
      </c>
      <c r="Y35" s="149">
        <f t="shared" si="3"/>
        <v>689166.64999999991</v>
      </c>
      <c r="Z35" s="147">
        <f>52*INDEX('Master Data'!$C$75:$O$299,MATCH(A35,'Master Data'!$B$75:$B$299,0),MATCH($Z$1,'Master Data'!$C$74:$O$74,0))</f>
        <v>52</v>
      </c>
      <c r="AA35" s="148">
        <f>Z35*('Master Data'!$F$15)</f>
        <v>3920.8</v>
      </c>
      <c r="AB35" s="147">
        <f>52*INDEX('Master Data'!$C$75:$O$299,MATCH(A35,'Master Data'!$B$75:$B$299,0),MATCH($AB$1,'Master Data'!$C$74:$O$74,0))</f>
        <v>156</v>
      </c>
      <c r="AC35" s="148">
        <f>AB35*('Master Data'!$F$16)</f>
        <v>11281.919999999998</v>
      </c>
      <c r="AD35" s="149">
        <f t="shared" si="4"/>
        <v>15202.719999999998</v>
      </c>
      <c r="AE35" s="148">
        <f>INDEX('Master Data'!$D$58:$D$60,MATCH(D35,'Master Data'!$B$58:$B$60,0))</f>
        <v>19577.099999999999</v>
      </c>
      <c r="AF35" s="148">
        <f>INDEX('Master Data'!$E$58:$E$60,MATCH(D35,'Master Data'!$B$58:$B$60,0))</f>
        <v>992.8</v>
      </c>
      <c r="AG35" s="148">
        <f>INDEX('Master Data'!$F$58:$F$60,MATCH(D35,'Master Data'!$B$58:$B$60,0))</f>
        <v>2876.2</v>
      </c>
      <c r="AH35" s="149">
        <f t="shared" si="5"/>
        <v>727815.46999999986</v>
      </c>
      <c r="AI35" s="148">
        <f>ROUND(AH35*('Master Data'!$C$54),2)</f>
        <v>87337.86</v>
      </c>
      <c r="AJ35" s="148">
        <f>ROUND(SUM(AH35:AI35,AK35)*('Master Data'!$E$54),2)</f>
        <v>24421.21</v>
      </c>
      <c r="AK35" s="148">
        <f>ROUND(W35*('Master Data'!$F$54),2)</f>
        <v>0</v>
      </c>
      <c r="AL35" s="149">
        <f t="shared" si="6"/>
        <v>839574.5399999998</v>
      </c>
      <c r="AM35" s="140">
        <f t="shared" si="7"/>
        <v>2419.52</v>
      </c>
      <c r="AN35" s="121"/>
      <c r="AO35" s="121"/>
      <c r="AP35" s="121"/>
      <c r="AQ35" s="121"/>
      <c r="AR35" s="121"/>
      <c r="AS35" s="121"/>
    </row>
    <row r="36" spans="1:45">
      <c r="A36" s="121" t="s">
        <v>189</v>
      </c>
      <c r="B36" s="121" t="str">
        <f t="shared" si="0"/>
        <v xml:space="preserve"> </v>
      </c>
      <c r="C36" s="121" t="str">
        <f t="shared" si="1"/>
        <v xml:space="preserve">Intermediate  </v>
      </c>
      <c r="D36" s="121" t="str">
        <f>INDEX('Master Data'!$C$75:$C$299,MATCH(A36,'Master Data'!$B$75:$B$299,0))</f>
        <v>2-3</v>
      </c>
      <c r="E36" s="147">
        <f>INDEX('Master Data'!$C$75:$O$299,MATCH(A36,'Master Data'!$B$75:$B$299,0),MATCH($E$1,'Master Data'!$C$74:$O$74,0))</f>
        <v>0.18</v>
      </c>
      <c r="F36" s="148">
        <f>ROUND(E36*INDEX('Master Data'!$F$4:$K$12,MATCH($E$1,'Master Data'!$E$4:$E$12,0),MATCH(C36,'Master Data'!$F$3:$K$3,0)),2)</f>
        <v>14667.64</v>
      </c>
      <c r="G36" s="147">
        <f>INDEX('Master Data'!$C$75:$O$299,MATCH(A36,'Master Data'!$B$75:$B$299,0),MATCH($G$1,'Master Data'!$C$74:$O$74,0))</f>
        <v>0.66</v>
      </c>
      <c r="H36" s="148">
        <f>ROUND(G36*INDEX('Master Data'!$F$4:$K$12,MATCH($G$1,'Master Data'!$E$4:$E$12,0),MATCH(C36,'Master Data'!$F$3:$K$3,0)),2)</f>
        <v>37216.5</v>
      </c>
      <c r="I36" s="147">
        <f>INDEX('Master Data'!$C$75:$O$299,MATCH(A36,'Master Data'!$B$75:$B$299,0),MATCH($I$1,'Master Data'!$C$74:$O$74,0))</f>
        <v>8.1</v>
      </c>
      <c r="J36" s="148">
        <f>ROUND(I36*INDEX('Master Data'!$F$4:$K$12,MATCH($I$1,'Master Data'!$E$4:$E$12,0),MATCH(C36,'Master Data'!$F$3:$K$3,0)),2)</f>
        <v>386382.88</v>
      </c>
      <c r="K36" s="147">
        <f>INDEX('Master Data'!$C$75:$O$299,MATCH(A36,'Master Data'!$B$75:$B$299,0),MATCH($K$1,'Master Data'!$C$74:$O$74,0))</f>
        <v>1.4</v>
      </c>
      <c r="L36" s="148">
        <f>ROUND(K36*INDEX('Master Data'!$F$4:$K$12,MATCH($K$1,'Master Data'!$E$4:$E$12,0),MATCH(C36,'Master Data'!$F$3:$K$3,0)),2)</f>
        <v>65579.399999999994</v>
      </c>
      <c r="M36" s="147">
        <f>INDEX('Master Data'!$C$75:$O$299,MATCH(A36,'Master Data'!$B$75:$B$299,0),MATCH($M$1,'Master Data'!$C$74:$O$74,0))</f>
        <v>1.31</v>
      </c>
      <c r="N36" s="148">
        <f>ROUND(M36*INDEX('Master Data'!$F$4:$K$12,MATCH($M$1,'Master Data'!$E$4:$E$12,0),MATCH(C36,'Master Data'!$F$3:$K$3,0)),2)</f>
        <v>62489.08</v>
      </c>
      <c r="O36" s="147">
        <f>INDEX('Master Data'!$C$75:$O$299,MATCH(A36,'Master Data'!$B$75:$B$299,0),MATCH($O$1,'Master Data'!$C$74:$O$74,0))</f>
        <v>0.23</v>
      </c>
      <c r="P36" s="148">
        <f>ROUND(O36*INDEX('Master Data'!$F$4:$K$12,MATCH($O$1,'Master Data'!$E$4:$E$12,0),MATCH(C36,'Master Data'!$F$3:$K$3,0)),2)</f>
        <v>7176</v>
      </c>
      <c r="Q36" s="147">
        <f>INDEX('Master Data'!$C$75:$O$299,MATCH(A36,'Master Data'!$B$75:$B$299,0),MATCH($Q$1,'Master Data'!$C$74:$O$74,0))</f>
        <v>0.12</v>
      </c>
      <c r="R36" s="148">
        <f>ROUND(Q36*INDEX('Master Data'!$F$4:$K$12,MATCH($Q$1,'Master Data'!$E$4:$E$12,0),MATCH(C36,'Master Data'!$F$3:$K$3,0)),2)</f>
        <v>5621.09</v>
      </c>
      <c r="S36" s="147">
        <f>INDEX('Master Data'!$C$75:$O$299,MATCH(A36,'Master Data'!$B$75:$B$299,0),MATCH($S$1,'Master Data'!$C$74:$O$74,0))</f>
        <v>0</v>
      </c>
      <c r="T36" s="148">
        <f>ROUND(S36*INDEX('Master Data'!$F$4:$K$12,MATCH($S$1,'Master Data'!$E$4:$E$12,0),MATCH(C36,'Master Data'!$F$3:$K$3,0)),2)</f>
        <v>0</v>
      </c>
      <c r="U36" s="147">
        <f>INDEX('Master Data'!$C$75:$O$299,MATCH(A36,'Master Data'!$B$75:$B$299,0),MATCH($U$1,'Master Data'!$C$74:$O$74,0))</f>
        <v>0</v>
      </c>
      <c r="V36" s="148">
        <f>ROUND(U36*INDEX('Master Data'!$F$4:$K$12,MATCH($U$1,'Master Data'!$E$4:$E$12,0),MATCH(C36,'Master Data'!$F$3:$K$3,0)),2)</f>
        <v>0</v>
      </c>
      <c r="W36" s="149">
        <f t="shared" si="2"/>
        <v>579132.59</v>
      </c>
      <c r="X36" s="148">
        <f>ROUND(W36*('Master Data'!$B$54),2)</f>
        <v>144609.41</v>
      </c>
      <c r="Y36" s="149">
        <f t="shared" si="3"/>
        <v>723742</v>
      </c>
      <c r="Z36" s="147">
        <f>52*INDEX('Master Data'!$C$75:$O$299,MATCH(A36,'Master Data'!$B$75:$B$299,0),MATCH($Z$1,'Master Data'!$C$74:$O$74,0))</f>
        <v>52</v>
      </c>
      <c r="AA36" s="148">
        <f>Z36*('Master Data'!$F$15)</f>
        <v>3920.8</v>
      </c>
      <c r="AB36" s="147">
        <f>52*INDEX('Master Data'!$C$75:$O$299,MATCH(A36,'Master Data'!$B$75:$B$299,0),MATCH($AB$1,'Master Data'!$C$74:$O$74,0))</f>
        <v>156</v>
      </c>
      <c r="AC36" s="148">
        <f>AB36*('Master Data'!$F$16)</f>
        <v>11281.919999999998</v>
      </c>
      <c r="AD36" s="149">
        <f t="shared" si="4"/>
        <v>15202.719999999998</v>
      </c>
      <c r="AE36" s="148">
        <f>INDEX('Master Data'!$D$58:$D$60,MATCH(D36,'Master Data'!$B$58:$B$60,0))</f>
        <v>19577.099999999999</v>
      </c>
      <c r="AF36" s="148">
        <f>INDEX('Master Data'!$E$58:$E$60,MATCH(D36,'Master Data'!$B$58:$B$60,0))</f>
        <v>992.8</v>
      </c>
      <c r="AG36" s="148">
        <f>INDEX('Master Data'!$F$58:$F$60,MATCH(D36,'Master Data'!$B$58:$B$60,0))</f>
        <v>2876.2</v>
      </c>
      <c r="AH36" s="149">
        <f t="shared" si="5"/>
        <v>762390.82</v>
      </c>
      <c r="AI36" s="148">
        <f>ROUND(AH36*('Master Data'!$C$54),2)</f>
        <v>91486.9</v>
      </c>
      <c r="AJ36" s="148">
        <f>ROUND(SUM(AH36:AI36,AK36)*('Master Data'!$E$54),2)</f>
        <v>25581.360000000001</v>
      </c>
      <c r="AK36" s="148">
        <f>ROUND(W36*('Master Data'!$F$54),2)</f>
        <v>0</v>
      </c>
      <c r="AL36" s="149">
        <f t="shared" si="6"/>
        <v>879459.08</v>
      </c>
      <c r="AM36" s="140">
        <f t="shared" si="7"/>
        <v>2534.46</v>
      </c>
      <c r="AN36" s="121"/>
      <c r="AO36" s="121"/>
      <c r="AP36" s="121"/>
      <c r="AQ36" s="121"/>
      <c r="AR36" s="121"/>
      <c r="AS36" s="121"/>
    </row>
    <row r="37" spans="1:45">
      <c r="A37" s="121" t="s">
        <v>190</v>
      </c>
      <c r="B37" s="121" t="str">
        <f t="shared" si="0"/>
        <v xml:space="preserve"> </v>
      </c>
      <c r="C37" s="121" t="str">
        <f t="shared" si="1"/>
        <v xml:space="preserve">Intermediate  </v>
      </c>
      <c r="D37" s="121" t="str">
        <f>INDEX('Master Data'!$C$75:$C$299,MATCH(A37,'Master Data'!$B$75:$B$299,0))</f>
        <v>2-3</v>
      </c>
      <c r="E37" s="147">
        <f>INDEX('Master Data'!$C$75:$O$299,MATCH(A37,'Master Data'!$B$75:$B$299,0),MATCH($E$1,'Master Data'!$C$74:$O$74,0))</f>
        <v>0.18</v>
      </c>
      <c r="F37" s="148">
        <f>ROUND(E37*INDEX('Master Data'!$F$4:$K$12,MATCH($E$1,'Master Data'!$E$4:$E$12,0),MATCH(C37,'Master Data'!$F$3:$K$3,0)),2)</f>
        <v>14667.64</v>
      </c>
      <c r="G37" s="147">
        <f>INDEX('Master Data'!$C$75:$O$299,MATCH(A37,'Master Data'!$B$75:$B$299,0),MATCH($G$1,'Master Data'!$C$74:$O$74,0))</f>
        <v>0.66</v>
      </c>
      <c r="H37" s="148">
        <f>ROUND(G37*INDEX('Master Data'!$F$4:$K$12,MATCH($G$1,'Master Data'!$E$4:$E$12,0),MATCH(C37,'Master Data'!$F$3:$K$3,0)),2)</f>
        <v>37216.5</v>
      </c>
      <c r="I37" s="147">
        <f>INDEX('Master Data'!$C$75:$O$299,MATCH(A37,'Master Data'!$B$75:$B$299,0),MATCH($I$1,'Master Data'!$C$74:$O$74,0))</f>
        <v>8.6</v>
      </c>
      <c r="J37" s="148">
        <f>ROUND(I37*INDEX('Master Data'!$F$4:$K$12,MATCH($I$1,'Master Data'!$E$4:$E$12,0),MATCH(C37,'Master Data'!$F$3:$K$3,0)),2)</f>
        <v>410233.67</v>
      </c>
      <c r="K37" s="147">
        <f>INDEX('Master Data'!$C$75:$O$299,MATCH(A37,'Master Data'!$B$75:$B$299,0),MATCH($K$1,'Master Data'!$C$74:$O$74,0))</f>
        <v>1.4</v>
      </c>
      <c r="L37" s="148">
        <f>ROUND(K37*INDEX('Master Data'!$F$4:$K$12,MATCH($K$1,'Master Data'!$E$4:$E$12,0),MATCH(C37,'Master Data'!$F$3:$K$3,0)),2)</f>
        <v>65579.399999999994</v>
      </c>
      <c r="M37" s="147">
        <f>INDEX('Master Data'!$C$75:$O$299,MATCH(A37,'Master Data'!$B$75:$B$299,0),MATCH($M$1,'Master Data'!$C$74:$O$74,0))</f>
        <v>1.39</v>
      </c>
      <c r="N37" s="148">
        <f>ROUND(M37*INDEX('Master Data'!$F$4:$K$12,MATCH($M$1,'Master Data'!$E$4:$E$12,0),MATCH(C37,'Master Data'!$F$3:$K$3,0)),2)</f>
        <v>66305.210000000006</v>
      </c>
      <c r="O37" s="147">
        <f>INDEX('Master Data'!$C$75:$O$299,MATCH(A37,'Master Data'!$B$75:$B$299,0),MATCH($O$1,'Master Data'!$C$74:$O$74,0))</f>
        <v>0.23</v>
      </c>
      <c r="P37" s="148">
        <f>ROUND(O37*INDEX('Master Data'!$F$4:$K$12,MATCH($O$1,'Master Data'!$E$4:$E$12,0),MATCH(C37,'Master Data'!$F$3:$K$3,0)),2)</f>
        <v>7176</v>
      </c>
      <c r="Q37" s="147">
        <f>INDEX('Master Data'!$C$75:$O$299,MATCH(A37,'Master Data'!$B$75:$B$299,0),MATCH($Q$1,'Master Data'!$C$74:$O$74,0))</f>
        <v>0.12</v>
      </c>
      <c r="R37" s="148">
        <f>ROUND(Q37*INDEX('Master Data'!$F$4:$K$12,MATCH($Q$1,'Master Data'!$E$4:$E$12,0),MATCH(C37,'Master Data'!$F$3:$K$3,0)),2)</f>
        <v>5621.09</v>
      </c>
      <c r="S37" s="147">
        <f>INDEX('Master Data'!$C$75:$O$299,MATCH(A37,'Master Data'!$B$75:$B$299,0),MATCH($S$1,'Master Data'!$C$74:$O$74,0))</f>
        <v>0</v>
      </c>
      <c r="T37" s="148">
        <f>ROUND(S37*INDEX('Master Data'!$F$4:$K$12,MATCH($S$1,'Master Data'!$E$4:$E$12,0),MATCH(C37,'Master Data'!$F$3:$K$3,0)),2)</f>
        <v>0</v>
      </c>
      <c r="U37" s="147">
        <f>INDEX('Master Data'!$C$75:$O$299,MATCH(A37,'Master Data'!$B$75:$B$299,0),MATCH($U$1,'Master Data'!$C$74:$O$74,0))</f>
        <v>0</v>
      </c>
      <c r="V37" s="148">
        <f>ROUND(U37*INDEX('Master Data'!$F$4:$K$12,MATCH($U$1,'Master Data'!$E$4:$E$12,0),MATCH(C37,'Master Data'!$F$3:$K$3,0)),2)</f>
        <v>0</v>
      </c>
      <c r="W37" s="149">
        <f t="shared" si="2"/>
        <v>606799.50999999989</v>
      </c>
      <c r="X37" s="148">
        <f>ROUND(W37*('Master Data'!$B$54),2)</f>
        <v>151517.84</v>
      </c>
      <c r="Y37" s="149">
        <f t="shared" si="3"/>
        <v>758317.34999999986</v>
      </c>
      <c r="Z37" s="147">
        <f>52*INDEX('Master Data'!$C$75:$O$299,MATCH(A37,'Master Data'!$B$75:$B$299,0),MATCH($Z$1,'Master Data'!$C$74:$O$74,0))</f>
        <v>52</v>
      </c>
      <c r="AA37" s="148">
        <f>Z37*('Master Data'!$F$15)</f>
        <v>3920.8</v>
      </c>
      <c r="AB37" s="147">
        <f>52*INDEX('Master Data'!$C$75:$O$299,MATCH(A37,'Master Data'!$B$75:$B$299,0),MATCH($AB$1,'Master Data'!$C$74:$O$74,0))</f>
        <v>156</v>
      </c>
      <c r="AC37" s="148">
        <f>AB37*('Master Data'!$F$16)</f>
        <v>11281.919999999998</v>
      </c>
      <c r="AD37" s="149">
        <f t="shared" si="4"/>
        <v>15202.719999999998</v>
      </c>
      <c r="AE37" s="148">
        <f>INDEX('Master Data'!$D$58:$D$60,MATCH(D37,'Master Data'!$B$58:$B$60,0))</f>
        <v>19577.099999999999</v>
      </c>
      <c r="AF37" s="148">
        <f>INDEX('Master Data'!$E$58:$E$60,MATCH(D37,'Master Data'!$B$58:$B$60,0))</f>
        <v>992.8</v>
      </c>
      <c r="AG37" s="148">
        <f>INDEX('Master Data'!$F$58:$F$60,MATCH(D37,'Master Data'!$B$58:$B$60,0))</f>
        <v>2876.2</v>
      </c>
      <c r="AH37" s="149">
        <f t="shared" si="5"/>
        <v>796966.16999999981</v>
      </c>
      <c r="AI37" s="148">
        <f>ROUND(AH37*('Master Data'!$C$54),2)</f>
        <v>95635.94</v>
      </c>
      <c r="AJ37" s="148">
        <f>ROUND(SUM(AH37:AI37,AK37)*('Master Data'!$E$54),2)</f>
        <v>26741.5</v>
      </c>
      <c r="AK37" s="148">
        <f>ROUND(W37*('Master Data'!$F$54),2)</f>
        <v>0</v>
      </c>
      <c r="AL37" s="149">
        <f t="shared" si="6"/>
        <v>919343.60999999987</v>
      </c>
      <c r="AM37" s="140">
        <f t="shared" si="7"/>
        <v>2649.41</v>
      </c>
      <c r="AN37" s="121"/>
      <c r="AO37" s="121"/>
      <c r="AP37" s="121"/>
      <c r="AQ37" s="121"/>
      <c r="AR37" s="121"/>
      <c r="AS37" s="121"/>
    </row>
    <row r="38" spans="1:45">
      <c r="A38" s="121" t="s">
        <v>191</v>
      </c>
      <c r="B38" s="121" t="str">
        <f t="shared" si="0"/>
        <v xml:space="preserve"> </v>
      </c>
      <c r="C38" s="121" t="str">
        <f t="shared" si="1"/>
        <v xml:space="preserve">Intermediate  </v>
      </c>
      <c r="D38" s="121" t="str">
        <f>INDEX('Master Data'!$C$75:$C$299,MATCH(A38,'Master Data'!$B$75:$B$299,0))</f>
        <v>2-3</v>
      </c>
      <c r="E38" s="147">
        <f>INDEX('Master Data'!$C$75:$O$299,MATCH(A38,'Master Data'!$B$75:$B$299,0),MATCH($E$1,'Master Data'!$C$74:$O$74,0))</f>
        <v>0.18</v>
      </c>
      <c r="F38" s="148">
        <f>ROUND(E38*INDEX('Master Data'!$F$4:$K$12,MATCH($E$1,'Master Data'!$E$4:$E$12,0),MATCH(C38,'Master Data'!$F$3:$K$3,0)),2)</f>
        <v>14667.64</v>
      </c>
      <c r="G38" s="147">
        <f>INDEX('Master Data'!$C$75:$O$299,MATCH(A38,'Master Data'!$B$75:$B$299,0),MATCH($G$1,'Master Data'!$C$74:$O$74,0))</f>
        <v>0.66</v>
      </c>
      <c r="H38" s="148">
        <f>ROUND(G38*INDEX('Master Data'!$F$4:$K$12,MATCH($G$1,'Master Data'!$E$4:$E$12,0),MATCH(C38,'Master Data'!$F$3:$K$3,0)),2)</f>
        <v>37216.5</v>
      </c>
      <c r="I38" s="147">
        <f>INDEX('Master Data'!$C$75:$O$299,MATCH(A38,'Master Data'!$B$75:$B$299,0),MATCH($I$1,'Master Data'!$C$74:$O$74,0))</f>
        <v>9.1</v>
      </c>
      <c r="J38" s="148">
        <f>ROUND(I38*INDEX('Master Data'!$F$4:$K$12,MATCH($I$1,'Master Data'!$E$4:$E$12,0),MATCH(C38,'Master Data'!$F$3:$K$3,0)),2)</f>
        <v>434084.47</v>
      </c>
      <c r="K38" s="147">
        <f>INDEX('Master Data'!$C$75:$O$299,MATCH(A38,'Master Data'!$B$75:$B$299,0),MATCH($K$1,'Master Data'!$C$74:$O$74,0))</f>
        <v>1.4</v>
      </c>
      <c r="L38" s="148">
        <f>ROUND(K38*INDEX('Master Data'!$F$4:$K$12,MATCH($K$1,'Master Data'!$E$4:$E$12,0),MATCH(C38,'Master Data'!$F$3:$K$3,0)),2)</f>
        <v>65579.399999999994</v>
      </c>
      <c r="M38" s="147">
        <f>INDEX('Master Data'!$C$75:$O$299,MATCH(A38,'Master Data'!$B$75:$B$299,0),MATCH($M$1,'Master Data'!$C$74:$O$74,0))</f>
        <v>1.47</v>
      </c>
      <c r="N38" s="148">
        <f>ROUND(M38*INDEX('Master Data'!$F$4:$K$12,MATCH($M$1,'Master Data'!$E$4:$E$12,0),MATCH(C38,'Master Data'!$F$3:$K$3,0)),2)</f>
        <v>70121.34</v>
      </c>
      <c r="O38" s="147">
        <f>INDEX('Master Data'!$C$75:$O$299,MATCH(A38,'Master Data'!$B$75:$B$299,0),MATCH($O$1,'Master Data'!$C$74:$O$74,0))</f>
        <v>0.23</v>
      </c>
      <c r="P38" s="148">
        <f>ROUND(O38*INDEX('Master Data'!$F$4:$K$12,MATCH($O$1,'Master Data'!$E$4:$E$12,0),MATCH(C38,'Master Data'!$F$3:$K$3,0)),2)</f>
        <v>7176</v>
      </c>
      <c r="Q38" s="147">
        <f>INDEX('Master Data'!$C$75:$O$299,MATCH(A38,'Master Data'!$B$75:$B$299,0),MATCH($Q$1,'Master Data'!$C$74:$O$74,0))</f>
        <v>0.12</v>
      </c>
      <c r="R38" s="148">
        <f>ROUND(Q38*INDEX('Master Data'!$F$4:$K$12,MATCH($Q$1,'Master Data'!$E$4:$E$12,0),MATCH(C38,'Master Data'!$F$3:$K$3,0)),2)</f>
        <v>5621.09</v>
      </c>
      <c r="S38" s="147">
        <f>INDEX('Master Data'!$C$75:$O$299,MATCH(A38,'Master Data'!$B$75:$B$299,0),MATCH($S$1,'Master Data'!$C$74:$O$74,0))</f>
        <v>0</v>
      </c>
      <c r="T38" s="148">
        <f>ROUND(S38*INDEX('Master Data'!$F$4:$K$12,MATCH($S$1,'Master Data'!$E$4:$E$12,0),MATCH(C38,'Master Data'!$F$3:$K$3,0)),2)</f>
        <v>0</v>
      </c>
      <c r="U38" s="147">
        <f>INDEX('Master Data'!$C$75:$O$299,MATCH(A38,'Master Data'!$B$75:$B$299,0),MATCH($U$1,'Master Data'!$C$74:$O$74,0))</f>
        <v>0</v>
      </c>
      <c r="V38" s="148">
        <f>ROUND(U38*INDEX('Master Data'!$F$4:$K$12,MATCH($U$1,'Master Data'!$E$4:$E$12,0),MATCH(C38,'Master Data'!$F$3:$K$3,0)),2)</f>
        <v>0</v>
      </c>
      <c r="W38" s="149">
        <f t="shared" si="2"/>
        <v>634466.43999999994</v>
      </c>
      <c r="X38" s="148">
        <f>ROUND(W38*('Master Data'!$B$54),2)</f>
        <v>158426.26999999999</v>
      </c>
      <c r="Y38" s="149">
        <f t="shared" si="3"/>
        <v>792892.71</v>
      </c>
      <c r="Z38" s="147">
        <f>52*INDEX('Master Data'!$C$75:$O$299,MATCH(A38,'Master Data'!$B$75:$B$299,0),MATCH($Z$1,'Master Data'!$C$74:$O$74,0))</f>
        <v>52</v>
      </c>
      <c r="AA38" s="148">
        <f>Z38*('Master Data'!$F$15)</f>
        <v>3920.8</v>
      </c>
      <c r="AB38" s="147">
        <f>52*INDEX('Master Data'!$C$75:$O$299,MATCH(A38,'Master Data'!$B$75:$B$299,0),MATCH($AB$1,'Master Data'!$C$74:$O$74,0))</f>
        <v>156</v>
      </c>
      <c r="AC38" s="148">
        <f>AB38*('Master Data'!$F$16)</f>
        <v>11281.919999999998</v>
      </c>
      <c r="AD38" s="149">
        <f t="shared" si="4"/>
        <v>15202.719999999998</v>
      </c>
      <c r="AE38" s="148">
        <f>INDEX('Master Data'!$D$58:$D$60,MATCH(D38,'Master Data'!$B$58:$B$60,0))</f>
        <v>19577.099999999999</v>
      </c>
      <c r="AF38" s="148">
        <f>INDEX('Master Data'!$E$58:$E$60,MATCH(D38,'Master Data'!$B$58:$B$60,0))</f>
        <v>992.8</v>
      </c>
      <c r="AG38" s="148">
        <f>INDEX('Master Data'!$F$58:$F$60,MATCH(D38,'Master Data'!$B$58:$B$60,0))</f>
        <v>2876.2</v>
      </c>
      <c r="AH38" s="149">
        <f t="shared" si="5"/>
        <v>831541.52999999991</v>
      </c>
      <c r="AI38" s="148">
        <f>ROUND(AH38*('Master Data'!$C$54),2)</f>
        <v>99784.98</v>
      </c>
      <c r="AJ38" s="148">
        <f>ROUND(SUM(AH38:AI38,AK38)*('Master Data'!$E$54),2)</f>
        <v>27901.65</v>
      </c>
      <c r="AK38" s="148">
        <f>ROUND(W38*('Master Data'!$F$54),2)</f>
        <v>0</v>
      </c>
      <c r="AL38" s="149">
        <f t="shared" si="6"/>
        <v>959228.15999999992</v>
      </c>
      <c r="AM38" s="140">
        <f t="shared" si="7"/>
        <v>2764.35</v>
      </c>
      <c r="AN38" s="121"/>
      <c r="AO38" s="121"/>
      <c r="AP38" s="121"/>
      <c r="AQ38" s="121"/>
      <c r="AR38" s="121"/>
      <c r="AS38" s="121"/>
    </row>
    <row r="39" spans="1:45">
      <c r="A39" s="121" t="s">
        <v>192</v>
      </c>
      <c r="B39" s="121" t="str">
        <f t="shared" si="0"/>
        <v xml:space="preserve"> </v>
      </c>
      <c r="C39" s="121" t="str">
        <f t="shared" si="1"/>
        <v xml:space="preserve">Intermediate  </v>
      </c>
      <c r="D39" s="121" t="str">
        <f>INDEX('Master Data'!$C$75:$C$299,MATCH(A39,'Master Data'!$B$75:$B$299,0))</f>
        <v>2-3</v>
      </c>
      <c r="E39" s="147">
        <f>INDEX('Master Data'!$C$75:$O$299,MATCH(A39,'Master Data'!$B$75:$B$299,0),MATCH($E$1,'Master Data'!$C$74:$O$74,0))</f>
        <v>0.18</v>
      </c>
      <c r="F39" s="148">
        <f>ROUND(E39*INDEX('Master Data'!$F$4:$K$12,MATCH($E$1,'Master Data'!$E$4:$E$12,0),MATCH(C39,'Master Data'!$F$3:$K$3,0)),2)</f>
        <v>14667.64</v>
      </c>
      <c r="G39" s="147">
        <f>INDEX('Master Data'!$C$75:$O$299,MATCH(A39,'Master Data'!$B$75:$B$299,0),MATCH($G$1,'Master Data'!$C$74:$O$74,0))</f>
        <v>0.66</v>
      </c>
      <c r="H39" s="148">
        <f>ROUND(G39*INDEX('Master Data'!$F$4:$K$12,MATCH($G$1,'Master Data'!$E$4:$E$12,0),MATCH(C39,'Master Data'!$F$3:$K$3,0)),2)</f>
        <v>37216.5</v>
      </c>
      <c r="I39" s="147">
        <f>INDEX('Master Data'!$C$75:$O$299,MATCH(A39,'Master Data'!$B$75:$B$299,0),MATCH($I$1,'Master Data'!$C$74:$O$74,0))</f>
        <v>9.6</v>
      </c>
      <c r="J39" s="148">
        <f>ROUND(I39*INDEX('Master Data'!$F$4:$K$12,MATCH($I$1,'Master Data'!$E$4:$E$12,0),MATCH(C39,'Master Data'!$F$3:$K$3,0)),2)</f>
        <v>457935.26</v>
      </c>
      <c r="K39" s="147">
        <f>INDEX('Master Data'!$C$75:$O$299,MATCH(A39,'Master Data'!$B$75:$B$299,0),MATCH($K$1,'Master Data'!$C$74:$O$74,0))</f>
        <v>1.4</v>
      </c>
      <c r="L39" s="148">
        <f>ROUND(K39*INDEX('Master Data'!$F$4:$K$12,MATCH($K$1,'Master Data'!$E$4:$E$12,0),MATCH(C39,'Master Data'!$F$3:$K$3,0)),2)</f>
        <v>65579.399999999994</v>
      </c>
      <c r="M39" s="147">
        <f>INDEX('Master Data'!$C$75:$O$299,MATCH(A39,'Master Data'!$B$75:$B$299,0),MATCH($M$1,'Master Data'!$C$74:$O$74,0))</f>
        <v>1.56</v>
      </c>
      <c r="N39" s="148">
        <f>ROUND(M39*INDEX('Master Data'!$F$4:$K$12,MATCH($M$1,'Master Data'!$E$4:$E$12,0),MATCH(C39,'Master Data'!$F$3:$K$3,0)),2)</f>
        <v>74414.48</v>
      </c>
      <c r="O39" s="147">
        <f>INDEX('Master Data'!$C$75:$O$299,MATCH(A39,'Master Data'!$B$75:$B$299,0),MATCH($O$1,'Master Data'!$C$74:$O$74,0))</f>
        <v>0.23</v>
      </c>
      <c r="P39" s="148">
        <f>ROUND(O39*INDEX('Master Data'!$F$4:$K$12,MATCH($O$1,'Master Data'!$E$4:$E$12,0),MATCH(C39,'Master Data'!$F$3:$K$3,0)),2)</f>
        <v>7176</v>
      </c>
      <c r="Q39" s="147">
        <f>INDEX('Master Data'!$C$75:$O$299,MATCH(A39,'Master Data'!$B$75:$B$299,0),MATCH($Q$1,'Master Data'!$C$74:$O$74,0))</f>
        <v>0.12</v>
      </c>
      <c r="R39" s="148">
        <f>ROUND(Q39*INDEX('Master Data'!$F$4:$K$12,MATCH($Q$1,'Master Data'!$E$4:$E$12,0),MATCH(C39,'Master Data'!$F$3:$K$3,0)),2)</f>
        <v>5621.09</v>
      </c>
      <c r="S39" s="147">
        <f>INDEX('Master Data'!$C$75:$O$299,MATCH(A39,'Master Data'!$B$75:$B$299,0),MATCH($S$1,'Master Data'!$C$74:$O$74,0))</f>
        <v>0</v>
      </c>
      <c r="T39" s="148">
        <f>ROUND(S39*INDEX('Master Data'!$F$4:$K$12,MATCH($S$1,'Master Data'!$E$4:$E$12,0),MATCH(C39,'Master Data'!$F$3:$K$3,0)),2)</f>
        <v>0</v>
      </c>
      <c r="U39" s="147">
        <f>INDEX('Master Data'!$C$75:$O$299,MATCH(A39,'Master Data'!$B$75:$B$299,0),MATCH($U$1,'Master Data'!$C$74:$O$74,0))</f>
        <v>0</v>
      </c>
      <c r="V39" s="148">
        <f>ROUND(U39*INDEX('Master Data'!$F$4:$K$12,MATCH($U$1,'Master Data'!$E$4:$E$12,0),MATCH(C39,'Master Data'!$F$3:$K$3,0)),2)</f>
        <v>0</v>
      </c>
      <c r="W39" s="149">
        <f t="shared" si="2"/>
        <v>662610.37</v>
      </c>
      <c r="X39" s="148">
        <f>ROUND(W39*('Master Data'!$B$54),2)</f>
        <v>165453.81</v>
      </c>
      <c r="Y39" s="149">
        <f t="shared" si="3"/>
        <v>828064.17999999993</v>
      </c>
      <c r="Z39" s="147">
        <f>52*INDEX('Master Data'!$C$75:$O$299,MATCH(A39,'Master Data'!$B$75:$B$299,0),MATCH($Z$1,'Master Data'!$C$74:$O$74,0))</f>
        <v>52</v>
      </c>
      <c r="AA39" s="148">
        <f>Z39*('Master Data'!$F$15)</f>
        <v>3920.8</v>
      </c>
      <c r="AB39" s="147">
        <f>52*INDEX('Master Data'!$C$75:$O$299,MATCH(A39,'Master Data'!$B$75:$B$299,0),MATCH($AB$1,'Master Data'!$C$74:$O$74,0))</f>
        <v>156</v>
      </c>
      <c r="AC39" s="148">
        <f>AB39*('Master Data'!$F$16)</f>
        <v>11281.919999999998</v>
      </c>
      <c r="AD39" s="149">
        <f t="shared" si="4"/>
        <v>15202.719999999998</v>
      </c>
      <c r="AE39" s="148">
        <f>INDEX('Master Data'!$D$58:$D$60,MATCH(D39,'Master Data'!$B$58:$B$60,0))</f>
        <v>19577.099999999999</v>
      </c>
      <c r="AF39" s="148">
        <f>INDEX('Master Data'!$E$58:$E$60,MATCH(D39,'Master Data'!$B$58:$B$60,0))</f>
        <v>992.8</v>
      </c>
      <c r="AG39" s="148">
        <f>INDEX('Master Data'!$F$58:$F$60,MATCH(D39,'Master Data'!$B$58:$B$60,0))</f>
        <v>2876.2</v>
      </c>
      <c r="AH39" s="149">
        <f t="shared" si="5"/>
        <v>866712.99999999988</v>
      </c>
      <c r="AI39" s="148">
        <f>ROUND(AH39*('Master Data'!$C$54),2)</f>
        <v>104005.56</v>
      </c>
      <c r="AJ39" s="148">
        <f>ROUND(SUM(AH39:AI39,AK39)*('Master Data'!$E$54),2)</f>
        <v>29081.8</v>
      </c>
      <c r="AK39" s="148">
        <f>ROUND(W39*('Master Data'!$F$54),2)</f>
        <v>0</v>
      </c>
      <c r="AL39" s="149">
        <f t="shared" si="6"/>
        <v>999800.35999999987</v>
      </c>
      <c r="AM39" s="140">
        <f t="shared" si="7"/>
        <v>2881.27</v>
      </c>
      <c r="AN39" s="121"/>
      <c r="AO39" s="121"/>
      <c r="AP39" s="121"/>
      <c r="AQ39" s="121"/>
      <c r="AR39" s="121"/>
      <c r="AS39" s="121"/>
    </row>
    <row r="40" spans="1:45">
      <c r="A40" s="121" t="s">
        <v>193</v>
      </c>
      <c r="B40" s="121" t="str">
        <f t="shared" si="0"/>
        <v>1</v>
      </c>
      <c r="C40" s="121" t="str">
        <f t="shared" si="1"/>
        <v>Medical 1</v>
      </c>
      <c r="D40" s="121" t="str">
        <f>INDEX('Master Data'!$C$75:$C$299,MATCH(A40,'Master Data'!$B$75:$B$299,0))</f>
        <v>2-3</v>
      </c>
      <c r="E40" s="147">
        <f>INDEX('Master Data'!$C$75:$O$299,MATCH(A40,'Master Data'!$B$75:$B$299,0),MATCH($E$1,'Master Data'!$C$74:$O$74,0))</f>
        <v>0.18</v>
      </c>
      <c r="F40" s="148">
        <f>ROUND(E40*INDEX('Master Data'!$F$4:$K$12,MATCH($E$1,'Master Data'!$E$4:$E$12,0),MATCH(C40,'Master Data'!$F$3:$K$3,0)),2)</f>
        <v>14667.64</v>
      </c>
      <c r="G40" s="147">
        <f>INDEX('Master Data'!$C$75:$O$299,MATCH(A40,'Master Data'!$B$75:$B$299,0),MATCH($G$1,'Master Data'!$C$74:$O$74,0))</f>
        <v>0.66</v>
      </c>
      <c r="H40" s="148">
        <f>ROUND(G40*INDEX('Master Data'!$F$4:$K$12,MATCH($G$1,'Master Data'!$E$4:$E$12,0),MATCH(C40,'Master Data'!$F$3:$K$3,0)),2)</f>
        <v>37216.5</v>
      </c>
      <c r="I40" s="147">
        <f>INDEX('Master Data'!$C$75:$O$299,MATCH(A40,'Master Data'!$B$75:$B$299,0),MATCH($I$1,'Master Data'!$C$74:$O$74,0))</f>
        <v>2.1</v>
      </c>
      <c r="J40" s="148">
        <f>ROUND(I40*INDEX('Master Data'!$F$4:$K$12,MATCH($I$1,'Master Data'!$E$4:$E$12,0),MATCH(C40,'Master Data'!$F$3:$K$3,0)),2)</f>
        <v>119210.86</v>
      </c>
      <c r="K40" s="147">
        <f>INDEX('Master Data'!$C$75:$O$299,MATCH(A40,'Master Data'!$B$75:$B$299,0),MATCH($K$1,'Master Data'!$C$74:$O$74,0))</f>
        <v>1.4</v>
      </c>
      <c r="L40" s="148">
        <f>ROUND(K40*INDEX('Master Data'!$F$4:$K$12,MATCH($K$1,'Master Data'!$E$4:$E$12,0),MATCH(C40,'Master Data'!$F$3:$K$3,0)),2)</f>
        <v>65579.399999999994</v>
      </c>
      <c r="M40" s="147">
        <f>INDEX('Master Data'!$C$75:$O$299,MATCH(A40,'Master Data'!$B$75:$B$299,0),MATCH($M$1,'Master Data'!$C$74:$O$74,0))</f>
        <v>0.34</v>
      </c>
      <c r="N40" s="148">
        <f>ROUND(M40*INDEX('Master Data'!$F$4:$K$12,MATCH($M$1,'Master Data'!$E$4:$E$12,0),MATCH(C40,'Master Data'!$F$3:$K$3,0)),2)</f>
        <v>19300.810000000001</v>
      </c>
      <c r="O40" s="147">
        <f>INDEX('Master Data'!$C$75:$O$299,MATCH(A40,'Master Data'!$B$75:$B$299,0),MATCH($O$1,'Master Data'!$C$74:$O$74,0))</f>
        <v>0.23</v>
      </c>
      <c r="P40" s="148">
        <f>ROUND(O40*INDEX('Master Data'!$F$4:$K$12,MATCH($O$1,'Master Data'!$E$4:$E$12,0),MATCH(C40,'Master Data'!$F$3:$K$3,0)),2)</f>
        <v>7176</v>
      </c>
      <c r="Q40" s="147">
        <f>INDEX('Master Data'!$C$75:$O$299,MATCH(A40,'Master Data'!$B$75:$B$299,0),MATCH($Q$1,'Master Data'!$C$74:$O$74,0))</f>
        <v>0.12</v>
      </c>
      <c r="R40" s="148">
        <f>ROUND(Q40*INDEX('Master Data'!$F$4:$K$12,MATCH($Q$1,'Master Data'!$E$4:$E$12,0),MATCH(C40,'Master Data'!$F$3:$K$3,0)),2)</f>
        <v>5621.09</v>
      </c>
      <c r="S40" s="147">
        <f>INDEX('Master Data'!$C$75:$O$299,MATCH(A40,'Master Data'!$B$75:$B$299,0),MATCH($S$1,'Master Data'!$C$74:$O$74,0))</f>
        <v>0</v>
      </c>
      <c r="T40" s="148">
        <f>ROUND(S40*INDEX('Master Data'!$F$4:$K$12,MATCH($S$1,'Master Data'!$E$4:$E$12,0),MATCH(C40,'Master Data'!$F$3:$K$3,0)),2)</f>
        <v>0</v>
      </c>
      <c r="U40" s="147">
        <f>INDEX('Master Data'!$C$75:$O$299,MATCH(A40,'Master Data'!$B$75:$B$299,0),MATCH($U$1,'Master Data'!$C$74:$O$74,0))</f>
        <v>0</v>
      </c>
      <c r="V40" s="148">
        <f>ROUND(U40*INDEX('Master Data'!$F$4:$K$12,MATCH($U$1,'Master Data'!$E$4:$E$12,0),MATCH(C40,'Master Data'!$F$3:$K$3,0)),2)</f>
        <v>0</v>
      </c>
      <c r="W40" s="149">
        <f t="shared" si="2"/>
        <v>268772.3</v>
      </c>
      <c r="X40" s="148">
        <f>ROUND(W40*('Master Data'!$B$54),2)</f>
        <v>67112.44</v>
      </c>
      <c r="Y40" s="149">
        <f t="shared" si="3"/>
        <v>335884.74</v>
      </c>
      <c r="Z40" s="147">
        <f>52*INDEX('Master Data'!$C$75:$O$299,MATCH(A40,'Master Data'!$B$75:$B$299,0),MATCH($Z$1,'Master Data'!$C$74:$O$74,0))</f>
        <v>52</v>
      </c>
      <c r="AA40" s="148">
        <f>Z40*('Master Data'!$F$15)</f>
        <v>3920.8</v>
      </c>
      <c r="AB40" s="147">
        <f>52*INDEX('Master Data'!$C$75:$O$299,MATCH(A40,'Master Data'!$B$75:$B$299,0),MATCH($AB$1,'Master Data'!$C$74:$O$74,0))</f>
        <v>156</v>
      </c>
      <c r="AC40" s="148">
        <f>AB40*('Master Data'!$F$16)</f>
        <v>11281.919999999998</v>
      </c>
      <c r="AD40" s="149">
        <f t="shared" si="4"/>
        <v>15202.719999999998</v>
      </c>
      <c r="AE40" s="148">
        <f>INDEX('Master Data'!$D$58:$D$60,MATCH(D40,'Master Data'!$B$58:$B$60,0))</f>
        <v>19577.099999999999</v>
      </c>
      <c r="AF40" s="148">
        <f>INDEX('Master Data'!$E$58:$E$60,MATCH(D40,'Master Data'!$B$58:$B$60,0))</f>
        <v>992.8</v>
      </c>
      <c r="AG40" s="148">
        <f>INDEX('Master Data'!$F$58:$F$60,MATCH(D40,'Master Data'!$B$58:$B$60,0))</f>
        <v>2876.2</v>
      </c>
      <c r="AH40" s="149">
        <f t="shared" si="5"/>
        <v>374533.55999999994</v>
      </c>
      <c r="AI40" s="148">
        <f>ROUND(AH40*('Master Data'!$C$54),2)</f>
        <v>44944.03</v>
      </c>
      <c r="AJ40" s="148">
        <f>ROUND(SUM(AH40:AI40,AK40)*('Master Data'!$E$54),2)</f>
        <v>12567.15</v>
      </c>
      <c r="AK40" s="148">
        <f>ROUND(W40*('Master Data'!$F$54),2)</f>
        <v>0</v>
      </c>
      <c r="AL40" s="149">
        <f t="shared" si="6"/>
        <v>432044.74</v>
      </c>
      <c r="AM40" s="140">
        <f t="shared" si="7"/>
        <v>1245.0899999999999</v>
      </c>
      <c r="AN40" s="121"/>
      <c r="AO40" s="121"/>
      <c r="AP40" s="121"/>
      <c r="AQ40" s="121"/>
      <c r="AR40" s="121"/>
      <c r="AS40" s="121"/>
    </row>
    <row r="41" spans="1:45">
      <c r="A41" s="121" t="s">
        <v>194</v>
      </c>
      <c r="B41" s="121" t="str">
        <f t="shared" si="0"/>
        <v>1</v>
      </c>
      <c r="C41" s="121" t="str">
        <f t="shared" si="1"/>
        <v>Medical 1</v>
      </c>
      <c r="D41" s="121" t="str">
        <f>INDEX('Master Data'!$C$75:$C$299,MATCH(A41,'Master Data'!$B$75:$B$299,0))</f>
        <v>2-3</v>
      </c>
      <c r="E41" s="147">
        <f>INDEX('Master Data'!$C$75:$O$299,MATCH(A41,'Master Data'!$B$75:$B$299,0),MATCH($E$1,'Master Data'!$C$74:$O$74,0))</f>
        <v>0.18</v>
      </c>
      <c r="F41" s="148">
        <f>ROUND(E41*INDEX('Master Data'!$F$4:$K$12,MATCH($E$1,'Master Data'!$E$4:$E$12,0),MATCH(C41,'Master Data'!$F$3:$K$3,0)),2)</f>
        <v>14667.64</v>
      </c>
      <c r="G41" s="147">
        <f>INDEX('Master Data'!$C$75:$O$299,MATCH(A41,'Master Data'!$B$75:$B$299,0),MATCH($G$1,'Master Data'!$C$74:$O$74,0))</f>
        <v>0.66</v>
      </c>
      <c r="H41" s="148">
        <f>ROUND(G41*INDEX('Master Data'!$F$4:$K$12,MATCH($G$1,'Master Data'!$E$4:$E$12,0),MATCH(C41,'Master Data'!$F$3:$K$3,0)),2)</f>
        <v>37216.5</v>
      </c>
      <c r="I41" s="147">
        <f>INDEX('Master Data'!$C$75:$O$299,MATCH(A41,'Master Data'!$B$75:$B$299,0),MATCH($I$1,'Master Data'!$C$74:$O$74,0))</f>
        <v>2.6</v>
      </c>
      <c r="J41" s="148">
        <f>ROUND(I41*INDEX('Master Data'!$F$4:$K$12,MATCH($I$1,'Master Data'!$E$4:$E$12,0),MATCH(C41,'Master Data'!$F$3:$K$3,0)),2)</f>
        <v>147594.4</v>
      </c>
      <c r="K41" s="147">
        <f>INDEX('Master Data'!$C$75:$O$299,MATCH(A41,'Master Data'!$B$75:$B$299,0),MATCH($K$1,'Master Data'!$C$74:$O$74,0))</f>
        <v>1.4</v>
      </c>
      <c r="L41" s="148">
        <f>ROUND(K41*INDEX('Master Data'!$F$4:$K$12,MATCH($K$1,'Master Data'!$E$4:$E$12,0),MATCH(C41,'Master Data'!$F$3:$K$3,0)),2)</f>
        <v>65579.399999999994</v>
      </c>
      <c r="M41" s="147">
        <f>INDEX('Master Data'!$C$75:$O$299,MATCH(A41,'Master Data'!$B$75:$B$299,0),MATCH($M$1,'Master Data'!$C$74:$O$74,0))</f>
        <v>0.42</v>
      </c>
      <c r="N41" s="148">
        <f>ROUND(M41*INDEX('Master Data'!$F$4:$K$12,MATCH($M$1,'Master Data'!$E$4:$E$12,0),MATCH(C41,'Master Data'!$F$3:$K$3,0)),2)</f>
        <v>23842.17</v>
      </c>
      <c r="O41" s="147">
        <f>INDEX('Master Data'!$C$75:$O$299,MATCH(A41,'Master Data'!$B$75:$B$299,0),MATCH($O$1,'Master Data'!$C$74:$O$74,0))</f>
        <v>0.23</v>
      </c>
      <c r="P41" s="148">
        <f>ROUND(O41*INDEX('Master Data'!$F$4:$K$12,MATCH($O$1,'Master Data'!$E$4:$E$12,0),MATCH(C41,'Master Data'!$F$3:$K$3,0)),2)</f>
        <v>7176</v>
      </c>
      <c r="Q41" s="147">
        <f>INDEX('Master Data'!$C$75:$O$299,MATCH(A41,'Master Data'!$B$75:$B$299,0),MATCH($Q$1,'Master Data'!$C$74:$O$74,0))</f>
        <v>0.12</v>
      </c>
      <c r="R41" s="148">
        <f>ROUND(Q41*INDEX('Master Data'!$F$4:$K$12,MATCH($Q$1,'Master Data'!$E$4:$E$12,0),MATCH(C41,'Master Data'!$F$3:$K$3,0)),2)</f>
        <v>5621.09</v>
      </c>
      <c r="S41" s="147">
        <f>INDEX('Master Data'!$C$75:$O$299,MATCH(A41,'Master Data'!$B$75:$B$299,0),MATCH($S$1,'Master Data'!$C$74:$O$74,0))</f>
        <v>0</v>
      </c>
      <c r="T41" s="148">
        <f>ROUND(S41*INDEX('Master Data'!$F$4:$K$12,MATCH($S$1,'Master Data'!$E$4:$E$12,0),MATCH(C41,'Master Data'!$F$3:$K$3,0)),2)</f>
        <v>0</v>
      </c>
      <c r="U41" s="147">
        <f>INDEX('Master Data'!$C$75:$O$299,MATCH(A41,'Master Data'!$B$75:$B$299,0),MATCH($U$1,'Master Data'!$C$74:$O$74,0))</f>
        <v>0</v>
      </c>
      <c r="V41" s="148">
        <f>ROUND(U41*INDEX('Master Data'!$F$4:$K$12,MATCH($U$1,'Master Data'!$E$4:$E$12,0),MATCH(C41,'Master Data'!$F$3:$K$3,0)),2)</f>
        <v>0</v>
      </c>
      <c r="W41" s="149">
        <f t="shared" si="2"/>
        <v>301697.19999999995</v>
      </c>
      <c r="X41" s="148">
        <f>ROUND(W41*('Master Data'!$B$54),2)</f>
        <v>75333.789999999994</v>
      </c>
      <c r="Y41" s="149">
        <f t="shared" si="3"/>
        <v>377030.98999999993</v>
      </c>
      <c r="Z41" s="147">
        <f>52*INDEX('Master Data'!$C$75:$O$299,MATCH(A41,'Master Data'!$B$75:$B$299,0),MATCH($Z$1,'Master Data'!$C$74:$O$74,0))</f>
        <v>52</v>
      </c>
      <c r="AA41" s="148">
        <f>Z41*('Master Data'!$F$15)</f>
        <v>3920.8</v>
      </c>
      <c r="AB41" s="147">
        <f>52*INDEX('Master Data'!$C$75:$O$299,MATCH(A41,'Master Data'!$B$75:$B$299,0),MATCH($AB$1,'Master Data'!$C$74:$O$74,0))</f>
        <v>156</v>
      </c>
      <c r="AC41" s="148">
        <f>AB41*('Master Data'!$F$16)</f>
        <v>11281.919999999998</v>
      </c>
      <c r="AD41" s="149">
        <f t="shared" si="4"/>
        <v>15202.719999999998</v>
      </c>
      <c r="AE41" s="148">
        <f>INDEX('Master Data'!$D$58:$D$60,MATCH(D41,'Master Data'!$B$58:$B$60,0))</f>
        <v>19577.099999999999</v>
      </c>
      <c r="AF41" s="148">
        <f>INDEX('Master Data'!$E$58:$E$60,MATCH(D41,'Master Data'!$B$58:$B$60,0))</f>
        <v>992.8</v>
      </c>
      <c r="AG41" s="148">
        <f>INDEX('Master Data'!$F$58:$F$60,MATCH(D41,'Master Data'!$B$58:$B$60,0))</f>
        <v>2876.2</v>
      </c>
      <c r="AH41" s="149">
        <f t="shared" si="5"/>
        <v>415679.80999999988</v>
      </c>
      <c r="AI41" s="148">
        <f>ROUND(AH41*('Master Data'!$C$54),2)</f>
        <v>49881.58</v>
      </c>
      <c r="AJ41" s="148">
        <f>ROUND(SUM(AH41:AI41,AK41)*('Master Data'!$E$54),2)</f>
        <v>13947.77</v>
      </c>
      <c r="AK41" s="148">
        <f>ROUND(W41*('Master Data'!$F$54),2)</f>
        <v>0</v>
      </c>
      <c r="AL41" s="149">
        <f t="shared" si="6"/>
        <v>479509.15999999992</v>
      </c>
      <c r="AM41" s="140">
        <f t="shared" si="7"/>
        <v>1381.87</v>
      </c>
      <c r="AN41" s="121"/>
      <c r="AO41" s="121"/>
      <c r="AP41" s="121"/>
      <c r="AQ41" s="121"/>
      <c r="AR41" s="121"/>
      <c r="AS41" s="121"/>
    </row>
    <row r="42" spans="1:45">
      <c r="A42" s="121" t="s">
        <v>195</v>
      </c>
      <c r="B42" s="121" t="str">
        <f t="shared" si="0"/>
        <v>1</v>
      </c>
      <c r="C42" s="121" t="str">
        <f t="shared" si="1"/>
        <v>Medical 1</v>
      </c>
      <c r="D42" s="121" t="str">
        <f>INDEX('Master Data'!$C$75:$C$299,MATCH(A42,'Master Data'!$B$75:$B$299,0))</f>
        <v>2-3</v>
      </c>
      <c r="E42" s="147">
        <f>INDEX('Master Data'!$C$75:$O$299,MATCH(A42,'Master Data'!$B$75:$B$299,0),MATCH($E$1,'Master Data'!$C$74:$O$74,0))</f>
        <v>0.18</v>
      </c>
      <c r="F42" s="148">
        <f>ROUND(E42*INDEX('Master Data'!$F$4:$K$12,MATCH($E$1,'Master Data'!$E$4:$E$12,0),MATCH(C42,'Master Data'!$F$3:$K$3,0)),2)</f>
        <v>14667.64</v>
      </c>
      <c r="G42" s="147">
        <f>INDEX('Master Data'!$C$75:$O$299,MATCH(A42,'Master Data'!$B$75:$B$299,0),MATCH($G$1,'Master Data'!$C$74:$O$74,0))</f>
        <v>0.66</v>
      </c>
      <c r="H42" s="148">
        <f>ROUND(G42*INDEX('Master Data'!$F$4:$K$12,MATCH($G$1,'Master Data'!$E$4:$E$12,0),MATCH(C42,'Master Data'!$F$3:$K$3,0)),2)</f>
        <v>37216.5</v>
      </c>
      <c r="I42" s="147">
        <f>INDEX('Master Data'!$C$75:$O$299,MATCH(A42,'Master Data'!$B$75:$B$299,0),MATCH($I$1,'Master Data'!$C$74:$O$74,0))</f>
        <v>3.1</v>
      </c>
      <c r="J42" s="148">
        <f>ROUND(I42*INDEX('Master Data'!$F$4:$K$12,MATCH($I$1,'Master Data'!$E$4:$E$12,0),MATCH(C42,'Master Data'!$F$3:$K$3,0)),2)</f>
        <v>175977.94</v>
      </c>
      <c r="K42" s="147">
        <f>INDEX('Master Data'!$C$75:$O$299,MATCH(A42,'Master Data'!$B$75:$B$299,0),MATCH($K$1,'Master Data'!$C$74:$O$74,0))</f>
        <v>1.4</v>
      </c>
      <c r="L42" s="148">
        <f>ROUND(K42*INDEX('Master Data'!$F$4:$K$12,MATCH($K$1,'Master Data'!$E$4:$E$12,0),MATCH(C42,'Master Data'!$F$3:$K$3,0)),2)</f>
        <v>65579.399999999994</v>
      </c>
      <c r="M42" s="147">
        <f>INDEX('Master Data'!$C$75:$O$299,MATCH(A42,'Master Data'!$B$75:$B$299,0),MATCH($M$1,'Master Data'!$C$74:$O$74,0))</f>
        <v>0.5</v>
      </c>
      <c r="N42" s="148">
        <f>ROUND(M42*INDEX('Master Data'!$F$4:$K$12,MATCH($M$1,'Master Data'!$E$4:$E$12,0),MATCH(C42,'Master Data'!$F$3:$K$3,0)),2)</f>
        <v>28383.54</v>
      </c>
      <c r="O42" s="147">
        <f>INDEX('Master Data'!$C$75:$O$299,MATCH(A42,'Master Data'!$B$75:$B$299,0),MATCH($O$1,'Master Data'!$C$74:$O$74,0))</f>
        <v>0.23</v>
      </c>
      <c r="P42" s="148">
        <f>ROUND(O42*INDEX('Master Data'!$F$4:$K$12,MATCH($O$1,'Master Data'!$E$4:$E$12,0),MATCH(C42,'Master Data'!$F$3:$K$3,0)),2)</f>
        <v>7176</v>
      </c>
      <c r="Q42" s="147">
        <f>INDEX('Master Data'!$C$75:$O$299,MATCH(A42,'Master Data'!$B$75:$B$299,0),MATCH($Q$1,'Master Data'!$C$74:$O$74,0))</f>
        <v>0.12</v>
      </c>
      <c r="R42" s="148">
        <f>ROUND(Q42*INDEX('Master Data'!$F$4:$K$12,MATCH($Q$1,'Master Data'!$E$4:$E$12,0),MATCH(C42,'Master Data'!$F$3:$K$3,0)),2)</f>
        <v>5621.09</v>
      </c>
      <c r="S42" s="147">
        <f>INDEX('Master Data'!$C$75:$O$299,MATCH(A42,'Master Data'!$B$75:$B$299,0),MATCH($S$1,'Master Data'!$C$74:$O$74,0))</f>
        <v>0</v>
      </c>
      <c r="T42" s="148">
        <f>ROUND(S42*INDEX('Master Data'!$F$4:$K$12,MATCH($S$1,'Master Data'!$E$4:$E$12,0),MATCH(C42,'Master Data'!$F$3:$K$3,0)),2)</f>
        <v>0</v>
      </c>
      <c r="U42" s="147">
        <f>INDEX('Master Data'!$C$75:$O$299,MATCH(A42,'Master Data'!$B$75:$B$299,0),MATCH($U$1,'Master Data'!$C$74:$O$74,0))</f>
        <v>0</v>
      </c>
      <c r="V42" s="148">
        <f>ROUND(U42*INDEX('Master Data'!$F$4:$K$12,MATCH($U$1,'Master Data'!$E$4:$E$12,0),MATCH(C42,'Master Data'!$F$3:$K$3,0)),2)</f>
        <v>0</v>
      </c>
      <c r="W42" s="149">
        <f t="shared" si="2"/>
        <v>334622.11</v>
      </c>
      <c r="X42" s="148">
        <f>ROUND(W42*('Master Data'!$B$54),2)</f>
        <v>83555.14</v>
      </c>
      <c r="Y42" s="149">
        <f t="shared" si="3"/>
        <v>418177.25</v>
      </c>
      <c r="Z42" s="147">
        <f>52*INDEX('Master Data'!$C$75:$O$299,MATCH(A42,'Master Data'!$B$75:$B$299,0),MATCH($Z$1,'Master Data'!$C$74:$O$74,0))</f>
        <v>52</v>
      </c>
      <c r="AA42" s="148">
        <f>Z42*('Master Data'!$F$15)</f>
        <v>3920.8</v>
      </c>
      <c r="AB42" s="147">
        <f>52*INDEX('Master Data'!$C$75:$O$299,MATCH(A42,'Master Data'!$B$75:$B$299,0),MATCH($AB$1,'Master Data'!$C$74:$O$74,0))</f>
        <v>156</v>
      </c>
      <c r="AC42" s="148">
        <f>AB42*('Master Data'!$F$16)</f>
        <v>11281.919999999998</v>
      </c>
      <c r="AD42" s="149">
        <f t="shared" si="4"/>
        <v>15202.719999999998</v>
      </c>
      <c r="AE42" s="148">
        <f>INDEX('Master Data'!$D$58:$D$60,MATCH(D42,'Master Data'!$B$58:$B$60,0))</f>
        <v>19577.099999999999</v>
      </c>
      <c r="AF42" s="148">
        <f>INDEX('Master Data'!$E$58:$E$60,MATCH(D42,'Master Data'!$B$58:$B$60,0))</f>
        <v>992.8</v>
      </c>
      <c r="AG42" s="148">
        <f>INDEX('Master Data'!$F$58:$F$60,MATCH(D42,'Master Data'!$B$58:$B$60,0))</f>
        <v>2876.2</v>
      </c>
      <c r="AH42" s="149">
        <f t="shared" si="5"/>
        <v>456826.06999999995</v>
      </c>
      <c r="AI42" s="148">
        <f>ROUND(AH42*('Master Data'!$C$54),2)</f>
        <v>54819.13</v>
      </c>
      <c r="AJ42" s="148">
        <f>ROUND(SUM(AH42:AI42,AK42)*('Master Data'!$E$54),2)</f>
        <v>15328.4</v>
      </c>
      <c r="AK42" s="148">
        <f>ROUND(W42*('Master Data'!$F$54),2)</f>
        <v>0</v>
      </c>
      <c r="AL42" s="149">
        <f t="shared" si="6"/>
        <v>526973.6</v>
      </c>
      <c r="AM42" s="140">
        <f t="shared" si="7"/>
        <v>1518.66</v>
      </c>
      <c r="AN42" s="121"/>
      <c r="AO42" s="121"/>
      <c r="AP42" s="121"/>
      <c r="AQ42" s="121"/>
      <c r="AR42" s="121"/>
      <c r="AS42" s="121"/>
    </row>
    <row r="43" spans="1:45">
      <c r="A43" s="121" t="s">
        <v>196</v>
      </c>
      <c r="B43" s="121" t="str">
        <f t="shared" si="0"/>
        <v>1</v>
      </c>
      <c r="C43" s="121" t="str">
        <f t="shared" si="1"/>
        <v>Medical 1</v>
      </c>
      <c r="D43" s="121" t="str">
        <f>INDEX('Master Data'!$C$75:$C$299,MATCH(A43,'Master Data'!$B$75:$B$299,0))</f>
        <v>2-3</v>
      </c>
      <c r="E43" s="147">
        <f>INDEX('Master Data'!$C$75:$O$299,MATCH(A43,'Master Data'!$B$75:$B$299,0),MATCH($E$1,'Master Data'!$C$74:$O$74,0))</f>
        <v>0.18</v>
      </c>
      <c r="F43" s="148">
        <f>ROUND(E43*INDEX('Master Data'!$F$4:$K$12,MATCH($E$1,'Master Data'!$E$4:$E$12,0),MATCH(C43,'Master Data'!$F$3:$K$3,0)),2)</f>
        <v>14667.64</v>
      </c>
      <c r="G43" s="147">
        <f>INDEX('Master Data'!$C$75:$O$299,MATCH(A43,'Master Data'!$B$75:$B$299,0),MATCH($G$1,'Master Data'!$C$74:$O$74,0))</f>
        <v>0.66</v>
      </c>
      <c r="H43" s="148">
        <f>ROUND(G43*INDEX('Master Data'!$F$4:$K$12,MATCH($G$1,'Master Data'!$E$4:$E$12,0),MATCH(C43,'Master Data'!$F$3:$K$3,0)),2)</f>
        <v>37216.5</v>
      </c>
      <c r="I43" s="147">
        <f>INDEX('Master Data'!$C$75:$O$299,MATCH(A43,'Master Data'!$B$75:$B$299,0),MATCH($I$1,'Master Data'!$C$74:$O$74,0))</f>
        <v>3.6</v>
      </c>
      <c r="J43" s="148">
        <f>ROUND(I43*INDEX('Master Data'!$F$4:$K$12,MATCH($I$1,'Master Data'!$E$4:$E$12,0),MATCH(C43,'Master Data'!$F$3:$K$3,0)),2)</f>
        <v>204361.48</v>
      </c>
      <c r="K43" s="147">
        <f>INDEX('Master Data'!$C$75:$O$299,MATCH(A43,'Master Data'!$B$75:$B$299,0),MATCH($K$1,'Master Data'!$C$74:$O$74,0))</f>
        <v>1.4</v>
      </c>
      <c r="L43" s="148">
        <f>ROUND(K43*INDEX('Master Data'!$F$4:$K$12,MATCH($K$1,'Master Data'!$E$4:$E$12,0),MATCH(C43,'Master Data'!$F$3:$K$3,0)),2)</f>
        <v>65579.399999999994</v>
      </c>
      <c r="M43" s="147">
        <f>INDEX('Master Data'!$C$75:$O$299,MATCH(A43,'Master Data'!$B$75:$B$299,0),MATCH($M$1,'Master Data'!$C$74:$O$74,0))</f>
        <v>0.57999999999999996</v>
      </c>
      <c r="N43" s="148">
        <f>ROUND(M43*INDEX('Master Data'!$F$4:$K$12,MATCH($M$1,'Master Data'!$E$4:$E$12,0),MATCH(C43,'Master Data'!$F$3:$K$3,0)),2)</f>
        <v>32924.910000000003</v>
      </c>
      <c r="O43" s="147">
        <f>INDEX('Master Data'!$C$75:$O$299,MATCH(A43,'Master Data'!$B$75:$B$299,0),MATCH($O$1,'Master Data'!$C$74:$O$74,0))</f>
        <v>0.23</v>
      </c>
      <c r="P43" s="148">
        <f>ROUND(O43*INDEX('Master Data'!$F$4:$K$12,MATCH($O$1,'Master Data'!$E$4:$E$12,0),MATCH(C43,'Master Data'!$F$3:$K$3,0)),2)</f>
        <v>7176</v>
      </c>
      <c r="Q43" s="147">
        <f>INDEX('Master Data'!$C$75:$O$299,MATCH(A43,'Master Data'!$B$75:$B$299,0),MATCH($Q$1,'Master Data'!$C$74:$O$74,0))</f>
        <v>0.12</v>
      </c>
      <c r="R43" s="148">
        <f>ROUND(Q43*INDEX('Master Data'!$F$4:$K$12,MATCH($Q$1,'Master Data'!$E$4:$E$12,0),MATCH(C43,'Master Data'!$F$3:$K$3,0)),2)</f>
        <v>5621.09</v>
      </c>
      <c r="S43" s="147">
        <f>INDEX('Master Data'!$C$75:$O$299,MATCH(A43,'Master Data'!$B$75:$B$299,0),MATCH($S$1,'Master Data'!$C$74:$O$74,0))</f>
        <v>0</v>
      </c>
      <c r="T43" s="148">
        <f>ROUND(S43*INDEX('Master Data'!$F$4:$K$12,MATCH($S$1,'Master Data'!$E$4:$E$12,0),MATCH(C43,'Master Data'!$F$3:$K$3,0)),2)</f>
        <v>0</v>
      </c>
      <c r="U43" s="147">
        <f>INDEX('Master Data'!$C$75:$O$299,MATCH(A43,'Master Data'!$B$75:$B$299,0),MATCH($U$1,'Master Data'!$C$74:$O$74,0))</f>
        <v>0</v>
      </c>
      <c r="V43" s="148">
        <f>ROUND(U43*INDEX('Master Data'!$F$4:$K$12,MATCH($U$1,'Master Data'!$E$4:$E$12,0),MATCH(C43,'Master Data'!$F$3:$K$3,0)),2)</f>
        <v>0</v>
      </c>
      <c r="W43" s="149">
        <f t="shared" si="2"/>
        <v>367547.02000000008</v>
      </c>
      <c r="X43" s="148">
        <f>ROUND(W43*('Master Data'!$B$54),2)</f>
        <v>91776.49</v>
      </c>
      <c r="Y43" s="149">
        <f t="shared" si="3"/>
        <v>459323.51000000007</v>
      </c>
      <c r="Z43" s="147">
        <f>52*INDEX('Master Data'!$C$75:$O$299,MATCH(A43,'Master Data'!$B$75:$B$299,0),MATCH($Z$1,'Master Data'!$C$74:$O$74,0))</f>
        <v>52</v>
      </c>
      <c r="AA43" s="148">
        <f>Z43*('Master Data'!$F$15)</f>
        <v>3920.8</v>
      </c>
      <c r="AB43" s="147">
        <f>52*INDEX('Master Data'!$C$75:$O$299,MATCH(A43,'Master Data'!$B$75:$B$299,0),MATCH($AB$1,'Master Data'!$C$74:$O$74,0))</f>
        <v>156</v>
      </c>
      <c r="AC43" s="148">
        <f>AB43*('Master Data'!$F$16)</f>
        <v>11281.919999999998</v>
      </c>
      <c r="AD43" s="149">
        <f t="shared" si="4"/>
        <v>15202.719999999998</v>
      </c>
      <c r="AE43" s="148">
        <f>INDEX('Master Data'!$D$58:$D$60,MATCH(D43,'Master Data'!$B$58:$B$60,0))</f>
        <v>19577.099999999999</v>
      </c>
      <c r="AF43" s="148">
        <f>INDEX('Master Data'!$E$58:$E$60,MATCH(D43,'Master Data'!$B$58:$B$60,0))</f>
        <v>992.8</v>
      </c>
      <c r="AG43" s="148">
        <f>INDEX('Master Data'!$F$58:$F$60,MATCH(D43,'Master Data'!$B$58:$B$60,0))</f>
        <v>2876.2</v>
      </c>
      <c r="AH43" s="149">
        <f t="shared" si="5"/>
        <v>497972.33</v>
      </c>
      <c r="AI43" s="148">
        <f>ROUND(AH43*('Master Data'!$C$54),2)</f>
        <v>59756.68</v>
      </c>
      <c r="AJ43" s="148">
        <f>ROUND(SUM(AH43:AI43,AK43)*('Master Data'!$E$54),2)</f>
        <v>16709.03</v>
      </c>
      <c r="AK43" s="148">
        <f>ROUND(W43*('Master Data'!$F$54),2)</f>
        <v>0</v>
      </c>
      <c r="AL43" s="149">
        <f t="shared" si="6"/>
        <v>574438.04</v>
      </c>
      <c r="AM43" s="140">
        <f t="shared" si="7"/>
        <v>1655.44</v>
      </c>
      <c r="AN43" s="121"/>
      <c r="AO43" s="121"/>
      <c r="AP43" s="121"/>
      <c r="AQ43" s="121"/>
      <c r="AR43" s="121"/>
      <c r="AS43" s="121"/>
    </row>
    <row r="44" spans="1:45">
      <c r="A44" s="121" t="s">
        <v>197</v>
      </c>
      <c r="B44" s="121" t="str">
        <f t="shared" si="0"/>
        <v>1</v>
      </c>
      <c r="C44" s="121" t="str">
        <f t="shared" si="1"/>
        <v>Medical 1</v>
      </c>
      <c r="D44" s="121" t="str">
        <f>INDEX('Master Data'!$C$75:$C$299,MATCH(A44,'Master Data'!$B$75:$B$299,0))</f>
        <v>2-3</v>
      </c>
      <c r="E44" s="147">
        <f>INDEX('Master Data'!$C$75:$O$299,MATCH(A44,'Master Data'!$B$75:$B$299,0),MATCH($E$1,'Master Data'!$C$74:$O$74,0))</f>
        <v>0.18</v>
      </c>
      <c r="F44" s="148">
        <f>ROUND(E44*INDEX('Master Data'!$F$4:$K$12,MATCH($E$1,'Master Data'!$E$4:$E$12,0),MATCH(C44,'Master Data'!$F$3:$K$3,0)),2)</f>
        <v>14667.64</v>
      </c>
      <c r="G44" s="147">
        <f>INDEX('Master Data'!$C$75:$O$299,MATCH(A44,'Master Data'!$B$75:$B$299,0),MATCH($G$1,'Master Data'!$C$74:$O$74,0))</f>
        <v>0.66</v>
      </c>
      <c r="H44" s="148">
        <f>ROUND(G44*INDEX('Master Data'!$F$4:$K$12,MATCH($G$1,'Master Data'!$E$4:$E$12,0),MATCH(C44,'Master Data'!$F$3:$K$3,0)),2)</f>
        <v>37216.5</v>
      </c>
      <c r="I44" s="147">
        <f>INDEX('Master Data'!$C$75:$O$299,MATCH(A44,'Master Data'!$B$75:$B$299,0),MATCH($I$1,'Master Data'!$C$74:$O$74,0))</f>
        <v>4.0999999999999996</v>
      </c>
      <c r="J44" s="148">
        <f>ROUND(I44*INDEX('Master Data'!$F$4:$K$12,MATCH($I$1,'Master Data'!$E$4:$E$12,0),MATCH(C44,'Master Data'!$F$3:$K$3,0)),2)</f>
        <v>232745.02</v>
      </c>
      <c r="K44" s="147">
        <f>INDEX('Master Data'!$C$75:$O$299,MATCH(A44,'Master Data'!$B$75:$B$299,0),MATCH($K$1,'Master Data'!$C$74:$O$74,0))</f>
        <v>1.4</v>
      </c>
      <c r="L44" s="148">
        <f>ROUND(K44*INDEX('Master Data'!$F$4:$K$12,MATCH($K$1,'Master Data'!$E$4:$E$12,0),MATCH(C44,'Master Data'!$F$3:$K$3,0)),2)</f>
        <v>65579.399999999994</v>
      </c>
      <c r="M44" s="147">
        <f>INDEX('Master Data'!$C$75:$O$299,MATCH(A44,'Master Data'!$B$75:$B$299,0),MATCH($M$1,'Master Data'!$C$74:$O$74,0))</f>
        <v>0.66</v>
      </c>
      <c r="N44" s="148">
        <f>ROUND(M44*INDEX('Master Data'!$F$4:$K$12,MATCH($M$1,'Master Data'!$E$4:$E$12,0),MATCH(C44,'Master Data'!$F$3:$K$3,0)),2)</f>
        <v>37466.269999999997</v>
      </c>
      <c r="O44" s="147">
        <f>INDEX('Master Data'!$C$75:$O$299,MATCH(A44,'Master Data'!$B$75:$B$299,0),MATCH($O$1,'Master Data'!$C$74:$O$74,0))</f>
        <v>0.23</v>
      </c>
      <c r="P44" s="148">
        <f>ROUND(O44*INDEX('Master Data'!$F$4:$K$12,MATCH($O$1,'Master Data'!$E$4:$E$12,0),MATCH(C44,'Master Data'!$F$3:$K$3,0)),2)</f>
        <v>7176</v>
      </c>
      <c r="Q44" s="147">
        <f>INDEX('Master Data'!$C$75:$O$299,MATCH(A44,'Master Data'!$B$75:$B$299,0),MATCH($Q$1,'Master Data'!$C$74:$O$74,0))</f>
        <v>0.12</v>
      </c>
      <c r="R44" s="148">
        <f>ROUND(Q44*INDEX('Master Data'!$F$4:$K$12,MATCH($Q$1,'Master Data'!$E$4:$E$12,0),MATCH(C44,'Master Data'!$F$3:$K$3,0)),2)</f>
        <v>5621.09</v>
      </c>
      <c r="S44" s="147">
        <f>INDEX('Master Data'!$C$75:$O$299,MATCH(A44,'Master Data'!$B$75:$B$299,0),MATCH($S$1,'Master Data'!$C$74:$O$74,0))</f>
        <v>0</v>
      </c>
      <c r="T44" s="148">
        <f>ROUND(S44*INDEX('Master Data'!$F$4:$K$12,MATCH($S$1,'Master Data'!$E$4:$E$12,0),MATCH(C44,'Master Data'!$F$3:$K$3,0)),2)</f>
        <v>0</v>
      </c>
      <c r="U44" s="147">
        <f>INDEX('Master Data'!$C$75:$O$299,MATCH(A44,'Master Data'!$B$75:$B$299,0),MATCH($U$1,'Master Data'!$C$74:$O$74,0))</f>
        <v>0</v>
      </c>
      <c r="V44" s="148">
        <f>ROUND(U44*INDEX('Master Data'!$F$4:$K$12,MATCH($U$1,'Master Data'!$E$4:$E$12,0),MATCH(C44,'Master Data'!$F$3:$K$3,0)),2)</f>
        <v>0</v>
      </c>
      <c r="W44" s="149">
        <f t="shared" si="2"/>
        <v>400471.92</v>
      </c>
      <c r="X44" s="148">
        <f>ROUND(W44*('Master Data'!$B$54),2)</f>
        <v>99997.84</v>
      </c>
      <c r="Y44" s="149">
        <f t="shared" si="3"/>
        <v>500469.76000000001</v>
      </c>
      <c r="Z44" s="147">
        <f>52*INDEX('Master Data'!$C$75:$O$299,MATCH(A44,'Master Data'!$B$75:$B$299,0),MATCH($Z$1,'Master Data'!$C$74:$O$74,0))</f>
        <v>52</v>
      </c>
      <c r="AA44" s="148">
        <f>Z44*('Master Data'!$F$15)</f>
        <v>3920.8</v>
      </c>
      <c r="AB44" s="147">
        <f>52*INDEX('Master Data'!$C$75:$O$299,MATCH(A44,'Master Data'!$B$75:$B$299,0),MATCH($AB$1,'Master Data'!$C$74:$O$74,0))</f>
        <v>156</v>
      </c>
      <c r="AC44" s="148">
        <f>AB44*('Master Data'!$F$16)</f>
        <v>11281.919999999998</v>
      </c>
      <c r="AD44" s="149">
        <f t="shared" si="4"/>
        <v>15202.719999999998</v>
      </c>
      <c r="AE44" s="148">
        <f>INDEX('Master Data'!$D$58:$D$60,MATCH(D44,'Master Data'!$B$58:$B$60,0))</f>
        <v>19577.099999999999</v>
      </c>
      <c r="AF44" s="148">
        <f>INDEX('Master Data'!$E$58:$E$60,MATCH(D44,'Master Data'!$B$58:$B$60,0))</f>
        <v>992.8</v>
      </c>
      <c r="AG44" s="148">
        <f>INDEX('Master Data'!$F$58:$F$60,MATCH(D44,'Master Data'!$B$58:$B$60,0))</f>
        <v>2876.2</v>
      </c>
      <c r="AH44" s="149">
        <f t="shared" si="5"/>
        <v>539118.57999999996</v>
      </c>
      <c r="AI44" s="148">
        <f>ROUND(AH44*('Master Data'!$C$54),2)</f>
        <v>64694.23</v>
      </c>
      <c r="AJ44" s="148">
        <f>ROUND(SUM(AH44:AI44,AK44)*('Master Data'!$E$54),2)</f>
        <v>18089.650000000001</v>
      </c>
      <c r="AK44" s="148">
        <f>ROUND(W44*('Master Data'!$F$54),2)</f>
        <v>0</v>
      </c>
      <c r="AL44" s="149">
        <f t="shared" si="6"/>
        <v>621902.46</v>
      </c>
      <c r="AM44" s="140">
        <f t="shared" si="7"/>
        <v>1792.23</v>
      </c>
      <c r="AN44" s="121"/>
      <c r="AO44" s="121"/>
      <c r="AP44" s="121"/>
      <c r="AQ44" s="121"/>
      <c r="AR44" s="121"/>
      <c r="AS44" s="121"/>
    </row>
    <row r="45" spans="1:45">
      <c r="A45" s="121" t="s">
        <v>198</v>
      </c>
      <c r="B45" s="121" t="str">
        <f t="shared" si="0"/>
        <v>1</v>
      </c>
      <c r="C45" s="121" t="str">
        <f t="shared" si="1"/>
        <v>Medical 1</v>
      </c>
      <c r="D45" s="121" t="str">
        <f>INDEX('Master Data'!$C$75:$C$299,MATCH(A45,'Master Data'!$B$75:$B$299,0))</f>
        <v>2-3</v>
      </c>
      <c r="E45" s="147">
        <f>INDEX('Master Data'!$C$75:$O$299,MATCH(A45,'Master Data'!$B$75:$B$299,0),MATCH($E$1,'Master Data'!$C$74:$O$74,0))</f>
        <v>0.18</v>
      </c>
      <c r="F45" s="148">
        <f>ROUND(E45*INDEX('Master Data'!$F$4:$K$12,MATCH($E$1,'Master Data'!$E$4:$E$12,0),MATCH(C45,'Master Data'!$F$3:$K$3,0)),2)</f>
        <v>14667.64</v>
      </c>
      <c r="G45" s="147">
        <f>INDEX('Master Data'!$C$75:$O$299,MATCH(A45,'Master Data'!$B$75:$B$299,0),MATCH($G$1,'Master Data'!$C$74:$O$74,0))</f>
        <v>0.66</v>
      </c>
      <c r="H45" s="148">
        <f>ROUND(G45*INDEX('Master Data'!$F$4:$K$12,MATCH($G$1,'Master Data'!$E$4:$E$12,0),MATCH(C45,'Master Data'!$F$3:$K$3,0)),2)</f>
        <v>37216.5</v>
      </c>
      <c r="I45" s="147">
        <f>INDEX('Master Data'!$C$75:$O$299,MATCH(A45,'Master Data'!$B$75:$B$299,0),MATCH($I$1,'Master Data'!$C$74:$O$74,0))</f>
        <v>4.5999999999999996</v>
      </c>
      <c r="J45" s="148">
        <f>ROUND(I45*INDEX('Master Data'!$F$4:$K$12,MATCH($I$1,'Master Data'!$E$4:$E$12,0),MATCH(C45,'Master Data'!$F$3:$K$3,0)),2)</f>
        <v>261128.56</v>
      </c>
      <c r="K45" s="147">
        <f>INDEX('Master Data'!$C$75:$O$299,MATCH(A45,'Master Data'!$B$75:$B$299,0),MATCH($K$1,'Master Data'!$C$74:$O$74,0))</f>
        <v>1.4</v>
      </c>
      <c r="L45" s="148">
        <f>ROUND(K45*INDEX('Master Data'!$F$4:$K$12,MATCH($K$1,'Master Data'!$E$4:$E$12,0),MATCH(C45,'Master Data'!$F$3:$K$3,0)),2)</f>
        <v>65579.399999999994</v>
      </c>
      <c r="M45" s="147">
        <f>INDEX('Master Data'!$C$75:$O$299,MATCH(A45,'Master Data'!$B$75:$B$299,0),MATCH($M$1,'Master Data'!$C$74:$O$74,0))</f>
        <v>0.75</v>
      </c>
      <c r="N45" s="148">
        <f>ROUND(M45*INDEX('Master Data'!$F$4:$K$12,MATCH($M$1,'Master Data'!$E$4:$E$12,0),MATCH(C45,'Master Data'!$F$3:$K$3,0)),2)</f>
        <v>42575.31</v>
      </c>
      <c r="O45" s="147">
        <f>INDEX('Master Data'!$C$75:$O$299,MATCH(A45,'Master Data'!$B$75:$B$299,0),MATCH($O$1,'Master Data'!$C$74:$O$74,0))</f>
        <v>0.23</v>
      </c>
      <c r="P45" s="148">
        <f>ROUND(O45*INDEX('Master Data'!$F$4:$K$12,MATCH($O$1,'Master Data'!$E$4:$E$12,0),MATCH(C45,'Master Data'!$F$3:$K$3,0)),2)</f>
        <v>7176</v>
      </c>
      <c r="Q45" s="147">
        <f>INDEX('Master Data'!$C$75:$O$299,MATCH(A45,'Master Data'!$B$75:$B$299,0),MATCH($Q$1,'Master Data'!$C$74:$O$74,0))</f>
        <v>0.12</v>
      </c>
      <c r="R45" s="148">
        <f>ROUND(Q45*INDEX('Master Data'!$F$4:$K$12,MATCH($Q$1,'Master Data'!$E$4:$E$12,0),MATCH(C45,'Master Data'!$F$3:$K$3,0)),2)</f>
        <v>5621.09</v>
      </c>
      <c r="S45" s="147">
        <f>INDEX('Master Data'!$C$75:$O$299,MATCH(A45,'Master Data'!$B$75:$B$299,0),MATCH($S$1,'Master Data'!$C$74:$O$74,0))</f>
        <v>0</v>
      </c>
      <c r="T45" s="148">
        <f>ROUND(S45*INDEX('Master Data'!$F$4:$K$12,MATCH($S$1,'Master Data'!$E$4:$E$12,0),MATCH(C45,'Master Data'!$F$3:$K$3,0)),2)</f>
        <v>0</v>
      </c>
      <c r="U45" s="147">
        <f>INDEX('Master Data'!$C$75:$O$299,MATCH(A45,'Master Data'!$B$75:$B$299,0),MATCH($U$1,'Master Data'!$C$74:$O$74,0))</f>
        <v>0</v>
      </c>
      <c r="V45" s="148">
        <f>ROUND(U45*INDEX('Master Data'!$F$4:$K$12,MATCH($U$1,'Master Data'!$E$4:$E$12,0),MATCH(C45,'Master Data'!$F$3:$K$3,0)),2)</f>
        <v>0</v>
      </c>
      <c r="W45" s="149">
        <f t="shared" si="2"/>
        <v>433964.5</v>
      </c>
      <c r="X45" s="148">
        <f>ROUND(W45*('Master Data'!$B$54),2)</f>
        <v>108360.94</v>
      </c>
      <c r="Y45" s="149">
        <f t="shared" si="3"/>
        <v>542325.43999999994</v>
      </c>
      <c r="Z45" s="147">
        <f>52*INDEX('Master Data'!$C$75:$O$299,MATCH(A45,'Master Data'!$B$75:$B$299,0),MATCH($Z$1,'Master Data'!$C$74:$O$74,0))</f>
        <v>52</v>
      </c>
      <c r="AA45" s="148">
        <f>Z45*('Master Data'!$F$15)</f>
        <v>3920.8</v>
      </c>
      <c r="AB45" s="147">
        <f>52*INDEX('Master Data'!$C$75:$O$299,MATCH(A45,'Master Data'!$B$75:$B$299,0),MATCH($AB$1,'Master Data'!$C$74:$O$74,0))</f>
        <v>156</v>
      </c>
      <c r="AC45" s="148">
        <f>AB45*('Master Data'!$F$16)</f>
        <v>11281.919999999998</v>
      </c>
      <c r="AD45" s="149">
        <f t="shared" si="4"/>
        <v>15202.719999999998</v>
      </c>
      <c r="AE45" s="148">
        <f>INDEX('Master Data'!$D$58:$D$60,MATCH(D45,'Master Data'!$B$58:$B$60,0))</f>
        <v>19577.099999999999</v>
      </c>
      <c r="AF45" s="148">
        <f>INDEX('Master Data'!$E$58:$E$60,MATCH(D45,'Master Data'!$B$58:$B$60,0))</f>
        <v>992.8</v>
      </c>
      <c r="AG45" s="148">
        <f>INDEX('Master Data'!$F$58:$F$60,MATCH(D45,'Master Data'!$B$58:$B$60,0))</f>
        <v>2876.2</v>
      </c>
      <c r="AH45" s="149">
        <f t="shared" si="5"/>
        <v>580974.25999999989</v>
      </c>
      <c r="AI45" s="148">
        <f>ROUND(AH45*('Master Data'!$C$54),2)</f>
        <v>69716.91</v>
      </c>
      <c r="AJ45" s="148">
        <f>ROUND(SUM(AH45:AI45,AK45)*('Master Data'!$E$54),2)</f>
        <v>19494.080000000002</v>
      </c>
      <c r="AK45" s="148">
        <f>ROUND(W45*('Master Data'!$F$54),2)</f>
        <v>0</v>
      </c>
      <c r="AL45" s="149">
        <f t="shared" si="6"/>
        <v>670185.24999999988</v>
      </c>
      <c r="AM45" s="140">
        <f t="shared" si="7"/>
        <v>1931.37</v>
      </c>
      <c r="AN45" s="121"/>
      <c r="AO45" s="121"/>
      <c r="AP45" s="121"/>
      <c r="AQ45" s="121"/>
      <c r="AR45" s="121"/>
      <c r="AS45" s="121"/>
    </row>
    <row r="46" spans="1:45">
      <c r="A46" s="121" t="s">
        <v>199</v>
      </c>
      <c r="B46" s="121" t="str">
        <f t="shared" si="0"/>
        <v>1</v>
      </c>
      <c r="C46" s="121" t="str">
        <f t="shared" si="1"/>
        <v>Medical 1</v>
      </c>
      <c r="D46" s="121" t="str">
        <f>INDEX('Master Data'!$C$75:$C$299,MATCH(A46,'Master Data'!$B$75:$B$299,0))</f>
        <v>2-3</v>
      </c>
      <c r="E46" s="147">
        <f>INDEX('Master Data'!$C$75:$O$299,MATCH(A46,'Master Data'!$B$75:$B$299,0),MATCH($E$1,'Master Data'!$C$74:$O$74,0))</f>
        <v>0.18</v>
      </c>
      <c r="F46" s="148">
        <f>ROUND(E46*INDEX('Master Data'!$F$4:$K$12,MATCH($E$1,'Master Data'!$E$4:$E$12,0),MATCH(C46,'Master Data'!$F$3:$K$3,0)),2)</f>
        <v>14667.64</v>
      </c>
      <c r="G46" s="147">
        <f>INDEX('Master Data'!$C$75:$O$299,MATCH(A46,'Master Data'!$B$75:$B$299,0),MATCH($G$1,'Master Data'!$C$74:$O$74,0))</f>
        <v>0.66</v>
      </c>
      <c r="H46" s="148">
        <f>ROUND(G46*INDEX('Master Data'!$F$4:$K$12,MATCH($G$1,'Master Data'!$E$4:$E$12,0),MATCH(C46,'Master Data'!$F$3:$K$3,0)),2)</f>
        <v>37216.5</v>
      </c>
      <c r="I46" s="147">
        <f>INDEX('Master Data'!$C$75:$O$299,MATCH(A46,'Master Data'!$B$75:$B$299,0),MATCH($I$1,'Master Data'!$C$74:$O$74,0))</f>
        <v>5.0999999999999996</v>
      </c>
      <c r="J46" s="148">
        <f>ROUND(I46*INDEX('Master Data'!$F$4:$K$12,MATCH($I$1,'Master Data'!$E$4:$E$12,0),MATCH(C46,'Master Data'!$F$3:$K$3,0)),2)</f>
        <v>289512.09999999998</v>
      </c>
      <c r="K46" s="147">
        <f>INDEX('Master Data'!$C$75:$O$299,MATCH(A46,'Master Data'!$B$75:$B$299,0),MATCH($K$1,'Master Data'!$C$74:$O$74,0))</f>
        <v>1.4</v>
      </c>
      <c r="L46" s="148">
        <f>ROUND(K46*INDEX('Master Data'!$F$4:$K$12,MATCH($K$1,'Master Data'!$E$4:$E$12,0),MATCH(C46,'Master Data'!$F$3:$K$3,0)),2)</f>
        <v>65579.399999999994</v>
      </c>
      <c r="M46" s="147">
        <f>INDEX('Master Data'!$C$75:$O$299,MATCH(A46,'Master Data'!$B$75:$B$299,0),MATCH($M$1,'Master Data'!$C$74:$O$74,0))</f>
        <v>0.83</v>
      </c>
      <c r="N46" s="148">
        <f>ROUND(M46*INDEX('Master Data'!$F$4:$K$12,MATCH($M$1,'Master Data'!$E$4:$E$12,0),MATCH(C46,'Master Data'!$F$3:$K$3,0)),2)</f>
        <v>47116.67</v>
      </c>
      <c r="O46" s="147">
        <f>INDEX('Master Data'!$C$75:$O$299,MATCH(A46,'Master Data'!$B$75:$B$299,0),MATCH($O$1,'Master Data'!$C$74:$O$74,0))</f>
        <v>0.23</v>
      </c>
      <c r="P46" s="148">
        <f>ROUND(O46*INDEX('Master Data'!$F$4:$K$12,MATCH($O$1,'Master Data'!$E$4:$E$12,0),MATCH(C46,'Master Data'!$F$3:$K$3,0)),2)</f>
        <v>7176</v>
      </c>
      <c r="Q46" s="147">
        <f>INDEX('Master Data'!$C$75:$O$299,MATCH(A46,'Master Data'!$B$75:$B$299,0),MATCH($Q$1,'Master Data'!$C$74:$O$74,0))</f>
        <v>0.12</v>
      </c>
      <c r="R46" s="148">
        <f>ROUND(Q46*INDEX('Master Data'!$F$4:$K$12,MATCH($Q$1,'Master Data'!$E$4:$E$12,0),MATCH(C46,'Master Data'!$F$3:$K$3,0)),2)</f>
        <v>5621.09</v>
      </c>
      <c r="S46" s="147">
        <f>INDEX('Master Data'!$C$75:$O$299,MATCH(A46,'Master Data'!$B$75:$B$299,0),MATCH($S$1,'Master Data'!$C$74:$O$74,0))</f>
        <v>0</v>
      </c>
      <c r="T46" s="148">
        <f>ROUND(S46*INDEX('Master Data'!$F$4:$K$12,MATCH($S$1,'Master Data'!$E$4:$E$12,0),MATCH(C46,'Master Data'!$F$3:$K$3,0)),2)</f>
        <v>0</v>
      </c>
      <c r="U46" s="147">
        <f>INDEX('Master Data'!$C$75:$O$299,MATCH(A46,'Master Data'!$B$75:$B$299,0),MATCH($U$1,'Master Data'!$C$74:$O$74,0))</f>
        <v>0</v>
      </c>
      <c r="V46" s="148">
        <f>ROUND(U46*INDEX('Master Data'!$F$4:$K$12,MATCH($U$1,'Master Data'!$E$4:$E$12,0),MATCH(C46,'Master Data'!$F$3:$K$3,0)),2)</f>
        <v>0</v>
      </c>
      <c r="W46" s="149">
        <f t="shared" si="2"/>
        <v>466889.4</v>
      </c>
      <c r="X46" s="148">
        <f>ROUND(W46*('Master Data'!$B$54),2)</f>
        <v>116582.28</v>
      </c>
      <c r="Y46" s="149">
        <f t="shared" si="3"/>
        <v>583471.68000000005</v>
      </c>
      <c r="Z46" s="147">
        <f>52*INDEX('Master Data'!$C$75:$O$299,MATCH(A46,'Master Data'!$B$75:$B$299,0),MATCH($Z$1,'Master Data'!$C$74:$O$74,0))</f>
        <v>52</v>
      </c>
      <c r="AA46" s="148">
        <f>Z46*('Master Data'!$F$15)</f>
        <v>3920.8</v>
      </c>
      <c r="AB46" s="147">
        <f>52*INDEX('Master Data'!$C$75:$O$299,MATCH(A46,'Master Data'!$B$75:$B$299,0),MATCH($AB$1,'Master Data'!$C$74:$O$74,0))</f>
        <v>156</v>
      </c>
      <c r="AC46" s="148">
        <f>AB46*('Master Data'!$F$16)</f>
        <v>11281.919999999998</v>
      </c>
      <c r="AD46" s="149">
        <f t="shared" si="4"/>
        <v>15202.719999999998</v>
      </c>
      <c r="AE46" s="148">
        <f>INDEX('Master Data'!$D$58:$D$60,MATCH(D46,'Master Data'!$B$58:$B$60,0))</f>
        <v>19577.099999999999</v>
      </c>
      <c r="AF46" s="148">
        <f>INDEX('Master Data'!$E$58:$E$60,MATCH(D46,'Master Data'!$B$58:$B$60,0))</f>
        <v>992.8</v>
      </c>
      <c r="AG46" s="148">
        <f>INDEX('Master Data'!$F$58:$F$60,MATCH(D46,'Master Data'!$B$58:$B$60,0))</f>
        <v>2876.2</v>
      </c>
      <c r="AH46" s="149">
        <f t="shared" si="5"/>
        <v>622120.5</v>
      </c>
      <c r="AI46" s="148">
        <f>ROUND(AH46*('Master Data'!$C$54),2)</f>
        <v>74654.460000000006</v>
      </c>
      <c r="AJ46" s="148">
        <f>ROUND(SUM(AH46:AI46,AK46)*('Master Data'!$E$54),2)</f>
        <v>20874.71</v>
      </c>
      <c r="AK46" s="148">
        <f>ROUND(W46*('Master Data'!$F$54),2)</f>
        <v>0</v>
      </c>
      <c r="AL46" s="149">
        <f t="shared" si="6"/>
        <v>717649.66999999993</v>
      </c>
      <c r="AM46" s="140">
        <f t="shared" si="7"/>
        <v>2068.15</v>
      </c>
      <c r="AN46" s="121"/>
      <c r="AO46" s="121"/>
      <c r="AP46" s="121"/>
      <c r="AQ46" s="121"/>
      <c r="AR46" s="121"/>
      <c r="AS46" s="121"/>
    </row>
    <row r="47" spans="1:45">
      <c r="A47" s="121" t="s">
        <v>200</v>
      </c>
      <c r="B47" s="121" t="str">
        <f t="shared" si="0"/>
        <v>1</v>
      </c>
      <c r="C47" s="121" t="str">
        <f t="shared" si="1"/>
        <v>Medical 1</v>
      </c>
      <c r="D47" s="121" t="str">
        <f>INDEX('Master Data'!$C$75:$C$299,MATCH(A47,'Master Data'!$B$75:$B$299,0))</f>
        <v>2-3</v>
      </c>
      <c r="E47" s="147">
        <f>INDEX('Master Data'!$C$75:$O$299,MATCH(A47,'Master Data'!$B$75:$B$299,0),MATCH($E$1,'Master Data'!$C$74:$O$74,0))</f>
        <v>0.18</v>
      </c>
      <c r="F47" s="148">
        <f>ROUND(E47*INDEX('Master Data'!$F$4:$K$12,MATCH($E$1,'Master Data'!$E$4:$E$12,0),MATCH(C47,'Master Data'!$F$3:$K$3,0)),2)</f>
        <v>14667.64</v>
      </c>
      <c r="G47" s="147">
        <f>INDEX('Master Data'!$C$75:$O$299,MATCH(A47,'Master Data'!$B$75:$B$299,0),MATCH($G$1,'Master Data'!$C$74:$O$74,0))</f>
        <v>0.66</v>
      </c>
      <c r="H47" s="148">
        <f>ROUND(G47*INDEX('Master Data'!$F$4:$K$12,MATCH($G$1,'Master Data'!$E$4:$E$12,0),MATCH(C47,'Master Data'!$F$3:$K$3,0)),2)</f>
        <v>37216.5</v>
      </c>
      <c r="I47" s="147">
        <f>INDEX('Master Data'!$C$75:$O$299,MATCH(A47,'Master Data'!$B$75:$B$299,0),MATCH($I$1,'Master Data'!$C$74:$O$74,0))</f>
        <v>5.6</v>
      </c>
      <c r="J47" s="148">
        <f>ROUND(I47*INDEX('Master Data'!$F$4:$K$12,MATCH($I$1,'Master Data'!$E$4:$E$12,0),MATCH(C47,'Master Data'!$F$3:$K$3,0)),2)</f>
        <v>317895.64</v>
      </c>
      <c r="K47" s="147">
        <f>INDEX('Master Data'!$C$75:$O$299,MATCH(A47,'Master Data'!$B$75:$B$299,0),MATCH($K$1,'Master Data'!$C$74:$O$74,0))</f>
        <v>1.4</v>
      </c>
      <c r="L47" s="148">
        <f>ROUND(K47*INDEX('Master Data'!$F$4:$K$12,MATCH($K$1,'Master Data'!$E$4:$E$12,0),MATCH(C47,'Master Data'!$F$3:$K$3,0)),2)</f>
        <v>65579.399999999994</v>
      </c>
      <c r="M47" s="147">
        <f>INDEX('Master Data'!$C$75:$O$299,MATCH(A47,'Master Data'!$B$75:$B$299,0),MATCH($M$1,'Master Data'!$C$74:$O$74,0))</f>
        <v>0.91</v>
      </c>
      <c r="N47" s="148">
        <f>ROUND(M47*INDEX('Master Data'!$F$4:$K$12,MATCH($M$1,'Master Data'!$E$4:$E$12,0),MATCH(C47,'Master Data'!$F$3:$K$3,0)),2)</f>
        <v>51658.04</v>
      </c>
      <c r="O47" s="147">
        <f>INDEX('Master Data'!$C$75:$O$299,MATCH(A47,'Master Data'!$B$75:$B$299,0),MATCH($O$1,'Master Data'!$C$74:$O$74,0))</f>
        <v>0.23</v>
      </c>
      <c r="P47" s="148">
        <f>ROUND(O47*INDEX('Master Data'!$F$4:$K$12,MATCH($O$1,'Master Data'!$E$4:$E$12,0),MATCH(C47,'Master Data'!$F$3:$K$3,0)),2)</f>
        <v>7176</v>
      </c>
      <c r="Q47" s="147">
        <f>INDEX('Master Data'!$C$75:$O$299,MATCH(A47,'Master Data'!$B$75:$B$299,0),MATCH($Q$1,'Master Data'!$C$74:$O$74,0))</f>
        <v>0.12</v>
      </c>
      <c r="R47" s="148">
        <f>ROUND(Q47*INDEX('Master Data'!$F$4:$K$12,MATCH($Q$1,'Master Data'!$E$4:$E$12,0),MATCH(C47,'Master Data'!$F$3:$K$3,0)),2)</f>
        <v>5621.09</v>
      </c>
      <c r="S47" s="147">
        <f>INDEX('Master Data'!$C$75:$O$299,MATCH(A47,'Master Data'!$B$75:$B$299,0),MATCH($S$1,'Master Data'!$C$74:$O$74,0))</f>
        <v>0</v>
      </c>
      <c r="T47" s="148">
        <f>ROUND(S47*INDEX('Master Data'!$F$4:$K$12,MATCH($S$1,'Master Data'!$E$4:$E$12,0),MATCH(C47,'Master Data'!$F$3:$K$3,0)),2)</f>
        <v>0</v>
      </c>
      <c r="U47" s="147">
        <f>INDEX('Master Data'!$C$75:$O$299,MATCH(A47,'Master Data'!$B$75:$B$299,0),MATCH($U$1,'Master Data'!$C$74:$O$74,0))</f>
        <v>0</v>
      </c>
      <c r="V47" s="148">
        <f>ROUND(U47*INDEX('Master Data'!$F$4:$K$12,MATCH($U$1,'Master Data'!$E$4:$E$12,0),MATCH(C47,'Master Data'!$F$3:$K$3,0)),2)</f>
        <v>0</v>
      </c>
      <c r="W47" s="149">
        <f t="shared" si="2"/>
        <v>499814.31000000006</v>
      </c>
      <c r="X47" s="148">
        <f>ROUND(W47*('Master Data'!$B$54),2)</f>
        <v>124803.63</v>
      </c>
      <c r="Y47" s="149">
        <f t="shared" si="3"/>
        <v>624617.94000000006</v>
      </c>
      <c r="Z47" s="147">
        <f>52*INDEX('Master Data'!$C$75:$O$299,MATCH(A47,'Master Data'!$B$75:$B$299,0),MATCH($Z$1,'Master Data'!$C$74:$O$74,0))</f>
        <v>52</v>
      </c>
      <c r="AA47" s="148">
        <f>Z47*('Master Data'!$F$15)</f>
        <v>3920.8</v>
      </c>
      <c r="AB47" s="147">
        <f>52*INDEX('Master Data'!$C$75:$O$299,MATCH(A47,'Master Data'!$B$75:$B$299,0),MATCH($AB$1,'Master Data'!$C$74:$O$74,0))</f>
        <v>156</v>
      </c>
      <c r="AC47" s="148">
        <f>AB47*('Master Data'!$F$16)</f>
        <v>11281.919999999998</v>
      </c>
      <c r="AD47" s="149">
        <f t="shared" si="4"/>
        <v>15202.719999999998</v>
      </c>
      <c r="AE47" s="148">
        <f>INDEX('Master Data'!$D$58:$D$60,MATCH(D47,'Master Data'!$B$58:$B$60,0))</f>
        <v>19577.099999999999</v>
      </c>
      <c r="AF47" s="148">
        <f>INDEX('Master Data'!$E$58:$E$60,MATCH(D47,'Master Data'!$B$58:$B$60,0))</f>
        <v>992.8</v>
      </c>
      <c r="AG47" s="148">
        <f>INDEX('Master Data'!$F$58:$F$60,MATCH(D47,'Master Data'!$B$58:$B$60,0))</f>
        <v>2876.2</v>
      </c>
      <c r="AH47" s="149">
        <f t="shared" si="5"/>
        <v>663266.76</v>
      </c>
      <c r="AI47" s="148">
        <f>ROUND(AH47*('Master Data'!$C$54),2)</f>
        <v>79592.009999999995</v>
      </c>
      <c r="AJ47" s="148">
        <f>ROUND(SUM(AH47:AI47,AK47)*('Master Data'!$E$54),2)</f>
        <v>22255.34</v>
      </c>
      <c r="AK47" s="148">
        <f>ROUND(W47*('Master Data'!$F$54),2)</f>
        <v>0</v>
      </c>
      <c r="AL47" s="149">
        <f t="shared" si="6"/>
        <v>765114.11</v>
      </c>
      <c r="AM47" s="140">
        <f t="shared" si="7"/>
        <v>2204.94</v>
      </c>
      <c r="AN47" s="121"/>
      <c r="AO47" s="121"/>
      <c r="AP47" s="121"/>
      <c r="AQ47" s="121"/>
      <c r="AR47" s="121"/>
      <c r="AS47" s="121"/>
    </row>
    <row r="48" spans="1:45">
      <c r="A48" s="121" t="s">
        <v>201</v>
      </c>
      <c r="B48" s="121" t="str">
        <f t="shared" si="0"/>
        <v>1</v>
      </c>
      <c r="C48" s="121" t="str">
        <f t="shared" si="1"/>
        <v>Medical 1</v>
      </c>
      <c r="D48" s="121" t="str">
        <f>INDEX('Master Data'!$C$75:$C$299,MATCH(A48,'Master Data'!$B$75:$B$299,0))</f>
        <v>2-3</v>
      </c>
      <c r="E48" s="147">
        <f>INDEX('Master Data'!$C$75:$O$299,MATCH(A48,'Master Data'!$B$75:$B$299,0),MATCH($E$1,'Master Data'!$C$74:$O$74,0))</f>
        <v>0.18</v>
      </c>
      <c r="F48" s="148">
        <f>ROUND(E48*INDEX('Master Data'!$F$4:$K$12,MATCH($E$1,'Master Data'!$E$4:$E$12,0),MATCH(C48,'Master Data'!$F$3:$K$3,0)),2)</f>
        <v>14667.64</v>
      </c>
      <c r="G48" s="147">
        <f>INDEX('Master Data'!$C$75:$O$299,MATCH(A48,'Master Data'!$B$75:$B$299,0),MATCH($G$1,'Master Data'!$C$74:$O$74,0))</f>
        <v>0.66</v>
      </c>
      <c r="H48" s="148">
        <f>ROUND(G48*INDEX('Master Data'!$F$4:$K$12,MATCH($G$1,'Master Data'!$E$4:$E$12,0),MATCH(C48,'Master Data'!$F$3:$K$3,0)),2)</f>
        <v>37216.5</v>
      </c>
      <c r="I48" s="147">
        <f>INDEX('Master Data'!$C$75:$O$299,MATCH(A48,'Master Data'!$B$75:$B$299,0),MATCH($I$1,'Master Data'!$C$74:$O$74,0))</f>
        <v>6.1</v>
      </c>
      <c r="J48" s="148">
        <f>ROUND(I48*INDEX('Master Data'!$F$4:$K$12,MATCH($I$1,'Master Data'!$E$4:$E$12,0),MATCH(C48,'Master Data'!$F$3:$K$3,0)),2)</f>
        <v>346279.18</v>
      </c>
      <c r="K48" s="147">
        <f>INDEX('Master Data'!$C$75:$O$299,MATCH(A48,'Master Data'!$B$75:$B$299,0),MATCH($K$1,'Master Data'!$C$74:$O$74,0))</f>
        <v>1.4</v>
      </c>
      <c r="L48" s="148">
        <f>ROUND(K48*INDEX('Master Data'!$F$4:$K$12,MATCH($K$1,'Master Data'!$E$4:$E$12,0),MATCH(C48,'Master Data'!$F$3:$K$3,0)),2)</f>
        <v>65579.399999999994</v>
      </c>
      <c r="M48" s="147">
        <f>INDEX('Master Data'!$C$75:$O$299,MATCH(A48,'Master Data'!$B$75:$B$299,0),MATCH($M$1,'Master Data'!$C$74:$O$74,0))</f>
        <v>0.99</v>
      </c>
      <c r="N48" s="148">
        <f>ROUND(M48*INDEX('Master Data'!$F$4:$K$12,MATCH($M$1,'Master Data'!$E$4:$E$12,0),MATCH(C48,'Master Data'!$F$3:$K$3,0)),2)</f>
        <v>56199.41</v>
      </c>
      <c r="O48" s="147">
        <f>INDEX('Master Data'!$C$75:$O$299,MATCH(A48,'Master Data'!$B$75:$B$299,0),MATCH($O$1,'Master Data'!$C$74:$O$74,0))</f>
        <v>0.23</v>
      </c>
      <c r="P48" s="148">
        <f>ROUND(O48*INDEX('Master Data'!$F$4:$K$12,MATCH($O$1,'Master Data'!$E$4:$E$12,0),MATCH(C48,'Master Data'!$F$3:$K$3,0)),2)</f>
        <v>7176</v>
      </c>
      <c r="Q48" s="147">
        <f>INDEX('Master Data'!$C$75:$O$299,MATCH(A48,'Master Data'!$B$75:$B$299,0),MATCH($Q$1,'Master Data'!$C$74:$O$74,0))</f>
        <v>0.12</v>
      </c>
      <c r="R48" s="148">
        <f>ROUND(Q48*INDEX('Master Data'!$F$4:$K$12,MATCH($Q$1,'Master Data'!$E$4:$E$12,0),MATCH(C48,'Master Data'!$F$3:$K$3,0)),2)</f>
        <v>5621.09</v>
      </c>
      <c r="S48" s="147">
        <f>INDEX('Master Data'!$C$75:$O$299,MATCH(A48,'Master Data'!$B$75:$B$299,0),MATCH($S$1,'Master Data'!$C$74:$O$74,0))</f>
        <v>0</v>
      </c>
      <c r="T48" s="148">
        <f>ROUND(S48*INDEX('Master Data'!$F$4:$K$12,MATCH($S$1,'Master Data'!$E$4:$E$12,0),MATCH(C48,'Master Data'!$F$3:$K$3,0)),2)</f>
        <v>0</v>
      </c>
      <c r="U48" s="147">
        <f>INDEX('Master Data'!$C$75:$O$299,MATCH(A48,'Master Data'!$B$75:$B$299,0),MATCH($U$1,'Master Data'!$C$74:$O$74,0))</f>
        <v>0</v>
      </c>
      <c r="V48" s="148">
        <f>ROUND(U48*INDEX('Master Data'!$F$4:$K$12,MATCH($U$1,'Master Data'!$E$4:$E$12,0),MATCH(C48,'Master Data'!$F$3:$K$3,0)),2)</f>
        <v>0</v>
      </c>
      <c r="W48" s="149">
        <f t="shared" si="2"/>
        <v>532739.22</v>
      </c>
      <c r="X48" s="148">
        <f>ROUND(W48*('Master Data'!$B$54),2)</f>
        <v>133024.98000000001</v>
      </c>
      <c r="Y48" s="149">
        <f t="shared" si="3"/>
        <v>665764.19999999995</v>
      </c>
      <c r="Z48" s="147">
        <f>52*INDEX('Master Data'!$C$75:$O$299,MATCH(A48,'Master Data'!$B$75:$B$299,0),MATCH($Z$1,'Master Data'!$C$74:$O$74,0))</f>
        <v>52</v>
      </c>
      <c r="AA48" s="148">
        <f>Z48*('Master Data'!$F$15)</f>
        <v>3920.8</v>
      </c>
      <c r="AB48" s="147">
        <f>52*INDEX('Master Data'!$C$75:$O$299,MATCH(A48,'Master Data'!$B$75:$B$299,0),MATCH($AB$1,'Master Data'!$C$74:$O$74,0))</f>
        <v>156</v>
      </c>
      <c r="AC48" s="148">
        <f>AB48*('Master Data'!$F$16)</f>
        <v>11281.919999999998</v>
      </c>
      <c r="AD48" s="149">
        <f t="shared" si="4"/>
        <v>15202.719999999998</v>
      </c>
      <c r="AE48" s="148">
        <f>INDEX('Master Data'!$D$58:$D$60,MATCH(D48,'Master Data'!$B$58:$B$60,0))</f>
        <v>19577.099999999999</v>
      </c>
      <c r="AF48" s="148">
        <f>INDEX('Master Data'!$E$58:$E$60,MATCH(D48,'Master Data'!$B$58:$B$60,0))</f>
        <v>992.8</v>
      </c>
      <c r="AG48" s="148">
        <f>INDEX('Master Data'!$F$58:$F$60,MATCH(D48,'Master Data'!$B$58:$B$60,0))</f>
        <v>2876.2</v>
      </c>
      <c r="AH48" s="149">
        <f t="shared" si="5"/>
        <v>704413.0199999999</v>
      </c>
      <c r="AI48" s="148">
        <f>ROUND(AH48*('Master Data'!$C$54),2)</f>
        <v>84529.56</v>
      </c>
      <c r="AJ48" s="148">
        <f>ROUND(SUM(AH48:AI48,AK48)*('Master Data'!$E$54),2)</f>
        <v>23635.96</v>
      </c>
      <c r="AK48" s="148">
        <f>ROUND(W48*('Master Data'!$F$54),2)</f>
        <v>0</v>
      </c>
      <c r="AL48" s="149">
        <f t="shared" si="6"/>
        <v>812578.5399999998</v>
      </c>
      <c r="AM48" s="140">
        <f t="shared" si="7"/>
        <v>2341.7199999999998</v>
      </c>
      <c r="AN48" s="121"/>
      <c r="AO48" s="121"/>
      <c r="AP48" s="121"/>
      <c r="AQ48" s="121"/>
      <c r="AR48" s="121"/>
      <c r="AS48" s="121"/>
    </row>
    <row r="49" spans="1:45">
      <c r="A49" s="121" t="s">
        <v>202</v>
      </c>
      <c r="B49" s="121" t="str">
        <f t="shared" si="0"/>
        <v>1</v>
      </c>
      <c r="C49" s="121" t="str">
        <f t="shared" si="1"/>
        <v>Medical 1</v>
      </c>
      <c r="D49" s="121" t="str">
        <f>INDEX('Master Data'!$C$75:$C$299,MATCH(A49,'Master Data'!$B$75:$B$299,0))</f>
        <v>2-3</v>
      </c>
      <c r="E49" s="147">
        <f>INDEX('Master Data'!$C$75:$O$299,MATCH(A49,'Master Data'!$B$75:$B$299,0),MATCH($E$1,'Master Data'!$C$74:$O$74,0))</f>
        <v>0.18</v>
      </c>
      <c r="F49" s="148">
        <f>ROUND(E49*INDEX('Master Data'!$F$4:$K$12,MATCH($E$1,'Master Data'!$E$4:$E$12,0),MATCH(C49,'Master Data'!$F$3:$K$3,0)),2)</f>
        <v>14667.64</v>
      </c>
      <c r="G49" s="147">
        <f>INDEX('Master Data'!$C$75:$O$299,MATCH(A49,'Master Data'!$B$75:$B$299,0),MATCH($G$1,'Master Data'!$C$74:$O$74,0))</f>
        <v>0.66</v>
      </c>
      <c r="H49" s="148">
        <f>ROUND(G49*INDEX('Master Data'!$F$4:$K$12,MATCH($G$1,'Master Data'!$E$4:$E$12,0),MATCH(C49,'Master Data'!$F$3:$K$3,0)),2)</f>
        <v>37216.5</v>
      </c>
      <c r="I49" s="147">
        <f>INDEX('Master Data'!$C$75:$O$299,MATCH(A49,'Master Data'!$B$75:$B$299,0),MATCH($I$1,'Master Data'!$C$74:$O$74,0))</f>
        <v>6.6</v>
      </c>
      <c r="J49" s="148">
        <f>ROUND(I49*INDEX('Master Data'!$F$4:$K$12,MATCH($I$1,'Master Data'!$E$4:$E$12,0),MATCH(C49,'Master Data'!$F$3:$K$3,0)),2)</f>
        <v>374662.72</v>
      </c>
      <c r="K49" s="147">
        <f>INDEX('Master Data'!$C$75:$O$299,MATCH(A49,'Master Data'!$B$75:$B$299,0),MATCH($K$1,'Master Data'!$C$74:$O$74,0))</f>
        <v>1.4</v>
      </c>
      <c r="L49" s="148">
        <f>ROUND(K49*INDEX('Master Data'!$F$4:$K$12,MATCH($K$1,'Master Data'!$E$4:$E$12,0),MATCH(C49,'Master Data'!$F$3:$K$3,0)),2)</f>
        <v>65579.399999999994</v>
      </c>
      <c r="M49" s="147">
        <f>INDEX('Master Data'!$C$75:$O$299,MATCH(A49,'Master Data'!$B$75:$B$299,0),MATCH($M$1,'Master Data'!$C$74:$O$74,0))</f>
        <v>1.07</v>
      </c>
      <c r="N49" s="148">
        <f>ROUND(M49*INDEX('Master Data'!$F$4:$K$12,MATCH($M$1,'Master Data'!$E$4:$E$12,0),MATCH(C49,'Master Data'!$F$3:$K$3,0)),2)</f>
        <v>60740.77</v>
      </c>
      <c r="O49" s="147">
        <f>INDEX('Master Data'!$C$75:$O$299,MATCH(A49,'Master Data'!$B$75:$B$299,0),MATCH($O$1,'Master Data'!$C$74:$O$74,0))</f>
        <v>0.23</v>
      </c>
      <c r="P49" s="148">
        <f>ROUND(O49*INDEX('Master Data'!$F$4:$K$12,MATCH($O$1,'Master Data'!$E$4:$E$12,0),MATCH(C49,'Master Data'!$F$3:$K$3,0)),2)</f>
        <v>7176</v>
      </c>
      <c r="Q49" s="147">
        <f>INDEX('Master Data'!$C$75:$O$299,MATCH(A49,'Master Data'!$B$75:$B$299,0),MATCH($Q$1,'Master Data'!$C$74:$O$74,0))</f>
        <v>0.12</v>
      </c>
      <c r="R49" s="148">
        <f>ROUND(Q49*INDEX('Master Data'!$F$4:$K$12,MATCH($Q$1,'Master Data'!$E$4:$E$12,0),MATCH(C49,'Master Data'!$F$3:$K$3,0)),2)</f>
        <v>5621.09</v>
      </c>
      <c r="S49" s="147">
        <f>INDEX('Master Data'!$C$75:$O$299,MATCH(A49,'Master Data'!$B$75:$B$299,0),MATCH($S$1,'Master Data'!$C$74:$O$74,0))</f>
        <v>0</v>
      </c>
      <c r="T49" s="148">
        <f>ROUND(S49*INDEX('Master Data'!$F$4:$K$12,MATCH($S$1,'Master Data'!$E$4:$E$12,0),MATCH(C49,'Master Data'!$F$3:$K$3,0)),2)</f>
        <v>0</v>
      </c>
      <c r="U49" s="147">
        <f>INDEX('Master Data'!$C$75:$O$299,MATCH(A49,'Master Data'!$B$75:$B$299,0),MATCH($U$1,'Master Data'!$C$74:$O$74,0))</f>
        <v>0</v>
      </c>
      <c r="V49" s="148">
        <f>ROUND(U49*INDEX('Master Data'!$F$4:$K$12,MATCH($U$1,'Master Data'!$E$4:$E$12,0),MATCH(C49,'Master Data'!$F$3:$K$3,0)),2)</f>
        <v>0</v>
      </c>
      <c r="W49" s="149">
        <f t="shared" si="2"/>
        <v>565664.12</v>
      </c>
      <c r="X49" s="148">
        <f>ROUND(W49*('Master Data'!$B$54),2)</f>
        <v>141246.32999999999</v>
      </c>
      <c r="Y49" s="149">
        <f t="shared" si="3"/>
        <v>706910.45</v>
      </c>
      <c r="Z49" s="147">
        <f>52*INDEX('Master Data'!$C$75:$O$299,MATCH(A49,'Master Data'!$B$75:$B$299,0),MATCH($Z$1,'Master Data'!$C$74:$O$74,0))</f>
        <v>52</v>
      </c>
      <c r="AA49" s="148">
        <f>Z49*('Master Data'!$F$15)</f>
        <v>3920.8</v>
      </c>
      <c r="AB49" s="147">
        <f>52*INDEX('Master Data'!$C$75:$O$299,MATCH(A49,'Master Data'!$B$75:$B$299,0),MATCH($AB$1,'Master Data'!$C$74:$O$74,0))</f>
        <v>156</v>
      </c>
      <c r="AC49" s="148">
        <f>AB49*('Master Data'!$F$16)</f>
        <v>11281.919999999998</v>
      </c>
      <c r="AD49" s="149">
        <f t="shared" si="4"/>
        <v>15202.719999999998</v>
      </c>
      <c r="AE49" s="148">
        <f>INDEX('Master Data'!$D$58:$D$60,MATCH(D49,'Master Data'!$B$58:$B$60,0))</f>
        <v>19577.099999999999</v>
      </c>
      <c r="AF49" s="148">
        <f>INDEX('Master Data'!$E$58:$E$60,MATCH(D49,'Master Data'!$B$58:$B$60,0))</f>
        <v>992.8</v>
      </c>
      <c r="AG49" s="148">
        <f>INDEX('Master Data'!$F$58:$F$60,MATCH(D49,'Master Data'!$B$58:$B$60,0))</f>
        <v>2876.2</v>
      </c>
      <c r="AH49" s="149">
        <f t="shared" si="5"/>
        <v>745559.2699999999</v>
      </c>
      <c r="AI49" s="148">
        <f>ROUND(AH49*('Master Data'!$C$54),2)</f>
        <v>89467.11</v>
      </c>
      <c r="AJ49" s="148">
        <f>ROUND(SUM(AH49:AI49,AK49)*('Master Data'!$E$54),2)</f>
        <v>25016.59</v>
      </c>
      <c r="AK49" s="148">
        <f>ROUND(W49*('Master Data'!$F$54),2)</f>
        <v>0</v>
      </c>
      <c r="AL49" s="149">
        <f t="shared" si="6"/>
        <v>860042.96999999986</v>
      </c>
      <c r="AM49" s="140">
        <f t="shared" si="7"/>
        <v>2478.5100000000002</v>
      </c>
      <c r="AN49" s="121"/>
      <c r="AO49" s="121"/>
      <c r="AP49" s="121"/>
      <c r="AQ49" s="121"/>
      <c r="AR49" s="121"/>
      <c r="AS49" s="121"/>
    </row>
    <row r="50" spans="1:45">
      <c r="A50" s="121" t="s">
        <v>203</v>
      </c>
      <c r="B50" s="121" t="str">
        <f t="shared" si="0"/>
        <v>1</v>
      </c>
      <c r="C50" s="121" t="str">
        <f t="shared" si="1"/>
        <v>Medical 1</v>
      </c>
      <c r="D50" s="121" t="str">
        <f>INDEX('Master Data'!$C$75:$C$299,MATCH(A50,'Master Data'!$B$75:$B$299,0))</f>
        <v>2-3</v>
      </c>
      <c r="E50" s="147">
        <f>INDEX('Master Data'!$C$75:$O$299,MATCH(A50,'Master Data'!$B$75:$B$299,0),MATCH($E$1,'Master Data'!$C$74:$O$74,0))</f>
        <v>0.18</v>
      </c>
      <c r="F50" s="148">
        <f>ROUND(E50*INDEX('Master Data'!$F$4:$K$12,MATCH($E$1,'Master Data'!$E$4:$E$12,0),MATCH(C50,'Master Data'!$F$3:$K$3,0)),2)</f>
        <v>14667.64</v>
      </c>
      <c r="G50" s="147">
        <f>INDEX('Master Data'!$C$75:$O$299,MATCH(A50,'Master Data'!$B$75:$B$299,0),MATCH($G$1,'Master Data'!$C$74:$O$74,0))</f>
        <v>0.66</v>
      </c>
      <c r="H50" s="148">
        <f>ROUND(G50*INDEX('Master Data'!$F$4:$K$12,MATCH($G$1,'Master Data'!$E$4:$E$12,0),MATCH(C50,'Master Data'!$F$3:$K$3,0)),2)</f>
        <v>37216.5</v>
      </c>
      <c r="I50" s="147">
        <f>INDEX('Master Data'!$C$75:$O$299,MATCH(A50,'Master Data'!$B$75:$B$299,0),MATCH($I$1,'Master Data'!$C$74:$O$74,0))</f>
        <v>7.1</v>
      </c>
      <c r="J50" s="148">
        <f>ROUND(I50*INDEX('Master Data'!$F$4:$K$12,MATCH($I$1,'Master Data'!$E$4:$E$12,0),MATCH(C50,'Master Data'!$F$3:$K$3,0)),2)</f>
        <v>403046.26</v>
      </c>
      <c r="K50" s="147">
        <f>INDEX('Master Data'!$C$75:$O$299,MATCH(A50,'Master Data'!$B$75:$B$299,0),MATCH($K$1,'Master Data'!$C$74:$O$74,0))</f>
        <v>1.4</v>
      </c>
      <c r="L50" s="148">
        <f>ROUND(K50*INDEX('Master Data'!$F$4:$K$12,MATCH($K$1,'Master Data'!$E$4:$E$12,0),MATCH(C50,'Master Data'!$F$3:$K$3,0)),2)</f>
        <v>65579.399999999994</v>
      </c>
      <c r="M50" s="147">
        <f>INDEX('Master Data'!$C$75:$O$299,MATCH(A50,'Master Data'!$B$75:$B$299,0),MATCH($M$1,'Master Data'!$C$74:$O$74,0))</f>
        <v>1.1499999999999999</v>
      </c>
      <c r="N50" s="148">
        <f>ROUND(M50*INDEX('Master Data'!$F$4:$K$12,MATCH($M$1,'Master Data'!$E$4:$E$12,0),MATCH(C50,'Master Data'!$F$3:$K$3,0)),2)</f>
        <v>65282.14</v>
      </c>
      <c r="O50" s="147">
        <f>INDEX('Master Data'!$C$75:$O$299,MATCH(A50,'Master Data'!$B$75:$B$299,0),MATCH($O$1,'Master Data'!$C$74:$O$74,0))</f>
        <v>0.23</v>
      </c>
      <c r="P50" s="148">
        <f>ROUND(O50*INDEX('Master Data'!$F$4:$K$12,MATCH($O$1,'Master Data'!$E$4:$E$12,0),MATCH(C50,'Master Data'!$F$3:$K$3,0)),2)</f>
        <v>7176</v>
      </c>
      <c r="Q50" s="147">
        <f>INDEX('Master Data'!$C$75:$O$299,MATCH(A50,'Master Data'!$B$75:$B$299,0),MATCH($Q$1,'Master Data'!$C$74:$O$74,0))</f>
        <v>0.12</v>
      </c>
      <c r="R50" s="148">
        <f>ROUND(Q50*INDEX('Master Data'!$F$4:$K$12,MATCH($Q$1,'Master Data'!$E$4:$E$12,0),MATCH(C50,'Master Data'!$F$3:$K$3,0)),2)</f>
        <v>5621.09</v>
      </c>
      <c r="S50" s="147">
        <f>INDEX('Master Data'!$C$75:$O$299,MATCH(A50,'Master Data'!$B$75:$B$299,0),MATCH($S$1,'Master Data'!$C$74:$O$74,0))</f>
        <v>0</v>
      </c>
      <c r="T50" s="148">
        <f>ROUND(S50*INDEX('Master Data'!$F$4:$K$12,MATCH($S$1,'Master Data'!$E$4:$E$12,0),MATCH(C50,'Master Data'!$F$3:$K$3,0)),2)</f>
        <v>0</v>
      </c>
      <c r="U50" s="147">
        <f>INDEX('Master Data'!$C$75:$O$299,MATCH(A50,'Master Data'!$B$75:$B$299,0),MATCH($U$1,'Master Data'!$C$74:$O$74,0))</f>
        <v>0</v>
      </c>
      <c r="V50" s="148">
        <f>ROUND(U50*INDEX('Master Data'!$F$4:$K$12,MATCH($U$1,'Master Data'!$E$4:$E$12,0),MATCH(C50,'Master Data'!$F$3:$K$3,0)),2)</f>
        <v>0</v>
      </c>
      <c r="W50" s="149">
        <f t="shared" si="2"/>
        <v>598589.03</v>
      </c>
      <c r="X50" s="148">
        <f>ROUND(W50*('Master Data'!$B$54),2)</f>
        <v>149467.68</v>
      </c>
      <c r="Y50" s="149">
        <f t="shared" si="3"/>
        <v>748056.71</v>
      </c>
      <c r="Z50" s="147">
        <f>52*INDEX('Master Data'!$C$75:$O$299,MATCH(A50,'Master Data'!$B$75:$B$299,0),MATCH($Z$1,'Master Data'!$C$74:$O$74,0))</f>
        <v>52</v>
      </c>
      <c r="AA50" s="148">
        <f>Z50*('Master Data'!$F$15)</f>
        <v>3920.8</v>
      </c>
      <c r="AB50" s="147">
        <f>52*INDEX('Master Data'!$C$75:$O$299,MATCH(A50,'Master Data'!$B$75:$B$299,0),MATCH($AB$1,'Master Data'!$C$74:$O$74,0))</f>
        <v>156</v>
      </c>
      <c r="AC50" s="148">
        <f>AB50*('Master Data'!$F$16)</f>
        <v>11281.919999999998</v>
      </c>
      <c r="AD50" s="149">
        <f t="shared" si="4"/>
        <v>15202.719999999998</v>
      </c>
      <c r="AE50" s="148">
        <f>INDEX('Master Data'!$D$58:$D$60,MATCH(D50,'Master Data'!$B$58:$B$60,0))</f>
        <v>19577.099999999999</v>
      </c>
      <c r="AF50" s="148">
        <f>INDEX('Master Data'!$E$58:$E$60,MATCH(D50,'Master Data'!$B$58:$B$60,0))</f>
        <v>992.8</v>
      </c>
      <c r="AG50" s="148">
        <f>INDEX('Master Data'!$F$58:$F$60,MATCH(D50,'Master Data'!$B$58:$B$60,0))</f>
        <v>2876.2</v>
      </c>
      <c r="AH50" s="149">
        <f t="shared" si="5"/>
        <v>786705.52999999991</v>
      </c>
      <c r="AI50" s="148">
        <f>ROUND(AH50*('Master Data'!$C$54),2)</f>
        <v>94404.66</v>
      </c>
      <c r="AJ50" s="148">
        <f>ROUND(SUM(AH50:AI50,AK50)*('Master Data'!$E$54),2)</f>
        <v>26397.22</v>
      </c>
      <c r="AK50" s="148">
        <f>ROUND(W50*('Master Data'!$F$54),2)</f>
        <v>0</v>
      </c>
      <c r="AL50" s="149">
        <f t="shared" si="6"/>
        <v>907507.40999999992</v>
      </c>
      <c r="AM50" s="140">
        <f t="shared" si="7"/>
        <v>2615.3000000000002</v>
      </c>
      <c r="AN50" s="121"/>
      <c r="AO50" s="121"/>
      <c r="AP50" s="121"/>
      <c r="AQ50" s="121"/>
      <c r="AR50" s="121"/>
      <c r="AS50" s="121"/>
    </row>
    <row r="51" spans="1:45">
      <c r="A51" s="121" t="s">
        <v>204</v>
      </c>
      <c r="B51" s="121" t="str">
        <f t="shared" si="0"/>
        <v>1</v>
      </c>
      <c r="C51" s="121" t="str">
        <f t="shared" si="1"/>
        <v>Medical 1</v>
      </c>
      <c r="D51" s="121" t="str">
        <f>INDEX('Master Data'!$C$75:$C$299,MATCH(A51,'Master Data'!$B$75:$B$299,0))</f>
        <v>2-3</v>
      </c>
      <c r="E51" s="147">
        <f>INDEX('Master Data'!$C$75:$O$299,MATCH(A51,'Master Data'!$B$75:$B$299,0),MATCH($E$1,'Master Data'!$C$74:$O$74,0))</f>
        <v>0.18</v>
      </c>
      <c r="F51" s="148">
        <f>ROUND(E51*INDEX('Master Data'!$F$4:$K$12,MATCH($E$1,'Master Data'!$E$4:$E$12,0),MATCH(C51,'Master Data'!$F$3:$K$3,0)),2)</f>
        <v>14667.64</v>
      </c>
      <c r="G51" s="147">
        <f>INDEX('Master Data'!$C$75:$O$299,MATCH(A51,'Master Data'!$B$75:$B$299,0),MATCH($G$1,'Master Data'!$C$74:$O$74,0))</f>
        <v>0.66</v>
      </c>
      <c r="H51" s="148">
        <f>ROUND(G51*INDEX('Master Data'!$F$4:$K$12,MATCH($G$1,'Master Data'!$E$4:$E$12,0),MATCH(C51,'Master Data'!$F$3:$K$3,0)),2)</f>
        <v>37216.5</v>
      </c>
      <c r="I51" s="147">
        <f>INDEX('Master Data'!$C$75:$O$299,MATCH(A51,'Master Data'!$B$75:$B$299,0),MATCH($I$1,'Master Data'!$C$74:$O$74,0))</f>
        <v>7.6</v>
      </c>
      <c r="J51" s="148">
        <f>ROUND(I51*INDEX('Master Data'!$F$4:$K$12,MATCH($I$1,'Master Data'!$E$4:$E$12,0),MATCH(C51,'Master Data'!$F$3:$K$3,0)),2)</f>
        <v>431429.79</v>
      </c>
      <c r="K51" s="147">
        <f>INDEX('Master Data'!$C$75:$O$299,MATCH(A51,'Master Data'!$B$75:$B$299,0),MATCH($K$1,'Master Data'!$C$74:$O$74,0))</f>
        <v>1.4</v>
      </c>
      <c r="L51" s="148">
        <f>ROUND(K51*INDEX('Master Data'!$F$4:$K$12,MATCH($K$1,'Master Data'!$E$4:$E$12,0),MATCH(C51,'Master Data'!$F$3:$K$3,0)),2)</f>
        <v>65579.399999999994</v>
      </c>
      <c r="M51" s="147">
        <f>INDEX('Master Data'!$C$75:$O$299,MATCH(A51,'Master Data'!$B$75:$B$299,0),MATCH($M$1,'Master Data'!$C$74:$O$74,0))</f>
        <v>1.23</v>
      </c>
      <c r="N51" s="148">
        <f>ROUND(M51*INDEX('Master Data'!$F$4:$K$12,MATCH($M$1,'Master Data'!$E$4:$E$12,0),MATCH(C51,'Master Data'!$F$3:$K$3,0)),2)</f>
        <v>69823.509999999995</v>
      </c>
      <c r="O51" s="147">
        <f>INDEX('Master Data'!$C$75:$O$299,MATCH(A51,'Master Data'!$B$75:$B$299,0),MATCH($O$1,'Master Data'!$C$74:$O$74,0))</f>
        <v>0.23</v>
      </c>
      <c r="P51" s="148">
        <f>ROUND(O51*INDEX('Master Data'!$F$4:$K$12,MATCH($O$1,'Master Data'!$E$4:$E$12,0),MATCH(C51,'Master Data'!$F$3:$K$3,0)),2)</f>
        <v>7176</v>
      </c>
      <c r="Q51" s="147">
        <f>INDEX('Master Data'!$C$75:$O$299,MATCH(A51,'Master Data'!$B$75:$B$299,0),MATCH($Q$1,'Master Data'!$C$74:$O$74,0))</f>
        <v>0.12</v>
      </c>
      <c r="R51" s="148">
        <f>ROUND(Q51*INDEX('Master Data'!$F$4:$K$12,MATCH($Q$1,'Master Data'!$E$4:$E$12,0),MATCH(C51,'Master Data'!$F$3:$K$3,0)),2)</f>
        <v>5621.09</v>
      </c>
      <c r="S51" s="147">
        <f>INDEX('Master Data'!$C$75:$O$299,MATCH(A51,'Master Data'!$B$75:$B$299,0),MATCH($S$1,'Master Data'!$C$74:$O$74,0))</f>
        <v>0</v>
      </c>
      <c r="T51" s="148">
        <f>ROUND(S51*INDEX('Master Data'!$F$4:$K$12,MATCH($S$1,'Master Data'!$E$4:$E$12,0),MATCH(C51,'Master Data'!$F$3:$K$3,0)),2)</f>
        <v>0</v>
      </c>
      <c r="U51" s="147">
        <f>INDEX('Master Data'!$C$75:$O$299,MATCH(A51,'Master Data'!$B$75:$B$299,0),MATCH($U$1,'Master Data'!$C$74:$O$74,0))</f>
        <v>0</v>
      </c>
      <c r="V51" s="148">
        <f>ROUND(U51*INDEX('Master Data'!$F$4:$K$12,MATCH($U$1,'Master Data'!$E$4:$E$12,0),MATCH(C51,'Master Data'!$F$3:$K$3,0)),2)</f>
        <v>0</v>
      </c>
      <c r="W51" s="149">
        <f t="shared" si="2"/>
        <v>631513.92999999993</v>
      </c>
      <c r="X51" s="148">
        <f>ROUND(W51*('Master Data'!$B$54),2)</f>
        <v>157689.03</v>
      </c>
      <c r="Y51" s="149">
        <f t="shared" si="3"/>
        <v>789202.96</v>
      </c>
      <c r="Z51" s="147">
        <f>52*INDEX('Master Data'!$C$75:$O$299,MATCH(A51,'Master Data'!$B$75:$B$299,0),MATCH($Z$1,'Master Data'!$C$74:$O$74,0))</f>
        <v>52</v>
      </c>
      <c r="AA51" s="148">
        <f>Z51*('Master Data'!$F$15)</f>
        <v>3920.8</v>
      </c>
      <c r="AB51" s="147">
        <f>52*INDEX('Master Data'!$C$75:$O$299,MATCH(A51,'Master Data'!$B$75:$B$299,0),MATCH($AB$1,'Master Data'!$C$74:$O$74,0))</f>
        <v>156</v>
      </c>
      <c r="AC51" s="148">
        <f>AB51*('Master Data'!$F$16)</f>
        <v>11281.919999999998</v>
      </c>
      <c r="AD51" s="149">
        <f t="shared" si="4"/>
        <v>15202.719999999998</v>
      </c>
      <c r="AE51" s="148">
        <f>INDEX('Master Data'!$D$58:$D$60,MATCH(D51,'Master Data'!$B$58:$B$60,0))</f>
        <v>19577.099999999999</v>
      </c>
      <c r="AF51" s="148">
        <f>INDEX('Master Data'!$E$58:$E$60,MATCH(D51,'Master Data'!$B$58:$B$60,0))</f>
        <v>992.8</v>
      </c>
      <c r="AG51" s="148">
        <f>INDEX('Master Data'!$F$58:$F$60,MATCH(D51,'Master Data'!$B$58:$B$60,0))</f>
        <v>2876.2</v>
      </c>
      <c r="AH51" s="149">
        <f t="shared" si="5"/>
        <v>827851.77999999991</v>
      </c>
      <c r="AI51" s="148">
        <f>ROUND(AH51*('Master Data'!$C$54),2)</f>
        <v>99342.21</v>
      </c>
      <c r="AJ51" s="148">
        <f>ROUND(SUM(AH51:AI51,AK51)*('Master Data'!$E$54),2)</f>
        <v>27777.84</v>
      </c>
      <c r="AK51" s="148">
        <f>ROUND(W51*('Master Data'!$F$54),2)</f>
        <v>0</v>
      </c>
      <c r="AL51" s="149">
        <f t="shared" si="6"/>
        <v>954971.82999999984</v>
      </c>
      <c r="AM51" s="140">
        <f t="shared" si="7"/>
        <v>2752.08</v>
      </c>
      <c r="AN51" s="121"/>
      <c r="AO51" s="121"/>
      <c r="AP51" s="121"/>
      <c r="AQ51" s="121"/>
      <c r="AR51" s="121"/>
      <c r="AS51" s="121"/>
    </row>
    <row r="52" spans="1:45">
      <c r="A52" s="121" t="s">
        <v>205</v>
      </c>
      <c r="B52" s="121" t="str">
        <f t="shared" si="0"/>
        <v>1</v>
      </c>
      <c r="C52" s="121" t="str">
        <f t="shared" si="1"/>
        <v>Medical 1</v>
      </c>
      <c r="D52" s="121" t="str">
        <f>INDEX('Master Data'!$C$75:$C$299,MATCH(A52,'Master Data'!$B$75:$B$299,0))</f>
        <v>2-3</v>
      </c>
      <c r="E52" s="147">
        <f>INDEX('Master Data'!$C$75:$O$299,MATCH(A52,'Master Data'!$B$75:$B$299,0),MATCH($E$1,'Master Data'!$C$74:$O$74,0))</f>
        <v>0.18</v>
      </c>
      <c r="F52" s="148">
        <f>ROUND(E52*INDEX('Master Data'!$F$4:$K$12,MATCH($E$1,'Master Data'!$E$4:$E$12,0),MATCH(C52,'Master Data'!$F$3:$K$3,0)),2)</f>
        <v>14667.64</v>
      </c>
      <c r="G52" s="147">
        <f>INDEX('Master Data'!$C$75:$O$299,MATCH(A52,'Master Data'!$B$75:$B$299,0),MATCH($G$1,'Master Data'!$C$74:$O$74,0))</f>
        <v>0.66</v>
      </c>
      <c r="H52" s="148">
        <f>ROUND(G52*INDEX('Master Data'!$F$4:$K$12,MATCH($G$1,'Master Data'!$E$4:$E$12,0),MATCH(C52,'Master Data'!$F$3:$K$3,0)),2)</f>
        <v>37216.5</v>
      </c>
      <c r="I52" s="147">
        <f>INDEX('Master Data'!$C$75:$O$299,MATCH(A52,'Master Data'!$B$75:$B$299,0),MATCH($I$1,'Master Data'!$C$74:$O$74,0))</f>
        <v>8.1</v>
      </c>
      <c r="J52" s="148">
        <f>ROUND(I52*INDEX('Master Data'!$F$4:$K$12,MATCH($I$1,'Master Data'!$E$4:$E$12,0),MATCH(C52,'Master Data'!$F$3:$K$3,0)),2)</f>
        <v>459813.33</v>
      </c>
      <c r="K52" s="147">
        <f>INDEX('Master Data'!$C$75:$O$299,MATCH(A52,'Master Data'!$B$75:$B$299,0),MATCH($K$1,'Master Data'!$C$74:$O$74,0))</f>
        <v>1.4</v>
      </c>
      <c r="L52" s="148">
        <f>ROUND(K52*INDEX('Master Data'!$F$4:$K$12,MATCH($K$1,'Master Data'!$E$4:$E$12,0),MATCH(C52,'Master Data'!$F$3:$K$3,0)),2)</f>
        <v>65579.399999999994</v>
      </c>
      <c r="M52" s="147">
        <f>INDEX('Master Data'!$C$75:$O$299,MATCH(A52,'Master Data'!$B$75:$B$299,0),MATCH($M$1,'Master Data'!$C$74:$O$74,0))</f>
        <v>1.31</v>
      </c>
      <c r="N52" s="148">
        <f>ROUND(M52*INDEX('Master Data'!$F$4:$K$12,MATCH($M$1,'Master Data'!$E$4:$E$12,0),MATCH(C52,'Master Data'!$F$3:$K$3,0)),2)</f>
        <v>74364.87</v>
      </c>
      <c r="O52" s="147">
        <f>INDEX('Master Data'!$C$75:$O$299,MATCH(A52,'Master Data'!$B$75:$B$299,0),MATCH($O$1,'Master Data'!$C$74:$O$74,0))</f>
        <v>0.23</v>
      </c>
      <c r="P52" s="148">
        <f>ROUND(O52*INDEX('Master Data'!$F$4:$K$12,MATCH($O$1,'Master Data'!$E$4:$E$12,0),MATCH(C52,'Master Data'!$F$3:$K$3,0)),2)</f>
        <v>7176</v>
      </c>
      <c r="Q52" s="147">
        <f>INDEX('Master Data'!$C$75:$O$299,MATCH(A52,'Master Data'!$B$75:$B$299,0),MATCH($Q$1,'Master Data'!$C$74:$O$74,0))</f>
        <v>0.12</v>
      </c>
      <c r="R52" s="148">
        <f>ROUND(Q52*INDEX('Master Data'!$F$4:$K$12,MATCH($Q$1,'Master Data'!$E$4:$E$12,0),MATCH(C52,'Master Data'!$F$3:$K$3,0)),2)</f>
        <v>5621.09</v>
      </c>
      <c r="S52" s="147">
        <f>INDEX('Master Data'!$C$75:$O$299,MATCH(A52,'Master Data'!$B$75:$B$299,0),MATCH($S$1,'Master Data'!$C$74:$O$74,0))</f>
        <v>0</v>
      </c>
      <c r="T52" s="148">
        <f>ROUND(S52*INDEX('Master Data'!$F$4:$K$12,MATCH($S$1,'Master Data'!$E$4:$E$12,0),MATCH(C52,'Master Data'!$F$3:$K$3,0)),2)</f>
        <v>0</v>
      </c>
      <c r="U52" s="147">
        <f>INDEX('Master Data'!$C$75:$O$299,MATCH(A52,'Master Data'!$B$75:$B$299,0),MATCH($U$1,'Master Data'!$C$74:$O$74,0))</f>
        <v>0</v>
      </c>
      <c r="V52" s="148">
        <f>ROUND(U52*INDEX('Master Data'!$F$4:$K$12,MATCH($U$1,'Master Data'!$E$4:$E$12,0),MATCH(C52,'Master Data'!$F$3:$K$3,0)),2)</f>
        <v>0</v>
      </c>
      <c r="W52" s="149">
        <f t="shared" si="2"/>
        <v>664438.82999999996</v>
      </c>
      <c r="X52" s="148">
        <f>ROUND(W52*('Master Data'!$B$54),2)</f>
        <v>165910.38</v>
      </c>
      <c r="Y52" s="149">
        <f t="shared" si="3"/>
        <v>830349.21</v>
      </c>
      <c r="Z52" s="147">
        <f>52*INDEX('Master Data'!$C$75:$O$299,MATCH(A52,'Master Data'!$B$75:$B$299,0),MATCH($Z$1,'Master Data'!$C$74:$O$74,0))</f>
        <v>52</v>
      </c>
      <c r="AA52" s="148">
        <f>Z52*('Master Data'!$F$15)</f>
        <v>3920.8</v>
      </c>
      <c r="AB52" s="147">
        <f>52*INDEX('Master Data'!$C$75:$O$299,MATCH(A52,'Master Data'!$B$75:$B$299,0),MATCH($AB$1,'Master Data'!$C$74:$O$74,0))</f>
        <v>156</v>
      </c>
      <c r="AC52" s="148">
        <f>AB52*('Master Data'!$F$16)</f>
        <v>11281.919999999998</v>
      </c>
      <c r="AD52" s="149">
        <f t="shared" si="4"/>
        <v>15202.719999999998</v>
      </c>
      <c r="AE52" s="148">
        <f>INDEX('Master Data'!$D$58:$D$60,MATCH(D52,'Master Data'!$B$58:$B$60,0))</f>
        <v>19577.099999999999</v>
      </c>
      <c r="AF52" s="148">
        <f>INDEX('Master Data'!$E$58:$E$60,MATCH(D52,'Master Data'!$B$58:$B$60,0))</f>
        <v>992.8</v>
      </c>
      <c r="AG52" s="148">
        <f>INDEX('Master Data'!$F$58:$F$60,MATCH(D52,'Master Data'!$B$58:$B$60,0))</f>
        <v>2876.2</v>
      </c>
      <c r="AH52" s="149">
        <f t="shared" si="5"/>
        <v>868998.02999999991</v>
      </c>
      <c r="AI52" s="148">
        <f>ROUND(AH52*('Master Data'!$C$54),2)</f>
        <v>104279.76</v>
      </c>
      <c r="AJ52" s="148">
        <f>ROUND(SUM(AH52:AI52,AK52)*('Master Data'!$E$54),2)</f>
        <v>29158.47</v>
      </c>
      <c r="AK52" s="148">
        <f>ROUND(W52*('Master Data'!$F$54),2)</f>
        <v>0</v>
      </c>
      <c r="AL52" s="149">
        <f t="shared" si="6"/>
        <v>1002436.2599999999</v>
      </c>
      <c r="AM52" s="140">
        <f t="shared" si="7"/>
        <v>2888.87</v>
      </c>
      <c r="AN52" s="121"/>
      <c r="AO52" s="121"/>
      <c r="AP52" s="121"/>
      <c r="AQ52" s="121"/>
      <c r="AR52" s="121"/>
      <c r="AS52" s="121"/>
    </row>
    <row r="53" spans="1:45">
      <c r="A53" s="121" t="s">
        <v>206</v>
      </c>
      <c r="B53" s="121" t="str">
        <f t="shared" si="0"/>
        <v>1</v>
      </c>
      <c r="C53" s="121" t="str">
        <f t="shared" si="1"/>
        <v>Medical 1</v>
      </c>
      <c r="D53" s="121" t="str">
        <f>INDEX('Master Data'!$C$75:$C$299,MATCH(A53,'Master Data'!$B$75:$B$299,0))</f>
        <v>2-3</v>
      </c>
      <c r="E53" s="147">
        <f>INDEX('Master Data'!$C$75:$O$299,MATCH(A53,'Master Data'!$B$75:$B$299,0),MATCH($E$1,'Master Data'!$C$74:$O$74,0))</f>
        <v>0.18</v>
      </c>
      <c r="F53" s="148">
        <f>ROUND(E53*INDEX('Master Data'!$F$4:$K$12,MATCH($E$1,'Master Data'!$E$4:$E$12,0),MATCH(C53,'Master Data'!$F$3:$K$3,0)),2)</f>
        <v>14667.64</v>
      </c>
      <c r="G53" s="147">
        <f>INDEX('Master Data'!$C$75:$O$299,MATCH(A53,'Master Data'!$B$75:$B$299,0),MATCH($G$1,'Master Data'!$C$74:$O$74,0))</f>
        <v>0.66</v>
      </c>
      <c r="H53" s="148">
        <f>ROUND(G53*INDEX('Master Data'!$F$4:$K$12,MATCH($G$1,'Master Data'!$E$4:$E$12,0),MATCH(C53,'Master Data'!$F$3:$K$3,0)),2)</f>
        <v>37216.5</v>
      </c>
      <c r="I53" s="147">
        <f>INDEX('Master Data'!$C$75:$O$299,MATCH(A53,'Master Data'!$B$75:$B$299,0),MATCH($I$1,'Master Data'!$C$74:$O$74,0))</f>
        <v>8.6</v>
      </c>
      <c r="J53" s="148">
        <f>ROUND(I53*INDEX('Master Data'!$F$4:$K$12,MATCH($I$1,'Master Data'!$E$4:$E$12,0),MATCH(C53,'Master Data'!$F$3:$K$3,0)),2)</f>
        <v>488196.87</v>
      </c>
      <c r="K53" s="147">
        <f>INDEX('Master Data'!$C$75:$O$299,MATCH(A53,'Master Data'!$B$75:$B$299,0),MATCH($K$1,'Master Data'!$C$74:$O$74,0))</f>
        <v>1.4</v>
      </c>
      <c r="L53" s="148">
        <f>ROUND(K53*INDEX('Master Data'!$F$4:$K$12,MATCH($K$1,'Master Data'!$E$4:$E$12,0),MATCH(C53,'Master Data'!$F$3:$K$3,0)),2)</f>
        <v>65579.399999999994</v>
      </c>
      <c r="M53" s="147">
        <f>INDEX('Master Data'!$C$75:$O$299,MATCH(A53,'Master Data'!$B$75:$B$299,0),MATCH($M$1,'Master Data'!$C$74:$O$74,0))</f>
        <v>1.39</v>
      </c>
      <c r="N53" s="148">
        <f>ROUND(M53*INDEX('Master Data'!$F$4:$K$12,MATCH($M$1,'Master Data'!$E$4:$E$12,0),MATCH(C53,'Master Data'!$F$3:$K$3,0)),2)</f>
        <v>78906.240000000005</v>
      </c>
      <c r="O53" s="147">
        <f>INDEX('Master Data'!$C$75:$O$299,MATCH(A53,'Master Data'!$B$75:$B$299,0),MATCH($O$1,'Master Data'!$C$74:$O$74,0))</f>
        <v>0.23</v>
      </c>
      <c r="P53" s="148">
        <f>ROUND(O53*INDEX('Master Data'!$F$4:$K$12,MATCH($O$1,'Master Data'!$E$4:$E$12,0),MATCH(C53,'Master Data'!$F$3:$K$3,0)),2)</f>
        <v>7176</v>
      </c>
      <c r="Q53" s="147">
        <f>INDEX('Master Data'!$C$75:$O$299,MATCH(A53,'Master Data'!$B$75:$B$299,0),MATCH($Q$1,'Master Data'!$C$74:$O$74,0))</f>
        <v>0.12</v>
      </c>
      <c r="R53" s="148">
        <f>ROUND(Q53*INDEX('Master Data'!$F$4:$K$12,MATCH($Q$1,'Master Data'!$E$4:$E$12,0),MATCH(C53,'Master Data'!$F$3:$K$3,0)),2)</f>
        <v>5621.09</v>
      </c>
      <c r="S53" s="147">
        <f>INDEX('Master Data'!$C$75:$O$299,MATCH(A53,'Master Data'!$B$75:$B$299,0),MATCH($S$1,'Master Data'!$C$74:$O$74,0))</f>
        <v>0</v>
      </c>
      <c r="T53" s="148">
        <f>ROUND(S53*INDEX('Master Data'!$F$4:$K$12,MATCH($S$1,'Master Data'!$E$4:$E$12,0),MATCH(C53,'Master Data'!$F$3:$K$3,0)),2)</f>
        <v>0</v>
      </c>
      <c r="U53" s="147">
        <f>INDEX('Master Data'!$C$75:$O$299,MATCH(A53,'Master Data'!$B$75:$B$299,0),MATCH($U$1,'Master Data'!$C$74:$O$74,0))</f>
        <v>0</v>
      </c>
      <c r="V53" s="148">
        <f>ROUND(U53*INDEX('Master Data'!$F$4:$K$12,MATCH($U$1,'Master Data'!$E$4:$E$12,0),MATCH(C53,'Master Data'!$F$3:$K$3,0)),2)</f>
        <v>0</v>
      </c>
      <c r="W53" s="149">
        <f t="shared" si="2"/>
        <v>697363.74</v>
      </c>
      <c r="X53" s="148">
        <f>ROUND(W53*('Master Data'!$B$54),2)</f>
        <v>174131.73</v>
      </c>
      <c r="Y53" s="149">
        <f t="shared" si="3"/>
        <v>871495.47</v>
      </c>
      <c r="Z53" s="147">
        <f>52*INDEX('Master Data'!$C$75:$O$299,MATCH(A53,'Master Data'!$B$75:$B$299,0),MATCH($Z$1,'Master Data'!$C$74:$O$74,0))</f>
        <v>52</v>
      </c>
      <c r="AA53" s="148">
        <f>Z53*('Master Data'!$F$15)</f>
        <v>3920.8</v>
      </c>
      <c r="AB53" s="147">
        <f>52*INDEX('Master Data'!$C$75:$O$299,MATCH(A53,'Master Data'!$B$75:$B$299,0),MATCH($AB$1,'Master Data'!$C$74:$O$74,0))</f>
        <v>156</v>
      </c>
      <c r="AC53" s="148">
        <f>AB53*('Master Data'!$F$16)</f>
        <v>11281.919999999998</v>
      </c>
      <c r="AD53" s="149">
        <f t="shared" si="4"/>
        <v>15202.719999999998</v>
      </c>
      <c r="AE53" s="148">
        <f>INDEX('Master Data'!$D$58:$D$60,MATCH(D53,'Master Data'!$B$58:$B$60,0))</f>
        <v>19577.099999999999</v>
      </c>
      <c r="AF53" s="148">
        <f>INDEX('Master Data'!$E$58:$E$60,MATCH(D53,'Master Data'!$B$58:$B$60,0))</f>
        <v>992.8</v>
      </c>
      <c r="AG53" s="148">
        <f>INDEX('Master Data'!$F$58:$F$60,MATCH(D53,'Master Data'!$B$58:$B$60,0))</f>
        <v>2876.2</v>
      </c>
      <c r="AH53" s="149">
        <f t="shared" si="5"/>
        <v>910144.28999999992</v>
      </c>
      <c r="AI53" s="148">
        <f>ROUND(AH53*('Master Data'!$C$54),2)</f>
        <v>109217.31</v>
      </c>
      <c r="AJ53" s="148">
        <f>ROUND(SUM(AH53:AI53,AK53)*('Master Data'!$E$54),2)</f>
        <v>30539.1</v>
      </c>
      <c r="AK53" s="148">
        <f>ROUND(W53*('Master Data'!$F$54),2)</f>
        <v>0</v>
      </c>
      <c r="AL53" s="149">
        <f t="shared" si="6"/>
        <v>1049900.7</v>
      </c>
      <c r="AM53" s="140">
        <f t="shared" si="7"/>
        <v>3025.65</v>
      </c>
      <c r="AN53" s="121"/>
      <c r="AO53" s="121"/>
      <c r="AP53" s="121"/>
      <c r="AQ53" s="121"/>
      <c r="AR53" s="121"/>
      <c r="AS53" s="121"/>
    </row>
    <row r="54" spans="1:45">
      <c r="A54" s="121" t="s">
        <v>207</v>
      </c>
      <c r="B54" s="121" t="str">
        <f t="shared" si="0"/>
        <v>1</v>
      </c>
      <c r="C54" s="121" t="str">
        <f t="shared" si="1"/>
        <v>Medical 1</v>
      </c>
      <c r="D54" s="121" t="str">
        <f>INDEX('Master Data'!$C$75:$C$299,MATCH(A54,'Master Data'!$B$75:$B$299,0))</f>
        <v>2-3</v>
      </c>
      <c r="E54" s="147">
        <f>INDEX('Master Data'!$C$75:$O$299,MATCH(A54,'Master Data'!$B$75:$B$299,0),MATCH($E$1,'Master Data'!$C$74:$O$74,0))</f>
        <v>0.18</v>
      </c>
      <c r="F54" s="148">
        <f>ROUND(E54*INDEX('Master Data'!$F$4:$K$12,MATCH($E$1,'Master Data'!$E$4:$E$12,0),MATCH(C54,'Master Data'!$F$3:$K$3,0)),2)</f>
        <v>14667.64</v>
      </c>
      <c r="G54" s="147">
        <f>INDEX('Master Data'!$C$75:$O$299,MATCH(A54,'Master Data'!$B$75:$B$299,0),MATCH($G$1,'Master Data'!$C$74:$O$74,0))</f>
        <v>0.66</v>
      </c>
      <c r="H54" s="148">
        <f>ROUND(G54*INDEX('Master Data'!$F$4:$K$12,MATCH($G$1,'Master Data'!$E$4:$E$12,0),MATCH(C54,'Master Data'!$F$3:$K$3,0)),2)</f>
        <v>37216.5</v>
      </c>
      <c r="I54" s="147">
        <f>INDEX('Master Data'!$C$75:$O$299,MATCH(A54,'Master Data'!$B$75:$B$299,0),MATCH($I$1,'Master Data'!$C$74:$O$74,0))</f>
        <v>9.1</v>
      </c>
      <c r="J54" s="148">
        <f>ROUND(I54*INDEX('Master Data'!$F$4:$K$12,MATCH($I$1,'Master Data'!$E$4:$E$12,0),MATCH(C54,'Master Data'!$F$3:$K$3,0)),2)</f>
        <v>516580.41</v>
      </c>
      <c r="K54" s="147">
        <f>INDEX('Master Data'!$C$75:$O$299,MATCH(A54,'Master Data'!$B$75:$B$299,0),MATCH($K$1,'Master Data'!$C$74:$O$74,0))</f>
        <v>1.4</v>
      </c>
      <c r="L54" s="148">
        <f>ROUND(K54*INDEX('Master Data'!$F$4:$K$12,MATCH($K$1,'Master Data'!$E$4:$E$12,0),MATCH(C54,'Master Data'!$F$3:$K$3,0)),2)</f>
        <v>65579.399999999994</v>
      </c>
      <c r="M54" s="147">
        <f>INDEX('Master Data'!$C$75:$O$299,MATCH(A54,'Master Data'!$B$75:$B$299,0),MATCH($M$1,'Master Data'!$C$74:$O$74,0))</f>
        <v>1.47</v>
      </c>
      <c r="N54" s="148">
        <f>ROUND(M54*INDEX('Master Data'!$F$4:$K$12,MATCH($M$1,'Master Data'!$E$4:$E$12,0),MATCH(C54,'Master Data'!$F$3:$K$3,0)),2)</f>
        <v>83447.61</v>
      </c>
      <c r="O54" s="147">
        <f>INDEX('Master Data'!$C$75:$O$299,MATCH(A54,'Master Data'!$B$75:$B$299,0),MATCH($O$1,'Master Data'!$C$74:$O$74,0))</f>
        <v>0.23</v>
      </c>
      <c r="P54" s="148">
        <f>ROUND(O54*INDEX('Master Data'!$F$4:$K$12,MATCH($O$1,'Master Data'!$E$4:$E$12,0),MATCH(C54,'Master Data'!$F$3:$K$3,0)),2)</f>
        <v>7176</v>
      </c>
      <c r="Q54" s="147">
        <f>INDEX('Master Data'!$C$75:$O$299,MATCH(A54,'Master Data'!$B$75:$B$299,0),MATCH($Q$1,'Master Data'!$C$74:$O$74,0))</f>
        <v>0.12</v>
      </c>
      <c r="R54" s="148">
        <f>ROUND(Q54*INDEX('Master Data'!$F$4:$K$12,MATCH($Q$1,'Master Data'!$E$4:$E$12,0),MATCH(C54,'Master Data'!$F$3:$K$3,0)),2)</f>
        <v>5621.09</v>
      </c>
      <c r="S54" s="147">
        <f>INDEX('Master Data'!$C$75:$O$299,MATCH(A54,'Master Data'!$B$75:$B$299,0),MATCH($S$1,'Master Data'!$C$74:$O$74,0))</f>
        <v>0</v>
      </c>
      <c r="T54" s="148">
        <f>ROUND(S54*INDEX('Master Data'!$F$4:$K$12,MATCH($S$1,'Master Data'!$E$4:$E$12,0),MATCH(C54,'Master Data'!$F$3:$K$3,0)),2)</f>
        <v>0</v>
      </c>
      <c r="U54" s="147">
        <f>INDEX('Master Data'!$C$75:$O$299,MATCH(A54,'Master Data'!$B$75:$B$299,0),MATCH($U$1,'Master Data'!$C$74:$O$74,0))</f>
        <v>0</v>
      </c>
      <c r="V54" s="148">
        <f>ROUND(U54*INDEX('Master Data'!$F$4:$K$12,MATCH($U$1,'Master Data'!$E$4:$E$12,0),MATCH(C54,'Master Data'!$F$3:$K$3,0)),2)</f>
        <v>0</v>
      </c>
      <c r="W54" s="149">
        <f t="shared" si="2"/>
        <v>730288.64999999991</v>
      </c>
      <c r="X54" s="148">
        <f>ROUND(W54*('Master Data'!$B$54),2)</f>
        <v>182353.08</v>
      </c>
      <c r="Y54" s="149">
        <f t="shared" si="3"/>
        <v>912641.72999999986</v>
      </c>
      <c r="Z54" s="147">
        <f>52*INDEX('Master Data'!$C$75:$O$299,MATCH(A54,'Master Data'!$B$75:$B$299,0),MATCH($Z$1,'Master Data'!$C$74:$O$74,0))</f>
        <v>52</v>
      </c>
      <c r="AA54" s="148">
        <f>Z54*('Master Data'!$F$15)</f>
        <v>3920.8</v>
      </c>
      <c r="AB54" s="147">
        <f>52*INDEX('Master Data'!$C$75:$O$299,MATCH(A54,'Master Data'!$B$75:$B$299,0),MATCH($AB$1,'Master Data'!$C$74:$O$74,0))</f>
        <v>156</v>
      </c>
      <c r="AC54" s="148">
        <f>AB54*('Master Data'!$F$16)</f>
        <v>11281.919999999998</v>
      </c>
      <c r="AD54" s="149">
        <f t="shared" si="4"/>
        <v>15202.719999999998</v>
      </c>
      <c r="AE54" s="148">
        <f>INDEX('Master Data'!$D$58:$D$60,MATCH(D54,'Master Data'!$B$58:$B$60,0))</f>
        <v>19577.099999999999</v>
      </c>
      <c r="AF54" s="148">
        <f>INDEX('Master Data'!$E$58:$E$60,MATCH(D54,'Master Data'!$B$58:$B$60,0))</f>
        <v>992.8</v>
      </c>
      <c r="AG54" s="148">
        <f>INDEX('Master Data'!$F$58:$F$60,MATCH(D54,'Master Data'!$B$58:$B$60,0))</f>
        <v>2876.2</v>
      </c>
      <c r="AH54" s="149">
        <f t="shared" si="5"/>
        <v>951290.54999999981</v>
      </c>
      <c r="AI54" s="148">
        <f>ROUND(AH54*('Master Data'!$C$54),2)</f>
        <v>114154.87</v>
      </c>
      <c r="AJ54" s="148">
        <f>ROUND(SUM(AH54:AI54,AK54)*('Master Data'!$E$54),2)</f>
        <v>31919.72</v>
      </c>
      <c r="AK54" s="148">
        <f>ROUND(W54*('Master Data'!$F$54),2)</f>
        <v>0</v>
      </c>
      <c r="AL54" s="149">
        <f t="shared" si="6"/>
        <v>1097365.1399999999</v>
      </c>
      <c r="AM54" s="140">
        <f t="shared" si="7"/>
        <v>3162.44</v>
      </c>
      <c r="AN54" s="121"/>
      <c r="AO54" s="121"/>
      <c r="AP54" s="121"/>
      <c r="AQ54" s="121"/>
      <c r="AR54" s="121"/>
      <c r="AS54" s="121"/>
    </row>
    <row r="55" spans="1:45">
      <c r="A55" s="121" t="s">
        <v>208</v>
      </c>
      <c r="B55" s="121" t="str">
        <f t="shared" si="0"/>
        <v>1</v>
      </c>
      <c r="C55" s="121" t="str">
        <f t="shared" si="1"/>
        <v>Medical 1</v>
      </c>
      <c r="D55" s="121" t="str">
        <f>INDEX('Master Data'!$C$75:$C$299,MATCH(A55,'Master Data'!$B$75:$B$299,0))</f>
        <v>2-3</v>
      </c>
      <c r="E55" s="147">
        <f>INDEX('Master Data'!$C$75:$O$299,MATCH(A55,'Master Data'!$B$75:$B$299,0),MATCH($E$1,'Master Data'!$C$74:$O$74,0))</f>
        <v>0.18</v>
      </c>
      <c r="F55" s="148">
        <f>ROUND(E55*INDEX('Master Data'!$F$4:$K$12,MATCH($E$1,'Master Data'!$E$4:$E$12,0),MATCH(C55,'Master Data'!$F$3:$K$3,0)),2)</f>
        <v>14667.64</v>
      </c>
      <c r="G55" s="147">
        <f>INDEX('Master Data'!$C$75:$O$299,MATCH(A55,'Master Data'!$B$75:$B$299,0),MATCH($G$1,'Master Data'!$C$74:$O$74,0))</f>
        <v>0.66</v>
      </c>
      <c r="H55" s="148">
        <f>ROUND(G55*INDEX('Master Data'!$F$4:$K$12,MATCH($G$1,'Master Data'!$E$4:$E$12,0),MATCH(C55,'Master Data'!$F$3:$K$3,0)),2)</f>
        <v>37216.5</v>
      </c>
      <c r="I55" s="147">
        <f>INDEX('Master Data'!$C$75:$O$299,MATCH(A55,'Master Data'!$B$75:$B$299,0),MATCH($I$1,'Master Data'!$C$74:$O$74,0))</f>
        <v>9.6</v>
      </c>
      <c r="J55" s="148">
        <f>ROUND(I55*INDEX('Master Data'!$F$4:$K$12,MATCH($I$1,'Master Data'!$E$4:$E$12,0),MATCH(C55,'Master Data'!$F$3:$K$3,0)),2)</f>
        <v>544963.94999999995</v>
      </c>
      <c r="K55" s="147">
        <f>INDEX('Master Data'!$C$75:$O$299,MATCH(A55,'Master Data'!$B$75:$B$299,0),MATCH($K$1,'Master Data'!$C$74:$O$74,0))</f>
        <v>1.4</v>
      </c>
      <c r="L55" s="148">
        <f>ROUND(K55*INDEX('Master Data'!$F$4:$K$12,MATCH($K$1,'Master Data'!$E$4:$E$12,0),MATCH(C55,'Master Data'!$F$3:$K$3,0)),2)</f>
        <v>65579.399999999994</v>
      </c>
      <c r="M55" s="147">
        <f>INDEX('Master Data'!$C$75:$O$299,MATCH(A55,'Master Data'!$B$75:$B$299,0),MATCH($M$1,'Master Data'!$C$74:$O$74,0))</f>
        <v>1.56</v>
      </c>
      <c r="N55" s="148">
        <f>ROUND(M55*INDEX('Master Data'!$F$4:$K$12,MATCH($M$1,'Master Data'!$E$4:$E$12,0),MATCH(C55,'Master Data'!$F$3:$K$3,0)),2)</f>
        <v>88556.64</v>
      </c>
      <c r="O55" s="147">
        <f>INDEX('Master Data'!$C$75:$O$299,MATCH(A55,'Master Data'!$B$75:$B$299,0),MATCH($O$1,'Master Data'!$C$74:$O$74,0))</f>
        <v>0.23</v>
      </c>
      <c r="P55" s="148">
        <f>ROUND(O55*INDEX('Master Data'!$F$4:$K$12,MATCH($O$1,'Master Data'!$E$4:$E$12,0),MATCH(C55,'Master Data'!$F$3:$K$3,0)),2)</f>
        <v>7176</v>
      </c>
      <c r="Q55" s="147">
        <f>INDEX('Master Data'!$C$75:$O$299,MATCH(A55,'Master Data'!$B$75:$B$299,0),MATCH($Q$1,'Master Data'!$C$74:$O$74,0))</f>
        <v>0.12</v>
      </c>
      <c r="R55" s="148">
        <f>ROUND(Q55*INDEX('Master Data'!$F$4:$K$12,MATCH($Q$1,'Master Data'!$E$4:$E$12,0),MATCH(C55,'Master Data'!$F$3:$K$3,0)),2)</f>
        <v>5621.09</v>
      </c>
      <c r="S55" s="147">
        <f>INDEX('Master Data'!$C$75:$O$299,MATCH(A55,'Master Data'!$B$75:$B$299,0),MATCH($S$1,'Master Data'!$C$74:$O$74,0))</f>
        <v>0</v>
      </c>
      <c r="T55" s="148">
        <f>ROUND(S55*INDEX('Master Data'!$F$4:$K$12,MATCH($S$1,'Master Data'!$E$4:$E$12,0),MATCH(C55,'Master Data'!$F$3:$K$3,0)),2)</f>
        <v>0</v>
      </c>
      <c r="U55" s="147">
        <f>INDEX('Master Data'!$C$75:$O$299,MATCH(A55,'Master Data'!$B$75:$B$299,0),MATCH($U$1,'Master Data'!$C$74:$O$74,0))</f>
        <v>0</v>
      </c>
      <c r="V55" s="148">
        <f>ROUND(U55*INDEX('Master Data'!$F$4:$K$12,MATCH($U$1,'Master Data'!$E$4:$E$12,0),MATCH(C55,'Master Data'!$F$3:$K$3,0)),2)</f>
        <v>0</v>
      </c>
      <c r="W55" s="149">
        <f t="shared" si="2"/>
        <v>763781.22</v>
      </c>
      <c r="X55" s="148">
        <f>ROUND(W55*('Master Data'!$B$54),2)</f>
        <v>190716.17</v>
      </c>
      <c r="Y55" s="149">
        <f t="shared" si="3"/>
        <v>954497.39</v>
      </c>
      <c r="Z55" s="147">
        <f>52*INDEX('Master Data'!$C$75:$O$299,MATCH(A55,'Master Data'!$B$75:$B$299,0),MATCH($Z$1,'Master Data'!$C$74:$O$74,0))</f>
        <v>52</v>
      </c>
      <c r="AA55" s="148">
        <f>Z55*('Master Data'!$F$15)</f>
        <v>3920.8</v>
      </c>
      <c r="AB55" s="147">
        <f>52*INDEX('Master Data'!$C$75:$O$299,MATCH(A55,'Master Data'!$B$75:$B$299,0),MATCH($AB$1,'Master Data'!$C$74:$O$74,0))</f>
        <v>156</v>
      </c>
      <c r="AC55" s="148">
        <f>AB55*('Master Data'!$F$16)</f>
        <v>11281.919999999998</v>
      </c>
      <c r="AD55" s="149">
        <f t="shared" si="4"/>
        <v>15202.719999999998</v>
      </c>
      <c r="AE55" s="148">
        <f>INDEX('Master Data'!$D$58:$D$60,MATCH(D55,'Master Data'!$B$58:$B$60,0))</f>
        <v>19577.099999999999</v>
      </c>
      <c r="AF55" s="148">
        <f>INDEX('Master Data'!$E$58:$E$60,MATCH(D55,'Master Data'!$B$58:$B$60,0))</f>
        <v>992.8</v>
      </c>
      <c r="AG55" s="148">
        <f>INDEX('Master Data'!$F$58:$F$60,MATCH(D55,'Master Data'!$B$58:$B$60,0))</f>
        <v>2876.2</v>
      </c>
      <c r="AH55" s="149">
        <f t="shared" si="5"/>
        <v>993146.21</v>
      </c>
      <c r="AI55" s="148">
        <f>ROUND(AH55*('Master Data'!$C$54),2)</f>
        <v>119177.55</v>
      </c>
      <c r="AJ55" s="148">
        <f>ROUND(SUM(AH55:AI55,AK55)*('Master Data'!$E$54),2)</f>
        <v>33324.15</v>
      </c>
      <c r="AK55" s="148">
        <f>ROUND(W55*('Master Data'!$F$54),2)</f>
        <v>0</v>
      </c>
      <c r="AL55" s="149">
        <f t="shared" si="6"/>
        <v>1145647.9099999999</v>
      </c>
      <c r="AM55" s="140">
        <f t="shared" si="7"/>
        <v>3301.58</v>
      </c>
      <c r="AN55" s="121"/>
      <c r="AO55" s="121"/>
      <c r="AP55" s="121"/>
      <c r="AQ55" s="121"/>
      <c r="AR55" s="121"/>
      <c r="AS55" s="121"/>
    </row>
    <row r="56" spans="1:45">
      <c r="A56" s="121" t="s">
        <v>209</v>
      </c>
      <c r="B56" s="121" t="str">
        <f t="shared" si="0"/>
        <v>2</v>
      </c>
      <c r="C56" s="121" t="str">
        <f t="shared" si="1"/>
        <v>Medical 2</v>
      </c>
      <c r="D56" s="121" t="str">
        <f>INDEX('Master Data'!$C$75:$C$299,MATCH(A56,'Master Data'!$B$75:$B$299,0))</f>
        <v>2-3</v>
      </c>
      <c r="E56" s="147">
        <f>INDEX('Master Data'!$C$75:$O$299,MATCH(A56,'Master Data'!$B$75:$B$299,0),MATCH($E$1,'Master Data'!$C$74:$O$74,0))</f>
        <v>0.18</v>
      </c>
      <c r="F56" s="148">
        <f>ROUND(E56*INDEX('Master Data'!$F$4:$K$12,MATCH($E$1,'Master Data'!$E$4:$E$12,0),MATCH(C56,'Master Data'!$F$3:$K$3,0)),2)</f>
        <v>14667.64</v>
      </c>
      <c r="G56" s="147">
        <f>INDEX('Master Data'!$C$75:$O$299,MATCH(A56,'Master Data'!$B$75:$B$299,0),MATCH($G$1,'Master Data'!$C$74:$O$74,0))</f>
        <v>0.66</v>
      </c>
      <c r="H56" s="148">
        <f>ROUND(G56*INDEX('Master Data'!$F$4:$K$12,MATCH($G$1,'Master Data'!$E$4:$E$12,0),MATCH(C56,'Master Data'!$F$3:$K$3,0)),2)</f>
        <v>37216.5</v>
      </c>
      <c r="I56" s="147">
        <f>INDEX('Master Data'!$C$75:$O$299,MATCH(A56,'Master Data'!$B$75:$B$299,0),MATCH($I$1,'Master Data'!$C$74:$O$74,0))</f>
        <v>2.1</v>
      </c>
      <c r="J56" s="148">
        <f>ROUND(I56*INDEX('Master Data'!$F$4:$K$12,MATCH($I$1,'Master Data'!$E$4:$E$12,0),MATCH(C56,'Master Data'!$F$3:$K$3,0)),2)</f>
        <v>126759.64</v>
      </c>
      <c r="K56" s="147">
        <f>INDEX('Master Data'!$C$75:$O$299,MATCH(A56,'Master Data'!$B$75:$B$299,0),MATCH($K$1,'Master Data'!$C$74:$O$74,0))</f>
        <v>1.4</v>
      </c>
      <c r="L56" s="148">
        <f>ROUND(K56*INDEX('Master Data'!$F$4:$K$12,MATCH($K$1,'Master Data'!$E$4:$E$12,0),MATCH(C56,'Master Data'!$F$3:$K$3,0)),2)</f>
        <v>65579.399999999994</v>
      </c>
      <c r="M56" s="147">
        <f>INDEX('Master Data'!$C$75:$O$299,MATCH(A56,'Master Data'!$B$75:$B$299,0),MATCH($M$1,'Master Data'!$C$74:$O$74,0))</f>
        <v>0.34</v>
      </c>
      <c r="N56" s="148">
        <f>ROUND(M56*INDEX('Master Data'!$F$4:$K$12,MATCH($M$1,'Master Data'!$E$4:$E$12,0),MATCH(C56,'Master Data'!$F$3:$K$3,0)),2)</f>
        <v>20522.990000000002</v>
      </c>
      <c r="O56" s="147">
        <f>INDEX('Master Data'!$C$75:$O$299,MATCH(A56,'Master Data'!$B$75:$B$299,0),MATCH($O$1,'Master Data'!$C$74:$O$74,0))</f>
        <v>0.23</v>
      </c>
      <c r="P56" s="148">
        <f>ROUND(O56*INDEX('Master Data'!$F$4:$K$12,MATCH($O$1,'Master Data'!$E$4:$E$12,0),MATCH(C56,'Master Data'!$F$3:$K$3,0)),2)</f>
        <v>7176</v>
      </c>
      <c r="Q56" s="147">
        <f>INDEX('Master Data'!$C$75:$O$299,MATCH(A56,'Master Data'!$B$75:$B$299,0),MATCH($Q$1,'Master Data'!$C$74:$O$74,0))</f>
        <v>0.12</v>
      </c>
      <c r="R56" s="148">
        <f>ROUND(Q56*INDEX('Master Data'!$F$4:$K$12,MATCH($Q$1,'Master Data'!$E$4:$E$12,0),MATCH(C56,'Master Data'!$F$3:$K$3,0)),2)</f>
        <v>5621.09</v>
      </c>
      <c r="S56" s="147">
        <f>INDEX('Master Data'!$C$75:$O$299,MATCH(A56,'Master Data'!$B$75:$B$299,0),MATCH($S$1,'Master Data'!$C$74:$O$74,0))</f>
        <v>0</v>
      </c>
      <c r="T56" s="148">
        <f>ROUND(S56*INDEX('Master Data'!$F$4:$K$12,MATCH($S$1,'Master Data'!$E$4:$E$12,0),MATCH(C56,'Master Data'!$F$3:$K$3,0)),2)</f>
        <v>0</v>
      </c>
      <c r="U56" s="147">
        <f>INDEX('Master Data'!$C$75:$O$299,MATCH(A56,'Master Data'!$B$75:$B$299,0),MATCH($U$1,'Master Data'!$C$74:$O$74,0))</f>
        <v>0</v>
      </c>
      <c r="V56" s="148">
        <f>ROUND(U56*INDEX('Master Data'!$F$4:$K$12,MATCH($U$1,'Master Data'!$E$4:$E$12,0),MATCH(C56,'Master Data'!$F$3:$K$3,0)),2)</f>
        <v>0</v>
      </c>
      <c r="W56" s="149">
        <f t="shared" si="2"/>
        <v>277543.26</v>
      </c>
      <c r="X56" s="148">
        <f>ROUND(W56*('Master Data'!$B$54),2)</f>
        <v>69302.55</v>
      </c>
      <c r="Y56" s="149">
        <f t="shared" si="3"/>
        <v>346845.81</v>
      </c>
      <c r="Z56" s="147">
        <f>52*INDEX('Master Data'!$C$75:$O$299,MATCH(A56,'Master Data'!$B$75:$B$299,0),MATCH($Z$1,'Master Data'!$C$74:$O$74,0))</f>
        <v>52</v>
      </c>
      <c r="AA56" s="148">
        <f>Z56*('Master Data'!$F$15)</f>
        <v>3920.8</v>
      </c>
      <c r="AB56" s="147">
        <f>52*INDEX('Master Data'!$C$75:$O$299,MATCH(A56,'Master Data'!$B$75:$B$299,0),MATCH($AB$1,'Master Data'!$C$74:$O$74,0))</f>
        <v>156</v>
      </c>
      <c r="AC56" s="148">
        <f>AB56*('Master Data'!$F$16)</f>
        <v>11281.919999999998</v>
      </c>
      <c r="AD56" s="149">
        <f t="shared" si="4"/>
        <v>15202.719999999998</v>
      </c>
      <c r="AE56" s="148">
        <f>INDEX('Master Data'!$D$58:$D$60,MATCH(D56,'Master Data'!$B$58:$B$60,0))</f>
        <v>19577.099999999999</v>
      </c>
      <c r="AF56" s="148">
        <f>INDEX('Master Data'!$E$58:$E$60,MATCH(D56,'Master Data'!$B$58:$B$60,0))</f>
        <v>992.8</v>
      </c>
      <c r="AG56" s="148">
        <f>INDEX('Master Data'!$F$58:$F$60,MATCH(D56,'Master Data'!$B$58:$B$60,0))</f>
        <v>2876.2</v>
      </c>
      <c r="AH56" s="149">
        <f t="shared" si="5"/>
        <v>385494.62999999995</v>
      </c>
      <c r="AI56" s="148">
        <f>ROUND(AH56*('Master Data'!$C$54),2)</f>
        <v>46259.360000000001</v>
      </c>
      <c r="AJ56" s="148">
        <f>ROUND(SUM(AH56:AI56,AK56)*('Master Data'!$E$54),2)</f>
        <v>12934.94</v>
      </c>
      <c r="AK56" s="148">
        <f>ROUND(W56*('Master Data'!$F$54),2)</f>
        <v>0</v>
      </c>
      <c r="AL56" s="149">
        <f t="shared" si="6"/>
        <v>444688.92999999993</v>
      </c>
      <c r="AM56" s="140">
        <f t="shared" si="7"/>
        <v>1281.52</v>
      </c>
      <c r="AN56" s="121"/>
      <c r="AO56" s="121"/>
      <c r="AP56" s="121"/>
      <c r="AQ56" s="121"/>
      <c r="AR56" s="121"/>
      <c r="AS56" s="121"/>
    </row>
    <row r="57" spans="1:45">
      <c r="A57" s="121" t="s">
        <v>210</v>
      </c>
      <c r="B57" s="121" t="str">
        <f t="shared" si="0"/>
        <v>2</v>
      </c>
      <c r="C57" s="121" t="str">
        <f t="shared" si="1"/>
        <v>Medical 2</v>
      </c>
      <c r="D57" s="121" t="str">
        <f>INDEX('Master Data'!$C$75:$C$299,MATCH(A57,'Master Data'!$B$75:$B$299,0))</f>
        <v>2-3</v>
      </c>
      <c r="E57" s="147">
        <f>INDEX('Master Data'!$C$75:$O$299,MATCH(A57,'Master Data'!$B$75:$B$299,0),MATCH($E$1,'Master Data'!$C$74:$O$74,0))</f>
        <v>0.18</v>
      </c>
      <c r="F57" s="148">
        <f>ROUND(E57*INDEX('Master Data'!$F$4:$K$12,MATCH($E$1,'Master Data'!$E$4:$E$12,0),MATCH(C57,'Master Data'!$F$3:$K$3,0)),2)</f>
        <v>14667.64</v>
      </c>
      <c r="G57" s="147">
        <f>INDEX('Master Data'!$C$75:$O$299,MATCH(A57,'Master Data'!$B$75:$B$299,0),MATCH($G$1,'Master Data'!$C$74:$O$74,0))</f>
        <v>0.66</v>
      </c>
      <c r="H57" s="148">
        <f>ROUND(G57*INDEX('Master Data'!$F$4:$K$12,MATCH($G$1,'Master Data'!$E$4:$E$12,0),MATCH(C57,'Master Data'!$F$3:$K$3,0)),2)</f>
        <v>37216.5</v>
      </c>
      <c r="I57" s="147">
        <f>INDEX('Master Data'!$C$75:$O$299,MATCH(A57,'Master Data'!$B$75:$B$299,0),MATCH($I$1,'Master Data'!$C$74:$O$74,0))</f>
        <v>2.6</v>
      </c>
      <c r="J57" s="148">
        <f>ROUND(I57*INDEX('Master Data'!$F$4:$K$12,MATCH($I$1,'Master Data'!$E$4:$E$12,0),MATCH(C57,'Master Data'!$F$3:$K$3,0)),2)</f>
        <v>156940.51</v>
      </c>
      <c r="K57" s="147">
        <f>INDEX('Master Data'!$C$75:$O$299,MATCH(A57,'Master Data'!$B$75:$B$299,0),MATCH($K$1,'Master Data'!$C$74:$O$74,0))</f>
        <v>1.4</v>
      </c>
      <c r="L57" s="148">
        <f>ROUND(K57*INDEX('Master Data'!$F$4:$K$12,MATCH($K$1,'Master Data'!$E$4:$E$12,0),MATCH(C57,'Master Data'!$F$3:$K$3,0)),2)</f>
        <v>65579.399999999994</v>
      </c>
      <c r="M57" s="147">
        <f>INDEX('Master Data'!$C$75:$O$299,MATCH(A57,'Master Data'!$B$75:$B$299,0),MATCH($M$1,'Master Data'!$C$74:$O$74,0))</f>
        <v>0.42</v>
      </c>
      <c r="N57" s="148">
        <f>ROUND(M57*INDEX('Master Data'!$F$4:$K$12,MATCH($M$1,'Master Data'!$E$4:$E$12,0),MATCH(C57,'Master Data'!$F$3:$K$3,0)),2)</f>
        <v>25351.93</v>
      </c>
      <c r="O57" s="147">
        <f>INDEX('Master Data'!$C$75:$O$299,MATCH(A57,'Master Data'!$B$75:$B$299,0),MATCH($O$1,'Master Data'!$C$74:$O$74,0))</f>
        <v>0.23</v>
      </c>
      <c r="P57" s="148">
        <f>ROUND(O57*INDEX('Master Data'!$F$4:$K$12,MATCH($O$1,'Master Data'!$E$4:$E$12,0),MATCH(C57,'Master Data'!$F$3:$K$3,0)),2)</f>
        <v>7176</v>
      </c>
      <c r="Q57" s="147">
        <f>INDEX('Master Data'!$C$75:$O$299,MATCH(A57,'Master Data'!$B$75:$B$299,0),MATCH($Q$1,'Master Data'!$C$74:$O$74,0))</f>
        <v>0.12</v>
      </c>
      <c r="R57" s="148">
        <f>ROUND(Q57*INDEX('Master Data'!$F$4:$K$12,MATCH($Q$1,'Master Data'!$E$4:$E$12,0),MATCH(C57,'Master Data'!$F$3:$K$3,0)),2)</f>
        <v>5621.09</v>
      </c>
      <c r="S57" s="147">
        <f>INDEX('Master Data'!$C$75:$O$299,MATCH(A57,'Master Data'!$B$75:$B$299,0),MATCH($S$1,'Master Data'!$C$74:$O$74,0))</f>
        <v>0</v>
      </c>
      <c r="T57" s="148">
        <f>ROUND(S57*INDEX('Master Data'!$F$4:$K$12,MATCH($S$1,'Master Data'!$E$4:$E$12,0),MATCH(C57,'Master Data'!$F$3:$K$3,0)),2)</f>
        <v>0</v>
      </c>
      <c r="U57" s="147">
        <f>INDEX('Master Data'!$C$75:$O$299,MATCH(A57,'Master Data'!$B$75:$B$299,0),MATCH($U$1,'Master Data'!$C$74:$O$74,0))</f>
        <v>0</v>
      </c>
      <c r="V57" s="148">
        <f>ROUND(U57*INDEX('Master Data'!$F$4:$K$12,MATCH($U$1,'Master Data'!$E$4:$E$12,0),MATCH(C57,'Master Data'!$F$3:$K$3,0)),2)</f>
        <v>0</v>
      </c>
      <c r="W57" s="149">
        <f t="shared" si="2"/>
        <v>312553.07000000007</v>
      </c>
      <c r="X57" s="148">
        <f>ROUND(W57*('Master Data'!$B$54),2)</f>
        <v>78044.5</v>
      </c>
      <c r="Y57" s="149">
        <f t="shared" si="3"/>
        <v>390597.57000000007</v>
      </c>
      <c r="Z57" s="147">
        <f>52*INDEX('Master Data'!$C$75:$O$299,MATCH(A57,'Master Data'!$B$75:$B$299,0),MATCH($Z$1,'Master Data'!$C$74:$O$74,0))</f>
        <v>52</v>
      </c>
      <c r="AA57" s="148">
        <f>Z57*('Master Data'!$F$15)</f>
        <v>3920.8</v>
      </c>
      <c r="AB57" s="147">
        <f>52*INDEX('Master Data'!$C$75:$O$299,MATCH(A57,'Master Data'!$B$75:$B$299,0),MATCH($AB$1,'Master Data'!$C$74:$O$74,0))</f>
        <v>156</v>
      </c>
      <c r="AC57" s="148">
        <f>AB57*('Master Data'!$F$16)</f>
        <v>11281.919999999998</v>
      </c>
      <c r="AD57" s="149">
        <f t="shared" si="4"/>
        <v>15202.719999999998</v>
      </c>
      <c r="AE57" s="148">
        <f>INDEX('Master Data'!$D$58:$D$60,MATCH(D57,'Master Data'!$B$58:$B$60,0))</f>
        <v>19577.099999999999</v>
      </c>
      <c r="AF57" s="148">
        <f>INDEX('Master Data'!$E$58:$E$60,MATCH(D57,'Master Data'!$B$58:$B$60,0))</f>
        <v>992.8</v>
      </c>
      <c r="AG57" s="148">
        <f>INDEX('Master Data'!$F$58:$F$60,MATCH(D57,'Master Data'!$B$58:$B$60,0))</f>
        <v>2876.2</v>
      </c>
      <c r="AH57" s="149">
        <f t="shared" si="5"/>
        <v>429246.39</v>
      </c>
      <c r="AI57" s="148">
        <f>ROUND(AH57*('Master Data'!$C$54),2)</f>
        <v>51509.57</v>
      </c>
      <c r="AJ57" s="148">
        <f>ROUND(SUM(AH57:AI57,AK57)*('Master Data'!$E$54),2)</f>
        <v>14402.99</v>
      </c>
      <c r="AK57" s="148">
        <f>ROUND(W57*('Master Data'!$F$54),2)</f>
        <v>0</v>
      </c>
      <c r="AL57" s="149">
        <f t="shared" si="6"/>
        <v>495158.95</v>
      </c>
      <c r="AM57" s="140">
        <f t="shared" si="7"/>
        <v>1426.97</v>
      </c>
      <c r="AN57" s="121"/>
      <c r="AO57" s="121"/>
      <c r="AP57" s="121"/>
      <c r="AQ57" s="121"/>
      <c r="AR57" s="121"/>
      <c r="AS57" s="121"/>
    </row>
    <row r="58" spans="1:45">
      <c r="A58" s="121" t="s">
        <v>211</v>
      </c>
      <c r="B58" s="121" t="str">
        <f t="shared" si="0"/>
        <v>2</v>
      </c>
      <c r="C58" s="121" t="str">
        <f t="shared" si="1"/>
        <v>Medical 2</v>
      </c>
      <c r="D58" s="121" t="str">
        <f>INDEX('Master Data'!$C$75:$C$299,MATCH(A58,'Master Data'!$B$75:$B$299,0))</f>
        <v>2-3</v>
      </c>
      <c r="E58" s="147">
        <f>INDEX('Master Data'!$C$75:$O$299,MATCH(A58,'Master Data'!$B$75:$B$299,0),MATCH($E$1,'Master Data'!$C$74:$O$74,0))</f>
        <v>0.18</v>
      </c>
      <c r="F58" s="148">
        <f>ROUND(E58*INDEX('Master Data'!$F$4:$K$12,MATCH($E$1,'Master Data'!$E$4:$E$12,0),MATCH(C58,'Master Data'!$F$3:$K$3,0)),2)</f>
        <v>14667.64</v>
      </c>
      <c r="G58" s="147">
        <f>INDEX('Master Data'!$C$75:$O$299,MATCH(A58,'Master Data'!$B$75:$B$299,0),MATCH($G$1,'Master Data'!$C$74:$O$74,0))</f>
        <v>0.66</v>
      </c>
      <c r="H58" s="148">
        <f>ROUND(G58*INDEX('Master Data'!$F$4:$K$12,MATCH($G$1,'Master Data'!$E$4:$E$12,0),MATCH(C58,'Master Data'!$F$3:$K$3,0)),2)</f>
        <v>37216.5</v>
      </c>
      <c r="I58" s="147">
        <f>INDEX('Master Data'!$C$75:$O$299,MATCH(A58,'Master Data'!$B$75:$B$299,0),MATCH($I$1,'Master Data'!$C$74:$O$74,0))</f>
        <v>3.1</v>
      </c>
      <c r="J58" s="148">
        <f>ROUND(I58*INDEX('Master Data'!$F$4:$K$12,MATCH($I$1,'Master Data'!$E$4:$E$12,0),MATCH(C58,'Master Data'!$F$3:$K$3,0)),2)</f>
        <v>187121.38</v>
      </c>
      <c r="K58" s="147">
        <f>INDEX('Master Data'!$C$75:$O$299,MATCH(A58,'Master Data'!$B$75:$B$299,0),MATCH($K$1,'Master Data'!$C$74:$O$74,0))</f>
        <v>1.4</v>
      </c>
      <c r="L58" s="148">
        <f>ROUND(K58*INDEX('Master Data'!$F$4:$K$12,MATCH($K$1,'Master Data'!$E$4:$E$12,0),MATCH(C58,'Master Data'!$F$3:$K$3,0)),2)</f>
        <v>65579.399999999994</v>
      </c>
      <c r="M58" s="147">
        <f>INDEX('Master Data'!$C$75:$O$299,MATCH(A58,'Master Data'!$B$75:$B$299,0),MATCH($M$1,'Master Data'!$C$74:$O$74,0))</f>
        <v>0.5</v>
      </c>
      <c r="N58" s="148">
        <f>ROUND(M58*INDEX('Master Data'!$F$4:$K$12,MATCH($M$1,'Master Data'!$E$4:$E$12,0),MATCH(C58,'Master Data'!$F$3:$K$3,0)),2)</f>
        <v>30180.87</v>
      </c>
      <c r="O58" s="147">
        <f>INDEX('Master Data'!$C$75:$O$299,MATCH(A58,'Master Data'!$B$75:$B$299,0),MATCH($O$1,'Master Data'!$C$74:$O$74,0))</f>
        <v>0.23</v>
      </c>
      <c r="P58" s="148">
        <f>ROUND(O58*INDEX('Master Data'!$F$4:$K$12,MATCH($O$1,'Master Data'!$E$4:$E$12,0),MATCH(C58,'Master Data'!$F$3:$K$3,0)),2)</f>
        <v>7176</v>
      </c>
      <c r="Q58" s="147">
        <f>INDEX('Master Data'!$C$75:$O$299,MATCH(A58,'Master Data'!$B$75:$B$299,0),MATCH($Q$1,'Master Data'!$C$74:$O$74,0))</f>
        <v>0.12</v>
      </c>
      <c r="R58" s="148">
        <f>ROUND(Q58*INDEX('Master Data'!$F$4:$K$12,MATCH($Q$1,'Master Data'!$E$4:$E$12,0),MATCH(C58,'Master Data'!$F$3:$K$3,0)),2)</f>
        <v>5621.09</v>
      </c>
      <c r="S58" s="147">
        <f>INDEX('Master Data'!$C$75:$O$299,MATCH(A58,'Master Data'!$B$75:$B$299,0),MATCH($S$1,'Master Data'!$C$74:$O$74,0))</f>
        <v>0</v>
      </c>
      <c r="T58" s="148">
        <f>ROUND(S58*INDEX('Master Data'!$F$4:$K$12,MATCH($S$1,'Master Data'!$E$4:$E$12,0),MATCH(C58,'Master Data'!$F$3:$K$3,0)),2)</f>
        <v>0</v>
      </c>
      <c r="U58" s="147">
        <f>INDEX('Master Data'!$C$75:$O$299,MATCH(A58,'Master Data'!$B$75:$B$299,0),MATCH($U$1,'Master Data'!$C$74:$O$74,0))</f>
        <v>0</v>
      </c>
      <c r="V58" s="148">
        <f>ROUND(U58*INDEX('Master Data'!$F$4:$K$12,MATCH($U$1,'Master Data'!$E$4:$E$12,0),MATCH(C58,'Master Data'!$F$3:$K$3,0)),2)</f>
        <v>0</v>
      </c>
      <c r="W58" s="149">
        <f t="shared" si="2"/>
        <v>347562.88000000006</v>
      </c>
      <c r="X58" s="148">
        <f>ROUND(W58*('Master Data'!$B$54),2)</f>
        <v>86786.45</v>
      </c>
      <c r="Y58" s="149">
        <f t="shared" si="3"/>
        <v>434349.33000000007</v>
      </c>
      <c r="Z58" s="147">
        <f>52*INDEX('Master Data'!$C$75:$O$299,MATCH(A58,'Master Data'!$B$75:$B$299,0),MATCH($Z$1,'Master Data'!$C$74:$O$74,0))</f>
        <v>52</v>
      </c>
      <c r="AA58" s="148">
        <f>Z58*('Master Data'!$F$15)</f>
        <v>3920.8</v>
      </c>
      <c r="AB58" s="147">
        <f>52*INDEX('Master Data'!$C$75:$O$299,MATCH(A58,'Master Data'!$B$75:$B$299,0),MATCH($AB$1,'Master Data'!$C$74:$O$74,0))</f>
        <v>156</v>
      </c>
      <c r="AC58" s="148">
        <f>AB58*('Master Data'!$F$16)</f>
        <v>11281.919999999998</v>
      </c>
      <c r="AD58" s="149">
        <f t="shared" si="4"/>
        <v>15202.719999999998</v>
      </c>
      <c r="AE58" s="148">
        <f>INDEX('Master Data'!$D$58:$D$60,MATCH(D58,'Master Data'!$B$58:$B$60,0))</f>
        <v>19577.099999999999</v>
      </c>
      <c r="AF58" s="148">
        <f>INDEX('Master Data'!$E$58:$E$60,MATCH(D58,'Master Data'!$B$58:$B$60,0))</f>
        <v>992.8</v>
      </c>
      <c r="AG58" s="148">
        <f>INDEX('Master Data'!$F$58:$F$60,MATCH(D58,'Master Data'!$B$58:$B$60,0))</f>
        <v>2876.2</v>
      </c>
      <c r="AH58" s="149">
        <f t="shared" si="5"/>
        <v>472998.15</v>
      </c>
      <c r="AI58" s="148">
        <f>ROUND(AH58*('Master Data'!$C$54),2)</f>
        <v>56759.78</v>
      </c>
      <c r="AJ58" s="148">
        <f>ROUND(SUM(AH58:AI58,AK58)*('Master Data'!$E$54),2)</f>
        <v>15871.04</v>
      </c>
      <c r="AK58" s="148">
        <f>ROUND(W58*('Master Data'!$F$54),2)</f>
        <v>0</v>
      </c>
      <c r="AL58" s="149">
        <f t="shared" si="6"/>
        <v>545628.97000000009</v>
      </c>
      <c r="AM58" s="140">
        <f t="shared" si="7"/>
        <v>1572.42</v>
      </c>
      <c r="AN58" s="121"/>
      <c r="AO58" s="121"/>
      <c r="AP58" s="121"/>
      <c r="AQ58" s="121"/>
      <c r="AR58" s="121"/>
      <c r="AS58" s="121"/>
    </row>
    <row r="59" spans="1:45">
      <c r="A59" s="121" t="s">
        <v>212</v>
      </c>
      <c r="B59" s="121" t="str">
        <f t="shared" si="0"/>
        <v>2</v>
      </c>
      <c r="C59" s="121" t="str">
        <f t="shared" si="1"/>
        <v>Medical 2</v>
      </c>
      <c r="D59" s="121" t="str">
        <f>INDEX('Master Data'!$C$75:$C$299,MATCH(A59,'Master Data'!$B$75:$B$299,0))</f>
        <v>2-3</v>
      </c>
      <c r="E59" s="147">
        <f>INDEX('Master Data'!$C$75:$O$299,MATCH(A59,'Master Data'!$B$75:$B$299,0),MATCH($E$1,'Master Data'!$C$74:$O$74,0))</f>
        <v>0.18</v>
      </c>
      <c r="F59" s="148">
        <f>ROUND(E59*INDEX('Master Data'!$F$4:$K$12,MATCH($E$1,'Master Data'!$E$4:$E$12,0),MATCH(C59,'Master Data'!$F$3:$K$3,0)),2)</f>
        <v>14667.64</v>
      </c>
      <c r="G59" s="147">
        <f>INDEX('Master Data'!$C$75:$O$299,MATCH(A59,'Master Data'!$B$75:$B$299,0),MATCH($G$1,'Master Data'!$C$74:$O$74,0))</f>
        <v>0.66</v>
      </c>
      <c r="H59" s="148">
        <f>ROUND(G59*INDEX('Master Data'!$F$4:$K$12,MATCH($G$1,'Master Data'!$E$4:$E$12,0),MATCH(C59,'Master Data'!$F$3:$K$3,0)),2)</f>
        <v>37216.5</v>
      </c>
      <c r="I59" s="147">
        <f>INDEX('Master Data'!$C$75:$O$299,MATCH(A59,'Master Data'!$B$75:$B$299,0),MATCH($I$1,'Master Data'!$C$74:$O$74,0))</f>
        <v>3.6</v>
      </c>
      <c r="J59" s="148">
        <f>ROUND(I59*INDEX('Master Data'!$F$4:$K$12,MATCH($I$1,'Master Data'!$E$4:$E$12,0),MATCH(C59,'Master Data'!$F$3:$K$3,0)),2)</f>
        <v>217302.25</v>
      </c>
      <c r="K59" s="147">
        <f>INDEX('Master Data'!$C$75:$O$299,MATCH(A59,'Master Data'!$B$75:$B$299,0),MATCH($K$1,'Master Data'!$C$74:$O$74,0))</f>
        <v>1.4</v>
      </c>
      <c r="L59" s="148">
        <f>ROUND(K59*INDEX('Master Data'!$F$4:$K$12,MATCH($K$1,'Master Data'!$E$4:$E$12,0),MATCH(C59,'Master Data'!$F$3:$K$3,0)),2)</f>
        <v>65579.399999999994</v>
      </c>
      <c r="M59" s="147">
        <f>INDEX('Master Data'!$C$75:$O$299,MATCH(A59,'Master Data'!$B$75:$B$299,0),MATCH($M$1,'Master Data'!$C$74:$O$74,0))</f>
        <v>0.57999999999999996</v>
      </c>
      <c r="N59" s="148">
        <f>ROUND(M59*INDEX('Master Data'!$F$4:$K$12,MATCH($M$1,'Master Data'!$E$4:$E$12,0),MATCH(C59,'Master Data'!$F$3:$K$3,0)),2)</f>
        <v>35009.81</v>
      </c>
      <c r="O59" s="147">
        <f>INDEX('Master Data'!$C$75:$O$299,MATCH(A59,'Master Data'!$B$75:$B$299,0),MATCH($O$1,'Master Data'!$C$74:$O$74,0))</f>
        <v>0.23</v>
      </c>
      <c r="P59" s="148">
        <f>ROUND(O59*INDEX('Master Data'!$F$4:$K$12,MATCH($O$1,'Master Data'!$E$4:$E$12,0),MATCH(C59,'Master Data'!$F$3:$K$3,0)),2)</f>
        <v>7176</v>
      </c>
      <c r="Q59" s="147">
        <f>INDEX('Master Data'!$C$75:$O$299,MATCH(A59,'Master Data'!$B$75:$B$299,0),MATCH($Q$1,'Master Data'!$C$74:$O$74,0))</f>
        <v>0.12</v>
      </c>
      <c r="R59" s="148">
        <f>ROUND(Q59*INDEX('Master Data'!$F$4:$K$12,MATCH($Q$1,'Master Data'!$E$4:$E$12,0),MATCH(C59,'Master Data'!$F$3:$K$3,0)),2)</f>
        <v>5621.09</v>
      </c>
      <c r="S59" s="147">
        <f>INDEX('Master Data'!$C$75:$O$299,MATCH(A59,'Master Data'!$B$75:$B$299,0),MATCH($S$1,'Master Data'!$C$74:$O$74,0))</f>
        <v>0</v>
      </c>
      <c r="T59" s="148">
        <f>ROUND(S59*INDEX('Master Data'!$F$4:$K$12,MATCH($S$1,'Master Data'!$E$4:$E$12,0),MATCH(C59,'Master Data'!$F$3:$K$3,0)),2)</f>
        <v>0</v>
      </c>
      <c r="U59" s="147">
        <f>INDEX('Master Data'!$C$75:$O$299,MATCH(A59,'Master Data'!$B$75:$B$299,0),MATCH($U$1,'Master Data'!$C$74:$O$74,0))</f>
        <v>0</v>
      </c>
      <c r="V59" s="148">
        <f>ROUND(U59*INDEX('Master Data'!$F$4:$K$12,MATCH($U$1,'Master Data'!$E$4:$E$12,0),MATCH(C59,'Master Data'!$F$3:$K$3,0)),2)</f>
        <v>0</v>
      </c>
      <c r="W59" s="149">
        <f t="shared" si="2"/>
        <v>382572.69000000006</v>
      </c>
      <c r="X59" s="148">
        <f>ROUND(W59*('Master Data'!$B$54),2)</f>
        <v>95528.4</v>
      </c>
      <c r="Y59" s="149">
        <f t="shared" si="3"/>
        <v>478101.09000000008</v>
      </c>
      <c r="Z59" s="147">
        <f>52*INDEX('Master Data'!$C$75:$O$299,MATCH(A59,'Master Data'!$B$75:$B$299,0),MATCH($Z$1,'Master Data'!$C$74:$O$74,0))</f>
        <v>52</v>
      </c>
      <c r="AA59" s="148">
        <f>Z59*('Master Data'!$F$15)</f>
        <v>3920.8</v>
      </c>
      <c r="AB59" s="147">
        <f>52*INDEX('Master Data'!$C$75:$O$299,MATCH(A59,'Master Data'!$B$75:$B$299,0),MATCH($AB$1,'Master Data'!$C$74:$O$74,0))</f>
        <v>156</v>
      </c>
      <c r="AC59" s="148">
        <f>AB59*('Master Data'!$F$16)</f>
        <v>11281.919999999998</v>
      </c>
      <c r="AD59" s="149">
        <f t="shared" si="4"/>
        <v>15202.719999999998</v>
      </c>
      <c r="AE59" s="148">
        <f>INDEX('Master Data'!$D$58:$D$60,MATCH(D59,'Master Data'!$B$58:$B$60,0))</f>
        <v>19577.099999999999</v>
      </c>
      <c r="AF59" s="148">
        <f>INDEX('Master Data'!$E$58:$E$60,MATCH(D59,'Master Data'!$B$58:$B$60,0))</f>
        <v>992.8</v>
      </c>
      <c r="AG59" s="148">
        <f>INDEX('Master Data'!$F$58:$F$60,MATCH(D59,'Master Data'!$B$58:$B$60,0))</f>
        <v>2876.2</v>
      </c>
      <c r="AH59" s="149">
        <f t="shared" si="5"/>
        <v>516749.91000000003</v>
      </c>
      <c r="AI59" s="148">
        <f>ROUND(AH59*('Master Data'!$C$54),2)</f>
        <v>62009.99</v>
      </c>
      <c r="AJ59" s="148">
        <f>ROUND(SUM(AH59:AI59,AK59)*('Master Data'!$E$54),2)</f>
        <v>17339.09</v>
      </c>
      <c r="AK59" s="148">
        <f>ROUND(W59*('Master Data'!$F$54),2)</f>
        <v>0</v>
      </c>
      <c r="AL59" s="149">
        <f t="shared" si="6"/>
        <v>596098.99</v>
      </c>
      <c r="AM59" s="140">
        <f t="shared" si="7"/>
        <v>1717.86</v>
      </c>
      <c r="AN59" s="121"/>
      <c r="AO59" s="121"/>
      <c r="AP59" s="121"/>
      <c r="AQ59" s="121"/>
      <c r="AR59" s="121"/>
      <c r="AS59" s="121"/>
    </row>
    <row r="60" spans="1:45">
      <c r="A60" s="121" t="s">
        <v>213</v>
      </c>
      <c r="B60" s="121" t="str">
        <f t="shared" si="0"/>
        <v>2</v>
      </c>
      <c r="C60" s="121" t="str">
        <f t="shared" si="1"/>
        <v>Medical 2</v>
      </c>
      <c r="D60" s="121" t="str">
        <f>INDEX('Master Data'!$C$75:$C$299,MATCH(A60,'Master Data'!$B$75:$B$299,0))</f>
        <v>2-3</v>
      </c>
      <c r="E60" s="147">
        <f>INDEX('Master Data'!$C$75:$O$299,MATCH(A60,'Master Data'!$B$75:$B$299,0),MATCH($E$1,'Master Data'!$C$74:$O$74,0))</f>
        <v>0.18</v>
      </c>
      <c r="F60" s="148">
        <f>ROUND(E60*INDEX('Master Data'!$F$4:$K$12,MATCH($E$1,'Master Data'!$E$4:$E$12,0),MATCH(C60,'Master Data'!$F$3:$K$3,0)),2)</f>
        <v>14667.64</v>
      </c>
      <c r="G60" s="147">
        <f>INDEX('Master Data'!$C$75:$O$299,MATCH(A60,'Master Data'!$B$75:$B$299,0),MATCH($G$1,'Master Data'!$C$74:$O$74,0))</f>
        <v>0.66</v>
      </c>
      <c r="H60" s="148">
        <f>ROUND(G60*INDEX('Master Data'!$F$4:$K$12,MATCH($G$1,'Master Data'!$E$4:$E$12,0),MATCH(C60,'Master Data'!$F$3:$K$3,0)),2)</f>
        <v>37216.5</v>
      </c>
      <c r="I60" s="147">
        <f>INDEX('Master Data'!$C$75:$O$299,MATCH(A60,'Master Data'!$B$75:$B$299,0),MATCH($I$1,'Master Data'!$C$74:$O$74,0))</f>
        <v>4.0999999999999996</v>
      </c>
      <c r="J60" s="148">
        <f>ROUND(I60*INDEX('Master Data'!$F$4:$K$12,MATCH($I$1,'Master Data'!$E$4:$E$12,0),MATCH(C60,'Master Data'!$F$3:$K$3,0)),2)</f>
        <v>247483.11</v>
      </c>
      <c r="K60" s="147">
        <f>INDEX('Master Data'!$C$75:$O$299,MATCH(A60,'Master Data'!$B$75:$B$299,0),MATCH($K$1,'Master Data'!$C$74:$O$74,0))</f>
        <v>1.4</v>
      </c>
      <c r="L60" s="148">
        <f>ROUND(K60*INDEX('Master Data'!$F$4:$K$12,MATCH($K$1,'Master Data'!$E$4:$E$12,0),MATCH(C60,'Master Data'!$F$3:$K$3,0)),2)</f>
        <v>65579.399999999994</v>
      </c>
      <c r="M60" s="147">
        <f>INDEX('Master Data'!$C$75:$O$299,MATCH(A60,'Master Data'!$B$75:$B$299,0),MATCH($M$1,'Master Data'!$C$74:$O$74,0))</f>
        <v>0.66</v>
      </c>
      <c r="N60" s="148">
        <f>ROUND(M60*INDEX('Master Data'!$F$4:$K$12,MATCH($M$1,'Master Data'!$E$4:$E$12,0),MATCH(C60,'Master Data'!$F$3:$K$3,0)),2)</f>
        <v>39838.75</v>
      </c>
      <c r="O60" s="147">
        <f>INDEX('Master Data'!$C$75:$O$299,MATCH(A60,'Master Data'!$B$75:$B$299,0),MATCH($O$1,'Master Data'!$C$74:$O$74,0))</f>
        <v>0.23</v>
      </c>
      <c r="P60" s="148">
        <f>ROUND(O60*INDEX('Master Data'!$F$4:$K$12,MATCH($O$1,'Master Data'!$E$4:$E$12,0),MATCH(C60,'Master Data'!$F$3:$K$3,0)),2)</f>
        <v>7176</v>
      </c>
      <c r="Q60" s="147">
        <f>INDEX('Master Data'!$C$75:$O$299,MATCH(A60,'Master Data'!$B$75:$B$299,0),MATCH($Q$1,'Master Data'!$C$74:$O$74,0))</f>
        <v>0.12</v>
      </c>
      <c r="R60" s="148">
        <f>ROUND(Q60*INDEX('Master Data'!$F$4:$K$12,MATCH($Q$1,'Master Data'!$E$4:$E$12,0),MATCH(C60,'Master Data'!$F$3:$K$3,0)),2)</f>
        <v>5621.09</v>
      </c>
      <c r="S60" s="147">
        <f>INDEX('Master Data'!$C$75:$O$299,MATCH(A60,'Master Data'!$B$75:$B$299,0),MATCH($S$1,'Master Data'!$C$74:$O$74,0))</f>
        <v>0</v>
      </c>
      <c r="T60" s="148">
        <f>ROUND(S60*INDEX('Master Data'!$F$4:$K$12,MATCH($S$1,'Master Data'!$E$4:$E$12,0),MATCH(C60,'Master Data'!$F$3:$K$3,0)),2)</f>
        <v>0</v>
      </c>
      <c r="U60" s="147">
        <f>INDEX('Master Data'!$C$75:$O$299,MATCH(A60,'Master Data'!$B$75:$B$299,0),MATCH($U$1,'Master Data'!$C$74:$O$74,0))</f>
        <v>0</v>
      </c>
      <c r="V60" s="148">
        <f>ROUND(U60*INDEX('Master Data'!$F$4:$K$12,MATCH($U$1,'Master Data'!$E$4:$E$12,0),MATCH(C60,'Master Data'!$F$3:$K$3,0)),2)</f>
        <v>0</v>
      </c>
      <c r="W60" s="149">
        <f t="shared" si="2"/>
        <v>417582.49000000005</v>
      </c>
      <c r="X60" s="148">
        <f>ROUND(W60*('Master Data'!$B$54),2)</f>
        <v>104270.35</v>
      </c>
      <c r="Y60" s="149">
        <f t="shared" si="3"/>
        <v>521852.84000000008</v>
      </c>
      <c r="Z60" s="147">
        <f>52*INDEX('Master Data'!$C$75:$O$299,MATCH(A60,'Master Data'!$B$75:$B$299,0),MATCH($Z$1,'Master Data'!$C$74:$O$74,0))</f>
        <v>52</v>
      </c>
      <c r="AA60" s="148">
        <f>Z60*('Master Data'!$F$15)</f>
        <v>3920.8</v>
      </c>
      <c r="AB60" s="147">
        <f>52*INDEX('Master Data'!$C$75:$O$299,MATCH(A60,'Master Data'!$B$75:$B$299,0),MATCH($AB$1,'Master Data'!$C$74:$O$74,0))</f>
        <v>156</v>
      </c>
      <c r="AC60" s="148">
        <f>AB60*('Master Data'!$F$16)</f>
        <v>11281.919999999998</v>
      </c>
      <c r="AD60" s="149">
        <f t="shared" si="4"/>
        <v>15202.719999999998</v>
      </c>
      <c r="AE60" s="148">
        <f>INDEX('Master Data'!$D$58:$D$60,MATCH(D60,'Master Data'!$B$58:$B$60,0))</f>
        <v>19577.099999999999</v>
      </c>
      <c r="AF60" s="148">
        <f>INDEX('Master Data'!$E$58:$E$60,MATCH(D60,'Master Data'!$B$58:$B$60,0))</f>
        <v>992.8</v>
      </c>
      <c r="AG60" s="148">
        <f>INDEX('Master Data'!$F$58:$F$60,MATCH(D60,'Master Data'!$B$58:$B$60,0))</f>
        <v>2876.2</v>
      </c>
      <c r="AH60" s="149">
        <f t="shared" si="5"/>
        <v>560501.66</v>
      </c>
      <c r="AI60" s="148">
        <f>ROUND(AH60*('Master Data'!$C$54),2)</f>
        <v>67260.2</v>
      </c>
      <c r="AJ60" s="148">
        <f>ROUND(SUM(AH60:AI60,AK60)*('Master Data'!$E$54),2)</f>
        <v>18807.14</v>
      </c>
      <c r="AK60" s="148">
        <f>ROUND(W60*('Master Data'!$F$54),2)</f>
        <v>0</v>
      </c>
      <c r="AL60" s="149">
        <f t="shared" si="6"/>
        <v>646569</v>
      </c>
      <c r="AM60" s="140">
        <f t="shared" si="7"/>
        <v>1863.31</v>
      </c>
      <c r="AN60" s="121"/>
      <c r="AO60" s="121"/>
      <c r="AP60" s="121"/>
      <c r="AQ60" s="121"/>
      <c r="AR60" s="121"/>
      <c r="AS60" s="121"/>
    </row>
    <row r="61" spans="1:45">
      <c r="A61" s="121" t="s">
        <v>214</v>
      </c>
      <c r="B61" s="121" t="str">
        <f t="shared" si="0"/>
        <v>2</v>
      </c>
      <c r="C61" s="121" t="str">
        <f t="shared" si="1"/>
        <v>Medical 2</v>
      </c>
      <c r="D61" s="121" t="str">
        <f>INDEX('Master Data'!$C$75:$C$299,MATCH(A61,'Master Data'!$B$75:$B$299,0))</f>
        <v>2-3</v>
      </c>
      <c r="E61" s="147">
        <f>INDEX('Master Data'!$C$75:$O$299,MATCH(A61,'Master Data'!$B$75:$B$299,0),MATCH($E$1,'Master Data'!$C$74:$O$74,0))</f>
        <v>0.18</v>
      </c>
      <c r="F61" s="148">
        <f>ROUND(E61*INDEX('Master Data'!$F$4:$K$12,MATCH($E$1,'Master Data'!$E$4:$E$12,0),MATCH(C61,'Master Data'!$F$3:$K$3,0)),2)</f>
        <v>14667.64</v>
      </c>
      <c r="G61" s="147">
        <f>INDEX('Master Data'!$C$75:$O$299,MATCH(A61,'Master Data'!$B$75:$B$299,0),MATCH($G$1,'Master Data'!$C$74:$O$74,0))</f>
        <v>0.66</v>
      </c>
      <c r="H61" s="148">
        <f>ROUND(G61*INDEX('Master Data'!$F$4:$K$12,MATCH($G$1,'Master Data'!$E$4:$E$12,0),MATCH(C61,'Master Data'!$F$3:$K$3,0)),2)</f>
        <v>37216.5</v>
      </c>
      <c r="I61" s="147">
        <f>INDEX('Master Data'!$C$75:$O$299,MATCH(A61,'Master Data'!$B$75:$B$299,0),MATCH($I$1,'Master Data'!$C$74:$O$74,0))</f>
        <v>4.5999999999999996</v>
      </c>
      <c r="J61" s="148">
        <f>ROUND(I61*INDEX('Master Data'!$F$4:$K$12,MATCH($I$1,'Master Data'!$E$4:$E$12,0),MATCH(C61,'Master Data'!$F$3:$K$3,0)),2)</f>
        <v>277663.98</v>
      </c>
      <c r="K61" s="147">
        <f>INDEX('Master Data'!$C$75:$O$299,MATCH(A61,'Master Data'!$B$75:$B$299,0),MATCH($K$1,'Master Data'!$C$74:$O$74,0))</f>
        <v>1.4</v>
      </c>
      <c r="L61" s="148">
        <f>ROUND(K61*INDEX('Master Data'!$F$4:$K$12,MATCH($K$1,'Master Data'!$E$4:$E$12,0),MATCH(C61,'Master Data'!$F$3:$K$3,0)),2)</f>
        <v>65579.399999999994</v>
      </c>
      <c r="M61" s="147">
        <f>INDEX('Master Data'!$C$75:$O$299,MATCH(A61,'Master Data'!$B$75:$B$299,0),MATCH($M$1,'Master Data'!$C$74:$O$74,0))</f>
        <v>0.75</v>
      </c>
      <c r="N61" s="148">
        <f>ROUND(M61*INDEX('Master Data'!$F$4:$K$12,MATCH($M$1,'Master Data'!$E$4:$E$12,0),MATCH(C61,'Master Data'!$F$3:$K$3,0)),2)</f>
        <v>45271.3</v>
      </c>
      <c r="O61" s="147">
        <f>INDEX('Master Data'!$C$75:$O$299,MATCH(A61,'Master Data'!$B$75:$B$299,0),MATCH($O$1,'Master Data'!$C$74:$O$74,0))</f>
        <v>0.23</v>
      </c>
      <c r="P61" s="148">
        <f>ROUND(O61*INDEX('Master Data'!$F$4:$K$12,MATCH($O$1,'Master Data'!$E$4:$E$12,0),MATCH(C61,'Master Data'!$F$3:$K$3,0)),2)</f>
        <v>7176</v>
      </c>
      <c r="Q61" s="147">
        <f>INDEX('Master Data'!$C$75:$O$299,MATCH(A61,'Master Data'!$B$75:$B$299,0),MATCH($Q$1,'Master Data'!$C$74:$O$74,0))</f>
        <v>0.12</v>
      </c>
      <c r="R61" s="148">
        <f>ROUND(Q61*INDEX('Master Data'!$F$4:$K$12,MATCH($Q$1,'Master Data'!$E$4:$E$12,0),MATCH(C61,'Master Data'!$F$3:$K$3,0)),2)</f>
        <v>5621.09</v>
      </c>
      <c r="S61" s="147">
        <f>INDEX('Master Data'!$C$75:$O$299,MATCH(A61,'Master Data'!$B$75:$B$299,0),MATCH($S$1,'Master Data'!$C$74:$O$74,0))</f>
        <v>0</v>
      </c>
      <c r="T61" s="148">
        <f>ROUND(S61*INDEX('Master Data'!$F$4:$K$12,MATCH($S$1,'Master Data'!$E$4:$E$12,0),MATCH(C61,'Master Data'!$F$3:$K$3,0)),2)</f>
        <v>0</v>
      </c>
      <c r="U61" s="147">
        <f>INDEX('Master Data'!$C$75:$O$299,MATCH(A61,'Master Data'!$B$75:$B$299,0),MATCH($U$1,'Master Data'!$C$74:$O$74,0))</f>
        <v>0</v>
      </c>
      <c r="V61" s="148">
        <f>ROUND(U61*INDEX('Master Data'!$F$4:$K$12,MATCH($U$1,'Master Data'!$E$4:$E$12,0),MATCH(C61,'Master Data'!$F$3:$K$3,0)),2)</f>
        <v>0</v>
      </c>
      <c r="W61" s="149">
        <f t="shared" si="2"/>
        <v>453195.91000000003</v>
      </c>
      <c r="X61" s="148">
        <f>ROUND(W61*('Master Data'!$B$54),2)</f>
        <v>113163.02</v>
      </c>
      <c r="Y61" s="149">
        <f t="shared" si="3"/>
        <v>566358.93000000005</v>
      </c>
      <c r="Z61" s="147">
        <f>52*INDEX('Master Data'!$C$75:$O$299,MATCH(A61,'Master Data'!$B$75:$B$299,0),MATCH($Z$1,'Master Data'!$C$74:$O$74,0))</f>
        <v>52</v>
      </c>
      <c r="AA61" s="148">
        <f>Z61*('Master Data'!$F$15)</f>
        <v>3920.8</v>
      </c>
      <c r="AB61" s="147">
        <f>52*INDEX('Master Data'!$C$75:$O$299,MATCH(A61,'Master Data'!$B$75:$B$299,0),MATCH($AB$1,'Master Data'!$C$74:$O$74,0))</f>
        <v>156</v>
      </c>
      <c r="AC61" s="148">
        <f>AB61*('Master Data'!$F$16)</f>
        <v>11281.919999999998</v>
      </c>
      <c r="AD61" s="149">
        <f t="shared" si="4"/>
        <v>15202.719999999998</v>
      </c>
      <c r="AE61" s="148">
        <f>INDEX('Master Data'!$D$58:$D$60,MATCH(D61,'Master Data'!$B$58:$B$60,0))</f>
        <v>19577.099999999999</v>
      </c>
      <c r="AF61" s="148">
        <f>INDEX('Master Data'!$E$58:$E$60,MATCH(D61,'Master Data'!$B$58:$B$60,0))</f>
        <v>992.8</v>
      </c>
      <c r="AG61" s="148">
        <f>INDEX('Master Data'!$F$58:$F$60,MATCH(D61,'Master Data'!$B$58:$B$60,0))</f>
        <v>2876.2</v>
      </c>
      <c r="AH61" s="149">
        <f t="shared" si="5"/>
        <v>605007.75</v>
      </c>
      <c r="AI61" s="148">
        <f>ROUND(AH61*('Master Data'!$C$54),2)</f>
        <v>72600.929999999993</v>
      </c>
      <c r="AJ61" s="148">
        <f>ROUND(SUM(AH61:AI61,AK61)*('Master Data'!$E$54),2)</f>
        <v>20300.509999999998</v>
      </c>
      <c r="AK61" s="148">
        <f>ROUND(W61*('Master Data'!$F$54),2)</f>
        <v>0</v>
      </c>
      <c r="AL61" s="149">
        <f t="shared" si="6"/>
        <v>697909.19</v>
      </c>
      <c r="AM61" s="140">
        <f t="shared" si="7"/>
        <v>2011.27</v>
      </c>
      <c r="AN61" s="121"/>
      <c r="AO61" s="121"/>
      <c r="AP61" s="121"/>
      <c r="AQ61" s="121"/>
      <c r="AR61" s="121"/>
      <c r="AS61" s="121"/>
    </row>
    <row r="62" spans="1:45">
      <c r="A62" s="121" t="s">
        <v>215</v>
      </c>
      <c r="B62" s="121" t="str">
        <f t="shared" si="0"/>
        <v>2</v>
      </c>
      <c r="C62" s="121" t="str">
        <f t="shared" si="1"/>
        <v>Medical 2</v>
      </c>
      <c r="D62" s="121" t="str">
        <f>INDEX('Master Data'!$C$75:$C$299,MATCH(A62,'Master Data'!$B$75:$B$299,0))</f>
        <v>2-3</v>
      </c>
      <c r="E62" s="147">
        <f>INDEX('Master Data'!$C$75:$O$299,MATCH(A62,'Master Data'!$B$75:$B$299,0),MATCH($E$1,'Master Data'!$C$74:$O$74,0))</f>
        <v>0.18</v>
      </c>
      <c r="F62" s="148">
        <f>ROUND(E62*INDEX('Master Data'!$F$4:$K$12,MATCH($E$1,'Master Data'!$E$4:$E$12,0),MATCH(C62,'Master Data'!$F$3:$K$3,0)),2)</f>
        <v>14667.64</v>
      </c>
      <c r="G62" s="147">
        <f>INDEX('Master Data'!$C$75:$O$299,MATCH(A62,'Master Data'!$B$75:$B$299,0),MATCH($G$1,'Master Data'!$C$74:$O$74,0))</f>
        <v>0.66</v>
      </c>
      <c r="H62" s="148">
        <f>ROUND(G62*INDEX('Master Data'!$F$4:$K$12,MATCH($G$1,'Master Data'!$E$4:$E$12,0),MATCH(C62,'Master Data'!$F$3:$K$3,0)),2)</f>
        <v>37216.5</v>
      </c>
      <c r="I62" s="147">
        <f>INDEX('Master Data'!$C$75:$O$299,MATCH(A62,'Master Data'!$B$75:$B$299,0),MATCH($I$1,'Master Data'!$C$74:$O$74,0))</f>
        <v>5.0999999999999996</v>
      </c>
      <c r="J62" s="148">
        <f>ROUND(I62*INDEX('Master Data'!$F$4:$K$12,MATCH($I$1,'Master Data'!$E$4:$E$12,0),MATCH(C62,'Master Data'!$F$3:$K$3,0)),2)</f>
        <v>307844.84999999998</v>
      </c>
      <c r="K62" s="147">
        <f>INDEX('Master Data'!$C$75:$O$299,MATCH(A62,'Master Data'!$B$75:$B$299,0),MATCH($K$1,'Master Data'!$C$74:$O$74,0))</f>
        <v>1.4</v>
      </c>
      <c r="L62" s="148">
        <f>ROUND(K62*INDEX('Master Data'!$F$4:$K$12,MATCH($K$1,'Master Data'!$E$4:$E$12,0),MATCH(C62,'Master Data'!$F$3:$K$3,0)),2)</f>
        <v>65579.399999999994</v>
      </c>
      <c r="M62" s="147">
        <f>INDEX('Master Data'!$C$75:$O$299,MATCH(A62,'Master Data'!$B$75:$B$299,0),MATCH($M$1,'Master Data'!$C$74:$O$74,0))</f>
        <v>0.83</v>
      </c>
      <c r="N62" s="148">
        <f>ROUND(M62*INDEX('Master Data'!$F$4:$K$12,MATCH($M$1,'Master Data'!$E$4:$E$12,0),MATCH(C62,'Master Data'!$F$3:$K$3,0)),2)</f>
        <v>50100.24</v>
      </c>
      <c r="O62" s="147">
        <f>INDEX('Master Data'!$C$75:$O$299,MATCH(A62,'Master Data'!$B$75:$B$299,0),MATCH($O$1,'Master Data'!$C$74:$O$74,0))</f>
        <v>0.23</v>
      </c>
      <c r="P62" s="148">
        <f>ROUND(O62*INDEX('Master Data'!$F$4:$K$12,MATCH($O$1,'Master Data'!$E$4:$E$12,0),MATCH(C62,'Master Data'!$F$3:$K$3,0)),2)</f>
        <v>7176</v>
      </c>
      <c r="Q62" s="147">
        <f>INDEX('Master Data'!$C$75:$O$299,MATCH(A62,'Master Data'!$B$75:$B$299,0),MATCH($Q$1,'Master Data'!$C$74:$O$74,0))</f>
        <v>0.12</v>
      </c>
      <c r="R62" s="148">
        <f>ROUND(Q62*INDEX('Master Data'!$F$4:$K$12,MATCH($Q$1,'Master Data'!$E$4:$E$12,0),MATCH(C62,'Master Data'!$F$3:$K$3,0)),2)</f>
        <v>5621.09</v>
      </c>
      <c r="S62" s="147">
        <f>INDEX('Master Data'!$C$75:$O$299,MATCH(A62,'Master Data'!$B$75:$B$299,0),MATCH($S$1,'Master Data'!$C$74:$O$74,0))</f>
        <v>0</v>
      </c>
      <c r="T62" s="148">
        <f>ROUND(S62*INDEX('Master Data'!$F$4:$K$12,MATCH($S$1,'Master Data'!$E$4:$E$12,0),MATCH(C62,'Master Data'!$F$3:$K$3,0)),2)</f>
        <v>0</v>
      </c>
      <c r="U62" s="147">
        <f>INDEX('Master Data'!$C$75:$O$299,MATCH(A62,'Master Data'!$B$75:$B$299,0),MATCH($U$1,'Master Data'!$C$74:$O$74,0))</f>
        <v>0</v>
      </c>
      <c r="V62" s="148">
        <f>ROUND(U62*INDEX('Master Data'!$F$4:$K$12,MATCH($U$1,'Master Data'!$E$4:$E$12,0),MATCH(C62,'Master Data'!$F$3:$K$3,0)),2)</f>
        <v>0</v>
      </c>
      <c r="W62" s="149">
        <f t="shared" si="2"/>
        <v>488205.72000000003</v>
      </c>
      <c r="X62" s="148">
        <f>ROUND(W62*('Master Data'!$B$54),2)</f>
        <v>121904.97</v>
      </c>
      <c r="Y62" s="149">
        <f t="shared" si="3"/>
        <v>610110.69000000006</v>
      </c>
      <c r="Z62" s="147">
        <f>52*INDEX('Master Data'!$C$75:$O$299,MATCH(A62,'Master Data'!$B$75:$B$299,0),MATCH($Z$1,'Master Data'!$C$74:$O$74,0))</f>
        <v>52</v>
      </c>
      <c r="AA62" s="148">
        <f>Z62*('Master Data'!$F$15)</f>
        <v>3920.8</v>
      </c>
      <c r="AB62" s="147">
        <f>52*INDEX('Master Data'!$C$75:$O$299,MATCH(A62,'Master Data'!$B$75:$B$299,0),MATCH($AB$1,'Master Data'!$C$74:$O$74,0))</f>
        <v>156</v>
      </c>
      <c r="AC62" s="148">
        <f>AB62*('Master Data'!$F$16)</f>
        <v>11281.919999999998</v>
      </c>
      <c r="AD62" s="149">
        <f t="shared" si="4"/>
        <v>15202.719999999998</v>
      </c>
      <c r="AE62" s="148">
        <f>INDEX('Master Data'!$D$58:$D$60,MATCH(D62,'Master Data'!$B$58:$B$60,0))</f>
        <v>19577.099999999999</v>
      </c>
      <c r="AF62" s="148">
        <f>INDEX('Master Data'!$E$58:$E$60,MATCH(D62,'Master Data'!$B$58:$B$60,0))</f>
        <v>992.8</v>
      </c>
      <c r="AG62" s="148">
        <f>INDEX('Master Data'!$F$58:$F$60,MATCH(D62,'Master Data'!$B$58:$B$60,0))</f>
        <v>2876.2</v>
      </c>
      <c r="AH62" s="149">
        <f t="shared" si="5"/>
        <v>648759.51</v>
      </c>
      <c r="AI62" s="148">
        <f>ROUND(AH62*('Master Data'!$C$54),2)</f>
        <v>77851.14</v>
      </c>
      <c r="AJ62" s="148">
        <f>ROUND(SUM(AH62:AI62,AK62)*('Master Data'!$E$54),2)</f>
        <v>21768.560000000001</v>
      </c>
      <c r="AK62" s="148">
        <f>ROUND(W62*('Master Data'!$F$54),2)</f>
        <v>0</v>
      </c>
      <c r="AL62" s="149">
        <f t="shared" si="6"/>
        <v>748379.21000000008</v>
      </c>
      <c r="AM62" s="140">
        <f t="shared" si="7"/>
        <v>2156.71</v>
      </c>
      <c r="AN62" s="121"/>
      <c r="AO62" s="121"/>
      <c r="AP62" s="121"/>
      <c r="AQ62" s="121"/>
      <c r="AR62" s="121"/>
      <c r="AS62" s="121"/>
    </row>
    <row r="63" spans="1:45">
      <c r="A63" s="121" t="s">
        <v>216</v>
      </c>
      <c r="B63" s="121" t="str">
        <f t="shared" si="0"/>
        <v>2</v>
      </c>
      <c r="C63" s="121" t="str">
        <f t="shared" si="1"/>
        <v>Medical 2</v>
      </c>
      <c r="D63" s="121" t="str">
        <f>INDEX('Master Data'!$C$75:$C$299,MATCH(A63,'Master Data'!$B$75:$B$299,0))</f>
        <v>2-3</v>
      </c>
      <c r="E63" s="147">
        <f>INDEX('Master Data'!$C$75:$O$299,MATCH(A63,'Master Data'!$B$75:$B$299,0),MATCH($E$1,'Master Data'!$C$74:$O$74,0))</f>
        <v>0.18</v>
      </c>
      <c r="F63" s="148">
        <f>ROUND(E63*INDEX('Master Data'!$F$4:$K$12,MATCH($E$1,'Master Data'!$E$4:$E$12,0),MATCH(C63,'Master Data'!$F$3:$K$3,0)),2)</f>
        <v>14667.64</v>
      </c>
      <c r="G63" s="147">
        <f>INDEX('Master Data'!$C$75:$O$299,MATCH(A63,'Master Data'!$B$75:$B$299,0),MATCH($G$1,'Master Data'!$C$74:$O$74,0))</f>
        <v>0.66</v>
      </c>
      <c r="H63" s="148">
        <f>ROUND(G63*INDEX('Master Data'!$F$4:$K$12,MATCH($G$1,'Master Data'!$E$4:$E$12,0),MATCH(C63,'Master Data'!$F$3:$K$3,0)),2)</f>
        <v>37216.5</v>
      </c>
      <c r="I63" s="147">
        <f>INDEX('Master Data'!$C$75:$O$299,MATCH(A63,'Master Data'!$B$75:$B$299,0),MATCH($I$1,'Master Data'!$C$74:$O$74,0))</f>
        <v>5.6</v>
      </c>
      <c r="J63" s="148">
        <f>ROUND(I63*INDEX('Master Data'!$F$4:$K$12,MATCH($I$1,'Master Data'!$E$4:$E$12,0),MATCH(C63,'Master Data'!$F$3:$K$3,0)),2)</f>
        <v>338025.72</v>
      </c>
      <c r="K63" s="147">
        <f>INDEX('Master Data'!$C$75:$O$299,MATCH(A63,'Master Data'!$B$75:$B$299,0),MATCH($K$1,'Master Data'!$C$74:$O$74,0))</f>
        <v>1.4</v>
      </c>
      <c r="L63" s="148">
        <f>ROUND(K63*INDEX('Master Data'!$F$4:$K$12,MATCH($K$1,'Master Data'!$E$4:$E$12,0),MATCH(C63,'Master Data'!$F$3:$K$3,0)),2)</f>
        <v>65579.399999999994</v>
      </c>
      <c r="M63" s="147">
        <f>INDEX('Master Data'!$C$75:$O$299,MATCH(A63,'Master Data'!$B$75:$B$299,0),MATCH($M$1,'Master Data'!$C$74:$O$74,0))</f>
        <v>0.91</v>
      </c>
      <c r="N63" s="148">
        <f>ROUND(M63*INDEX('Master Data'!$F$4:$K$12,MATCH($M$1,'Master Data'!$E$4:$E$12,0),MATCH(C63,'Master Data'!$F$3:$K$3,0)),2)</f>
        <v>54929.18</v>
      </c>
      <c r="O63" s="147">
        <f>INDEX('Master Data'!$C$75:$O$299,MATCH(A63,'Master Data'!$B$75:$B$299,0),MATCH($O$1,'Master Data'!$C$74:$O$74,0))</f>
        <v>0.23</v>
      </c>
      <c r="P63" s="148">
        <f>ROUND(O63*INDEX('Master Data'!$F$4:$K$12,MATCH($O$1,'Master Data'!$E$4:$E$12,0),MATCH(C63,'Master Data'!$F$3:$K$3,0)),2)</f>
        <v>7176</v>
      </c>
      <c r="Q63" s="147">
        <f>INDEX('Master Data'!$C$75:$O$299,MATCH(A63,'Master Data'!$B$75:$B$299,0),MATCH($Q$1,'Master Data'!$C$74:$O$74,0))</f>
        <v>0.12</v>
      </c>
      <c r="R63" s="148">
        <f>ROUND(Q63*INDEX('Master Data'!$F$4:$K$12,MATCH($Q$1,'Master Data'!$E$4:$E$12,0),MATCH(C63,'Master Data'!$F$3:$K$3,0)),2)</f>
        <v>5621.09</v>
      </c>
      <c r="S63" s="147">
        <f>INDEX('Master Data'!$C$75:$O$299,MATCH(A63,'Master Data'!$B$75:$B$299,0),MATCH($S$1,'Master Data'!$C$74:$O$74,0))</f>
        <v>0</v>
      </c>
      <c r="T63" s="148">
        <f>ROUND(S63*INDEX('Master Data'!$F$4:$K$12,MATCH($S$1,'Master Data'!$E$4:$E$12,0),MATCH(C63,'Master Data'!$F$3:$K$3,0)),2)</f>
        <v>0</v>
      </c>
      <c r="U63" s="147">
        <f>INDEX('Master Data'!$C$75:$O$299,MATCH(A63,'Master Data'!$B$75:$B$299,0),MATCH($U$1,'Master Data'!$C$74:$O$74,0))</f>
        <v>0</v>
      </c>
      <c r="V63" s="148">
        <f>ROUND(U63*INDEX('Master Data'!$F$4:$K$12,MATCH($U$1,'Master Data'!$E$4:$E$12,0),MATCH(C63,'Master Data'!$F$3:$K$3,0)),2)</f>
        <v>0</v>
      </c>
      <c r="W63" s="149">
        <f t="shared" si="2"/>
        <v>523215.53</v>
      </c>
      <c r="X63" s="148">
        <f>ROUND(W63*('Master Data'!$B$54),2)</f>
        <v>130646.92</v>
      </c>
      <c r="Y63" s="149">
        <f t="shared" si="3"/>
        <v>653862.45000000007</v>
      </c>
      <c r="Z63" s="147">
        <f>52*INDEX('Master Data'!$C$75:$O$299,MATCH(A63,'Master Data'!$B$75:$B$299,0),MATCH($Z$1,'Master Data'!$C$74:$O$74,0))</f>
        <v>52</v>
      </c>
      <c r="AA63" s="148">
        <f>Z63*('Master Data'!$F$15)</f>
        <v>3920.8</v>
      </c>
      <c r="AB63" s="147">
        <f>52*INDEX('Master Data'!$C$75:$O$299,MATCH(A63,'Master Data'!$B$75:$B$299,0),MATCH($AB$1,'Master Data'!$C$74:$O$74,0))</f>
        <v>156</v>
      </c>
      <c r="AC63" s="148">
        <f>AB63*('Master Data'!$F$16)</f>
        <v>11281.919999999998</v>
      </c>
      <c r="AD63" s="149">
        <f t="shared" si="4"/>
        <v>15202.719999999998</v>
      </c>
      <c r="AE63" s="148">
        <f>INDEX('Master Data'!$D$58:$D$60,MATCH(D63,'Master Data'!$B$58:$B$60,0))</f>
        <v>19577.099999999999</v>
      </c>
      <c r="AF63" s="148">
        <f>INDEX('Master Data'!$E$58:$E$60,MATCH(D63,'Master Data'!$B$58:$B$60,0))</f>
        <v>992.8</v>
      </c>
      <c r="AG63" s="148">
        <f>INDEX('Master Data'!$F$58:$F$60,MATCH(D63,'Master Data'!$B$58:$B$60,0))</f>
        <v>2876.2</v>
      </c>
      <c r="AH63" s="149">
        <f t="shared" si="5"/>
        <v>692511.27</v>
      </c>
      <c r="AI63" s="148">
        <f>ROUND(AH63*('Master Data'!$C$54),2)</f>
        <v>83101.350000000006</v>
      </c>
      <c r="AJ63" s="148">
        <f>ROUND(SUM(AH63:AI63,AK63)*('Master Data'!$E$54),2)</f>
        <v>23236.61</v>
      </c>
      <c r="AK63" s="148">
        <f>ROUND(W63*('Master Data'!$F$54),2)</f>
        <v>0</v>
      </c>
      <c r="AL63" s="149">
        <f t="shared" si="6"/>
        <v>798849.23</v>
      </c>
      <c r="AM63" s="140">
        <f t="shared" si="7"/>
        <v>2302.16</v>
      </c>
      <c r="AN63" s="121"/>
      <c r="AO63" s="121"/>
      <c r="AP63" s="121"/>
      <c r="AQ63" s="121"/>
      <c r="AR63" s="121"/>
      <c r="AS63" s="121"/>
    </row>
    <row r="64" spans="1:45">
      <c r="A64" s="121" t="s">
        <v>217</v>
      </c>
      <c r="B64" s="121" t="str">
        <f t="shared" si="0"/>
        <v>2</v>
      </c>
      <c r="C64" s="121" t="str">
        <f t="shared" si="1"/>
        <v>Medical 2</v>
      </c>
      <c r="D64" s="121" t="str">
        <f>INDEX('Master Data'!$C$75:$C$299,MATCH(A64,'Master Data'!$B$75:$B$299,0))</f>
        <v>2-3</v>
      </c>
      <c r="E64" s="147">
        <f>INDEX('Master Data'!$C$75:$O$299,MATCH(A64,'Master Data'!$B$75:$B$299,0),MATCH($E$1,'Master Data'!$C$74:$O$74,0))</f>
        <v>0.18</v>
      </c>
      <c r="F64" s="148">
        <f>ROUND(E64*INDEX('Master Data'!$F$4:$K$12,MATCH($E$1,'Master Data'!$E$4:$E$12,0),MATCH(C64,'Master Data'!$F$3:$K$3,0)),2)</f>
        <v>14667.64</v>
      </c>
      <c r="G64" s="147">
        <f>INDEX('Master Data'!$C$75:$O$299,MATCH(A64,'Master Data'!$B$75:$B$299,0),MATCH($G$1,'Master Data'!$C$74:$O$74,0))</f>
        <v>0.66</v>
      </c>
      <c r="H64" s="148">
        <f>ROUND(G64*INDEX('Master Data'!$F$4:$K$12,MATCH($G$1,'Master Data'!$E$4:$E$12,0),MATCH(C64,'Master Data'!$F$3:$K$3,0)),2)</f>
        <v>37216.5</v>
      </c>
      <c r="I64" s="147">
        <f>INDEX('Master Data'!$C$75:$O$299,MATCH(A64,'Master Data'!$B$75:$B$299,0),MATCH($I$1,'Master Data'!$C$74:$O$74,0))</f>
        <v>6.1</v>
      </c>
      <c r="J64" s="148">
        <f>ROUND(I64*INDEX('Master Data'!$F$4:$K$12,MATCH($I$1,'Master Data'!$E$4:$E$12,0),MATCH(C64,'Master Data'!$F$3:$K$3,0)),2)</f>
        <v>368206.58</v>
      </c>
      <c r="K64" s="147">
        <f>INDEX('Master Data'!$C$75:$O$299,MATCH(A64,'Master Data'!$B$75:$B$299,0),MATCH($K$1,'Master Data'!$C$74:$O$74,0))</f>
        <v>1.4</v>
      </c>
      <c r="L64" s="148">
        <f>ROUND(K64*INDEX('Master Data'!$F$4:$K$12,MATCH($K$1,'Master Data'!$E$4:$E$12,0),MATCH(C64,'Master Data'!$F$3:$K$3,0)),2)</f>
        <v>65579.399999999994</v>
      </c>
      <c r="M64" s="147">
        <f>INDEX('Master Data'!$C$75:$O$299,MATCH(A64,'Master Data'!$B$75:$B$299,0),MATCH($M$1,'Master Data'!$C$74:$O$74,0))</f>
        <v>0.99</v>
      </c>
      <c r="N64" s="148">
        <f>ROUND(M64*INDEX('Master Data'!$F$4:$K$12,MATCH($M$1,'Master Data'!$E$4:$E$12,0),MATCH(C64,'Master Data'!$F$3:$K$3,0)),2)</f>
        <v>59758.12</v>
      </c>
      <c r="O64" s="147">
        <f>INDEX('Master Data'!$C$75:$O$299,MATCH(A64,'Master Data'!$B$75:$B$299,0),MATCH($O$1,'Master Data'!$C$74:$O$74,0))</f>
        <v>0.23</v>
      </c>
      <c r="P64" s="148">
        <f>ROUND(O64*INDEX('Master Data'!$F$4:$K$12,MATCH($O$1,'Master Data'!$E$4:$E$12,0),MATCH(C64,'Master Data'!$F$3:$K$3,0)),2)</f>
        <v>7176</v>
      </c>
      <c r="Q64" s="147">
        <f>INDEX('Master Data'!$C$75:$O$299,MATCH(A64,'Master Data'!$B$75:$B$299,0),MATCH($Q$1,'Master Data'!$C$74:$O$74,0))</f>
        <v>0.12</v>
      </c>
      <c r="R64" s="148">
        <f>ROUND(Q64*INDEX('Master Data'!$F$4:$K$12,MATCH($Q$1,'Master Data'!$E$4:$E$12,0),MATCH(C64,'Master Data'!$F$3:$K$3,0)),2)</f>
        <v>5621.09</v>
      </c>
      <c r="S64" s="147">
        <f>INDEX('Master Data'!$C$75:$O$299,MATCH(A64,'Master Data'!$B$75:$B$299,0),MATCH($S$1,'Master Data'!$C$74:$O$74,0))</f>
        <v>0</v>
      </c>
      <c r="T64" s="148">
        <f>ROUND(S64*INDEX('Master Data'!$F$4:$K$12,MATCH($S$1,'Master Data'!$E$4:$E$12,0),MATCH(C64,'Master Data'!$F$3:$K$3,0)),2)</f>
        <v>0</v>
      </c>
      <c r="U64" s="147">
        <f>INDEX('Master Data'!$C$75:$O$299,MATCH(A64,'Master Data'!$B$75:$B$299,0),MATCH($U$1,'Master Data'!$C$74:$O$74,0))</f>
        <v>0</v>
      </c>
      <c r="V64" s="148">
        <f>ROUND(U64*INDEX('Master Data'!$F$4:$K$12,MATCH($U$1,'Master Data'!$E$4:$E$12,0),MATCH(C64,'Master Data'!$F$3:$K$3,0)),2)</f>
        <v>0</v>
      </c>
      <c r="W64" s="149">
        <f t="shared" si="2"/>
        <v>558225.32999999996</v>
      </c>
      <c r="X64" s="148">
        <f>ROUND(W64*('Master Data'!$B$54),2)</f>
        <v>139388.85999999999</v>
      </c>
      <c r="Y64" s="149">
        <f t="shared" si="3"/>
        <v>697614.19</v>
      </c>
      <c r="Z64" s="147">
        <f>52*INDEX('Master Data'!$C$75:$O$299,MATCH(A64,'Master Data'!$B$75:$B$299,0),MATCH($Z$1,'Master Data'!$C$74:$O$74,0))</f>
        <v>52</v>
      </c>
      <c r="AA64" s="148">
        <f>Z64*('Master Data'!$F$15)</f>
        <v>3920.8</v>
      </c>
      <c r="AB64" s="147">
        <f>52*INDEX('Master Data'!$C$75:$O$299,MATCH(A64,'Master Data'!$B$75:$B$299,0),MATCH($AB$1,'Master Data'!$C$74:$O$74,0))</f>
        <v>156</v>
      </c>
      <c r="AC64" s="148">
        <f>AB64*('Master Data'!$F$16)</f>
        <v>11281.919999999998</v>
      </c>
      <c r="AD64" s="149">
        <f t="shared" si="4"/>
        <v>15202.719999999998</v>
      </c>
      <c r="AE64" s="148">
        <f>INDEX('Master Data'!$D$58:$D$60,MATCH(D64,'Master Data'!$B$58:$B$60,0))</f>
        <v>19577.099999999999</v>
      </c>
      <c r="AF64" s="148">
        <f>INDEX('Master Data'!$E$58:$E$60,MATCH(D64,'Master Data'!$B$58:$B$60,0))</f>
        <v>992.8</v>
      </c>
      <c r="AG64" s="148">
        <f>INDEX('Master Data'!$F$58:$F$60,MATCH(D64,'Master Data'!$B$58:$B$60,0))</f>
        <v>2876.2</v>
      </c>
      <c r="AH64" s="149">
        <f t="shared" si="5"/>
        <v>736263.00999999989</v>
      </c>
      <c r="AI64" s="148">
        <f>ROUND(AH64*('Master Data'!$C$54),2)</f>
        <v>88351.56</v>
      </c>
      <c r="AJ64" s="148">
        <f>ROUND(SUM(AH64:AI64,AK64)*('Master Data'!$E$54),2)</f>
        <v>24704.66</v>
      </c>
      <c r="AK64" s="148">
        <f>ROUND(W64*('Master Data'!$F$54),2)</f>
        <v>0</v>
      </c>
      <c r="AL64" s="149">
        <f t="shared" si="6"/>
        <v>849319.22999999986</v>
      </c>
      <c r="AM64" s="140">
        <f t="shared" si="7"/>
        <v>2447.61</v>
      </c>
      <c r="AN64" s="121"/>
      <c r="AO64" s="121"/>
      <c r="AP64" s="121"/>
      <c r="AQ64" s="121"/>
      <c r="AR64" s="121"/>
      <c r="AS64" s="121"/>
    </row>
    <row r="65" spans="1:45">
      <c r="A65" s="121" t="s">
        <v>218</v>
      </c>
      <c r="B65" s="121" t="str">
        <f t="shared" si="0"/>
        <v>2</v>
      </c>
      <c r="C65" s="121" t="str">
        <f t="shared" si="1"/>
        <v>Medical 2</v>
      </c>
      <c r="D65" s="121" t="str">
        <f>INDEX('Master Data'!$C$75:$C$299,MATCH(A65,'Master Data'!$B$75:$B$299,0))</f>
        <v>2-3</v>
      </c>
      <c r="E65" s="147">
        <f>INDEX('Master Data'!$C$75:$O$299,MATCH(A65,'Master Data'!$B$75:$B$299,0),MATCH($E$1,'Master Data'!$C$74:$O$74,0))</f>
        <v>0.18</v>
      </c>
      <c r="F65" s="148">
        <f>ROUND(E65*INDEX('Master Data'!$F$4:$K$12,MATCH($E$1,'Master Data'!$E$4:$E$12,0),MATCH(C65,'Master Data'!$F$3:$K$3,0)),2)</f>
        <v>14667.64</v>
      </c>
      <c r="G65" s="147">
        <f>INDEX('Master Data'!$C$75:$O$299,MATCH(A65,'Master Data'!$B$75:$B$299,0),MATCH($G$1,'Master Data'!$C$74:$O$74,0))</f>
        <v>0.66</v>
      </c>
      <c r="H65" s="148">
        <f>ROUND(G65*INDEX('Master Data'!$F$4:$K$12,MATCH($G$1,'Master Data'!$E$4:$E$12,0),MATCH(C65,'Master Data'!$F$3:$K$3,0)),2)</f>
        <v>37216.5</v>
      </c>
      <c r="I65" s="147">
        <f>INDEX('Master Data'!$C$75:$O$299,MATCH(A65,'Master Data'!$B$75:$B$299,0),MATCH($I$1,'Master Data'!$C$74:$O$74,0))</f>
        <v>6.6</v>
      </c>
      <c r="J65" s="148">
        <f>ROUND(I65*INDEX('Master Data'!$F$4:$K$12,MATCH($I$1,'Master Data'!$E$4:$E$12,0),MATCH(C65,'Master Data'!$F$3:$K$3,0)),2)</f>
        <v>398387.45</v>
      </c>
      <c r="K65" s="147">
        <f>INDEX('Master Data'!$C$75:$O$299,MATCH(A65,'Master Data'!$B$75:$B$299,0),MATCH($K$1,'Master Data'!$C$74:$O$74,0))</f>
        <v>1.4</v>
      </c>
      <c r="L65" s="148">
        <f>ROUND(K65*INDEX('Master Data'!$F$4:$K$12,MATCH($K$1,'Master Data'!$E$4:$E$12,0),MATCH(C65,'Master Data'!$F$3:$K$3,0)),2)</f>
        <v>65579.399999999994</v>
      </c>
      <c r="M65" s="147">
        <f>INDEX('Master Data'!$C$75:$O$299,MATCH(A65,'Master Data'!$B$75:$B$299,0),MATCH($M$1,'Master Data'!$C$74:$O$74,0))</f>
        <v>1.07</v>
      </c>
      <c r="N65" s="148">
        <f>ROUND(M65*INDEX('Master Data'!$F$4:$K$12,MATCH($M$1,'Master Data'!$E$4:$E$12,0),MATCH(C65,'Master Data'!$F$3:$K$3,0)),2)</f>
        <v>64587.06</v>
      </c>
      <c r="O65" s="147">
        <f>INDEX('Master Data'!$C$75:$O$299,MATCH(A65,'Master Data'!$B$75:$B$299,0),MATCH($O$1,'Master Data'!$C$74:$O$74,0))</f>
        <v>0.23</v>
      </c>
      <c r="P65" s="148">
        <f>ROUND(O65*INDEX('Master Data'!$F$4:$K$12,MATCH($O$1,'Master Data'!$E$4:$E$12,0),MATCH(C65,'Master Data'!$F$3:$K$3,0)),2)</f>
        <v>7176</v>
      </c>
      <c r="Q65" s="147">
        <f>INDEX('Master Data'!$C$75:$O$299,MATCH(A65,'Master Data'!$B$75:$B$299,0),MATCH($Q$1,'Master Data'!$C$74:$O$74,0))</f>
        <v>0.12</v>
      </c>
      <c r="R65" s="148">
        <f>ROUND(Q65*INDEX('Master Data'!$F$4:$K$12,MATCH($Q$1,'Master Data'!$E$4:$E$12,0),MATCH(C65,'Master Data'!$F$3:$K$3,0)),2)</f>
        <v>5621.09</v>
      </c>
      <c r="S65" s="147">
        <f>INDEX('Master Data'!$C$75:$O$299,MATCH(A65,'Master Data'!$B$75:$B$299,0),MATCH($S$1,'Master Data'!$C$74:$O$74,0))</f>
        <v>0</v>
      </c>
      <c r="T65" s="148">
        <f>ROUND(S65*INDEX('Master Data'!$F$4:$K$12,MATCH($S$1,'Master Data'!$E$4:$E$12,0),MATCH(C65,'Master Data'!$F$3:$K$3,0)),2)</f>
        <v>0</v>
      </c>
      <c r="U65" s="147">
        <f>INDEX('Master Data'!$C$75:$O$299,MATCH(A65,'Master Data'!$B$75:$B$299,0),MATCH($U$1,'Master Data'!$C$74:$O$74,0))</f>
        <v>0</v>
      </c>
      <c r="V65" s="148">
        <f>ROUND(U65*INDEX('Master Data'!$F$4:$K$12,MATCH($U$1,'Master Data'!$E$4:$E$12,0),MATCH(C65,'Master Data'!$F$3:$K$3,0)),2)</f>
        <v>0</v>
      </c>
      <c r="W65" s="149">
        <f t="shared" si="2"/>
        <v>593235.14</v>
      </c>
      <c r="X65" s="148">
        <f>ROUND(W65*('Master Data'!$B$54),2)</f>
        <v>148130.81</v>
      </c>
      <c r="Y65" s="149">
        <f t="shared" si="3"/>
        <v>741365.95</v>
      </c>
      <c r="Z65" s="147">
        <f>52*INDEX('Master Data'!$C$75:$O$299,MATCH(A65,'Master Data'!$B$75:$B$299,0),MATCH($Z$1,'Master Data'!$C$74:$O$74,0))</f>
        <v>52</v>
      </c>
      <c r="AA65" s="148">
        <f>Z65*('Master Data'!$F$15)</f>
        <v>3920.8</v>
      </c>
      <c r="AB65" s="147">
        <f>52*INDEX('Master Data'!$C$75:$O$299,MATCH(A65,'Master Data'!$B$75:$B$299,0),MATCH($AB$1,'Master Data'!$C$74:$O$74,0))</f>
        <v>156</v>
      </c>
      <c r="AC65" s="148">
        <f>AB65*('Master Data'!$F$16)</f>
        <v>11281.919999999998</v>
      </c>
      <c r="AD65" s="149">
        <f t="shared" si="4"/>
        <v>15202.719999999998</v>
      </c>
      <c r="AE65" s="148">
        <f>INDEX('Master Data'!$D$58:$D$60,MATCH(D65,'Master Data'!$B$58:$B$60,0))</f>
        <v>19577.099999999999</v>
      </c>
      <c r="AF65" s="148">
        <f>INDEX('Master Data'!$E$58:$E$60,MATCH(D65,'Master Data'!$B$58:$B$60,0))</f>
        <v>992.8</v>
      </c>
      <c r="AG65" s="148">
        <f>INDEX('Master Data'!$F$58:$F$60,MATCH(D65,'Master Data'!$B$58:$B$60,0))</f>
        <v>2876.2</v>
      </c>
      <c r="AH65" s="149">
        <f t="shared" si="5"/>
        <v>780014.7699999999</v>
      </c>
      <c r="AI65" s="148">
        <f>ROUND(AH65*('Master Data'!$C$54),2)</f>
        <v>93601.77</v>
      </c>
      <c r="AJ65" s="148">
        <f>ROUND(SUM(AH65:AI65,AK65)*('Master Data'!$E$54),2)</f>
        <v>26172.71</v>
      </c>
      <c r="AK65" s="148">
        <f>ROUND(W65*('Master Data'!$F$54),2)</f>
        <v>0</v>
      </c>
      <c r="AL65" s="149">
        <f t="shared" si="6"/>
        <v>899789.24999999988</v>
      </c>
      <c r="AM65" s="140">
        <f t="shared" si="7"/>
        <v>2593.0500000000002</v>
      </c>
      <c r="AN65" s="121"/>
      <c r="AO65" s="121"/>
      <c r="AP65" s="121"/>
      <c r="AQ65" s="121"/>
      <c r="AR65" s="121"/>
      <c r="AS65" s="121"/>
    </row>
    <row r="66" spans="1:45">
      <c r="A66" s="121" t="s">
        <v>219</v>
      </c>
      <c r="B66" s="121" t="str">
        <f t="shared" ref="B66:B145" si="8">IF(LEFT(A66,1)="M",RIGHT(A66,1)," ")</f>
        <v>2</v>
      </c>
      <c r="C66" s="121" t="str">
        <f t="shared" si="1"/>
        <v>Medical 2</v>
      </c>
      <c r="D66" s="121" t="str">
        <f>INDEX('Master Data'!$C$75:$C$299,MATCH(A66,'Master Data'!$B$75:$B$299,0))</f>
        <v>2-3</v>
      </c>
      <c r="E66" s="147">
        <f>INDEX('Master Data'!$C$75:$O$299,MATCH(A66,'Master Data'!$B$75:$B$299,0),MATCH($E$1,'Master Data'!$C$74:$O$74,0))</f>
        <v>0.18</v>
      </c>
      <c r="F66" s="148">
        <f>ROUND(E66*INDEX('Master Data'!$F$4:$K$12,MATCH($E$1,'Master Data'!$E$4:$E$12,0),MATCH(C66,'Master Data'!$F$3:$K$3,0)),2)</f>
        <v>14667.64</v>
      </c>
      <c r="G66" s="147">
        <f>INDEX('Master Data'!$C$75:$O$299,MATCH(A66,'Master Data'!$B$75:$B$299,0),MATCH($G$1,'Master Data'!$C$74:$O$74,0))</f>
        <v>0.66</v>
      </c>
      <c r="H66" s="148">
        <f>ROUND(G66*INDEX('Master Data'!$F$4:$K$12,MATCH($G$1,'Master Data'!$E$4:$E$12,0),MATCH(C66,'Master Data'!$F$3:$K$3,0)),2)</f>
        <v>37216.5</v>
      </c>
      <c r="I66" s="147">
        <f>INDEX('Master Data'!$C$75:$O$299,MATCH(A66,'Master Data'!$B$75:$B$299,0),MATCH($I$1,'Master Data'!$C$74:$O$74,0))</f>
        <v>7.1</v>
      </c>
      <c r="J66" s="148">
        <f>ROUND(I66*INDEX('Master Data'!$F$4:$K$12,MATCH($I$1,'Master Data'!$E$4:$E$12,0),MATCH(C66,'Master Data'!$F$3:$K$3,0)),2)</f>
        <v>428568.32000000001</v>
      </c>
      <c r="K66" s="147">
        <f>INDEX('Master Data'!$C$75:$O$299,MATCH(A66,'Master Data'!$B$75:$B$299,0),MATCH($K$1,'Master Data'!$C$74:$O$74,0))</f>
        <v>1.4</v>
      </c>
      <c r="L66" s="148">
        <f>ROUND(K66*INDEX('Master Data'!$F$4:$K$12,MATCH($K$1,'Master Data'!$E$4:$E$12,0),MATCH(C66,'Master Data'!$F$3:$K$3,0)),2)</f>
        <v>65579.399999999994</v>
      </c>
      <c r="M66" s="147">
        <f>INDEX('Master Data'!$C$75:$O$299,MATCH(A66,'Master Data'!$B$75:$B$299,0),MATCH($M$1,'Master Data'!$C$74:$O$74,0))</f>
        <v>1.1499999999999999</v>
      </c>
      <c r="N66" s="148">
        <f>ROUND(M66*INDEX('Master Data'!$F$4:$K$12,MATCH($M$1,'Master Data'!$E$4:$E$12,0),MATCH(C66,'Master Data'!$F$3:$K$3,0)),2)</f>
        <v>69416</v>
      </c>
      <c r="O66" s="147">
        <f>INDEX('Master Data'!$C$75:$O$299,MATCH(A66,'Master Data'!$B$75:$B$299,0),MATCH($O$1,'Master Data'!$C$74:$O$74,0))</f>
        <v>0.23</v>
      </c>
      <c r="P66" s="148">
        <f>ROUND(O66*INDEX('Master Data'!$F$4:$K$12,MATCH($O$1,'Master Data'!$E$4:$E$12,0),MATCH(C66,'Master Data'!$F$3:$K$3,0)),2)</f>
        <v>7176</v>
      </c>
      <c r="Q66" s="147">
        <f>INDEX('Master Data'!$C$75:$O$299,MATCH(A66,'Master Data'!$B$75:$B$299,0),MATCH($Q$1,'Master Data'!$C$74:$O$74,0))</f>
        <v>0.12</v>
      </c>
      <c r="R66" s="148">
        <f>ROUND(Q66*INDEX('Master Data'!$F$4:$K$12,MATCH($Q$1,'Master Data'!$E$4:$E$12,0),MATCH(C66,'Master Data'!$F$3:$K$3,0)),2)</f>
        <v>5621.09</v>
      </c>
      <c r="S66" s="147">
        <f>INDEX('Master Data'!$C$75:$O$299,MATCH(A66,'Master Data'!$B$75:$B$299,0),MATCH($S$1,'Master Data'!$C$74:$O$74,0))</f>
        <v>0</v>
      </c>
      <c r="T66" s="148">
        <f>ROUND(S66*INDEX('Master Data'!$F$4:$K$12,MATCH($S$1,'Master Data'!$E$4:$E$12,0),MATCH(C66,'Master Data'!$F$3:$K$3,0)),2)</f>
        <v>0</v>
      </c>
      <c r="U66" s="147">
        <f>INDEX('Master Data'!$C$75:$O$299,MATCH(A66,'Master Data'!$B$75:$B$299,0),MATCH($U$1,'Master Data'!$C$74:$O$74,0))</f>
        <v>0</v>
      </c>
      <c r="V66" s="148">
        <f>ROUND(U66*INDEX('Master Data'!$F$4:$K$12,MATCH($U$1,'Master Data'!$E$4:$E$12,0),MATCH(C66,'Master Data'!$F$3:$K$3,0)),2)</f>
        <v>0</v>
      </c>
      <c r="W66" s="149">
        <f t="shared" ref="W66:W129" si="9">SUM(F66,H66,J66,L66,N66,P66,R66,T66,V66)</f>
        <v>628244.94999999995</v>
      </c>
      <c r="X66" s="148">
        <f>ROUND(W66*('Master Data'!$B$54),2)</f>
        <v>156872.76</v>
      </c>
      <c r="Y66" s="149">
        <f t="shared" si="3"/>
        <v>785117.71</v>
      </c>
      <c r="Z66" s="147">
        <f>52*INDEX('Master Data'!$C$75:$O$299,MATCH(A66,'Master Data'!$B$75:$B$299,0),MATCH($Z$1,'Master Data'!$C$74:$O$74,0))</f>
        <v>52</v>
      </c>
      <c r="AA66" s="148">
        <f>Z66*('Master Data'!$F$15)</f>
        <v>3920.8</v>
      </c>
      <c r="AB66" s="147">
        <f>52*INDEX('Master Data'!$C$75:$O$299,MATCH(A66,'Master Data'!$B$75:$B$299,0),MATCH($AB$1,'Master Data'!$C$74:$O$74,0))</f>
        <v>156</v>
      </c>
      <c r="AC66" s="148">
        <f>AB66*('Master Data'!$F$16)</f>
        <v>11281.919999999998</v>
      </c>
      <c r="AD66" s="149">
        <f t="shared" si="4"/>
        <v>15202.719999999998</v>
      </c>
      <c r="AE66" s="148">
        <f>INDEX('Master Data'!$D$58:$D$60,MATCH(D66,'Master Data'!$B$58:$B$60,0))</f>
        <v>19577.099999999999</v>
      </c>
      <c r="AF66" s="148">
        <f>INDEX('Master Data'!$E$58:$E$60,MATCH(D66,'Master Data'!$B$58:$B$60,0))</f>
        <v>992.8</v>
      </c>
      <c r="AG66" s="148">
        <f>INDEX('Master Data'!$F$58:$F$60,MATCH(D66,'Master Data'!$B$58:$B$60,0))</f>
        <v>2876.2</v>
      </c>
      <c r="AH66" s="149">
        <f t="shared" si="5"/>
        <v>823766.52999999991</v>
      </c>
      <c r="AI66" s="148">
        <f>ROUND(AH66*('Master Data'!$C$54),2)</f>
        <v>98851.98</v>
      </c>
      <c r="AJ66" s="148">
        <f>ROUND(SUM(AH66:AI66,AK66)*('Master Data'!$E$54),2)</f>
        <v>27640.77</v>
      </c>
      <c r="AK66" s="148">
        <f>ROUND(W66*('Master Data'!$F$54),2)</f>
        <v>0</v>
      </c>
      <c r="AL66" s="149">
        <f t="shared" si="6"/>
        <v>950259.27999999991</v>
      </c>
      <c r="AM66" s="140">
        <f t="shared" si="7"/>
        <v>2738.5</v>
      </c>
      <c r="AN66" s="121"/>
      <c r="AO66" s="121"/>
      <c r="AP66" s="121"/>
      <c r="AQ66" s="121"/>
      <c r="AR66" s="121"/>
      <c r="AS66" s="121"/>
    </row>
    <row r="67" spans="1:45">
      <c r="A67" s="121" t="s">
        <v>220</v>
      </c>
      <c r="B67" s="121" t="str">
        <f t="shared" si="8"/>
        <v>2</v>
      </c>
      <c r="C67" s="121" t="str">
        <f t="shared" ref="C67:C102" si="10">CONCATENATE(IF(LEFT(A67,1)="B","Basic",IF(LEFT(A67,1)="I","Intermediate",IF(LEFT(A67,1)="S","Specialty",IF(LEFT(A67,1)="M","Medical",0))))," ",B67)</f>
        <v>Medical 2</v>
      </c>
      <c r="D67" s="121" t="str">
        <f>INDEX('Master Data'!$C$75:$C$299,MATCH(A67,'Master Data'!$B$75:$B$299,0))</f>
        <v>2-3</v>
      </c>
      <c r="E67" s="147">
        <f>INDEX('Master Data'!$C$75:$O$299,MATCH(A67,'Master Data'!$B$75:$B$299,0),MATCH($E$1,'Master Data'!$C$74:$O$74,0))</f>
        <v>0.18</v>
      </c>
      <c r="F67" s="148">
        <f>ROUND(E67*INDEX('Master Data'!$F$4:$K$12,MATCH($E$1,'Master Data'!$E$4:$E$12,0),MATCH(C67,'Master Data'!$F$3:$K$3,0)),2)</f>
        <v>14667.64</v>
      </c>
      <c r="G67" s="147">
        <f>INDEX('Master Data'!$C$75:$O$299,MATCH(A67,'Master Data'!$B$75:$B$299,0),MATCH($G$1,'Master Data'!$C$74:$O$74,0))</f>
        <v>0.66</v>
      </c>
      <c r="H67" s="148">
        <f>ROUND(G67*INDEX('Master Data'!$F$4:$K$12,MATCH($G$1,'Master Data'!$E$4:$E$12,0),MATCH(C67,'Master Data'!$F$3:$K$3,0)),2)</f>
        <v>37216.5</v>
      </c>
      <c r="I67" s="147">
        <f>INDEX('Master Data'!$C$75:$O$299,MATCH(A67,'Master Data'!$B$75:$B$299,0),MATCH($I$1,'Master Data'!$C$74:$O$74,0))</f>
        <v>7.6</v>
      </c>
      <c r="J67" s="148">
        <f>ROUND(I67*INDEX('Master Data'!$F$4:$K$12,MATCH($I$1,'Master Data'!$E$4:$E$12,0),MATCH(C67,'Master Data'!$F$3:$K$3,0)),2)</f>
        <v>458749.19</v>
      </c>
      <c r="K67" s="147">
        <f>INDEX('Master Data'!$C$75:$O$299,MATCH(A67,'Master Data'!$B$75:$B$299,0),MATCH($K$1,'Master Data'!$C$74:$O$74,0))</f>
        <v>1.4</v>
      </c>
      <c r="L67" s="148">
        <f>ROUND(K67*INDEX('Master Data'!$F$4:$K$12,MATCH($K$1,'Master Data'!$E$4:$E$12,0),MATCH(C67,'Master Data'!$F$3:$K$3,0)),2)</f>
        <v>65579.399999999994</v>
      </c>
      <c r="M67" s="147">
        <f>INDEX('Master Data'!$C$75:$O$299,MATCH(A67,'Master Data'!$B$75:$B$299,0),MATCH($M$1,'Master Data'!$C$74:$O$74,0))</f>
        <v>1.23</v>
      </c>
      <c r="N67" s="148">
        <f>ROUND(M67*INDEX('Master Data'!$F$4:$K$12,MATCH($M$1,'Master Data'!$E$4:$E$12,0),MATCH(C67,'Master Data'!$F$3:$K$3,0)),2)</f>
        <v>74244.929999999993</v>
      </c>
      <c r="O67" s="147">
        <f>INDEX('Master Data'!$C$75:$O$299,MATCH(A67,'Master Data'!$B$75:$B$299,0),MATCH($O$1,'Master Data'!$C$74:$O$74,0))</f>
        <v>0.23</v>
      </c>
      <c r="P67" s="148">
        <f>ROUND(O67*INDEX('Master Data'!$F$4:$K$12,MATCH($O$1,'Master Data'!$E$4:$E$12,0),MATCH(C67,'Master Data'!$F$3:$K$3,0)),2)</f>
        <v>7176</v>
      </c>
      <c r="Q67" s="147">
        <f>INDEX('Master Data'!$C$75:$O$299,MATCH(A67,'Master Data'!$B$75:$B$299,0),MATCH($Q$1,'Master Data'!$C$74:$O$74,0))</f>
        <v>0.12</v>
      </c>
      <c r="R67" s="148">
        <f>ROUND(Q67*INDEX('Master Data'!$F$4:$K$12,MATCH($Q$1,'Master Data'!$E$4:$E$12,0),MATCH(C67,'Master Data'!$F$3:$K$3,0)),2)</f>
        <v>5621.09</v>
      </c>
      <c r="S67" s="147">
        <f>INDEX('Master Data'!$C$75:$O$299,MATCH(A67,'Master Data'!$B$75:$B$299,0),MATCH($S$1,'Master Data'!$C$74:$O$74,0))</f>
        <v>0</v>
      </c>
      <c r="T67" s="148">
        <f>ROUND(S67*INDEX('Master Data'!$F$4:$K$12,MATCH($S$1,'Master Data'!$E$4:$E$12,0),MATCH(C67,'Master Data'!$F$3:$K$3,0)),2)</f>
        <v>0</v>
      </c>
      <c r="U67" s="147">
        <f>INDEX('Master Data'!$C$75:$O$299,MATCH(A67,'Master Data'!$B$75:$B$299,0),MATCH($U$1,'Master Data'!$C$74:$O$74,0))</f>
        <v>0</v>
      </c>
      <c r="V67" s="148">
        <f>ROUND(U67*INDEX('Master Data'!$F$4:$K$12,MATCH($U$1,'Master Data'!$E$4:$E$12,0),MATCH(C67,'Master Data'!$F$3:$K$3,0)),2)</f>
        <v>0</v>
      </c>
      <c r="W67" s="149">
        <f t="shared" si="9"/>
        <v>663254.74999999988</v>
      </c>
      <c r="X67" s="148">
        <f>ROUND(W67*('Master Data'!$B$54),2)</f>
        <v>165614.71</v>
      </c>
      <c r="Y67" s="149">
        <f t="shared" ref="Y67:Y87" si="11">SUM(W67:X67)</f>
        <v>828869.45999999985</v>
      </c>
      <c r="Z67" s="147">
        <f>52*INDEX('Master Data'!$C$75:$O$299,MATCH(A67,'Master Data'!$B$75:$B$299,0),MATCH($Z$1,'Master Data'!$C$74:$O$74,0))</f>
        <v>52</v>
      </c>
      <c r="AA67" s="148">
        <f>Z67*('Master Data'!$F$15)</f>
        <v>3920.8</v>
      </c>
      <c r="AB67" s="147">
        <f>52*INDEX('Master Data'!$C$75:$O$299,MATCH(A67,'Master Data'!$B$75:$B$299,0),MATCH($AB$1,'Master Data'!$C$74:$O$74,0))</f>
        <v>156</v>
      </c>
      <c r="AC67" s="148">
        <f>AB67*('Master Data'!$F$16)</f>
        <v>11281.919999999998</v>
      </c>
      <c r="AD67" s="149">
        <f t="shared" ref="AD67:AD130" si="12">SUM(AA67,AC67)</f>
        <v>15202.719999999998</v>
      </c>
      <c r="AE67" s="148">
        <f>INDEX('Master Data'!$D$58:$D$60,MATCH(D67,'Master Data'!$B$58:$B$60,0))</f>
        <v>19577.099999999999</v>
      </c>
      <c r="AF67" s="148">
        <f>INDEX('Master Data'!$E$58:$E$60,MATCH(D67,'Master Data'!$B$58:$B$60,0))</f>
        <v>992.8</v>
      </c>
      <c r="AG67" s="148">
        <f>INDEX('Master Data'!$F$58:$F$60,MATCH(D67,'Master Data'!$B$58:$B$60,0))</f>
        <v>2876.2</v>
      </c>
      <c r="AH67" s="149">
        <f t="shared" ref="AH67:AH146" si="13">SUM(Y67,AD67:AG67)</f>
        <v>867518.2799999998</v>
      </c>
      <c r="AI67" s="148">
        <f>ROUND(AH67*('Master Data'!$C$54),2)</f>
        <v>104102.19</v>
      </c>
      <c r="AJ67" s="148">
        <f>ROUND(SUM(AH67:AI67,AK67)*('Master Data'!$E$54),2)</f>
        <v>29108.82</v>
      </c>
      <c r="AK67" s="148">
        <f>ROUND(W67*('Master Data'!$F$54),2)</f>
        <v>0</v>
      </c>
      <c r="AL67" s="149">
        <f t="shared" ref="AL67:AL146" si="14">SUM(AH67:AK67)</f>
        <v>1000729.2899999997</v>
      </c>
      <c r="AM67" s="140">
        <f t="shared" ref="AM67:AM146" si="15">ROUND(AL67/347,2)</f>
        <v>2883.95</v>
      </c>
      <c r="AN67" s="121"/>
      <c r="AO67" s="121"/>
      <c r="AP67" s="121"/>
      <c r="AQ67" s="121"/>
      <c r="AR67" s="121"/>
      <c r="AS67" s="121"/>
    </row>
    <row r="68" spans="1:45">
      <c r="A68" s="121" t="s">
        <v>221</v>
      </c>
      <c r="B68" s="121" t="str">
        <f t="shared" si="8"/>
        <v>2</v>
      </c>
      <c r="C68" s="121" t="str">
        <f t="shared" si="10"/>
        <v>Medical 2</v>
      </c>
      <c r="D68" s="121" t="str">
        <f>INDEX('Master Data'!$C$75:$C$299,MATCH(A68,'Master Data'!$B$75:$B$299,0))</f>
        <v>2-3</v>
      </c>
      <c r="E68" s="147">
        <f>INDEX('Master Data'!$C$75:$O$299,MATCH(A68,'Master Data'!$B$75:$B$299,0),MATCH($E$1,'Master Data'!$C$74:$O$74,0))</f>
        <v>0.18</v>
      </c>
      <c r="F68" s="148">
        <f>ROUND(E68*INDEX('Master Data'!$F$4:$K$12,MATCH($E$1,'Master Data'!$E$4:$E$12,0),MATCH(C68,'Master Data'!$F$3:$K$3,0)),2)</f>
        <v>14667.64</v>
      </c>
      <c r="G68" s="147">
        <f>INDEX('Master Data'!$C$75:$O$299,MATCH(A68,'Master Data'!$B$75:$B$299,0),MATCH($G$1,'Master Data'!$C$74:$O$74,0))</f>
        <v>0.66</v>
      </c>
      <c r="H68" s="148">
        <f>ROUND(G68*INDEX('Master Data'!$F$4:$K$12,MATCH($G$1,'Master Data'!$E$4:$E$12,0),MATCH(C68,'Master Data'!$F$3:$K$3,0)),2)</f>
        <v>37216.5</v>
      </c>
      <c r="I68" s="147">
        <f>INDEX('Master Data'!$C$75:$O$299,MATCH(A68,'Master Data'!$B$75:$B$299,0),MATCH($I$1,'Master Data'!$C$74:$O$74,0))</f>
        <v>8.1</v>
      </c>
      <c r="J68" s="148">
        <f>ROUND(I68*INDEX('Master Data'!$F$4:$K$12,MATCH($I$1,'Master Data'!$E$4:$E$12,0),MATCH(C68,'Master Data'!$F$3:$K$3,0)),2)</f>
        <v>488930.05</v>
      </c>
      <c r="K68" s="147">
        <f>INDEX('Master Data'!$C$75:$O$299,MATCH(A68,'Master Data'!$B$75:$B$299,0),MATCH($K$1,'Master Data'!$C$74:$O$74,0))</f>
        <v>1.4</v>
      </c>
      <c r="L68" s="148">
        <f>ROUND(K68*INDEX('Master Data'!$F$4:$K$12,MATCH($K$1,'Master Data'!$E$4:$E$12,0),MATCH(C68,'Master Data'!$F$3:$K$3,0)),2)</f>
        <v>65579.399999999994</v>
      </c>
      <c r="M68" s="147">
        <f>INDEX('Master Data'!$C$75:$O$299,MATCH(A68,'Master Data'!$B$75:$B$299,0),MATCH($M$1,'Master Data'!$C$74:$O$74,0))</f>
        <v>1.31</v>
      </c>
      <c r="N68" s="148">
        <f>ROUND(M68*INDEX('Master Data'!$F$4:$K$12,MATCH($M$1,'Master Data'!$E$4:$E$12,0),MATCH(C68,'Master Data'!$F$3:$K$3,0)),2)</f>
        <v>79073.87</v>
      </c>
      <c r="O68" s="147">
        <f>INDEX('Master Data'!$C$75:$O$299,MATCH(A68,'Master Data'!$B$75:$B$299,0),MATCH($O$1,'Master Data'!$C$74:$O$74,0))</f>
        <v>0.23</v>
      </c>
      <c r="P68" s="148">
        <f>ROUND(O68*INDEX('Master Data'!$F$4:$K$12,MATCH($O$1,'Master Data'!$E$4:$E$12,0),MATCH(C68,'Master Data'!$F$3:$K$3,0)),2)</f>
        <v>7176</v>
      </c>
      <c r="Q68" s="147">
        <f>INDEX('Master Data'!$C$75:$O$299,MATCH(A68,'Master Data'!$B$75:$B$299,0),MATCH($Q$1,'Master Data'!$C$74:$O$74,0))</f>
        <v>0.12</v>
      </c>
      <c r="R68" s="148">
        <f>ROUND(Q68*INDEX('Master Data'!$F$4:$K$12,MATCH($Q$1,'Master Data'!$E$4:$E$12,0),MATCH(C68,'Master Data'!$F$3:$K$3,0)),2)</f>
        <v>5621.09</v>
      </c>
      <c r="S68" s="147">
        <f>INDEX('Master Data'!$C$75:$O$299,MATCH(A68,'Master Data'!$B$75:$B$299,0),MATCH($S$1,'Master Data'!$C$74:$O$74,0))</f>
        <v>0</v>
      </c>
      <c r="T68" s="148">
        <f>ROUND(S68*INDEX('Master Data'!$F$4:$K$12,MATCH($S$1,'Master Data'!$E$4:$E$12,0),MATCH(C68,'Master Data'!$F$3:$K$3,0)),2)</f>
        <v>0</v>
      </c>
      <c r="U68" s="147">
        <f>INDEX('Master Data'!$C$75:$O$299,MATCH(A68,'Master Data'!$B$75:$B$299,0),MATCH($U$1,'Master Data'!$C$74:$O$74,0))</f>
        <v>0</v>
      </c>
      <c r="V68" s="148">
        <f>ROUND(U68*INDEX('Master Data'!$F$4:$K$12,MATCH($U$1,'Master Data'!$E$4:$E$12,0),MATCH(C68,'Master Data'!$F$3:$K$3,0)),2)</f>
        <v>0</v>
      </c>
      <c r="W68" s="149">
        <f t="shared" si="9"/>
        <v>698264.54999999993</v>
      </c>
      <c r="X68" s="148">
        <f>ROUND(W68*('Master Data'!$B$54),2)</f>
        <v>174356.66</v>
      </c>
      <c r="Y68" s="149">
        <f t="shared" si="11"/>
        <v>872621.21</v>
      </c>
      <c r="Z68" s="147">
        <f>52*INDEX('Master Data'!$C$75:$O$299,MATCH(A68,'Master Data'!$B$75:$B$299,0),MATCH($Z$1,'Master Data'!$C$74:$O$74,0))</f>
        <v>52</v>
      </c>
      <c r="AA68" s="148">
        <f>Z68*('Master Data'!$F$15)</f>
        <v>3920.8</v>
      </c>
      <c r="AB68" s="147">
        <f>52*INDEX('Master Data'!$C$75:$O$299,MATCH(A68,'Master Data'!$B$75:$B$299,0),MATCH($AB$1,'Master Data'!$C$74:$O$74,0))</f>
        <v>156</v>
      </c>
      <c r="AC68" s="148">
        <f>AB68*('Master Data'!$F$16)</f>
        <v>11281.919999999998</v>
      </c>
      <c r="AD68" s="149">
        <f t="shared" si="12"/>
        <v>15202.719999999998</v>
      </c>
      <c r="AE68" s="148">
        <f>INDEX('Master Data'!$D$58:$D$60,MATCH(D68,'Master Data'!$B$58:$B$60,0))</f>
        <v>19577.099999999999</v>
      </c>
      <c r="AF68" s="148">
        <f>INDEX('Master Data'!$E$58:$E$60,MATCH(D68,'Master Data'!$B$58:$B$60,0))</f>
        <v>992.8</v>
      </c>
      <c r="AG68" s="148">
        <f>INDEX('Master Data'!$F$58:$F$60,MATCH(D68,'Master Data'!$B$58:$B$60,0))</f>
        <v>2876.2</v>
      </c>
      <c r="AH68" s="149">
        <f t="shared" si="13"/>
        <v>911270.02999999991</v>
      </c>
      <c r="AI68" s="148">
        <f>ROUND(AH68*('Master Data'!$C$54),2)</f>
        <v>109352.4</v>
      </c>
      <c r="AJ68" s="148">
        <f>ROUND(SUM(AH68:AI68,AK68)*('Master Data'!$E$54),2)</f>
        <v>30576.87</v>
      </c>
      <c r="AK68" s="148">
        <f>ROUND(W68*('Master Data'!$F$54),2)</f>
        <v>0</v>
      </c>
      <c r="AL68" s="149">
        <f t="shared" si="14"/>
        <v>1051199.3</v>
      </c>
      <c r="AM68" s="140">
        <f t="shared" si="15"/>
        <v>3029.39</v>
      </c>
      <c r="AN68" s="121"/>
      <c r="AO68" s="121"/>
      <c r="AP68" s="121"/>
      <c r="AQ68" s="121"/>
      <c r="AR68" s="121"/>
      <c r="AS68" s="121"/>
    </row>
    <row r="69" spans="1:45">
      <c r="A69" s="121" t="s">
        <v>222</v>
      </c>
      <c r="B69" s="121" t="str">
        <f t="shared" si="8"/>
        <v>2</v>
      </c>
      <c r="C69" s="121" t="str">
        <f t="shared" si="10"/>
        <v>Medical 2</v>
      </c>
      <c r="D69" s="121" t="str">
        <f>INDEX('Master Data'!$C$75:$C$299,MATCH(A69,'Master Data'!$B$75:$B$299,0))</f>
        <v>2-3</v>
      </c>
      <c r="E69" s="147">
        <f>INDEX('Master Data'!$C$75:$O$299,MATCH(A69,'Master Data'!$B$75:$B$299,0),MATCH($E$1,'Master Data'!$C$74:$O$74,0))</f>
        <v>0.18</v>
      </c>
      <c r="F69" s="148">
        <f>ROUND(E69*INDEX('Master Data'!$F$4:$K$12,MATCH($E$1,'Master Data'!$E$4:$E$12,0),MATCH(C69,'Master Data'!$F$3:$K$3,0)),2)</f>
        <v>14667.64</v>
      </c>
      <c r="G69" s="147">
        <f>INDEX('Master Data'!$C$75:$O$299,MATCH(A69,'Master Data'!$B$75:$B$299,0),MATCH($G$1,'Master Data'!$C$74:$O$74,0))</f>
        <v>0.66</v>
      </c>
      <c r="H69" s="148">
        <f>ROUND(G69*INDEX('Master Data'!$F$4:$K$12,MATCH($G$1,'Master Data'!$E$4:$E$12,0),MATCH(C69,'Master Data'!$F$3:$K$3,0)),2)</f>
        <v>37216.5</v>
      </c>
      <c r="I69" s="147">
        <f>INDEX('Master Data'!$C$75:$O$299,MATCH(A69,'Master Data'!$B$75:$B$299,0),MATCH($I$1,'Master Data'!$C$74:$O$74,0))</f>
        <v>8.6</v>
      </c>
      <c r="J69" s="148">
        <f>ROUND(I69*INDEX('Master Data'!$F$4:$K$12,MATCH($I$1,'Master Data'!$E$4:$E$12,0),MATCH(C69,'Master Data'!$F$3:$K$3,0)),2)</f>
        <v>519110.92</v>
      </c>
      <c r="K69" s="147">
        <f>INDEX('Master Data'!$C$75:$O$299,MATCH(A69,'Master Data'!$B$75:$B$299,0),MATCH($K$1,'Master Data'!$C$74:$O$74,0))</f>
        <v>1.4</v>
      </c>
      <c r="L69" s="148">
        <f>ROUND(K69*INDEX('Master Data'!$F$4:$K$12,MATCH($K$1,'Master Data'!$E$4:$E$12,0),MATCH(C69,'Master Data'!$F$3:$K$3,0)),2)</f>
        <v>65579.399999999994</v>
      </c>
      <c r="M69" s="147">
        <f>INDEX('Master Data'!$C$75:$O$299,MATCH(A69,'Master Data'!$B$75:$B$299,0),MATCH($M$1,'Master Data'!$C$74:$O$74,0))</f>
        <v>1.39</v>
      </c>
      <c r="N69" s="148">
        <f>ROUND(M69*INDEX('Master Data'!$F$4:$K$12,MATCH($M$1,'Master Data'!$E$4:$E$12,0),MATCH(C69,'Master Data'!$F$3:$K$3,0)),2)</f>
        <v>83902.81</v>
      </c>
      <c r="O69" s="147">
        <f>INDEX('Master Data'!$C$75:$O$299,MATCH(A69,'Master Data'!$B$75:$B$299,0),MATCH($O$1,'Master Data'!$C$74:$O$74,0))</f>
        <v>0.23</v>
      </c>
      <c r="P69" s="148">
        <f>ROUND(O69*INDEX('Master Data'!$F$4:$K$12,MATCH($O$1,'Master Data'!$E$4:$E$12,0),MATCH(C69,'Master Data'!$F$3:$K$3,0)),2)</f>
        <v>7176</v>
      </c>
      <c r="Q69" s="147">
        <f>INDEX('Master Data'!$C$75:$O$299,MATCH(A69,'Master Data'!$B$75:$B$299,0),MATCH($Q$1,'Master Data'!$C$74:$O$74,0))</f>
        <v>0.12</v>
      </c>
      <c r="R69" s="148">
        <f>ROUND(Q69*INDEX('Master Data'!$F$4:$K$12,MATCH($Q$1,'Master Data'!$E$4:$E$12,0),MATCH(C69,'Master Data'!$F$3:$K$3,0)),2)</f>
        <v>5621.09</v>
      </c>
      <c r="S69" s="147">
        <f>INDEX('Master Data'!$C$75:$O$299,MATCH(A69,'Master Data'!$B$75:$B$299,0),MATCH($S$1,'Master Data'!$C$74:$O$74,0))</f>
        <v>0</v>
      </c>
      <c r="T69" s="148">
        <f>ROUND(S69*INDEX('Master Data'!$F$4:$K$12,MATCH($S$1,'Master Data'!$E$4:$E$12,0),MATCH(C69,'Master Data'!$F$3:$K$3,0)),2)</f>
        <v>0</v>
      </c>
      <c r="U69" s="147">
        <f>INDEX('Master Data'!$C$75:$O$299,MATCH(A69,'Master Data'!$B$75:$B$299,0),MATCH($U$1,'Master Data'!$C$74:$O$74,0))</f>
        <v>0</v>
      </c>
      <c r="V69" s="148">
        <f>ROUND(U69*INDEX('Master Data'!$F$4:$K$12,MATCH($U$1,'Master Data'!$E$4:$E$12,0),MATCH(C69,'Master Data'!$F$3:$K$3,0)),2)</f>
        <v>0</v>
      </c>
      <c r="W69" s="149">
        <f t="shared" si="9"/>
        <v>733274.36</v>
      </c>
      <c r="X69" s="148">
        <f>ROUND(W69*('Master Data'!$B$54),2)</f>
        <v>183098.61</v>
      </c>
      <c r="Y69" s="149">
        <f t="shared" si="11"/>
        <v>916372.97</v>
      </c>
      <c r="Z69" s="147">
        <f>52*INDEX('Master Data'!$C$75:$O$299,MATCH(A69,'Master Data'!$B$75:$B$299,0),MATCH($Z$1,'Master Data'!$C$74:$O$74,0))</f>
        <v>52</v>
      </c>
      <c r="AA69" s="148">
        <f>Z69*('Master Data'!$F$15)</f>
        <v>3920.8</v>
      </c>
      <c r="AB69" s="147">
        <f>52*INDEX('Master Data'!$C$75:$O$299,MATCH(A69,'Master Data'!$B$75:$B$299,0),MATCH($AB$1,'Master Data'!$C$74:$O$74,0))</f>
        <v>156</v>
      </c>
      <c r="AC69" s="148">
        <f>AB69*('Master Data'!$F$16)</f>
        <v>11281.919999999998</v>
      </c>
      <c r="AD69" s="149">
        <f t="shared" si="12"/>
        <v>15202.719999999998</v>
      </c>
      <c r="AE69" s="148">
        <f>INDEX('Master Data'!$D$58:$D$60,MATCH(D69,'Master Data'!$B$58:$B$60,0))</f>
        <v>19577.099999999999</v>
      </c>
      <c r="AF69" s="148">
        <f>INDEX('Master Data'!$E$58:$E$60,MATCH(D69,'Master Data'!$B$58:$B$60,0))</f>
        <v>992.8</v>
      </c>
      <c r="AG69" s="148">
        <f>INDEX('Master Data'!$F$58:$F$60,MATCH(D69,'Master Data'!$B$58:$B$60,0))</f>
        <v>2876.2</v>
      </c>
      <c r="AH69" s="149">
        <f t="shared" si="13"/>
        <v>955021.78999999992</v>
      </c>
      <c r="AI69" s="148">
        <f>ROUND(AH69*('Master Data'!$C$54),2)</f>
        <v>114602.61</v>
      </c>
      <c r="AJ69" s="148">
        <f>ROUND(SUM(AH69:AI69,AK69)*('Master Data'!$E$54),2)</f>
        <v>32044.92</v>
      </c>
      <c r="AK69" s="148">
        <f>ROUND(W69*('Master Data'!$F$54),2)</f>
        <v>0</v>
      </c>
      <c r="AL69" s="149">
        <f t="shared" si="14"/>
        <v>1101669.3199999998</v>
      </c>
      <c r="AM69" s="140">
        <f t="shared" si="15"/>
        <v>3174.84</v>
      </c>
      <c r="AN69" s="121"/>
      <c r="AO69" s="121"/>
      <c r="AP69" s="121"/>
      <c r="AQ69" s="121"/>
      <c r="AR69" s="121"/>
      <c r="AS69" s="121"/>
    </row>
    <row r="70" spans="1:45">
      <c r="A70" s="121" t="s">
        <v>223</v>
      </c>
      <c r="B70" s="121" t="str">
        <f t="shared" si="8"/>
        <v>2</v>
      </c>
      <c r="C70" s="121" t="str">
        <f t="shared" si="10"/>
        <v>Medical 2</v>
      </c>
      <c r="D70" s="121" t="str">
        <f>INDEX('Master Data'!$C$75:$C$299,MATCH(A70,'Master Data'!$B$75:$B$299,0))</f>
        <v>2-3</v>
      </c>
      <c r="E70" s="147">
        <f>INDEX('Master Data'!$C$75:$O$299,MATCH(A70,'Master Data'!$B$75:$B$299,0),MATCH($E$1,'Master Data'!$C$74:$O$74,0))</f>
        <v>0.18</v>
      </c>
      <c r="F70" s="148">
        <f>ROUND(E70*INDEX('Master Data'!$F$4:$K$12,MATCH($E$1,'Master Data'!$E$4:$E$12,0),MATCH(C70,'Master Data'!$F$3:$K$3,0)),2)</f>
        <v>14667.64</v>
      </c>
      <c r="G70" s="147">
        <f>INDEX('Master Data'!$C$75:$O$299,MATCH(A70,'Master Data'!$B$75:$B$299,0),MATCH($G$1,'Master Data'!$C$74:$O$74,0))</f>
        <v>0.66</v>
      </c>
      <c r="H70" s="148">
        <f>ROUND(G70*INDEX('Master Data'!$F$4:$K$12,MATCH($G$1,'Master Data'!$E$4:$E$12,0),MATCH(C70,'Master Data'!$F$3:$K$3,0)),2)</f>
        <v>37216.5</v>
      </c>
      <c r="I70" s="147">
        <f>INDEX('Master Data'!$C$75:$O$299,MATCH(A70,'Master Data'!$B$75:$B$299,0),MATCH($I$1,'Master Data'!$C$74:$O$74,0))</f>
        <v>9.1</v>
      </c>
      <c r="J70" s="148">
        <f>ROUND(I70*INDEX('Master Data'!$F$4:$K$12,MATCH($I$1,'Master Data'!$E$4:$E$12,0),MATCH(C70,'Master Data'!$F$3:$K$3,0)),2)</f>
        <v>549291.79</v>
      </c>
      <c r="K70" s="147">
        <f>INDEX('Master Data'!$C$75:$O$299,MATCH(A70,'Master Data'!$B$75:$B$299,0),MATCH($K$1,'Master Data'!$C$74:$O$74,0))</f>
        <v>1.4</v>
      </c>
      <c r="L70" s="148">
        <f>ROUND(K70*INDEX('Master Data'!$F$4:$K$12,MATCH($K$1,'Master Data'!$E$4:$E$12,0),MATCH(C70,'Master Data'!$F$3:$K$3,0)),2)</f>
        <v>65579.399999999994</v>
      </c>
      <c r="M70" s="147">
        <f>INDEX('Master Data'!$C$75:$O$299,MATCH(A70,'Master Data'!$B$75:$B$299,0),MATCH($M$1,'Master Data'!$C$74:$O$74,0))</f>
        <v>1.47</v>
      </c>
      <c r="N70" s="148">
        <f>ROUND(M70*INDEX('Master Data'!$F$4:$K$12,MATCH($M$1,'Master Data'!$E$4:$E$12,0),MATCH(C70,'Master Data'!$F$3:$K$3,0)),2)</f>
        <v>88731.75</v>
      </c>
      <c r="O70" s="147">
        <f>INDEX('Master Data'!$C$75:$O$299,MATCH(A70,'Master Data'!$B$75:$B$299,0),MATCH($O$1,'Master Data'!$C$74:$O$74,0))</f>
        <v>0.23</v>
      </c>
      <c r="P70" s="148">
        <f>ROUND(O70*INDEX('Master Data'!$F$4:$K$12,MATCH($O$1,'Master Data'!$E$4:$E$12,0),MATCH(C70,'Master Data'!$F$3:$K$3,0)),2)</f>
        <v>7176</v>
      </c>
      <c r="Q70" s="147">
        <f>INDEX('Master Data'!$C$75:$O$299,MATCH(A70,'Master Data'!$B$75:$B$299,0),MATCH($Q$1,'Master Data'!$C$74:$O$74,0))</f>
        <v>0.12</v>
      </c>
      <c r="R70" s="148">
        <f>ROUND(Q70*INDEX('Master Data'!$F$4:$K$12,MATCH($Q$1,'Master Data'!$E$4:$E$12,0),MATCH(C70,'Master Data'!$F$3:$K$3,0)),2)</f>
        <v>5621.09</v>
      </c>
      <c r="S70" s="147">
        <f>INDEX('Master Data'!$C$75:$O$299,MATCH(A70,'Master Data'!$B$75:$B$299,0),MATCH($S$1,'Master Data'!$C$74:$O$74,0))</f>
        <v>0</v>
      </c>
      <c r="T70" s="148">
        <f>ROUND(S70*INDEX('Master Data'!$F$4:$K$12,MATCH($S$1,'Master Data'!$E$4:$E$12,0),MATCH(C70,'Master Data'!$F$3:$K$3,0)),2)</f>
        <v>0</v>
      </c>
      <c r="U70" s="147">
        <f>INDEX('Master Data'!$C$75:$O$299,MATCH(A70,'Master Data'!$B$75:$B$299,0),MATCH($U$1,'Master Data'!$C$74:$O$74,0))</f>
        <v>0</v>
      </c>
      <c r="V70" s="148">
        <f>ROUND(U70*INDEX('Master Data'!$F$4:$K$12,MATCH($U$1,'Master Data'!$E$4:$E$12,0),MATCH(C70,'Master Data'!$F$3:$K$3,0)),2)</f>
        <v>0</v>
      </c>
      <c r="W70" s="149">
        <f t="shared" si="9"/>
        <v>768284.17</v>
      </c>
      <c r="X70" s="148">
        <f>ROUND(W70*('Master Data'!$B$54),2)</f>
        <v>191840.56</v>
      </c>
      <c r="Y70" s="149">
        <f t="shared" si="11"/>
        <v>960124.73</v>
      </c>
      <c r="Z70" s="147">
        <f>52*INDEX('Master Data'!$C$75:$O$299,MATCH(A70,'Master Data'!$B$75:$B$299,0),MATCH($Z$1,'Master Data'!$C$74:$O$74,0))</f>
        <v>52</v>
      </c>
      <c r="AA70" s="148">
        <f>Z70*('Master Data'!$F$15)</f>
        <v>3920.8</v>
      </c>
      <c r="AB70" s="147">
        <f>52*INDEX('Master Data'!$C$75:$O$299,MATCH(A70,'Master Data'!$B$75:$B$299,0),MATCH($AB$1,'Master Data'!$C$74:$O$74,0))</f>
        <v>156</v>
      </c>
      <c r="AC70" s="148">
        <f>AB70*('Master Data'!$F$16)</f>
        <v>11281.919999999998</v>
      </c>
      <c r="AD70" s="149">
        <f t="shared" si="12"/>
        <v>15202.719999999998</v>
      </c>
      <c r="AE70" s="148">
        <f>INDEX('Master Data'!$D$58:$D$60,MATCH(D70,'Master Data'!$B$58:$B$60,0))</f>
        <v>19577.099999999999</v>
      </c>
      <c r="AF70" s="148">
        <f>INDEX('Master Data'!$E$58:$E$60,MATCH(D70,'Master Data'!$B$58:$B$60,0))</f>
        <v>992.8</v>
      </c>
      <c r="AG70" s="148">
        <f>INDEX('Master Data'!$F$58:$F$60,MATCH(D70,'Master Data'!$B$58:$B$60,0))</f>
        <v>2876.2</v>
      </c>
      <c r="AH70" s="149">
        <f t="shared" si="13"/>
        <v>998773.54999999993</v>
      </c>
      <c r="AI70" s="148">
        <f>ROUND(AH70*('Master Data'!$C$54),2)</f>
        <v>119852.83</v>
      </c>
      <c r="AJ70" s="148">
        <f>ROUND(SUM(AH70:AI70,AK70)*('Master Data'!$E$54),2)</f>
        <v>33512.97</v>
      </c>
      <c r="AK70" s="148">
        <f>ROUND(W70*('Master Data'!$F$54),2)</f>
        <v>0</v>
      </c>
      <c r="AL70" s="149">
        <f t="shared" si="14"/>
        <v>1152139.3499999999</v>
      </c>
      <c r="AM70" s="140">
        <f t="shared" si="15"/>
        <v>3320.29</v>
      </c>
      <c r="AN70" s="121"/>
      <c r="AO70" s="121"/>
      <c r="AP70" s="121"/>
      <c r="AQ70" s="121"/>
      <c r="AR70" s="121"/>
      <c r="AS70" s="121"/>
    </row>
    <row r="71" spans="1:45">
      <c r="A71" s="121" t="s">
        <v>224</v>
      </c>
      <c r="B71" s="121" t="str">
        <f t="shared" si="8"/>
        <v>2</v>
      </c>
      <c r="C71" s="121" t="str">
        <f t="shared" si="10"/>
        <v>Medical 2</v>
      </c>
      <c r="D71" s="121" t="str">
        <f>INDEX('Master Data'!$C$75:$C$299,MATCH(A71,'Master Data'!$B$75:$B$299,0))</f>
        <v>2-3</v>
      </c>
      <c r="E71" s="147">
        <f>INDEX('Master Data'!$C$75:$O$299,MATCH(A71,'Master Data'!$B$75:$B$299,0),MATCH($E$1,'Master Data'!$C$74:$O$74,0))</f>
        <v>0.18</v>
      </c>
      <c r="F71" s="148">
        <f>ROUND(E71*INDEX('Master Data'!$F$4:$K$12,MATCH($E$1,'Master Data'!$E$4:$E$12,0),MATCH(C71,'Master Data'!$F$3:$K$3,0)),2)</f>
        <v>14667.64</v>
      </c>
      <c r="G71" s="147">
        <f>INDEX('Master Data'!$C$75:$O$299,MATCH(A71,'Master Data'!$B$75:$B$299,0),MATCH($G$1,'Master Data'!$C$74:$O$74,0))</f>
        <v>0.66</v>
      </c>
      <c r="H71" s="148">
        <f>ROUND(G71*INDEX('Master Data'!$F$4:$K$12,MATCH($G$1,'Master Data'!$E$4:$E$12,0),MATCH(C71,'Master Data'!$F$3:$K$3,0)),2)</f>
        <v>37216.5</v>
      </c>
      <c r="I71" s="147">
        <f>INDEX('Master Data'!$C$75:$O$299,MATCH(A71,'Master Data'!$B$75:$B$299,0),MATCH($I$1,'Master Data'!$C$74:$O$74,0))</f>
        <v>9.6</v>
      </c>
      <c r="J71" s="148">
        <f>ROUND(I71*INDEX('Master Data'!$F$4:$K$12,MATCH($I$1,'Master Data'!$E$4:$E$12,0),MATCH(C71,'Master Data'!$F$3:$K$3,0)),2)</f>
        <v>579472.66</v>
      </c>
      <c r="K71" s="147">
        <f>INDEX('Master Data'!$C$75:$O$299,MATCH(A71,'Master Data'!$B$75:$B$299,0),MATCH($K$1,'Master Data'!$C$74:$O$74,0))</f>
        <v>1.4</v>
      </c>
      <c r="L71" s="148">
        <f>ROUND(K71*INDEX('Master Data'!$F$4:$K$12,MATCH($K$1,'Master Data'!$E$4:$E$12,0),MATCH(C71,'Master Data'!$F$3:$K$3,0)),2)</f>
        <v>65579.399999999994</v>
      </c>
      <c r="M71" s="147">
        <f>INDEX('Master Data'!$C$75:$O$299,MATCH(A71,'Master Data'!$B$75:$B$299,0),MATCH($M$1,'Master Data'!$C$74:$O$74,0))</f>
        <v>1.56</v>
      </c>
      <c r="N71" s="148">
        <f>ROUND(M71*INDEX('Master Data'!$F$4:$K$12,MATCH($M$1,'Master Data'!$E$4:$E$12,0),MATCH(C71,'Master Data'!$F$3:$K$3,0)),2)</f>
        <v>94164.31</v>
      </c>
      <c r="O71" s="147">
        <f>INDEX('Master Data'!$C$75:$O$299,MATCH(A71,'Master Data'!$B$75:$B$299,0),MATCH($O$1,'Master Data'!$C$74:$O$74,0))</f>
        <v>0.23</v>
      </c>
      <c r="P71" s="148">
        <f>ROUND(O71*INDEX('Master Data'!$F$4:$K$12,MATCH($O$1,'Master Data'!$E$4:$E$12,0),MATCH(C71,'Master Data'!$F$3:$K$3,0)),2)</f>
        <v>7176</v>
      </c>
      <c r="Q71" s="147">
        <f>INDEX('Master Data'!$C$75:$O$299,MATCH(A71,'Master Data'!$B$75:$B$299,0),MATCH($Q$1,'Master Data'!$C$74:$O$74,0))</f>
        <v>0.12</v>
      </c>
      <c r="R71" s="148">
        <f>ROUND(Q71*INDEX('Master Data'!$F$4:$K$12,MATCH($Q$1,'Master Data'!$E$4:$E$12,0),MATCH(C71,'Master Data'!$F$3:$K$3,0)),2)</f>
        <v>5621.09</v>
      </c>
      <c r="S71" s="147">
        <f>INDEX('Master Data'!$C$75:$O$299,MATCH(A71,'Master Data'!$B$75:$B$299,0),MATCH($S$1,'Master Data'!$C$74:$O$74,0))</f>
        <v>0</v>
      </c>
      <c r="T71" s="148">
        <f>ROUND(S71*INDEX('Master Data'!$F$4:$K$12,MATCH($S$1,'Master Data'!$E$4:$E$12,0),MATCH(C71,'Master Data'!$F$3:$K$3,0)),2)</f>
        <v>0</v>
      </c>
      <c r="U71" s="147">
        <f>INDEX('Master Data'!$C$75:$O$299,MATCH(A71,'Master Data'!$B$75:$B$299,0),MATCH($U$1,'Master Data'!$C$74:$O$74,0))</f>
        <v>0</v>
      </c>
      <c r="V71" s="148">
        <f>ROUND(U71*INDEX('Master Data'!$F$4:$K$12,MATCH($U$1,'Master Data'!$E$4:$E$12,0),MATCH(C71,'Master Data'!$F$3:$K$3,0)),2)</f>
        <v>0</v>
      </c>
      <c r="W71" s="149">
        <f t="shared" si="9"/>
        <v>803897.6</v>
      </c>
      <c r="X71" s="148">
        <f>ROUND(W71*('Master Data'!$B$54),2)</f>
        <v>200733.23</v>
      </c>
      <c r="Y71" s="149">
        <f t="shared" si="11"/>
        <v>1004630.83</v>
      </c>
      <c r="Z71" s="147">
        <f>52*INDEX('Master Data'!$C$75:$O$299,MATCH(A71,'Master Data'!$B$75:$B$299,0),MATCH($Z$1,'Master Data'!$C$74:$O$74,0))</f>
        <v>52</v>
      </c>
      <c r="AA71" s="148">
        <f>Z71*('Master Data'!$F$15)</f>
        <v>3920.8</v>
      </c>
      <c r="AB71" s="147">
        <f>52*INDEX('Master Data'!$C$75:$O$299,MATCH(A71,'Master Data'!$B$75:$B$299,0),MATCH($AB$1,'Master Data'!$C$74:$O$74,0))</f>
        <v>156</v>
      </c>
      <c r="AC71" s="148">
        <f>AB71*('Master Data'!$F$16)</f>
        <v>11281.919999999998</v>
      </c>
      <c r="AD71" s="149">
        <f t="shared" si="12"/>
        <v>15202.719999999998</v>
      </c>
      <c r="AE71" s="148">
        <f>INDEX('Master Data'!$D$58:$D$60,MATCH(D71,'Master Data'!$B$58:$B$60,0))</f>
        <v>19577.099999999999</v>
      </c>
      <c r="AF71" s="148">
        <f>INDEX('Master Data'!$E$58:$E$60,MATCH(D71,'Master Data'!$B$58:$B$60,0))</f>
        <v>992.8</v>
      </c>
      <c r="AG71" s="148">
        <f>INDEX('Master Data'!$F$58:$F$60,MATCH(D71,'Master Data'!$B$58:$B$60,0))</f>
        <v>2876.2</v>
      </c>
      <c r="AH71" s="149">
        <f t="shared" si="13"/>
        <v>1043279.6499999999</v>
      </c>
      <c r="AI71" s="148">
        <f>ROUND(AH71*('Master Data'!$C$54),2)</f>
        <v>125193.56</v>
      </c>
      <c r="AJ71" s="148">
        <f>ROUND(SUM(AH71:AI71,AK71)*('Master Data'!$E$54),2)</f>
        <v>35006.339999999997</v>
      </c>
      <c r="AK71" s="148">
        <f>ROUND(W71*('Master Data'!$F$54),2)</f>
        <v>0</v>
      </c>
      <c r="AL71" s="149">
        <f t="shared" si="14"/>
        <v>1203479.55</v>
      </c>
      <c r="AM71" s="140">
        <f t="shared" si="15"/>
        <v>3468.24</v>
      </c>
      <c r="AN71" s="121"/>
      <c r="AO71" s="121"/>
      <c r="AP71" s="121"/>
      <c r="AQ71" s="121"/>
      <c r="AR71" s="121"/>
      <c r="AS71" s="121"/>
    </row>
    <row r="72" spans="1:45">
      <c r="A72" s="121" t="s">
        <v>225</v>
      </c>
      <c r="B72" s="121" t="str">
        <f t="shared" si="8"/>
        <v>3</v>
      </c>
      <c r="C72" s="121" t="str">
        <f t="shared" si="10"/>
        <v>Medical 3</v>
      </c>
      <c r="D72" s="121" t="str">
        <f>INDEX('Master Data'!$C$75:$C$299,MATCH(A72,'Master Data'!$B$75:$B$299,0))</f>
        <v>2-3</v>
      </c>
      <c r="E72" s="147">
        <f>INDEX('Master Data'!$C$75:$O$299,MATCH(A72,'Master Data'!$B$75:$B$299,0),MATCH($E$1,'Master Data'!$C$74:$O$74,0))</f>
        <v>0.18</v>
      </c>
      <c r="F72" s="148">
        <f>ROUND(E72*INDEX('Master Data'!$F$4:$K$12,MATCH($E$1,'Master Data'!$E$4:$E$12,0),MATCH(C72,'Master Data'!$F$3:$K$3,0)),2)</f>
        <v>14667.64</v>
      </c>
      <c r="G72" s="147">
        <f>INDEX('Master Data'!$C$75:$O$299,MATCH(A72,'Master Data'!$B$75:$B$299,0),MATCH($G$1,'Master Data'!$C$74:$O$74,0))</f>
        <v>0.66</v>
      </c>
      <c r="H72" s="148">
        <f>ROUND(G72*INDEX('Master Data'!$F$4:$K$12,MATCH($G$1,'Master Data'!$E$4:$E$12,0),MATCH(C72,'Master Data'!$F$3:$K$3,0)),2)</f>
        <v>37216.5</v>
      </c>
      <c r="I72" s="147">
        <f>INDEX('Master Data'!$C$75:$O$299,MATCH(A72,'Master Data'!$B$75:$B$299,0),MATCH($I$1,'Master Data'!$C$74:$O$74,0))</f>
        <v>2.1</v>
      </c>
      <c r="J72" s="148">
        <f>ROUND(I72*INDEX('Master Data'!$F$4:$K$12,MATCH($I$1,'Master Data'!$E$4:$E$12,0),MATCH(C72,'Master Data'!$F$3:$K$3,0)),2)</f>
        <v>136146.46</v>
      </c>
      <c r="K72" s="147">
        <f>INDEX('Master Data'!$C$75:$O$299,MATCH(A72,'Master Data'!$B$75:$B$299,0),MATCH($K$1,'Master Data'!$C$74:$O$74,0))</f>
        <v>1.4</v>
      </c>
      <c r="L72" s="148">
        <f>ROUND(K72*INDEX('Master Data'!$F$4:$K$12,MATCH($K$1,'Master Data'!$E$4:$E$12,0),MATCH(C72,'Master Data'!$F$3:$K$3,0)),2)</f>
        <v>65579.399999999994</v>
      </c>
      <c r="M72" s="147">
        <f>INDEX('Master Data'!$C$75:$O$299,MATCH(A72,'Master Data'!$B$75:$B$299,0),MATCH($M$1,'Master Data'!$C$74:$O$74,0))</f>
        <v>0.34</v>
      </c>
      <c r="N72" s="148">
        <f>ROUND(M72*INDEX('Master Data'!$F$4:$K$12,MATCH($M$1,'Master Data'!$E$4:$E$12,0),MATCH(C72,'Master Data'!$F$3:$K$3,0)),2)</f>
        <v>22042.76</v>
      </c>
      <c r="O72" s="147">
        <f>INDEX('Master Data'!$C$75:$O$299,MATCH(A72,'Master Data'!$B$75:$B$299,0),MATCH($O$1,'Master Data'!$C$74:$O$74,0))</f>
        <v>0.23</v>
      </c>
      <c r="P72" s="148">
        <f>ROUND(O72*INDEX('Master Data'!$F$4:$K$12,MATCH($O$1,'Master Data'!$E$4:$E$12,0),MATCH(C72,'Master Data'!$F$3:$K$3,0)),2)</f>
        <v>7176</v>
      </c>
      <c r="Q72" s="147">
        <f>INDEX('Master Data'!$C$75:$O$299,MATCH(A72,'Master Data'!$B$75:$B$299,0),MATCH($Q$1,'Master Data'!$C$74:$O$74,0))</f>
        <v>0.12</v>
      </c>
      <c r="R72" s="148">
        <f>ROUND(Q72*INDEX('Master Data'!$F$4:$K$12,MATCH($Q$1,'Master Data'!$E$4:$E$12,0),MATCH(C72,'Master Data'!$F$3:$K$3,0)),2)</f>
        <v>5621.09</v>
      </c>
      <c r="S72" s="147">
        <f>INDEX('Master Data'!$C$75:$O$299,MATCH(A72,'Master Data'!$B$75:$B$299,0),MATCH($S$1,'Master Data'!$C$74:$O$74,0))</f>
        <v>0</v>
      </c>
      <c r="T72" s="148">
        <f>ROUND(S72*INDEX('Master Data'!$F$4:$K$12,MATCH($S$1,'Master Data'!$E$4:$E$12,0),MATCH(C72,'Master Data'!$F$3:$K$3,0)),2)</f>
        <v>0</v>
      </c>
      <c r="U72" s="147">
        <f>INDEX('Master Data'!$C$75:$O$299,MATCH(A72,'Master Data'!$B$75:$B$299,0),MATCH($U$1,'Master Data'!$C$74:$O$74,0))</f>
        <v>0</v>
      </c>
      <c r="V72" s="148">
        <f>ROUND(U72*INDEX('Master Data'!$F$4:$K$12,MATCH($U$1,'Master Data'!$E$4:$E$12,0),MATCH(C72,'Master Data'!$F$3:$K$3,0)),2)</f>
        <v>0</v>
      </c>
      <c r="W72" s="149">
        <f t="shared" si="9"/>
        <v>288449.84999999998</v>
      </c>
      <c r="X72" s="148">
        <f>ROUND(W72*('Master Data'!$B$54),2)</f>
        <v>72025.929999999993</v>
      </c>
      <c r="Y72" s="149">
        <f t="shared" si="11"/>
        <v>360475.77999999997</v>
      </c>
      <c r="Z72" s="147">
        <f>52*INDEX('Master Data'!$C$75:$O$299,MATCH(A72,'Master Data'!$B$75:$B$299,0),MATCH($Z$1,'Master Data'!$C$74:$O$74,0))</f>
        <v>52</v>
      </c>
      <c r="AA72" s="148">
        <f>Z72*('Master Data'!$F$15)</f>
        <v>3920.8</v>
      </c>
      <c r="AB72" s="147">
        <f>52*INDEX('Master Data'!$C$75:$O$299,MATCH(A72,'Master Data'!$B$75:$B$299,0),MATCH($AB$1,'Master Data'!$C$74:$O$74,0))</f>
        <v>156</v>
      </c>
      <c r="AC72" s="148">
        <f>AB72*('Master Data'!$F$16)</f>
        <v>11281.919999999998</v>
      </c>
      <c r="AD72" s="149">
        <f t="shared" si="12"/>
        <v>15202.719999999998</v>
      </c>
      <c r="AE72" s="148">
        <f>INDEX('Master Data'!$D$58:$D$60,MATCH(D72,'Master Data'!$B$58:$B$60,0))</f>
        <v>19577.099999999999</v>
      </c>
      <c r="AF72" s="148">
        <f>INDEX('Master Data'!$E$58:$E$60,MATCH(D72,'Master Data'!$B$58:$B$60,0))</f>
        <v>992.8</v>
      </c>
      <c r="AG72" s="148">
        <f>INDEX('Master Data'!$F$58:$F$60,MATCH(D72,'Master Data'!$B$58:$B$60,0))</f>
        <v>2876.2</v>
      </c>
      <c r="AH72" s="149">
        <f t="shared" si="13"/>
        <v>399124.59999999992</v>
      </c>
      <c r="AI72" s="148">
        <f>ROUND(AH72*('Master Data'!$C$54),2)</f>
        <v>47894.95</v>
      </c>
      <c r="AJ72" s="148">
        <f>ROUND(SUM(AH72:AI72,AK72)*('Master Data'!$E$54),2)</f>
        <v>13392.28</v>
      </c>
      <c r="AK72" s="148">
        <f>ROUND(W72*('Master Data'!$F$54),2)</f>
        <v>0</v>
      </c>
      <c r="AL72" s="149">
        <f t="shared" si="14"/>
        <v>460411.82999999996</v>
      </c>
      <c r="AM72" s="140">
        <f t="shared" si="15"/>
        <v>1326.84</v>
      </c>
      <c r="AN72" s="121"/>
      <c r="AO72" s="121"/>
      <c r="AP72" s="121"/>
      <c r="AQ72" s="121"/>
      <c r="AR72" s="121"/>
      <c r="AS72" s="121"/>
    </row>
    <row r="73" spans="1:45">
      <c r="A73" s="121" t="s">
        <v>226</v>
      </c>
      <c r="B73" s="121" t="str">
        <f t="shared" si="8"/>
        <v>3</v>
      </c>
      <c r="C73" s="121" t="str">
        <f t="shared" si="10"/>
        <v>Medical 3</v>
      </c>
      <c r="D73" s="121" t="str">
        <f>INDEX('Master Data'!$C$75:$C$299,MATCH(A73,'Master Data'!$B$75:$B$299,0))</f>
        <v>2-3</v>
      </c>
      <c r="E73" s="147">
        <f>INDEX('Master Data'!$C$75:$O$299,MATCH(A73,'Master Data'!$B$75:$B$299,0),MATCH($E$1,'Master Data'!$C$74:$O$74,0))</f>
        <v>0.18</v>
      </c>
      <c r="F73" s="148">
        <f>ROUND(E73*INDEX('Master Data'!$F$4:$K$12,MATCH($E$1,'Master Data'!$E$4:$E$12,0),MATCH(C73,'Master Data'!$F$3:$K$3,0)),2)</f>
        <v>14667.64</v>
      </c>
      <c r="G73" s="147">
        <f>INDEX('Master Data'!$C$75:$O$299,MATCH(A73,'Master Data'!$B$75:$B$299,0),MATCH($G$1,'Master Data'!$C$74:$O$74,0))</f>
        <v>0.66</v>
      </c>
      <c r="H73" s="148">
        <f>ROUND(G73*INDEX('Master Data'!$F$4:$K$12,MATCH($G$1,'Master Data'!$E$4:$E$12,0),MATCH(C73,'Master Data'!$F$3:$K$3,0)),2)</f>
        <v>37216.5</v>
      </c>
      <c r="I73" s="147">
        <f>INDEX('Master Data'!$C$75:$O$299,MATCH(A73,'Master Data'!$B$75:$B$299,0),MATCH($I$1,'Master Data'!$C$74:$O$74,0))</f>
        <v>2.6</v>
      </c>
      <c r="J73" s="148">
        <f>ROUND(I73*INDEX('Master Data'!$F$4:$K$12,MATCH($I$1,'Master Data'!$E$4:$E$12,0),MATCH(C73,'Master Data'!$F$3:$K$3,0)),2)</f>
        <v>168562.29</v>
      </c>
      <c r="K73" s="147">
        <f>INDEX('Master Data'!$C$75:$O$299,MATCH(A73,'Master Data'!$B$75:$B$299,0),MATCH($K$1,'Master Data'!$C$74:$O$74,0))</f>
        <v>1.4</v>
      </c>
      <c r="L73" s="148">
        <f>ROUND(K73*INDEX('Master Data'!$F$4:$K$12,MATCH($K$1,'Master Data'!$E$4:$E$12,0),MATCH(C73,'Master Data'!$F$3:$K$3,0)),2)</f>
        <v>65579.399999999994</v>
      </c>
      <c r="M73" s="147">
        <f>INDEX('Master Data'!$C$75:$O$299,MATCH(A73,'Master Data'!$B$75:$B$299,0),MATCH($M$1,'Master Data'!$C$74:$O$74,0))</f>
        <v>0.42</v>
      </c>
      <c r="N73" s="148">
        <f>ROUND(M73*INDEX('Master Data'!$F$4:$K$12,MATCH($M$1,'Master Data'!$E$4:$E$12,0),MATCH(C73,'Master Data'!$F$3:$K$3,0)),2)</f>
        <v>27229.29</v>
      </c>
      <c r="O73" s="147">
        <f>INDEX('Master Data'!$C$75:$O$299,MATCH(A73,'Master Data'!$B$75:$B$299,0),MATCH($O$1,'Master Data'!$C$74:$O$74,0))</f>
        <v>0.23</v>
      </c>
      <c r="P73" s="148">
        <f>ROUND(O73*INDEX('Master Data'!$F$4:$K$12,MATCH($O$1,'Master Data'!$E$4:$E$12,0),MATCH(C73,'Master Data'!$F$3:$K$3,0)),2)</f>
        <v>7176</v>
      </c>
      <c r="Q73" s="147">
        <f>INDEX('Master Data'!$C$75:$O$299,MATCH(A73,'Master Data'!$B$75:$B$299,0),MATCH($Q$1,'Master Data'!$C$74:$O$74,0))</f>
        <v>0.12</v>
      </c>
      <c r="R73" s="148">
        <f>ROUND(Q73*INDEX('Master Data'!$F$4:$K$12,MATCH($Q$1,'Master Data'!$E$4:$E$12,0),MATCH(C73,'Master Data'!$F$3:$K$3,0)),2)</f>
        <v>5621.09</v>
      </c>
      <c r="S73" s="147">
        <f>INDEX('Master Data'!$C$75:$O$299,MATCH(A73,'Master Data'!$B$75:$B$299,0),MATCH($S$1,'Master Data'!$C$74:$O$74,0))</f>
        <v>0</v>
      </c>
      <c r="T73" s="148">
        <f>ROUND(S73*INDEX('Master Data'!$F$4:$K$12,MATCH($S$1,'Master Data'!$E$4:$E$12,0),MATCH(C73,'Master Data'!$F$3:$K$3,0)),2)</f>
        <v>0</v>
      </c>
      <c r="U73" s="147">
        <f>INDEX('Master Data'!$C$75:$O$299,MATCH(A73,'Master Data'!$B$75:$B$299,0),MATCH($U$1,'Master Data'!$C$74:$O$74,0))</f>
        <v>0</v>
      </c>
      <c r="V73" s="148">
        <f>ROUND(U73*INDEX('Master Data'!$F$4:$K$12,MATCH($U$1,'Master Data'!$E$4:$E$12,0),MATCH(C73,'Master Data'!$F$3:$K$3,0)),2)</f>
        <v>0</v>
      </c>
      <c r="W73" s="149">
        <f t="shared" si="9"/>
        <v>326052.20999999996</v>
      </c>
      <c r="X73" s="148">
        <f>ROUND(W73*('Master Data'!$B$54),2)</f>
        <v>81415.240000000005</v>
      </c>
      <c r="Y73" s="149">
        <f t="shared" si="11"/>
        <v>407467.44999999995</v>
      </c>
      <c r="Z73" s="147">
        <f>52*INDEX('Master Data'!$C$75:$O$299,MATCH(A73,'Master Data'!$B$75:$B$299,0),MATCH($Z$1,'Master Data'!$C$74:$O$74,0))</f>
        <v>52</v>
      </c>
      <c r="AA73" s="148">
        <f>Z73*('Master Data'!$F$15)</f>
        <v>3920.8</v>
      </c>
      <c r="AB73" s="147">
        <f>52*INDEX('Master Data'!$C$75:$O$299,MATCH(A73,'Master Data'!$B$75:$B$299,0),MATCH($AB$1,'Master Data'!$C$74:$O$74,0))</f>
        <v>156</v>
      </c>
      <c r="AC73" s="148">
        <f>AB73*('Master Data'!$F$16)</f>
        <v>11281.919999999998</v>
      </c>
      <c r="AD73" s="149">
        <f t="shared" si="12"/>
        <v>15202.719999999998</v>
      </c>
      <c r="AE73" s="148">
        <f>INDEX('Master Data'!$D$58:$D$60,MATCH(D73,'Master Data'!$B$58:$B$60,0))</f>
        <v>19577.099999999999</v>
      </c>
      <c r="AF73" s="148">
        <f>INDEX('Master Data'!$E$58:$E$60,MATCH(D73,'Master Data'!$B$58:$B$60,0))</f>
        <v>992.8</v>
      </c>
      <c r="AG73" s="148">
        <f>INDEX('Master Data'!$F$58:$F$60,MATCH(D73,'Master Data'!$B$58:$B$60,0))</f>
        <v>2876.2</v>
      </c>
      <c r="AH73" s="149">
        <f t="shared" si="13"/>
        <v>446116.2699999999</v>
      </c>
      <c r="AI73" s="148">
        <f>ROUND(AH73*('Master Data'!$C$54),2)</f>
        <v>53533.95</v>
      </c>
      <c r="AJ73" s="148">
        <f>ROUND(SUM(AH73:AI73,AK73)*('Master Data'!$E$54),2)</f>
        <v>14969.04</v>
      </c>
      <c r="AK73" s="148">
        <f>ROUND(W73*('Master Data'!$F$54),2)</f>
        <v>0</v>
      </c>
      <c r="AL73" s="149">
        <f t="shared" si="14"/>
        <v>514619.25999999989</v>
      </c>
      <c r="AM73" s="140">
        <f t="shared" si="15"/>
        <v>1483.05</v>
      </c>
      <c r="AN73" s="121"/>
      <c r="AO73" s="121"/>
      <c r="AP73" s="121"/>
      <c r="AQ73" s="121"/>
      <c r="AR73" s="121"/>
      <c r="AS73" s="121"/>
    </row>
    <row r="74" spans="1:45">
      <c r="A74" s="121" t="s">
        <v>227</v>
      </c>
      <c r="B74" s="121" t="str">
        <f t="shared" si="8"/>
        <v>3</v>
      </c>
      <c r="C74" s="121" t="str">
        <f t="shared" si="10"/>
        <v>Medical 3</v>
      </c>
      <c r="D74" s="121" t="str">
        <f>INDEX('Master Data'!$C$75:$C$299,MATCH(A74,'Master Data'!$B$75:$B$299,0))</f>
        <v>2-3</v>
      </c>
      <c r="E74" s="147">
        <f>INDEX('Master Data'!$C$75:$O$299,MATCH(A74,'Master Data'!$B$75:$B$299,0),MATCH($E$1,'Master Data'!$C$74:$O$74,0))</f>
        <v>0.18</v>
      </c>
      <c r="F74" s="148">
        <f>ROUND(E74*INDEX('Master Data'!$F$4:$K$12,MATCH($E$1,'Master Data'!$E$4:$E$12,0),MATCH(C74,'Master Data'!$F$3:$K$3,0)),2)</f>
        <v>14667.64</v>
      </c>
      <c r="G74" s="147">
        <f>INDEX('Master Data'!$C$75:$O$299,MATCH(A74,'Master Data'!$B$75:$B$299,0),MATCH($G$1,'Master Data'!$C$74:$O$74,0))</f>
        <v>0.66</v>
      </c>
      <c r="H74" s="148">
        <f>ROUND(G74*INDEX('Master Data'!$F$4:$K$12,MATCH($G$1,'Master Data'!$E$4:$E$12,0),MATCH(C74,'Master Data'!$F$3:$K$3,0)),2)</f>
        <v>37216.5</v>
      </c>
      <c r="I74" s="147">
        <f>INDEX('Master Data'!$C$75:$O$299,MATCH(A74,'Master Data'!$B$75:$B$299,0),MATCH($I$1,'Master Data'!$C$74:$O$74,0))</f>
        <v>3.1</v>
      </c>
      <c r="J74" s="148">
        <f>ROUND(I74*INDEX('Master Data'!$F$4:$K$12,MATCH($I$1,'Master Data'!$E$4:$E$12,0),MATCH(C74,'Master Data'!$F$3:$K$3,0)),2)</f>
        <v>200978.11</v>
      </c>
      <c r="K74" s="147">
        <f>INDEX('Master Data'!$C$75:$O$299,MATCH(A74,'Master Data'!$B$75:$B$299,0),MATCH($K$1,'Master Data'!$C$74:$O$74,0))</f>
        <v>1.4</v>
      </c>
      <c r="L74" s="148">
        <f>ROUND(K74*INDEX('Master Data'!$F$4:$K$12,MATCH($K$1,'Master Data'!$E$4:$E$12,0),MATCH(C74,'Master Data'!$F$3:$K$3,0)),2)</f>
        <v>65579.399999999994</v>
      </c>
      <c r="M74" s="147">
        <f>INDEX('Master Data'!$C$75:$O$299,MATCH(A74,'Master Data'!$B$75:$B$299,0),MATCH($M$1,'Master Data'!$C$74:$O$74,0))</f>
        <v>0.5</v>
      </c>
      <c r="N74" s="148">
        <f>ROUND(M74*INDEX('Master Data'!$F$4:$K$12,MATCH($M$1,'Master Data'!$E$4:$E$12,0),MATCH(C74,'Master Data'!$F$3:$K$3,0)),2)</f>
        <v>32415.82</v>
      </c>
      <c r="O74" s="147">
        <f>INDEX('Master Data'!$C$75:$O$299,MATCH(A74,'Master Data'!$B$75:$B$299,0),MATCH($O$1,'Master Data'!$C$74:$O$74,0))</f>
        <v>0.23</v>
      </c>
      <c r="P74" s="148">
        <f>ROUND(O74*INDEX('Master Data'!$F$4:$K$12,MATCH($O$1,'Master Data'!$E$4:$E$12,0),MATCH(C74,'Master Data'!$F$3:$K$3,0)),2)</f>
        <v>7176</v>
      </c>
      <c r="Q74" s="147">
        <f>INDEX('Master Data'!$C$75:$O$299,MATCH(A74,'Master Data'!$B$75:$B$299,0),MATCH($Q$1,'Master Data'!$C$74:$O$74,0))</f>
        <v>0.12</v>
      </c>
      <c r="R74" s="148">
        <f>ROUND(Q74*INDEX('Master Data'!$F$4:$K$12,MATCH($Q$1,'Master Data'!$E$4:$E$12,0),MATCH(C74,'Master Data'!$F$3:$K$3,0)),2)</f>
        <v>5621.09</v>
      </c>
      <c r="S74" s="147">
        <f>INDEX('Master Data'!$C$75:$O$299,MATCH(A74,'Master Data'!$B$75:$B$299,0),MATCH($S$1,'Master Data'!$C$74:$O$74,0))</f>
        <v>0</v>
      </c>
      <c r="T74" s="148">
        <f>ROUND(S74*INDEX('Master Data'!$F$4:$K$12,MATCH($S$1,'Master Data'!$E$4:$E$12,0),MATCH(C74,'Master Data'!$F$3:$K$3,0)),2)</f>
        <v>0</v>
      </c>
      <c r="U74" s="147">
        <f>INDEX('Master Data'!$C$75:$O$299,MATCH(A74,'Master Data'!$B$75:$B$299,0),MATCH($U$1,'Master Data'!$C$74:$O$74,0))</f>
        <v>0</v>
      </c>
      <c r="V74" s="148">
        <f>ROUND(U74*INDEX('Master Data'!$F$4:$K$12,MATCH($U$1,'Master Data'!$E$4:$E$12,0),MATCH(C74,'Master Data'!$F$3:$K$3,0)),2)</f>
        <v>0</v>
      </c>
      <c r="W74" s="149">
        <f t="shared" si="9"/>
        <v>363654.56000000006</v>
      </c>
      <c r="X74" s="148">
        <f>ROUND(W74*('Master Data'!$B$54),2)</f>
        <v>90804.54</v>
      </c>
      <c r="Y74" s="149">
        <f t="shared" si="11"/>
        <v>454459.10000000003</v>
      </c>
      <c r="Z74" s="147">
        <f>52*INDEX('Master Data'!$C$75:$O$299,MATCH(A74,'Master Data'!$B$75:$B$299,0),MATCH($Z$1,'Master Data'!$C$74:$O$74,0))</f>
        <v>52</v>
      </c>
      <c r="AA74" s="148">
        <f>Z74*('Master Data'!$F$15)</f>
        <v>3920.8</v>
      </c>
      <c r="AB74" s="147">
        <f>52*INDEX('Master Data'!$C$75:$O$299,MATCH(A74,'Master Data'!$B$75:$B$299,0),MATCH($AB$1,'Master Data'!$C$74:$O$74,0))</f>
        <v>156</v>
      </c>
      <c r="AC74" s="148">
        <f>AB74*('Master Data'!$F$16)</f>
        <v>11281.919999999998</v>
      </c>
      <c r="AD74" s="149">
        <f t="shared" si="12"/>
        <v>15202.719999999998</v>
      </c>
      <c r="AE74" s="148">
        <f>INDEX('Master Data'!$D$58:$D$60,MATCH(D74,'Master Data'!$B$58:$B$60,0))</f>
        <v>19577.099999999999</v>
      </c>
      <c r="AF74" s="148">
        <f>INDEX('Master Data'!$E$58:$E$60,MATCH(D74,'Master Data'!$B$58:$B$60,0))</f>
        <v>992.8</v>
      </c>
      <c r="AG74" s="148">
        <f>INDEX('Master Data'!$F$58:$F$60,MATCH(D74,'Master Data'!$B$58:$B$60,0))</f>
        <v>2876.2</v>
      </c>
      <c r="AH74" s="149">
        <f t="shared" si="13"/>
        <v>493107.92</v>
      </c>
      <c r="AI74" s="148">
        <f>ROUND(AH74*('Master Data'!$C$54),2)</f>
        <v>59172.95</v>
      </c>
      <c r="AJ74" s="148">
        <f>ROUND(SUM(AH74:AI74,AK74)*('Master Data'!$E$54),2)</f>
        <v>16545.810000000001</v>
      </c>
      <c r="AK74" s="148">
        <f>ROUND(W74*('Master Data'!$F$54),2)</f>
        <v>0</v>
      </c>
      <c r="AL74" s="149">
        <f t="shared" si="14"/>
        <v>568826.68000000005</v>
      </c>
      <c r="AM74" s="140">
        <f t="shared" si="15"/>
        <v>1639.27</v>
      </c>
      <c r="AN74" s="121"/>
      <c r="AO74" s="121"/>
      <c r="AP74" s="121"/>
      <c r="AQ74" s="121"/>
      <c r="AR74" s="121"/>
      <c r="AS74" s="121"/>
    </row>
    <row r="75" spans="1:45">
      <c r="A75" s="121" t="s">
        <v>228</v>
      </c>
      <c r="B75" s="121" t="str">
        <f t="shared" si="8"/>
        <v>3</v>
      </c>
      <c r="C75" s="121" t="str">
        <f t="shared" si="10"/>
        <v>Medical 3</v>
      </c>
      <c r="D75" s="121" t="str">
        <f>INDEX('Master Data'!$C$75:$C$299,MATCH(A75,'Master Data'!$B$75:$B$299,0))</f>
        <v>2-3</v>
      </c>
      <c r="E75" s="147">
        <f>INDEX('Master Data'!$C$75:$O$299,MATCH(A75,'Master Data'!$B$75:$B$299,0),MATCH($E$1,'Master Data'!$C$74:$O$74,0))</f>
        <v>0.18</v>
      </c>
      <c r="F75" s="148">
        <f>ROUND(E75*INDEX('Master Data'!$F$4:$K$12,MATCH($E$1,'Master Data'!$E$4:$E$12,0),MATCH(C75,'Master Data'!$F$3:$K$3,0)),2)</f>
        <v>14667.64</v>
      </c>
      <c r="G75" s="147">
        <f>INDEX('Master Data'!$C$75:$O$299,MATCH(A75,'Master Data'!$B$75:$B$299,0),MATCH($G$1,'Master Data'!$C$74:$O$74,0))</f>
        <v>0.66</v>
      </c>
      <c r="H75" s="148">
        <f>ROUND(G75*INDEX('Master Data'!$F$4:$K$12,MATCH($G$1,'Master Data'!$E$4:$E$12,0),MATCH(C75,'Master Data'!$F$3:$K$3,0)),2)</f>
        <v>37216.5</v>
      </c>
      <c r="I75" s="147">
        <f>INDEX('Master Data'!$C$75:$O$299,MATCH(A75,'Master Data'!$B$75:$B$299,0),MATCH($I$1,'Master Data'!$C$74:$O$74,0))</f>
        <v>3.6</v>
      </c>
      <c r="J75" s="148">
        <f>ROUND(I75*INDEX('Master Data'!$F$4:$K$12,MATCH($I$1,'Master Data'!$E$4:$E$12,0),MATCH(C75,'Master Data'!$F$3:$K$3,0)),2)</f>
        <v>233393.94</v>
      </c>
      <c r="K75" s="147">
        <f>INDEX('Master Data'!$C$75:$O$299,MATCH(A75,'Master Data'!$B$75:$B$299,0),MATCH($K$1,'Master Data'!$C$74:$O$74,0))</f>
        <v>1.4</v>
      </c>
      <c r="L75" s="148">
        <f>ROUND(K75*INDEX('Master Data'!$F$4:$K$12,MATCH($K$1,'Master Data'!$E$4:$E$12,0),MATCH(C75,'Master Data'!$F$3:$K$3,0)),2)</f>
        <v>65579.399999999994</v>
      </c>
      <c r="M75" s="147">
        <f>INDEX('Master Data'!$C$75:$O$299,MATCH(A75,'Master Data'!$B$75:$B$299,0),MATCH($M$1,'Master Data'!$C$74:$O$74,0))</f>
        <v>0.57999999999999996</v>
      </c>
      <c r="N75" s="148">
        <f>ROUND(M75*INDEX('Master Data'!$F$4:$K$12,MATCH($M$1,'Master Data'!$E$4:$E$12,0),MATCH(C75,'Master Data'!$F$3:$K$3,0)),2)</f>
        <v>37602.36</v>
      </c>
      <c r="O75" s="147">
        <f>INDEX('Master Data'!$C$75:$O$299,MATCH(A75,'Master Data'!$B$75:$B$299,0),MATCH($O$1,'Master Data'!$C$74:$O$74,0))</f>
        <v>0.23</v>
      </c>
      <c r="P75" s="148">
        <f>ROUND(O75*INDEX('Master Data'!$F$4:$K$12,MATCH($O$1,'Master Data'!$E$4:$E$12,0),MATCH(C75,'Master Data'!$F$3:$K$3,0)),2)</f>
        <v>7176</v>
      </c>
      <c r="Q75" s="147">
        <f>INDEX('Master Data'!$C$75:$O$299,MATCH(A75,'Master Data'!$B$75:$B$299,0),MATCH($Q$1,'Master Data'!$C$74:$O$74,0))</f>
        <v>0.12</v>
      </c>
      <c r="R75" s="148">
        <f>ROUND(Q75*INDEX('Master Data'!$F$4:$K$12,MATCH($Q$1,'Master Data'!$E$4:$E$12,0),MATCH(C75,'Master Data'!$F$3:$K$3,0)),2)</f>
        <v>5621.09</v>
      </c>
      <c r="S75" s="147">
        <f>INDEX('Master Data'!$C$75:$O$299,MATCH(A75,'Master Data'!$B$75:$B$299,0),MATCH($S$1,'Master Data'!$C$74:$O$74,0))</f>
        <v>0</v>
      </c>
      <c r="T75" s="148">
        <f>ROUND(S75*INDEX('Master Data'!$F$4:$K$12,MATCH($S$1,'Master Data'!$E$4:$E$12,0),MATCH(C75,'Master Data'!$F$3:$K$3,0)),2)</f>
        <v>0</v>
      </c>
      <c r="U75" s="147">
        <f>INDEX('Master Data'!$C$75:$O$299,MATCH(A75,'Master Data'!$B$75:$B$299,0),MATCH($U$1,'Master Data'!$C$74:$O$74,0))</f>
        <v>0</v>
      </c>
      <c r="V75" s="148">
        <f>ROUND(U75*INDEX('Master Data'!$F$4:$K$12,MATCH($U$1,'Master Data'!$E$4:$E$12,0),MATCH(C75,'Master Data'!$F$3:$K$3,0)),2)</f>
        <v>0</v>
      </c>
      <c r="W75" s="149">
        <f t="shared" si="9"/>
        <v>401256.93</v>
      </c>
      <c r="X75" s="148">
        <f>ROUND(W75*('Master Data'!$B$54),2)</f>
        <v>100193.86</v>
      </c>
      <c r="Y75" s="149">
        <f t="shared" si="11"/>
        <v>501450.79</v>
      </c>
      <c r="Z75" s="147">
        <f>52*INDEX('Master Data'!$C$75:$O$299,MATCH(A75,'Master Data'!$B$75:$B$299,0),MATCH($Z$1,'Master Data'!$C$74:$O$74,0))</f>
        <v>52</v>
      </c>
      <c r="AA75" s="148">
        <f>Z75*('Master Data'!$F$15)</f>
        <v>3920.8</v>
      </c>
      <c r="AB75" s="147">
        <f>52*INDEX('Master Data'!$C$75:$O$299,MATCH(A75,'Master Data'!$B$75:$B$299,0),MATCH($AB$1,'Master Data'!$C$74:$O$74,0))</f>
        <v>156</v>
      </c>
      <c r="AC75" s="148">
        <f>AB75*('Master Data'!$F$16)</f>
        <v>11281.919999999998</v>
      </c>
      <c r="AD75" s="149">
        <f t="shared" si="12"/>
        <v>15202.719999999998</v>
      </c>
      <c r="AE75" s="148">
        <f>INDEX('Master Data'!$D$58:$D$60,MATCH(D75,'Master Data'!$B$58:$B$60,0))</f>
        <v>19577.099999999999</v>
      </c>
      <c r="AF75" s="148">
        <f>INDEX('Master Data'!$E$58:$E$60,MATCH(D75,'Master Data'!$B$58:$B$60,0))</f>
        <v>992.8</v>
      </c>
      <c r="AG75" s="148">
        <f>INDEX('Master Data'!$F$58:$F$60,MATCH(D75,'Master Data'!$B$58:$B$60,0))</f>
        <v>2876.2</v>
      </c>
      <c r="AH75" s="149">
        <f t="shared" si="13"/>
        <v>540099.61</v>
      </c>
      <c r="AI75" s="148">
        <f>ROUND(AH75*('Master Data'!$C$54),2)</f>
        <v>64811.95</v>
      </c>
      <c r="AJ75" s="148">
        <f>ROUND(SUM(AH75:AI75,AK75)*('Master Data'!$E$54),2)</f>
        <v>18122.57</v>
      </c>
      <c r="AK75" s="148">
        <f>ROUND(W75*('Master Data'!$F$54),2)</f>
        <v>0</v>
      </c>
      <c r="AL75" s="149">
        <f t="shared" si="14"/>
        <v>623034.12999999989</v>
      </c>
      <c r="AM75" s="140">
        <f t="shared" si="15"/>
        <v>1795.49</v>
      </c>
      <c r="AN75" s="121"/>
      <c r="AO75" s="121"/>
      <c r="AP75" s="121"/>
      <c r="AQ75" s="121"/>
      <c r="AR75" s="121"/>
      <c r="AS75" s="121"/>
    </row>
    <row r="76" spans="1:45">
      <c r="A76" s="121" t="s">
        <v>229</v>
      </c>
      <c r="B76" s="121" t="str">
        <f t="shared" si="8"/>
        <v>3</v>
      </c>
      <c r="C76" s="121" t="str">
        <f t="shared" si="10"/>
        <v>Medical 3</v>
      </c>
      <c r="D76" s="121" t="str">
        <f>INDEX('Master Data'!$C$75:$C$299,MATCH(A76,'Master Data'!$B$75:$B$299,0))</f>
        <v>2-3</v>
      </c>
      <c r="E76" s="147">
        <f>INDEX('Master Data'!$C$75:$O$299,MATCH(A76,'Master Data'!$B$75:$B$299,0),MATCH($E$1,'Master Data'!$C$74:$O$74,0))</f>
        <v>0.18</v>
      </c>
      <c r="F76" s="148">
        <f>ROUND(E76*INDEX('Master Data'!$F$4:$K$12,MATCH($E$1,'Master Data'!$E$4:$E$12,0),MATCH(C76,'Master Data'!$F$3:$K$3,0)),2)</f>
        <v>14667.64</v>
      </c>
      <c r="G76" s="147">
        <f>INDEX('Master Data'!$C$75:$O$299,MATCH(A76,'Master Data'!$B$75:$B$299,0),MATCH($G$1,'Master Data'!$C$74:$O$74,0))</f>
        <v>0.66</v>
      </c>
      <c r="H76" s="148">
        <f>ROUND(G76*INDEX('Master Data'!$F$4:$K$12,MATCH($G$1,'Master Data'!$E$4:$E$12,0),MATCH(C76,'Master Data'!$F$3:$K$3,0)),2)</f>
        <v>37216.5</v>
      </c>
      <c r="I76" s="147">
        <f>INDEX('Master Data'!$C$75:$O$299,MATCH(A76,'Master Data'!$B$75:$B$299,0),MATCH($I$1,'Master Data'!$C$74:$O$74,0))</f>
        <v>4.0999999999999996</v>
      </c>
      <c r="J76" s="148">
        <f>ROUND(I76*INDEX('Master Data'!$F$4:$K$12,MATCH($I$1,'Master Data'!$E$4:$E$12,0),MATCH(C76,'Master Data'!$F$3:$K$3,0)),2)</f>
        <v>265809.76</v>
      </c>
      <c r="K76" s="147">
        <f>INDEX('Master Data'!$C$75:$O$299,MATCH(A76,'Master Data'!$B$75:$B$299,0),MATCH($K$1,'Master Data'!$C$74:$O$74,0))</f>
        <v>1.4</v>
      </c>
      <c r="L76" s="148">
        <f>ROUND(K76*INDEX('Master Data'!$F$4:$K$12,MATCH($K$1,'Master Data'!$E$4:$E$12,0),MATCH(C76,'Master Data'!$F$3:$K$3,0)),2)</f>
        <v>65579.399999999994</v>
      </c>
      <c r="M76" s="147">
        <f>INDEX('Master Data'!$C$75:$O$299,MATCH(A76,'Master Data'!$B$75:$B$299,0),MATCH($M$1,'Master Data'!$C$74:$O$74,0))</f>
        <v>0.66</v>
      </c>
      <c r="N76" s="148">
        <f>ROUND(M76*INDEX('Master Data'!$F$4:$K$12,MATCH($M$1,'Master Data'!$E$4:$E$12,0),MATCH(C76,'Master Data'!$F$3:$K$3,0)),2)</f>
        <v>42788.89</v>
      </c>
      <c r="O76" s="147">
        <f>INDEX('Master Data'!$C$75:$O$299,MATCH(A76,'Master Data'!$B$75:$B$299,0),MATCH($O$1,'Master Data'!$C$74:$O$74,0))</f>
        <v>0.23</v>
      </c>
      <c r="P76" s="148">
        <f>ROUND(O76*INDEX('Master Data'!$F$4:$K$12,MATCH($O$1,'Master Data'!$E$4:$E$12,0),MATCH(C76,'Master Data'!$F$3:$K$3,0)),2)</f>
        <v>7176</v>
      </c>
      <c r="Q76" s="147">
        <f>INDEX('Master Data'!$C$75:$O$299,MATCH(A76,'Master Data'!$B$75:$B$299,0),MATCH($Q$1,'Master Data'!$C$74:$O$74,0))</f>
        <v>0.12</v>
      </c>
      <c r="R76" s="148">
        <f>ROUND(Q76*INDEX('Master Data'!$F$4:$K$12,MATCH($Q$1,'Master Data'!$E$4:$E$12,0),MATCH(C76,'Master Data'!$F$3:$K$3,0)),2)</f>
        <v>5621.09</v>
      </c>
      <c r="S76" s="147">
        <f>INDEX('Master Data'!$C$75:$O$299,MATCH(A76,'Master Data'!$B$75:$B$299,0),MATCH($S$1,'Master Data'!$C$74:$O$74,0))</f>
        <v>0</v>
      </c>
      <c r="T76" s="148">
        <f>ROUND(S76*INDEX('Master Data'!$F$4:$K$12,MATCH($S$1,'Master Data'!$E$4:$E$12,0),MATCH(C76,'Master Data'!$F$3:$K$3,0)),2)</f>
        <v>0</v>
      </c>
      <c r="U76" s="147">
        <f>INDEX('Master Data'!$C$75:$O$299,MATCH(A76,'Master Data'!$B$75:$B$299,0),MATCH($U$1,'Master Data'!$C$74:$O$74,0))</f>
        <v>0</v>
      </c>
      <c r="V76" s="148">
        <f>ROUND(U76*INDEX('Master Data'!$F$4:$K$12,MATCH($U$1,'Master Data'!$E$4:$E$12,0),MATCH(C76,'Master Data'!$F$3:$K$3,0)),2)</f>
        <v>0</v>
      </c>
      <c r="W76" s="149">
        <f t="shared" si="9"/>
        <v>438859.28000000009</v>
      </c>
      <c r="X76" s="148">
        <f>ROUND(W76*('Master Data'!$B$54),2)</f>
        <v>109583.16</v>
      </c>
      <c r="Y76" s="149">
        <f t="shared" si="11"/>
        <v>548442.44000000006</v>
      </c>
      <c r="Z76" s="147">
        <f>52*INDEX('Master Data'!$C$75:$O$299,MATCH(A76,'Master Data'!$B$75:$B$299,0),MATCH($Z$1,'Master Data'!$C$74:$O$74,0))</f>
        <v>52</v>
      </c>
      <c r="AA76" s="148">
        <f>Z76*('Master Data'!$F$15)</f>
        <v>3920.8</v>
      </c>
      <c r="AB76" s="147">
        <f>52*INDEX('Master Data'!$C$75:$O$299,MATCH(A76,'Master Data'!$B$75:$B$299,0),MATCH($AB$1,'Master Data'!$C$74:$O$74,0))</f>
        <v>156</v>
      </c>
      <c r="AC76" s="148">
        <f>AB76*('Master Data'!$F$16)</f>
        <v>11281.919999999998</v>
      </c>
      <c r="AD76" s="149">
        <f t="shared" si="12"/>
        <v>15202.719999999998</v>
      </c>
      <c r="AE76" s="148">
        <f>INDEX('Master Data'!$D$58:$D$60,MATCH(D76,'Master Data'!$B$58:$B$60,0))</f>
        <v>19577.099999999999</v>
      </c>
      <c r="AF76" s="148">
        <f>INDEX('Master Data'!$E$58:$E$60,MATCH(D76,'Master Data'!$B$58:$B$60,0))</f>
        <v>992.8</v>
      </c>
      <c r="AG76" s="148">
        <f>INDEX('Master Data'!$F$58:$F$60,MATCH(D76,'Master Data'!$B$58:$B$60,0))</f>
        <v>2876.2</v>
      </c>
      <c r="AH76" s="149">
        <f t="shared" si="13"/>
        <v>587091.26</v>
      </c>
      <c r="AI76" s="148">
        <f>ROUND(AH76*('Master Data'!$C$54),2)</f>
        <v>70450.95</v>
      </c>
      <c r="AJ76" s="148">
        <f>ROUND(SUM(AH76:AI76,AK76)*('Master Data'!$E$54),2)</f>
        <v>19699.330000000002</v>
      </c>
      <c r="AK76" s="148">
        <f>ROUND(W76*('Master Data'!$F$54),2)</f>
        <v>0</v>
      </c>
      <c r="AL76" s="149">
        <f t="shared" si="14"/>
        <v>677241.53999999992</v>
      </c>
      <c r="AM76" s="140">
        <f t="shared" si="15"/>
        <v>1951.7</v>
      </c>
      <c r="AN76" s="121"/>
      <c r="AO76" s="121"/>
      <c r="AP76" s="121"/>
      <c r="AQ76" s="121"/>
      <c r="AR76" s="121"/>
      <c r="AS76" s="121"/>
    </row>
    <row r="77" spans="1:45">
      <c r="A77" s="121" t="s">
        <v>230</v>
      </c>
      <c r="B77" s="121" t="str">
        <f t="shared" si="8"/>
        <v>3</v>
      </c>
      <c r="C77" s="121" t="str">
        <f t="shared" si="10"/>
        <v>Medical 3</v>
      </c>
      <c r="D77" s="121" t="str">
        <f>INDEX('Master Data'!$C$75:$C$299,MATCH(A77,'Master Data'!$B$75:$B$299,0))</f>
        <v>2-3</v>
      </c>
      <c r="E77" s="147">
        <f>INDEX('Master Data'!$C$75:$O$299,MATCH(A77,'Master Data'!$B$75:$B$299,0),MATCH($E$1,'Master Data'!$C$74:$O$74,0))</f>
        <v>0.18</v>
      </c>
      <c r="F77" s="148">
        <f>ROUND(E77*INDEX('Master Data'!$F$4:$K$12,MATCH($E$1,'Master Data'!$E$4:$E$12,0),MATCH(C77,'Master Data'!$F$3:$K$3,0)),2)</f>
        <v>14667.64</v>
      </c>
      <c r="G77" s="147">
        <f>INDEX('Master Data'!$C$75:$O$299,MATCH(A77,'Master Data'!$B$75:$B$299,0),MATCH($G$1,'Master Data'!$C$74:$O$74,0))</f>
        <v>0.66</v>
      </c>
      <c r="H77" s="148">
        <f>ROUND(G77*INDEX('Master Data'!$F$4:$K$12,MATCH($G$1,'Master Data'!$E$4:$E$12,0),MATCH(C77,'Master Data'!$F$3:$K$3,0)),2)</f>
        <v>37216.5</v>
      </c>
      <c r="I77" s="147">
        <f>INDEX('Master Data'!$C$75:$O$299,MATCH(A77,'Master Data'!$B$75:$B$299,0),MATCH($I$1,'Master Data'!$C$74:$O$74,0))</f>
        <v>4.5999999999999996</v>
      </c>
      <c r="J77" s="148">
        <f>ROUND(I77*INDEX('Master Data'!$F$4:$K$12,MATCH($I$1,'Master Data'!$E$4:$E$12,0),MATCH(C77,'Master Data'!$F$3:$K$3,0)),2)</f>
        <v>298225.59000000003</v>
      </c>
      <c r="K77" s="147">
        <f>INDEX('Master Data'!$C$75:$O$299,MATCH(A77,'Master Data'!$B$75:$B$299,0),MATCH($K$1,'Master Data'!$C$74:$O$74,0))</f>
        <v>1.4</v>
      </c>
      <c r="L77" s="148">
        <f>ROUND(K77*INDEX('Master Data'!$F$4:$K$12,MATCH($K$1,'Master Data'!$E$4:$E$12,0),MATCH(C77,'Master Data'!$F$3:$K$3,0)),2)</f>
        <v>65579.399999999994</v>
      </c>
      <c r="M77" s="147">
        <f>INDEX('Master Data'!$C$75:$O$299,MATCH(A77,'Master Data'!$B$75:$B$299,0),MATCH($M$1,'Master Data'!$C$74:$O$74,0))</f>
        <v>0.75</v>
      </c>
      <c r="N77" s="148">
        <f>ROUND(M77*INDEX('Master Data'!$F$4:$K$12,MATCH($M$1,'Master Data'!$E$4:$E$12,0),MATCH(C77,'Master Data'!$F$3:$K$3,0)),2)</f>
        <v>48623.74</v>
      </c>
      <c r="O77" s="147">
        <f>INDEX('Master Data'!$C$75:$O$299,MATCH(A77,'Master Data'!$B$75:$B$299,0),MATCH($O$1,'Master Data'!$C$74:$O$74,0))</f>
        <v>0.23</v>
      </c>
      <c r="P77" s="148">
        <f>ROUND(O77*INDEX('Master Data'!$F$4:$K$12,MATCH($O$1,'Master Data'!$E$4:$E$12,0),MATCH(C77,'Master Data'!$F$3:$K$3,0)),2)</f>
        <v>7176</v>
      </c>
      <c r="Q77" s="147">
        <f>INDEX('Master Data'!$C$75:$O$299,MATCH(A77,'Master Data'!$B$75:$B$299,0),MATCH($Q$1,'Master Data'!$C$74:$O$74,0))</f>
        <v>0.12</v>
      </c>
      <c r="R77" s="148">
        <f>ROUND(Q77*INDEX('Master Data'!$F$4:$K$12,MATCH($Q$1,'Master Data'!$E$4:$E$12,0),MATCH(C77,'Master Data'!$F$3:$K$3,0)),2)</f>
        <v>5621.09</v>
      </c>
      <c r="S77" s="147">
        <f>INDEX('Master Data'!$C$75:$O$299,MATCH(A77,'Master Data'!$B$75:$B$299,0),MATCH($S$1,'Master Data'!$C$74:$O$74,0))</f>
        <v>0</v>
      </c>
      <c r="T77" s="148">
        <f>ROUND(S77*INDEX('Master Data'!$F$4:$K$12,MATCH($S$1,'Master Data'!$E$4:$E$12,0),MATCH(C77,'Master Data'!$F$3:$K$3,0)),2)</f>
        <v>0</v>
      </c>
      <c r="U77" s="147">
        <f>INDEX('Master Data'!$C$75:$O$299,MATCH(A77,'Master Data'!$B$75:$B$299,0),MATCH($U$1,'Master Data'!$C$74:$O$74,0))</f>
        <v>0</v>
      </c>
      <c r="V77" s="148">
        <f>ROUND(U77*INDEX('Master Data'!$F$4:$K$12,MATCH($U$1,'Master Data'!$E$4:$E$12,0),MATCH(C77,'Master Data'!$F$3:$K$3,0)),2)</f>
        <v>0</v>
      </c>
      <c r="W77" s="149">
        <f t="shared" si="9"/>
        <v>477109.96</v>
      </c>
      <c r="X77" s="148">
        <f>ROUND(W77*('Master Data'!$B$54),2)</f>
        <v>119134.36</v>
      </c>
      <c r="Y77" s="149">
        <f t="shared" si="11"/>
        <v>596244.32000000007</v>
      </c>
      <c r="Z77" s="147">
        <f>52*INDEX('Master Data'!$C$75:$O$299,MATCH(A77,'Master Data'!$B$75:$B$299,0),MATCH($Z$1,'Master Data'!$C$74:$O$74,0))</f>
        <v>52</v>
      </c>
      <c r="AA77" s="148">
        <f>Z77*('Master Data'!$F$15)</f>
        <v>3920.8</v>
      </c>
      <c r="AB77" s="147">
        <f>52*INDEX('Master Data'!$C$75:$O$299,MATCH(A77,'Master Data'!$B$75:$B$299,0),MATCH($AB$1,'Master Data'!$C$74:$O$74,0))</f>
        <v>156</v>
      </c>
      <c r="AC77" s="148">
        <f>AB77*('Master Data'!$F$16)</f>
        <v>11281.919999999998</v>
      </c>
      <c r="AD77" s="149">
        <f t="shared" si="12"/>
        <v>15202.719999999998</v>
      </c>
      <c r="AE77" s="148">
        <f>INDEX('Master Data'!$D$58:$D$60,MATCH(D77,'Master Data'!$B$58:$B$60,0))</f>
        <v>19577.099999999999</v>
      </c>
      <c r="AF77" s="148">
        <f>INDEX('Master Data'!$E$58:$E$60,MATCH(D77,'Master Data'!$B$58:$B$60,0))</f>
        <v>992.8</v>
      </c>
      <c r="AG77" s="148">
        <f>INDEX('Master Data'!$F$58:$F$60,MATCH(D77,'Master Data'!$B$58:$B$60,0))</f>
        <v>2876.2</v>
      </c>
      <c r="AH77" s="149">
        <f t="shared" si="13"/>
        <v>634893.14</v>
      </c>
      <c r="AI77" s="148">
        <f>ROUND(AH77*('Master Data'!$C$54),2)</f>
        <v>76187.179999999993</v>
      </c>
      <c r="AJ77" s="148">
        <f>ROUND(SUM(AH77:AI77,AK77)*('Master Data'!$E$54),2)</f>
        <v>21303.279999999999</v>
      </c>
      <c r="AK77" s="148">
        <f>ROUND(W77*('Master Data'!$F$54),2)</f>
        <v>0</v>
      </c>
      <c r="AL77" s="149">
        <f t="shared" si="14"/>
        <v>732383.60000000009</v>
      </c>
      <c r="AM77" s="140">
        <f t="shared" si="15"/>
        <v>2110.62</v>
      </c>
      <c r="AN77" s="121"/>
      <c r="AO77" s="121"/>
      <c r="AP77" s="121"/>
      <c r="AQ77" s="121"/>
      <c r="AR77" s="121"/>
      <c r="AS77" s="121"/>
    </row>
    <row r="78" spans="1:45">
      <c r="A78" s="121" t="s">
        <v>231</v>
      </c>
      <c r="B78" s="121" t="str">
        <f t="shared" si="8"/>
        <v>3</v>
      </c>
      <c r="C78" s="121" t="str">
        <f t="shared" si="10"/>
        <v>Medical 3</v>
      </c>
      <c r="D78" s="121" t="str">
        <f>INDEX('Master Data'!$C$75:$C$299,MATCH(A78,'Master Data'!$B$75:$B$299,0))</f>
        <v>2-3</v>
      </c>
      <c r="E78" s="147">
        <f>INDEX('Master Data'!$C$75:$O$299,MATCH(A78,'Master Data'!$B$75:$B$299,0),MATCH($E$1,'Master Data'!$C$74:$O$74,0))</f>
        <v>0.18</v>
      </c>
      <c r="F78" s="148">
        <f>ROUND(E78*INDEX('Master Data'!$F$4:$K$12,MATCH($E$1,'Master Data'!$E$4:$E$12,0),MATCH(C78,'Master Data'!$F$3:$K$3,0)),2)</f>
        <v>14667.64</v>
      </c>
      <c r="G78" s="147">
        <f>INDEX('Master Data'!$C$75:$O$299,MATCH(A78,'Master Data'!$B$75:$B$299,0),MATCH($G$1,'Master Data'!$C$74:$O$74,0))</f>
        <v>0.66</v>
      </c>
      <c r="H78" s="148">
        <f>ROUND(G78*INDEX('Master Data'!$F$4:$K$12,MATCH($G$1,'Master Data'!$E$4:$E$12,0),MATCH(C78,'Master Data'!$F$3:$K$3,0)),2)</f>
        <v>37216.5</v>
      </c>
      <c r="I78" s="147">
        <f>INDEX('Master Data'!$C$75:$O$299,MATCH(A78,'Master Data'!$B$75:$B$299,0),MATCH($I$1,'Master Data'!$C$74:$O$74,0))</f>
        <v>5.0999999999999996</v>
      </c>
      <c r="J78" s="148">
        <f>ROUND(I78*INDEX('Master Data'!$F$4:$K$12,MATCH($I$1,'Master Data'!$E$4:$E$12,0),MATCH(C78,'Master Data'!$F$3:$K$3,0)),2)</f>
        <v>330641.40999999997</v>
      </c>
      <c r="K78" s="147">
        <f>INDEX('Master Data'!$C$75:$O$299,MATCH(A78,'Master Data'!$B$75:$B$299,0),MATCH($K$1,'Master Data'!$C$74:$O$74,0))</f>
        <v>1.4</v>
      </c>
      <c r="L78" s="148">
        <f>ROUND(K78*INDEX('Master Data'!$F$4:$K$12,MATCH($K$1,'Master Data'!$E$4:$E$12,0),MATCH(C78,'Master Data'!$F$3:$K$3,0)),2)</f>
        <v>65579.399999999994</v>
      </c>
      <c r="M78" s="147">
        <f>INDEX('Master Data'!$C$75:$O$299,MATCH(A78,'Master Data'!$B$75:$B$299,0),MATCH($M$1,'Master Data'!$C$74:$O$74,0))</f>
        <v>0.83</v>
      </c>
      <c r="N78" s="148">
        <f>ROUND(M78*INDEX('Master Data'!$F$4:$K$12,MATCH($M$1,'Master Data'!$E$4:$E$12,0),MATCH(C78,'Master Data'!$F$3:$K$3,0)),2)</f>
        <v>53810.27</v>
      </c>
      <c r="O78" s="147">
        <f>INDEX('Master Data'!$C$75:$O$299,MATCH(A78,'Master Data'!$B$75:$B$299,0),MATCH($O$1,'Master Data'!$C$74:$O$74,0))</f>
        <v>0.23</v>
      </c>
      <c r="P78" s="148">
        <f>ROUND(O78*INDEX('Master Data'!$F$4:$K$12,MATCH($O$1,'Master Data'!$E$4:$E$12,0),MATCH(C78,'Master Data'!$F$3:$K$3,0)),2)</f>
        <v>7176</v>
      </c>
      <c r="Q78" s="147">
        <f>INDEX('Master Data'!$C$75:$O$299,MATCH(A78,'Master Data'!$B$75:$B$299,0),MATCH($Q$1,'Master Data'!$C$74:$O$74,0))</f>
        <v>0.12</v>
      </c>
      <c r="R78" s="148">
        <f>ROUND(Q78*INDEX('Master Data'!$F$4:$K$12,MATCH($Q$1,'Master Data'!$E$4:$E$12,0),MATCH(C78,'Master Data'!$F$3:$K$3,0)),2)</f>
        <v>5621.09</v>
      </c>
      <c r="S78" s="147">
        <f>INDEX('Master Data'!$C$75:$O$299,MATCH(A78,'Master Data'!$B$75:$B$299,0),MATCH($S$1,'Master Data'!$C$74:$O$74,0))</f>
        <v>0</v>
      </c>
      <c r="T78" s="148">
        <f>ROUND(S78*INDEX('Master Data'!$F$4:$K$12,MATCH($S$1,'Master Data'!$E$4:$E$12,0),MATCH(C78,'Master Data'!$F$3:$K$3,0)),2)</f>
        <v>0</v>
      </c>
      <c r="U78" s="147">
        <f>INDEX('Master Data'!$C$75:$O$299,MATCH(A78,'Master Data'!$B$75:$B$299,0),MATCH($U$1,'Master Data'!$C$74:$O$74,0))</f>
        <v>0</v>
      </c>
      <c r="V78" s="148">
        <f>ROUND(U78*INDEX('Master Data'!$F$4:$K$12,MATCH($U$1,'Master Data'!$E$4:$E$12,0),MATCH(C78,'Master Data'!$F$3:$K$3,0)),2)</f>
        <v>0</v>
      </c>
      <c r="W78" s="149">
        <f t="shared" si="9"/>
        <v>514712.31</v>
      </c>
      <c r="X78" s="148">
        <f>ROUND(W78*('Master Data'!$B$54),2)</f>
        <v>128523.66</v>
      </c>
      <c r="Y78" s="149">
        <f t="shared" si="11"/>
        <v>643235.97</v>
      </c>
      <c r="Z78" s="147">
        <f>52*INDEX('Master Data'!$C$75:$O$299,MATCH(A78,'Master Data'!$B$75:$B$299,0),MATCH($Z$1,'Master Data'!$C$74:$O$74,0))</f>
        <v>52</v>
      </c>
      <c r="AA78" s="148">
        <f>Z78*('Master Data'!$F$15)</f>
        <v>3920.8</v>
      </c>
      <c r="AB78" s="147">
        <f>52*INDEX('Master Data'!$C$75:$O$299,MATCH(A78,'Master Data'!$B$75:$B$299,0),MATCH($AB$1,'Master Data'!$C$74:$O$74,0))</f>
        <v>156</v>
      </c>
      <c r="AC78" s="148">
        <f>AB78*('Master Data'!$F$16)</f>
        <v>11281.919999999998</v>
      </c>
      <c r="AD78" s="149">
        <f t="shared" si="12"/>
        <v>15202.719999999998</v>
      </c>
      <c r="AE78" s="148">
        <f>INDEX('Master Data'!$D$58:$D$60,MATCH(D78,'Master Data'!$B$58:$B$60,0))</f>
        <v>19577.099999999999</v>
      </c>
      <c r="AF78" s="148">
        <f>INDEX('Master Data'!$E$58:$E$60,MATCH(D78,'Master Data'!$B$58:$B$60,0))</f>
        <v>992.8</v>
      </c>
      <c r="AG78" s="148">
        <f>INDEX('Master Data'!$F$58:$F$60,MATCH(D78,'Master Data'!$B$58:$B$60,0))</f>
        <v>2876.2</v>
      </c>
      <c r="AH78" s="149">
        <f t="shared" si="13"/>
        <v>681884.78999999992</v>
      </c>
      <c r="AI78" s="148">
        <f>ROUND(AH78*('Master Data'!$C$54),2)</f>
        <v>81826.17</v>
      </c>
      <c r="AJ78" s="148">
        <f>ROUND(SUM(AH78:AI78,AK78)*('Master Data'!$E$54),2)</f>
        <v>22880.05</v>
      </c>
      <c r="AK78" s="148">
        <f>ROUND(W78*('Master Data'!$F$54),2)</f>
        <v>0</v>
      </c>
      <c r="AL78" s="149">
        <f t="shared" si="14"/>
        <v>786591.01</v>
      </c>
      <c r="AM78" s="140">
        <f t="shared" si="15"/>
        <v>2266.83</v>
      </c>
      <c r="AN78" s="121"/>
      <c r="AO78" s="121"/>
      <c r="AP78" s="121"/>
      <c r="AQ78" s="121"/>
      <c r="AR78" s="121"/>
      <c r="AS78" s="121"/>
    </row>
    <row r="79" spans="1:45">
      <c r="A79" s="121" t="s">
        <v>232</v>
      </c>
      <c r="B79" s="121" t="str">
        <f t="shared" si="8"/>
        <v>3</v>
      </c>
      <c r="C79" s="121" t="str">
        <f t="shared" si="10"/>
        <v>Medical 3</v>
      </c>
      <c r="D79" s="121" t="str">
        <f>INDEX('Master Data'!$C$75:$C$299,MATCH(A79,'Master Data'!$B$75:$B$299,0))</f>
        <v>2-3</v>
      </c>
      <c r="E79" s="147">
        <f>INDEX('Master Data'!$C$75:$O$299,MATCH(A79,'Master Data'!$B$75:$B$299,0),MATCH($E$1,'Master Data'!$C$74:$O$74,0))</f>
        <v>0.18</v>
      </c>
      <c r="F79" s="148">
        <f>ROUND(E79*INDEX('Master Data'!$F$4:$K$12,MATCH($E$1,'Master Data'!$E$4:$E$12,0),MATCH(C79,'Master Data'!$F$3:$K$3,0)),2)</f>
        <v>14667.64</v>
      </c>
      <c r="G79" s="147">
        <f>INDEX('Master Data'!$C$75:$O$299,MATCH(A79,'Master Data'!$B$75:$B$299,0),MATCH($G$1,'Master Data'!$C$74:$O$74,0))</f>
        <v>0.66</v>
      </c>
      <c r="H79" s="148">
        <f>ROUND(G79*INDEX('Master Data'!$F$4:$K$12,MATCH($G$1,'Master Data'!$E$4:$E$12,0),MATCH(C79,'Master Data'!$F$3:$K$3,0)),2)</f>
        <v>37216.5</v>
      </c>
      <c r="I79" s="147">
        <f>INDEX('Master Data'!$C$75:$O$299,MATCH(A79,'Master Data'!$B$75:$B$299,0),MATCH($I$1,'Master Data'!$C$74:$O$74,0))</f>
        <v>5.6</v>
      </c>
      <c r="J79" s="148">
        <f>ROUND(I79*INDEX('Master Data'!$F$4:$K$12,MATCH($I$1,'Master Data'!$E$4:$E$12,0),MATCH(C79,'Master Data'!$F$3:$K$3,0)),2)</f>
        <v>363057.24</v>
      </c>
      <c r="K79" s="147">
        <f>INDEX('Master Data'!$C$75:$O$299,MATCH(A79,'Master Data'!$B$75:$B$299,0),MATCH($K$1,'Master Data'!$C$74:$O$74,0))</f>
        <v>1.4</v>
      </c>
      <c r="L79" s="148">
        <f>ROUND(K79*INDEX('Master Data'!$F$4:$K$12,MATCH($K$1,'Master Data'!$E$4:$E$12,0),MATCH(C79,'Master Data'!$F$3:$K$3,0)),2)</f>
        <v>65579.399999999994</v>
      </c>
      <c r="M79" s="147">
        <f>INDEX('Master Data'!$C$75:$O$299,MATCH(A79,'Master Data'!$B$75:$B$299,0),MATCH($M$1,'Master Data'!$C$74:$O$74,0))</f>
        <v>0.91</v>
      </c>
      <c r="N79" s="148">
        <f>ROUND(M79*INDEX('Master Data'!$F$4:$K$12,MATCH($M$1,'Master Data'!$E$4:$E$12,0),MATCH(C79,'Master Data'!$F$3:$K$3,0)),2)</f>
        <v>58996.800000000003</v>
      </c>
      <c r="O79" s="147">
        <f>INDEX('Master Data'!$C$75:$O$299,MATCH(A79,'Master Data'!$B$75:$B$299,0),MATCH($O$1,'Master Data'!$C$74:$O$74,0))</f>
        <v>0.23</v>
      </c>
      <c r="P79" s="148">
        <f>ROUND(O79*INDEX('Master Data'!$F$4:$K$12,MATCH($O$1,'Master Data'!$E$4:$E$12,0),MATCH(C79,'Master Data'!$F$3:$K$3,0)),2)</f>
        <v>7176</v>
      </c>
      <c r="Q79" s="147">
        <f>INDEX('Master Data'!$C$75:$O$299,MATCH(A79,'Master Data'!$B$75:$B$299,0),MATCH($Q$1,'Master Data'!$C$74:$O$74,0))</f>
        <v>0.12</v>
      </c>
      <c r="R79" s="148">
        <f>ROUND(Q79*INDEX('Master Data'!$F$4:$K$12,MATCH($Q$1,'Master Data'!$E$4:$E$12,0),MATCH(C79,'Master Data'!$F$3:$K$3,0)),2)</f>
        <v>5621.09</v>
      </c>
      <c r="S79" s="147">
        <f>INDEX('Master Data'!$C$75:$O$299,MATCH(A79,'Master Data'!$B$75:$B$299,0),MATCH($S$1,'Master Data'!$C$74:$O$74,0))</f>
        <v>0</v>
      </c>
      <c r="T79" s="148">
        <f>ROUND(S79*INDEX('Master Data'!$F$4:$K$12,MATCH($S$1,'Master Data'!$E$4:$E$12,0),MATCH(C79,'Master Data'!$F$3:$K$3,0)),2)</f>
        <v>0</v>
      </c>
      <c r="U79" s="147">
        <f>INDEX('Master Data'!$C$75:$O$299,MATCH(A79,'Master Data'!$B$75:$B$299,0),MATCH($U$1,'Master Data'!$C$74:$O$74,0))</f>
        <v>0</v>
      </c>
      <c r="V79" s="148">
        <f>ROUND(U79*INDEX('Master Data'!$F$4:$K$12,MATCH($U$1,'Master Data'!$E$4:$E$12,0),MATCH(C79,'Master Data'!$F$3:$K$3,0)),2)</f>
        <v>0</v>
      </c>
      <c r="W79" s="149">
        <f t="shared" si="9"/>
        <v>552314.67000000004</v>
      </c>
      <c r="X79" s="148">
        <f>ROUND(W79*('Master Data'!$B$54),2)</f>
        <v>137912.97</v>
      </c>
      <c r="Y79" s="149">
        <f t="shared" si="11"/>
        <v>690227.64</v>
      </c>
      <c r="Z79" s="147">
        <f>52*INDEX('Master Data'!$C$75:$O$299,MATCH(A79,'Master Data'!$B$75:$B$299,0),MATCH($Z$1,'Master Data'!$C$74:$O$74,0))</f>
        <v>52</v>
      </c>
      <c r="AA79" s="148">
        <f>Z79*('Master Data'!$F$15)</f>
        <v>3920.8</v>
      </c>
      <c r="AB79" s="147">
        <f>52*INDEX('Master Data'!$C$75:$O$299,MATCH(A79,'Master Data'!$B$75:$B$299,0),MATCH($AB$1,'Master Data'!$C$74:$O$74,0))</f>
        <v>156</v>
      </c>
      <c r="AC79" s="148">
        <f>AB79*('Master Data'!$F$16)</f>
        <v>11281.919999999998</v>
      </c>
      <c r="AD79" s="149">
        <f t="shared" si="12"/>
        <v>15202.719999999998</v>
      </c>
      <c r="AE79" s="148">
        <f>INDEX('Master Data'!$D$58:$D$60,MATCH(D79,'Master Data'!$B$58:$B$60,0))</f>
        <v>19577.099999999999</v>
      </c>
      <c r="AF79" s="148">
        <f>INDEX('Master Data'!$E$58:$E$60,MATCH(D79,'Master Data'!$B$58:$B$60,0))</f>
        <v>992.8</v>
      </c>
      <c r="AG79" s="148">
        <f>INDEX('Master Data'!$F$58:$F$60,MATCH(D79,'Master Data'!$B$58:$B$60,0))</f>
        <v>2876.2</v>
      </c>
      <c r="AH79" s="149">
        <f t="shared" si="13"/>
        <v>728876.46</v>
      </c>
      <c r="AI79" s="148">
        <f>ROUND(AH79*('Master Data'!$C$54),2)</f>
        <v>87465.18</v>
      </c>
      <c r="AJ79" s="148">
        <f>ROUND(SUM(AH79:AI79,AK79)*('Master Data'!$E$54),2)</f>
        <v>24456.81</v>
      </c>
      <c r="AK79" s="148">
        <f>ROUND(W79*('Master Data'!$F$54),2)</f>
        <v>0</v>
      </c>
      <c r="AL79" s="149">
        <f t="shared" si="14"/>
        <v>840798.45</v>
      </c>
      <c r="AM79" s="140">
        <f t="shared" si="15"/>
        <v>2423.0500000000002</v>
      </c>
      <c r="AN79" s="121"/>
      <c r="AO79" s="121"/>
      <c r="AP79" s="121"/>
      <c r="AQ79" s="121"/>
      <c r="AR79" s="121"/>
      <c r="AS79" s="121"/>
    </row>
    <row r="80" spans="1:45">
      <c r="A80" s="121" t="s">
        <v>233</v>
      </c>
      <c r="B80" s="121" t="str">
        <f t="shared" si="8"/>
        <v>3</v>
      </c>
      <c r="C80" s="121" t="str">
        <f t="shared" si="10"/>
        <v>Medical 3</v>
      </c>
      <c r="D80" s="121" t="str">
        <f>INDEX('Master Data'!$C$75:$C$299,MATCH(A80,'Master Data'!$B$75:$B$299,0))</f>
        <v>2-3</v>
      </c>
      <c r="E80" s="147">
        <f>INDEX('Master Data'!$C$75:$O$299,MATCH(A80,'Master Data'!$B$75:$B$299,0),MATCH($E$1,'Master Data'!$C$74:$O$74,0))</f>
        <v>0.18</v>
      </c>
      <c r="F80" s="148">
        <f>ROUND(E80*INDEX('Master Data'!$F$4:$K$12,MATCH($E$1,'Master Data'!$E$4:$E$12,0),MATCH(C80,'Master Data'!$F$3:$K$3,0)),2)</f>
        <v>14667.64</v>
      </c>
      <c r="G80" s="147">
        <f>INDEX('Master Data'!$C$75:$O$299,MATCH(A80,'Master Data'!$B$75:$B$299,0),MATCH($G$1,'Master Data'!$C$74:$O$74,0))</f>
        <v>0.66</v>
      </c>
      <c r="H80" s="148">
        <f>ROUND(G80*INDEX('Master Data'!$F$4:$K$12,MATCH($G$1,'Master Data'!$E$4:$E$12,0),MATCH(C80,'Master Data'!$F$3:$K$3,0)),2)</f>
        <v>37216.5</v>
      </c>
      <c r="I80" s="147">
        <f>INDEX('Master Data'!$C$75:$O$299,MATCH(A80,'Master Data'!$B$75:$B$299,0),MATCH($I$1,'Master Data'!$C$74:$O$74,0))</f>
        <v>6.1</v>
      </c>
      <c r="J80" s="148">
        <f>ROUND(I80*INDEX('Master Data'!$F$4:$K$12,MATCH($I$1,'Master Data'!$E$4:$E$12,0),MATCH(C80,'Master Data'!$F$3:$K$3,0)),2)</f>
        <v>395473.06</v>
      </c>
      <c r="K80" s="147">
        <f>INDEX('Master Data'!$C$75:$O$299,MATCH(A80,'Master Data'!$B$75:$B$299,0),MATCH($K$1,'Master Data'!$C$74:$O$74,0))</f>
        <v>1.4</v>
      </c>
      <c r="L80" s="148">
        <f>ROUND(K80*INDEX('Master Data'!$F$4:$K$12,MATCH($K$1,'Master Data'!$E$4:$E$12,0),MATCH(C80,'Master Data'!$F$3:$K$3,0)),2)</f>
        <v>65579.399999999994</v>
      </c>
      <c r="M80" s="147">
        <f>INDEX('Master Data'!$C$75:$O$299,MATCH(A80,'Master Data'!$B$75:$B$299,0),MATCH($M$1,'Master Data'!$C$74:$O$74,0))</f>
        <v>0.99</v>
      </c>
      <c r="N80" s="148">
        <f>ROUND(M80*INDEX('Master Data'!$F$4:$K$12,MATCH($M$1,'Master Data'!$E$4:$E$12,0),MATCH(C80,'Master Data'!$F$3:$K$3,0)),2)</f>
        <v>64183.33</v>
      </c>
      <c r="O80" s="147">
        <f>INDEX('Master Data'!$C$75:$O$299,MATCH(A80,'Master Data'!$B$75:$B$299,0),MATCH($O$1,'Master Data'!$C$74:$O$74,0))</f>
        <v>0.23</v>
      </c>
      <c r="P80" s="148">
        <f>ROUND(O80*INDEX('Master Data'!$F$4:$K$12,MATCH($O$1,'Master Data'!$E$4:$E$12,0),MATCH(C80,'Master Data'!$F$3:$K$3,0)),2)</f>
        <v>7176</v>
      </c>
      <c r="Q80" s="147">
        <f>INDEX('Master Data'!$C$75:$O$299,MATCH(A80,'Master Data'!$B$75:$B$299,0),MATCH($Q$1,'Master Data'!$C$74:$O$74,0))</f>
        <v>0.12</v>
      </c>
      <c r="R80" s="148">
        <f>ROUND(Q80*INDEX('Master Data'!$F$4:$K$12,MATCH($Q$1,'Master Data'!$E$4:$E$12,0),MATCH(C80,'Master Data'!$F$3:$K$3,0)),2)</f>
        <v>5621.09</v>
      </c>
      <c r="S80" s="147">
        <f>INDEX('Master Data'!$C$75:$O$299,MATCH(A80,'Master Data'!$B$75:$B$299,0),MATCH($S$1,'Master Data'!$C$74:$O$74,0))</f>
        <v>0</v>
      </c>
      <c r="T80" s="148">
        <f>ROUND(S80*INDEX('Master Data'!$F$4:$K$12,MATCH($S$1,'Master Data'!$E$4:$E$12,0),MATCH(C80,'Master Data'!$F$3:$K$3,0)),2)</f>
        <v>0</v>
      </c>
      <c r="U80" s="147">
        <f>INDEX('Master Data'!$C$75:$O$299,MATCH(A80,'Master Data'!$B$75:$B$299,0),MATCH($U$1,'Master Data'!$C$74:$O$74,0))</f>
        <v>0</v>
      </c>
      <c r="V80" s="148">
        <f>ROUND(U80*INDEX('Master Data'!$F$4:$K$12,MATCH($U$1,'Master Data'!$E$4:$E$12,0),MATCH(C80,'Master Data'!$F$3:$K$3,0)),2)</f>
        <v>0</v>
      </c>
      <c r="W80" s="149">
        <f t="shared" si="9"/>
        <v>589917.0199999999</v>
      </c>
      <c r="X80" s="148">
        <f>ROUND(W80*('Master Data'!$B$54),2)</f>
        <v>147302.28</v>
      </c>
      <c r="Y80" s="149">
        <f t="shared" si="11"/>
        <v>737219.29999999993</v>
      </c>
      <c r="Z80" s="147">
        <f>52*INDEX('Master Data'!$C$75:$O$299,MATCH(A80,'Master Data'!$B$75:$B$299,0),MATCH($Z$1,'Master Data'!$C$74:$O$74,0))</f>
        <v>52</v>
      </c>
      <c r="AA80" s="148">
        <f>Z80*('Master Data'!$F$15)</f>
        <v>3920.8</v>
      </c>
      <c r="AB80" s="147">
        <f>52*INDEX('Master Data'!$C$75:$O$299,MATCH(A80,'Master Data'!$B$75:$B$299,0),MATCH($AB$1,'Master Data'!$C$74:$O$74,0))</f>
        <v>156</v>
      </c>
      <c r="AC80" s="148">
        <f>AB80*('Master Data'!$F$16)</f>
        <v>11281.919999999998</v>
      </c>
      <c r="AD80" s="149">
        <f t="shared" si="12"/>
        <v>15202.719999999998</v>
      </c>
      <c r="AE80" s="148">
        <f>INDEX('Master Data'!$D$58:$D$60,MATCH(D80,'Master Data'!$B$58:$B$60,0))</f>
        <v>19577.099999999999</v>
      </c>
      <c r="AF80" s="148">
        <f>INDEX('Master Data'!$E$58:$E$60,MATCH(D80,'Master Data'!$B$58:$B$60,0))</f>
        <v>992.8</v>
      </c>
      <c r="AG80" s="148">
        <f>INDEX('Master Data'!$F$58:$F$60,MATCH(D80,'Master Data'!$B$58:$B$60,0))</f>
        <v>2876.2</v>
      </c>
      <c r="AH80" s="149">
        <f t="shared" si="13"/>
        <v>775868.11999999988</v>
      </c>
      <c r="AI80" s="148">
        <f>ROUND(AH80*('Master Data'!$C$54),2)</f>
        <v>93104.17</v>
      </c>
      <c r="AJ80" s="148">
        <f>ROUND(SUM(AH80:AI80,AK80)*('Master Data'!$E$54),2)</f>
        <v>26033.58</v>
      </c>
      <c r="AK80" s="148">
        <f>ROUND(W80*('Master Data'!$F$54),2)</f>
        <v>0</v>
      </c>
      <c r="AL80" s="149">
        <f t="shared" si="14"/>
        <v>895005.86999999988</v>
      </c>
      <c r="AM80" s="140">
        <f t="shared" si="15"/>
        <v>2579.27</v>
      </c>
      <c r="AN80" s="121"/>
      <c r="AO80" s="121"/>
      <c r="AP80" s="121"/>
      <c r="AQ80" s="121"/>
      <c r="AR80" s="121"/>
      <c r="AS80" s="121"/>
    </row>
    <row r="81" spans="1:45">
      <c r="A81" s="121" t="s">
        <v>234</v>
      </c>
      <c r="B81" s="121" t="str">
        <f t="shared" si="8"/>
        <v>3</v>
      </c>
      <c r="C81" s="121" t="str">
        <f t="shared" si="10"/>
        <v>Medical 3</v>
      </c>
      <c r="D81" s="121" t="str">
        <f>INDEX('Master Data'!$C$75:$C$299,MATCH(A81,'Master Data'!$B$75:$B$299,0))</f>
        <v>2-3</v>
      </c>
      <c r="E81" s="147">
        <f>INDEX('Master Data'!$C$75:$O$299,MATCH(A81,'Master Data'!$B$75:$B$299,0),MATCH($E$1,'Master Data'!$C$74:$O$74,0))</f>
        <v>0.18</v>
      </c>
      <c r="F81" s="148">
        <f>ROUND(E81*INDEX('Master Data'!$F$4:$K$12,MATCH($E$1,'Master Data'!$E$4:$E$12,0),MATCH(C81,'Master Data'!$F$3:$K$3,0)),2)</f>
        <v>14667.64</v>
      </c>
      <c r="G81" s="147">
        <f>INDEX('Master Data'!$C$75:$O$299,MATCH(A81,'Master Data'!$B$75:$B$299,0),MATCH($G$1,'Master Data'!$C$74:$O$74,0))</f>
        <v>0.66</v>
      </c>
      <c r="H81" s="148">
        <f>ROUND(G81*INDEX('Master Data'!$F$4:$K$12,MATCH($G$1,'Master Data'!$E$4:$E$12,0),MATCH(C81,'Master Data'!$F$3:$K$3,0)),2)</f>
        <v>37216.5</v>
      </c>
      <c r="I81" s="147">
        <f>INDEX('Master Data'!$C$75:$O$299,MATCH(A81,'Master Data'!$B$75:$B$299,0),MATCH($I$1,'Master Data'!$C$74:$O$74,0))</f>
        <v>6.6</v>
      </c>
      <c r="J81" s="148">
        <f>ROUND(I81*INDEX('Master Data'!$F$4:$K$12,MATCH($I$1,'Master Data'!$E$4:$E$12,0),MATCH(C81,'Master Data'!$F$3:$K$3,0)),2)</f>
        <v>427888.89</v>
      </c>
      <c r="K81" s="147">
        <f>INDEX('Master Data'!$C$75:$O$299,MATCH(A81,'Master Data'!$B$75:$B$299,0),MATCH($K$1,'Master Data'!$C$74:$O$74,0))</f>
        <v>1.4</v>
      </c>
      <c r="L81" s="148">
        <f>ROUND(K81*INDEX('Master Data'!$F$4:$K$12,MATCH($K$1,'Master Data'!$E$4:$E$12,0),MATCH(C81,'Master Data'!$F$3:$K$3,0)),2)</f>
        <v>65579.399999999994</v>
      </c>
      <c r="M81" s="147">
        <f>INDEX('Master Data'!$C$75:$O$299,MATCH(A81,'Master Data'!$B$75:$B$299,0),MATCH($M$1,'Master Data'!$C$74:$O$74,0))</f>
        <v>1.07</v>
      </c>
      <c r="N81" s="148">
        <f>ROUND(M81*INDEX('Master Data'!$F$4:$K$12,MATCH($M$1,'Master Data'!$E$4:$E$12,0),MATCH(C81,'Master Data'!$F$3:$K$3,0)),2)</f>
        <v>69369.87</v>
      </c>
      <c r="O81" s="147">
        <f>INDEX('Master Data'!$C$75:$O$299,MATCH(A81,'Master Data'!$B$75:$B$299,0),MATCH($O$1,'Master Data'!$C$74:$O$74,0))</f>
        <v>0.23</v>
      </c>
      <c r="P81" s="148">
        <f>ROUND(O81*INDEX('Master Data'!$F$4:$K$12,MATCH($O$1,'Master Data'!$E$4:$E$12,0),MATCH(C81,'Master Data'!$F$3:$K$3,0)),2)</f>
        <v>7176</v>
      </c>
      <c r="Q81" s="147">
        <f>INDEX('Master Data'!$C$75:$O$299,MATCH(A81,'Master Data'!$B$75:$B$299,0),MATCH($Q$1,'Master Data'!$C$74:$O$74,0))</f>
        <v>0.12</v>
      </c>
      <c r="R81" s="148">
        <f>ROUND(Q81*INDEX('Master Data'!$F$4:$K$12,MATCH($Q$1,'Master Data'!$E$4:$E$12,0),MATCH(C81,'Master Data'!$F$3:$K$3,0)),2)</f>
        <v>5621.09</v>
      </c>
      <c r="S81" s="147">
        <f>INDEX('Master Data'!$C$75:$O$299,MATCH(A81,'Master Data'!$B$75:$B$299,0),MATCH($S$1,'Master Data'!$C$74:$O$74,0))</f>
        <v>0</v>
      </c>
      <c r="T81" s="148">
        <f>ROUND(S81*INDEX('Master Data'!$F$4:$K$12,MATCH($S$1,'Master Data'!$E$4:$E$12,0),MATCH(C81,'Master Data'!$F$3:$K$3,0)),2)</f>
        <v>0</v>
      </c>
      <c r="U81" s="147">
        <f>INDEX('Master Data'!$C$75:$O$299,MATCH(A81,'Master Data'!$B$75:$B$299,0),MATCH($U$1,'Master Data'!$C$74:$O$74,0))</f>
        <v>0</v>
      </c>
      <c r="V81" s="148">
        <f>ROUND(U81*INDEX('Master Data'!$F$4:$K$12,MATCH($U$1,'Master Data'!$E$4:$E$12,0),MATCH(C81,'Master Data'!$F$3:$K$3,0)),2)</f>
        <v>0</v>
      </c>
      <c r="W81" s="149">
        <f t="shared" si="9"/>
        <v>627519.39</v>
      </c>
      <c r="X81" s="148">
        <f>ROUND(W81*('Master Data'!$B$54),2)</f>
        <v>156691.59</v>
      </c>
      <c r="Y81" s="149">
        <f t="shared" si="11"/>
        <v>784210.98</v>
      </c>
      <c r="Z81" s="147">
        <f>52*INDEX('Master Data'!$C$75:$O$299,MATCH(A81,'Master Data'!$B$75:$B$299,0),MATCH($Z$1,'Master Data'!$C$74:$O$74,0))</f>
        <v>52</v>
      </c>
      <c r="AA81" s="148">
        <f>Z81*('Master Data'!$F$15)</f>
        <v>3920.8</v>
      </c>
      <c r="AB81" s="147">
        <f>52*INDEX('Master Data'!$C$75:$O$299,MATCH(A81,'Master Data'!$B$75:$B$299,0),MATCH($AB$1,'Master Data'!$C$74:$O$74,0))</f>
        <v>156</v>
      </c>
      <c r="AC81" s="148">
        <f>AB81*('Master Data'!$F$16)</f>
        <v>11281.919999999998</v>
      </c>
      <c r="AD81" s="149">
        <f t="shared" si="12"/>
        <v>15202.719999999998</v>
      </c>
      <c r="AE81" s="148">
        <f>INDEX('Master Data'!$D$58:$D$60,MATCH(D81,'Master Data'!$B$58:$B$60,0))</f>
        <v>19577.099999999999</v>
      </c>
      <c r="AF81" s="148">
        <f>INDEX('Master Data'!$E$58:$E$60,MATCH(D81,'Master Data'!$B$58:$B$60,0))</f>
        <v>992.8</v>
      </c>
      <c r="AG81" s="148">
        <f>INDEX('Master Data'!$F$58:$F$60,MATCH(D81,'Master Data'!$B$58:$B$60,0))</f>
        <v>2876.2</v>
      </c>
      <c r="AH81" s="149">
        <f t="shared" si="13"/>
        <v>822859.79999999993</v>
      </c>
      <c r="AI81" s="148">
        <f>ROUND(AH81*('Master Data'!$C$54),2)</f>
        <v>98743.18</v>
      </c>
      <c r="AJ81" s="148">
        <f>ROUND(SUM(AH81:AI81,AK81)*('Master Data'!$E$54),2)</f>
        <v>27610.34</v>
      </c>
      <c r="AK81" s="148">
        <f>ROUND(W81*('Master Data'!$F$54),2)</f>
        <v>0</v>
      </c>
      <c r="AL81" s="149">
        <f t="shared" si="14"/>
        <v>949213.32</v>
      </c>
      <c r="AM81" s="140">
        <f t="shared" si="15"/>
        <v>2735.49</v>
      </c>
      <c r="AN81" s="121"/>
      <c r="AO81" s="121"/>
      <c r="AP81" s="121"/>
      <c r="AQ81" s="121"/>
      <c r="AR81" s="121"/>
      <c r="AS81" s="121"/>
    </row>
    <row r="82" spans="1:45">
      <c r="A82" s="121" t="s">
        <v>235</v>
      </c>
      <c r="B82" s="121" t="str">
        <f t="shared" si="8"/>
        <v>3</v>
      </c>
      <c r="C82" s="121" t="str">
        <f t="shared" si="10"/>
        <v>Medical 3</v>
      </c>
      <c r="D82" s="121" t="str">
        <f>INDEX('Master Data'!$C$75:$C$299,MATCH(A82,'Master Data'!$B$75:$B$299,0))</f>
        <v>2-3</v>
      </c>
      <c r="E82" s="147">
        <f>INDEX('Master Data'!$C$75:$O$299,MATCH(A82,'Master Data'!$B$75:$B$299,0),MATCH($E$1,'Master Data'!$C$74:$O$74,0))</f>
        <v>0.18</v>
      </c>
      <c r="F82" s="148">
        <f>ROUND(E82*INDEX('Master Data'!$F$4:$K$12,MATCH($E$1,'Master Data'!$E$4:$E$12,0),MATCH(C82,'Master Data'!$F$3:$K$3,0)),2)</f>
        <v>14667.64</v>
      </c>
      <c r="G82" s="147">
        <f>INDEX('Master Data'!$C$75:$O$299,MATCH(A82,'Master Data'!$B$75:$B$299,0),MATCH($G$1,'Master Data'!$C$74:$O$74,0))</f>
        <v>0.66</v>
      </c>
      <c r="H82" s="148">
        <f>ROUND(G82*INDEX('Master Data'!$F$4:$K$12,MATCH($G$1,'Master Data'!$E$4:$E$12,0),MATCH(C82,'Master Data'!$F$3:$K$3,0)),2)</f>
        <v>37216.5</v>
      </c>
      <c r="I82" s="147">
        <f>INDEX('Master Data'!$C$75:$O$299,MATCH(A82,'Master Data'!$B$75:$B$299,0),MATCH($I$1,'Master Data'!$C$74:$O$74,0))</f>
        <v>7.1</v>
      </c>
      <c r="J82" s="148">
        <f>ROUND(I82*INDEX('Master Data'!$F$4:$K$12,MATCH($I$1,'Master Data'!$E$4:$E$12,0),MATCH(C82,'Master Data'!$F$3:$K$3,0)),2)</f>
        <v>460304.71</v>
      </c>
      <c r="K82" s="147">
        <f>INDEX('Master Data'!$C$75:$O$299,MATCH(A82,'Master Data'!$B$75:$B$299,0),MATCH($K$1,'Master Data'!$C$74:$O$74,0))</f>
        <v>1.4</v>
      </c>
      <c r="L82" s="148">
        <f>ROUND(K82*INDEX('Master Data'!$F$4:$K$12,MATCH($K$1,'Master Data'!$E$4:$E$12,0),MATCH(C82,'Master Data'!$F$3:$K$3,0)),2)</f>
        <v>65579.399999999994</v>
      </c>
      <c r="M82" s="147">
        <f>INDEX('Master Data'!$C$75:$O$299,MATCH(A82,'Master Data'!$B$75:$B$299,0),MATCH($M$1,'Master Data'!$C$74:$O$74,0))</f>
        <v>1.1499999999999999</v>
      </c>
      <c r="N82" s="148">
        <f>ROUND(M82*INDEX('Master Data'!$F$4:$K$12,MATCH($M$1,'Master Data'!$E$4:$E$12,0),MATCH(C82,'Master Data'!$F$3:$K$3,0)),2)</f>
        <v>74556.399999999994</v>
      </c>
      <c r="O82" s="147">
        <f>INDEX('Master Data'!$C$75:$O$299,MATCH(A82,'Master Data'!$B$75:$B$299,0),MATCH($O$1,'Master Data'!$C$74:$O$74,0))</f>
        <v>0.23</v>
      </c>
      <c r="P82" s="148">
        <f>ROUND(O82*INDEX('Master Data'!$F$4:$K$12,MATCH($O$1,'Master Data'!$E$4:$E$12,0),MATCH(C82,'Master Data'!$F$3:$K$3,0)),2)</f>
        <v>7176</v>
      </c>
      <c r="Q82" s="147">
        <f>INDEX('Master Data'!$C$75:$O$299,MATCH(A82,'Master Data'!$B$75:$B$299,0),MATCH($Q$1,'Master Data'!$C$74:$O$74,0))</f>
        <v>0.12</v>
      </c>
      <c r="R82" s="148">
        <f>ROUND(Q82*INDEX('Master Data'!$F$4:$K$12,MATCH($Q$1,'Master Data'!$E$4:$E$12,0),MATCH(C82,'Master Data'!$F$3:$K$3,0)),2)</f>
        <v>5621.09</v>
      </c>
      <c r="S82" s="147">
        <f>INDEX('Master Data'!$C$75:$O$299,MATCH(A82,'Master Data'!$B$75:$B$299,0),MATCH($S$1,'Master Data'!$C$74:$O$74,0))</f>
        <v>0</v>
      </c>
      <c r="T82" s="148">
        <f>ROUND(S82*INDEX('Master Data'!$F$4:$K$12,MATCH($S$1,'Master Data'!$E$4:$E$12,0),MATCH(C82,'Master Data'!$F$3:$K$3,0)),2)</f>
        <v>0</v>
      </c>
      <c r="U82" s="147">
        <f>INDEX('Master Data'!$C$75:$O$299,MATCH(A82,'Master Data'!$B$75:$B$299,0),MATCH($U$1,'Master Data'!$C$74:$O$74,0))</f>
        <v>0</v>
      </c>
      <c r="V82" s="148">
        <f>ROUND(U82*INDEX('Master Data'!$F$4:$K$12,MATCH($U$1,'Master Data'!$E$4:$E$12,0),MATCH(C82,'Master Data'!$F$3:$K$3,0)),2)</f>
        <v>0</v>
      </c>
      <c r="W82" s="149">
        <f t="shared" si="9"/>
        <v>665121.74</v>
      </c>
      <c r="X82" s="148">
        <f>ROUND(W82*('Master Data'!$B$54),2)</f>
        <v>166080.9</v>
      </c>
      <c r="Y82" s="149">
        <f t="shared" si="11"/>
        <v>831202.64</v>
      </c>
      <c r="Z82" s="147">
        <f>52*INDEX('Master Data'!$C$75:$O$299,MATCH(A82,'Master Data'!$B$75:$B$299,0),MATCH($Z$1,'Master Data'!$C$74:$O$74,0))</f>
        <v>52</v>
      </c>
      <c r="AA82" s="148">
        <f>Z82*('Master Data'!$F$15)</f>
        <v>3920.8</v>
      </c>
      <c r="AB82" s="147">
        <f>52*INDEX('Master Data'!$C$75:$O$299,MATCH(A82,'Master Data'!$B$75:$B$299,0),MATCH($AB$1,'Master Data'!$C$74:$O$74,0))</f>
        <v>156</v>
      </c>
      <c r="AC82" s="148">
        <f>AB82*('Master Data'!$F$16)</f>
        <v>11281.919999999998</v>
      </c>
      <c r="AD82" s="149">
        <f t="shared" si="12"/>
        <v>15202.719999999998</v>
      </c>
      <c r="AE82" s="148">
        <f>INDEX('Master Data'!$D$58:$D$60,MATCH(D82,'Master Data'!$B$58:$B$60,0))</f>
        <v>19577.099999999999</v>
      </c>
      <c r="AF82" s="148">
        <f>INDEX('Master Data'!$E$58:$E$60,MATCH(D82,'Master Data'!$B$58:$B$60,0))</f>
        <v>992.8</v>
      </c>
      <c r="AG82" s="148">
        <f>INDEX('Master Data'!$F$58:$F$60,MATCH(D82,'Master Data'!$B$58:$B$60,0))</f>
        <v>2876.2</v>
      </c>
      <c r="AH82" s="149">
        <f t="shared" si="13"/>
        <v>869851.46</v>
      </c>
      <c r="AI82" s="148">
        <f>ROUND(AH82*('Master Data'!$C$54),2)</f>
        <v>104382.18</v>
      </c>
      <c r="AJ82" s="148">
        <f>ROUND(SUM(AH82:AI82,AK82)*('Master Data'!$E$54),2)</f>
        <v>29187.11</v>
      </c>
      <c r="AK82" s="148">
        <f>ROUND(W82*('Master Data'!$F$54),2)</f>
        <v>0</v>
      </c>
      <c r="AL82" s="149">
        <f t="shared" si="14"/>
        <v>1003420.7499999999</v>
      </c>
      <c r="AM82" s="140">
        <f t="shared" si="15"/>
        <v>2891.7</v>
      </c>
      <c r="AN82" s="121"/>
      <c r="AO82" s="121"/>
      <c r="AP82" s="121"/>
      <c r="AQ82" s="121"/>
      <c r="AR82" s="121"/>
      <c r="AS82" s="121"/>
    </row>
    <row r="83" spans="1:45">
      <c r="A83" s="121" t="s">
        <v>236</v>
      </c>
      <c r="B83" s="121" t="str">
        <f t="shared" si="8"/>
        <v>3</v>
      </c>
      <c r="C83" s="121" t="str">
        <f t="shared" si="10"/>
        <v>Medical 3</v>
      </c>
      <c r="D83" s="121" t="str">
        <f>INDEX('Master Data'!$C$75:$C$299,MATCH(A83,'Master Data'!$B$75:$B$299,0))</f>
        <v>2-3</v>
      </c>
      <c r="E83" s="147">
        <f>INDEX('Master Data'!$C$75:$O$299,MATCH(A83,'Master Data'!$B$75:$B$299,0),MATCH($E$1,'Master Data'!$C$74:$O$74,0))</f>
        <v>0.18</v>
      </c>
      <c r="F83" s="148">
        <f>ROUND(E83*INDEX('Master Data'!$F$4:$K$12,MATCH($E$1,'Master Data'!$E$4:$E$12,0),MATCH(C83,'Master Data'!$F$3:$K$3,0)),2)</f>
        <v>14667.64</v>
      </c>
      <c r="G83" s="147">
        <f>INDEX('Master Data'!$C$75:$O$299,MATCH(A83,'Master Data'!$B$75:$B$299,0),MATCH($G$1,'Master Data'!$C$74:$O$74,0))</f>
        <v>0.66</v>
      </c>
      <c r="H83" s="148">
        <f>ROUND(G83*INDEX('Master Data'!$F$4:$K$12,MATCH($G$1,'Master Data'!$E$4:$E$12,0),MATCH(C83,'Master Data'!$F$3:$K$3,0)),2)</f>
        <v>37216.5</v>
      </c>
      <c r="I83" s="147">
        <f>INDEX('Master Data'!$C$75:$O$299,MATCH(A83,'Master Data'!$B$75:$B$299,0),MATCH($I$1,'Master Data'!$C$74:$O$74,0))</f>
        <v>7.6</v>
      </c>
      <c r="J83" s="148">
        <f>ROUND(I83*INDEX('Master Data'!$F$4:$K$12,MATCH($I$1,'Master Data'!$E$4:$E$12,0),MATCH(C83,'Master Data'!$F$3:$K$3,0)),2)</f>
        <v>492720.54</v>
      </c>
      <c r="K83" s="147">
        <f>INDEX('Master Data'!$C$75:$O$299,MATCH(A83,'Master Data'!$B$75:$B$299,0),MATCH($K$1,'Master Data'!$C$74:$O$74,0))</f>
        <v>1.4</v>
      </c>
      <c r="L83" s="148">
        <f>ROUND(K83*INDEX('Master Data'!$F$4:$K$12,MATCH($K$1,'Master Data'!$E$4:$E$12,0),MATCH(C83,'Master Data'!$F$3:$K$3,0)),2)</f>
        <v>65579.399999999994</v>
      </c>
      <c r="M83" s="147">
        <f>INDEX('Master Data'!$C$75:$O$299,MATCH(A83,'Master Data'!$B$75:$B$299,0),MATCH($M$1,'Master Data'!$C$74:$O$74,0))</f>
        <v>1.23</v>
      </c>
      <c r="N83" s="148">
        <f>ROUND(M83*INDEX('Master Data'!$F$4:$K$12,MATCH($M$1,'Master Data'!$E$4:$E$12,0),MATCH(C83,'Master Data'!$F$3:$K$3,0)),2)</f>
        <v>79742.929999999993</v>
      </c>
      <c r="O83" s="147">
        <f>INDEX('Master Data'!$C$75:$O$299,MATCH(A83,'Master Data'!$B$75:$B$299,0),MATCH($O$1,'Master Data'!$C$74:$O$74,0))</f>
        <v>0.23</v>
      </c>
      <c r="P83" s="148">
        <f>ROUND(O83*INDEX('Master Data'!$F$4:$K$12,MATCH($O$1,'Master Data'!$E$4:$E$12,0),MATCH(C83,'Master Data'!$F$3:$K$3,0)),2)</f>
        <v>7176</v>
      </c>
      <c r="Q83" s="147">
        <f>INDEX('Master Data'!$C$75:$O$299,MATCH(A83,'Master Data'!$B$75:$B$299,0),MATCH($Q$1,'Master Data'!$C$74:$O$74,0))</f>
        <v>0.12</v>
      </c>
      <c r="R83" s="148">
        <f>ROUND(Q83*INDEX('Master Data'!$F$4:$K$12,MATCH($Q$1,'Master Data'!$E$4:$E$12,0),MATCH(C83,'Master Data'!$F$3:$K$3,0)),2)</f>
        <v>5621.09</v>
      </c>
      <c r="S83" s="147">
        <f>INDEX('Master Data'!$C$75:$O$299,MATCH(A83,'Master Data'!$B$75:$B$299,0),MATCH($S$1,'Master Data'!$C$74:$O$74,0))</f>
        <v>0</v>
      </c>
      <c r="T83" s="148">
        <f>ROUND(S83*INDEX('Master Data'!$F$4:$K$12,MATCH($S$1,'Master Data'!$E$4:$E$12,0),MATCH(C83,'Master Data'!$F$3:$K$3,0)),2)</f>
        <v>0</v>
      </c>
      <c r="U83" s="147">
        <f>INDEX('Master Data'!$C$75:$O$299,MATCH(A83,'Master Data'!$B$75:$B$299,0),MATCH($U$1,'Master Data'!$C$74:$O$74,0))</f>
        <v>0</v>
      </c>
      <c r="V83" s="148">
        <f>ROUND(U83*INDEX('Master Data'!$F$4:$K$12,MATCH($U$1,'Master Data'!$E$4:$E$12,0),MATCH(C83,'Master Data'!$F$3:$K$3,0)),2)</f>
        <v>0</v>
      </c>
      <c r="W83" s="149">
        <f t="shared" si="9"/>
        <v>702724.1</v>
      </c>
      <c r="X83" s="148">
        <f>ROUND(W83*('Master Data'!$B$54),2)</f>
        <v>175470.21</v>
      </c>
      <c r="Y83" s="149">
        <f t="shared" si="11"/>
        <v>878194.30999999994</v>
      </c>
      <c r="Z83" s="147">
        <f>52*INDEX('Master Data'!$C$75:$O$299,MATCH(A83,'Master Data'!$B$75:$B$299,0),MATCH($Z$1,'Master Data'!$C$74:$O$74,0))</f>
        <v>52</v>
      </c>
      <c r="AA83" s="148">
        <f>Z83*('Master Data'!$F$15)</f>
        <v>3920.8</v>
      </c>
      <c r="AB83" s="147">
        <f>52*INDEX('Master Data'!$C$75:$O$299,MATCH(A83,'Master Data'!$B$75:$B$299,0),MATCH($AB$1,'Master Data'!$C$74:$O$74,0))</f>
        <v>156</v>
      </c>
      <c r="AC83" s="148">
        <f>AB83*('Master Data'!$F$16)</f>
        <v>11281.919999999998</v>
      </c>
      <c r="AD83" s="149">
        <f t="shared" si="12"/>
        <v>15202.719999999998</v>
      </c>
      <c r="AE83" s="148">
        <f>INDEX('Master Data'!$D$58:$D$60,MATCH(D83,'Master Data'!$B$58:$B$60,0))</f>
        <v>19577.099999999999</v>
      </c>
      <c r="AF83" s="148">
        <f>INDEX('Master Data'!$E$58:$E$60,MATCH(D83,'Master Data'!$B$58:$B$60,0))</f>
        <v>992.8</v>
      </c>
      <c r="AG83" s="148">
        <f>INDEX('Master Data'!$F$58:$F$60,MATCH(D83,'Master Data'!$B$58:$B$60,0))</f>
        <v>2876.2</v>
      </c>
      <c r="AH83" s="149">
        <f t="shared" si="13"/>
        <v>916843.12999999989</v>
      </c>
      <c r="AI83" s="148">
        <f>ROUND(AH83*('Master Data'!$C$54),2)</f>
        <v>110021.18</v>
      </c>
      <c r="AJ83" s="148">
        <f>ROUND(SUM(AH83:AI83,AK83)*('Master Data'!$E$54),2)</f>
        <v>30763.87</v>
      </c>
      <c r="AK83" s="148">
        <f>ROUND(W83*('Master Data'!$F$54),2)</f>
        <v>0</v>
      </c>
      <c r="AL83" s="149">
        <f t="shared" si="14"/>
        <v>1057628.18</v>
      </c>
      <c r="AM83" s="140">
        <f t="shared" si="15"/>
        <v>3047.92</v>
      </c>
      <c r="AN83" s="121"/>
      <c r="AO83" s="121"/>
      <c r="AP83" s="121"/>
      <c r="AQ83" s="121"/>
      <c r="AR83" s="121"/>
      <c r="AS83" s="121"/>
    </row>
    <row r="84" spans="1:45">
      <c r="A84" s="121" t="s">
        <v>237</v>
      </c>
      <c r="B84" s="121" t="str">
        <f t="shared" si="8"/>
        <v>3</v>
      </c>
      <c r="C84" s="121" t="str">
        <f t="shared" si="10"/>
        <v>Medical 3</v>
      </c>
      <c r="D84" s="121" t="str">
        <f>INDEX('Master Data'!$C$75:$C$299,MATCH(A84,'Master Data'!$B$75:$B$299,0))</f>
        <v>2-3</v>
      </c>
      <c r="E84" s="147">
        <f>INDEX('Master Data'!$C$75:$O$299,MATCH(A84,'Master Data'!$B$75:$B$299,0),MATCH($E$1,'Master Data'!$C$74:$O$74,0))</f>
        <v>0.18</v>
      </c>
      <c r="F84" s="148">
        <f>ROUND(E84*INDEX('Master Data'!$F$4:$K$12,MATCH($E$1,'Master Data'!$E$4:$E$12,0),MATCH(C84,'Master Data'!$F$3:$K$3,0)),2)</f>
        <v>14667.64</v>
      </c>
      <c r="G84" s="147">
        <f>INDEX('Master Data'!$C$75:$O$299,MATCH(A84,'Master Data'!$B$75:$B$299,0),MATCH($G$1,'Master Data'!$C$74:$O$74,0))</f>
        <v>0.66</v>
      </c>
      <c r="H84" s="148">
        <f>ROUND(G84*INDEX('Master Data'!$F$4:$K$12,MATCH($G$1,'Master Data'!$E$4:$E$12,0),MATCH(C84,'Master Data'!$F$3:$K$3,0)),2)</f>
        <v>37216.5</v>
      </c>
      <c r="I84" s="147">
        <f>INDEX('Master Data'!$C$75:$O$299,MATCH(A84,'Master Data'!$B$75:$B$299,0),MATCH($I$1,'Master Data'!$C$74:$O$74,0))</f>
        <v>8.1</v>
      </c>
      <c r="J84" s="148">
        <f>ROUND(I84*INDEX('Master Data'!$F$4:$K$12,MATCH($I$1,'Master Data'!$E$4:$E$12,0),MATCH(C84,'Master Data'!$F$3:$K$3,0)),2)</f>
        <v>525136.36</v>
      </c>
      <c r="K84" s="147">
        <f>INDEX('Master Data'!$C$75:$O$299,MATCH(A84,'Master Data'!$B$75:$B$299,0),MATCH($K$1,'Master Data'!$C$74:$O$74,0))</f>
        <v>1.4</v>
      </c>
      <c r="L84" s="148">
        <f>ROUND(K84*INDEX('Master Data'!$F$4:$K$12,MATCH($K$1,'Master Data'!$E$4:$E$12,0),MATCH(C84,'Master Data'!$F$3:$K$3,0)),2)</f>
        <v>65579.399999999994</v>
      </c>
      <c r="M84" s="147">
        <f>INDEX('Master Data'!$C$75:$O$299,MATCH(A84,'Master Data'!$B$75:$B$299,0),MATCH($M$1,'Master Data'!$C$74:$O$74,0))</f>
        <v>1.31</v>
      </c>
      <c r="N84" s="148">
        <f>ROUND(M84*INDEX('Master Data'!$F$4:$K$12,MATCH($M$1,'Master Data'!$E$4:$E$12,0),MATCH(C84,'Master Data'!$F$3:$K$3,0)),2)</f>
        <v>84929.46</v>
      </c>
      <c r="O84" s="147">
        <f>INDEX('Master Data'!$C$75:$O$299,MATCH(A84,'Master Data'!$B$75:$B$299,0),MATCH($O$1,'Master Data'!$C$74:$O$74,0))</f>
        <v>0.23</v>
      </c>
      <c r="P84" s="148">
        <f>ROUND(O84*INDEX('Master Data'!$F$4:$K$12,MATCH($O$1,'Master Data'!$E$4:$E$12,0),MATCH(C84,'Master Data'!$F$3:$K$3,0)),2)</f>
        <v>7176</v>
      </c>
      <c r="Q84" s="147">
        <f>INDEX('Master Data'!$C$75:$O$299,MATCH(A84,'Master Data'!$B$75:$B$299,0),MATCH($Q$1,'Master Data'!$C$74:$O$74,0))</f>
        <v>0.12</v>
      </c>
      <c r="R84" s="148">
        <f>ROUND(Q84*INDEX('Master Data'!$F$4:$K$12,MATCH($Q$1,'Master Data'!$E$4:$E$12,0),MATCH(C84,'Master Data'!$F$3:$K$3,0)),2)</f>
        <v>5621.09</v>
      </c>
      <c r="S84" s="147">
        <f>INDEX('Master Data'!$C$75:$O$299,MATCH(A84,'Master Data'!$B$75:$B$299,0),MATCH($S$1,'Master Data'!$C$74:$O$74,0))</f>
        <v>0</v>
      </c>
      <c r="T84" s="148">
        <f>ROUND(S84*INDEX('Master Data'!$F$4:$K$12,MATCH($S$1,'Master Data'!$E$4:$E$12,0),MATCH(C84,'Master Data'!$F$3:$K$3,0)),2)</f>
        <v>0</v>
      </c>
      <c r="U84" s="147">
        <f>INDEX('Master Data'!$C$75:$O$299,MATCH(A84,'Master Data'!$B$75:$B$299,0),MATCH($U$1,'Master Data'!$C$74:$O$74,0))</f>
        <v>0</v>
      </c>
      <c r="V84" s="148">
        <f>ROUND(U84*INDEX('Master Data'!$F$4:$K$12,MATCH($U$1,'Master Data'!$E$4:$E$12,0),MATCH(C84,'Master Data'!$F$3:$K$3,0)),2)</f>
        <v>0</v>
      </c>
      <c r="W84" s="149">
        <f t="shared" si="9"/>
        <v>740326.45</v>
      </c>
      <c r="X84" s="148">
        <f>ROUND(W84*('Master Data'!$B$54),2)</f>
        <v>184859.51</v>
      </c>
      <c r="Y84" s="149">
        <f t="shared" si="11"/>
        <v>925185.96</v>
      </c>
      <c r="Z84" s="147">
        <f>52*INDEX('Master Data'!$C$75:$O$299,MATCH(A84,'Master Data'!$B$75:$B$299,0),MATCH($Z$1,'Master Data'!$C$74:$O$74,0))</f>
        <v>52</v>
      </c>
      <c r="AA84" s="148">
        <f>Z84*('Master Data'!$F$15)</f>
        <v>3920.8</v>
      </c>
      <c r="AB84" s="147">
        <f>52*INDEX('Master Data'!$C$75:$O$299,MATCH(A84,'Master Data'!$B$75:$B$299,0),MATCH($AB$1,'Master Data'!$C$74:$O$74,0))</f>
        <v>156</v>
      </c>
      <c r="AC84" s="148">
        <f>AB84*('Master Data'!$F$16)</f>
        <v>11281.919999999998</v>
      </c>
      <c r="AD84" s="149">
        <f t="shared" si="12"/>
        <v>15202.719999999998</v>
      </c>
      <c r="AE84" s="148">
        <f>INDEX('Master Data'!$D$58:$D$60,MATCH(D84,'Master Data'!$B$58:$B$60,0))</f>
        <v>19577.099999999999</v>
      </c>
      <c r="AF84" s="148">
        <f>INDEX('Master Data'!$E$58:$E$60,MATCH(D84,'Master Data'!$B$58:$B$60,0))</f>
        <v>992.8</v>
      </c>
      <c r="AG84" s="148">
        <f>INDEX('Master Data'!$F$58:$F$60,MATCH(D84,'Master Data'!$B$58:$B$60,0))</f>
        <v>2876.2</v>
      </c>
      <c r="AH84" s="149">
        <f t="shared" si="13"/>
        <v>963834.77999999991</v>
      </c>
      <c r="AI84" s="148">
        <f>ROUND(AH84*('Master Data'!$C$54),2)</f>
        <v>115660.17</v>
      </c>
      <c r="AJ84" s="148">
        <f>ROUND(SUM(AH84:AI84,AK84)*('Master Data'!$E$54),2)</f>
        <v>32340.63</v>
      </c>
      <c r="AK84" s="148">
        <f>ROUND(W84*('Master Data'!$F$54),2)</f>
        <v>0</v>
      </c>
      <c r="AL84" s="149">
        <f t="shared" si="14"/>
        <v>1111835.5799999998</v>
      </c>
      <c r="AM84" s="140">
        <f t="shared" si="15"/>
        <v>3204.14</v>
      </c>
      <c r="AN84" s="121"/>
      <c r="AO84" s="121"/>
      <c r="AP84" s="121"/>
      <c r="AQ84" s="121"/>
      <c r="AR84" s="121"/>
      <c r="AS84" s="121"/>
    </row>
    <row r="85" spans="1:45">
      <c r="A85" s="121" t="s">
        <v>238</v>
      </c>
      <c r="B85" s="121" t="str">
        <f t="shared" si="8"/>
        <v>3</v>
      </c>
      <c r="C85" s="121" t="str">
        <f t="shared" si="10"/>
        <v>Medical 3</v>
      </c>
      <c r="D85" s="121" t="str">
        <f>INDEX('Master Data'!$C$75:$C$299,MATCH(A85,'Master Data'!$B$75:$B$299,0))</f>
        <v>2-3</v>
      </c>
      <c r="E85" s="147">
        <f>INDEX('Master Data'!$C$75:$O$299,MATCH(A85,'Master Data'!$B$75:$B$299,0),MATCH($E$1,'Master Data'!$C$74:$O$74,0))</f>
        <v>0.18</v>
      </c>
      <c r="F85" s="148">
        <f>ROUND(E85*INDEX('Master Data'!$F$4:$K$12,MATCH($E$1,'Master Data'!$E$4:$E$12,0),MATCH(C85,'Master Data'!$F$3:$K$3,0)),2)</f>
        <v>14667.64</v>
      </c>
      <c r="G85" s="147">
        <f>INDEX('Master Data'!$C$75:$O$299,MATCH(A85,'Master Data'!$B$75:$B$299,0),MATCH($G$1,'Master Data'!$C$74:$O$74,0))</f>
        <v>0.66</v>
      </c>
      <c r="H85" s="148">
        <f>ROUND(G85*INDEX('Master Data'!$F$4:$K$12,MATCH($G$1,'Master Data'!$E$4:$E$12,0),MATCH(C85,'Master Data'!$F$3:$K$3,0)),2)</f>
        <v>37216.5</v>
      </c>
      <c r="I85" s="147">
        <f>INDEX('Master Data'!$C$75:$O$299,MATCH(A85,'Master Data'!$B$75:$B$299,0),MATCH($I$1,'Master Data'!$C$74:$O$74,0))</f>
        <v>8.6</v>
      </c>
      <c r="J85" s="148">
        <f>ROUND(I85*INDEX('Master Data'!$F$4:$K$12,MATCH($I$1,'Master Data'!$E$4:$E$12,0),MATCH(C85,'Master Data'!$F$3:$K$3,0)),2)</f>
        <v>557552.18999999994</v>
      </c>
      <c r="K85" s="147">
        <f>INDEX('Master Data'!$C$75:$O$299,MATCH(A85,'Master Data'!$B$75:$B$299,0),MATCH($K$1,'Master Data'!$C$74:$O$74,0))</f>
        <v>1.4</v>
      </c>
      <c r="L85" s="148">
        <f>ROUND(K85*INDEX('Master Data'!$F$4:$K$12,MATCH($K$1,'Master Data'!$E$4:$E$12,0),MATCH(C85,'Master Data'!$F$3:$K$3,0)),2)</f>
        <v>65579.399999999994</v>
      </c>
      <c r="M85" s="147">
        <f>INDEX('Master Data'!$C$75:$O$299,MATCH(A85,'Master Data'!$B$75:$B$299,0),MATCH($M$1,'Master Data'!$C$74:$O$74,0))</f>
        <v>1.39</v>
      </c>
      <c r="N85" s="148">
        <f>ROUND(M85*INDEX('Master Data'!$F$4:$K$12,MATCH($M$1,'Master Data'!$E$4:$E$12,0),MATCH(C85,'Master Data'!$F$3:$K$3,0)),2)</f>
        <v>90115.99</v>
      </c>
      <c r="O85" s="147">
        <f>INDEX('Master Data'!$C$75:$O$299,MATCH(A85,'Master Data'!$B$75:$B$299,0),MATCH($O$1,'Master Data'!$C$74:$O$74,0))</f>
        <v>0.23</v>
      </c>
      <c r="P85" s="148">
        <f>ROUND(O85*INDEX('Master Data'!$F$4:$K$12,MATCH($O$1,'Master Data'!$E$4:$E$12,0),MATCH(C85,'Master Data'!$F$3:$K$3,0)),2)</f>
        <v>7176</v>
      </c>
      <c r="Q85" s="147">
        <f>INDEX('Master Data'!$C$75:$O$299,MATCH(A85,'Master Data'!$B$75:$B$299,0),MATCH($Q$1,'Master Data'!$C$74:$O$74,0))</f>
        <v>0.12</v>
      </c>
      <c r="R85" s="148">
        <f>ROUND(Q85*INDEX('Master Data'!$F$4:$K$12,MATCH($Q$1,'Master Data'!$E$4:$E$12,0),MATCH(C85,'Master Data'!$F$3:$K$3,0)),2)</f>
        <v>5621.09</v>
      </c>
      <c r="S85" s="147">
        <f>INDEX('Master Data'!$C$75:$O$299,MATCH(A85,'Master Data'!$B$75:$B$299,0),MATCH($S$1,'Master Data'!$C$74:$O$74,0))</f>
        <v>0</v>
      </c>
      <c r="T85" s="148">
        <f>ROUND(S85*INDEX('Master Data'!$F$4:$K$12,MATCH($S$1,'Master Data'!$E$4:$E$12,0),MATCH(C85,'Master Data'!$F$3:$K$3,0)),2)</f>
        <v>0</v>
      </c>
      <c r="U85" s="147">
        <f>INDEX('Master Data'!$C$75:$O$299,MATCH(A85,'Master Data'!$B$75:$B$299,0),MATCH($U$1,'Master Data'!$C$74:$O$74,0))</f>
        <v>0</v>
      </c>
      <c r="V85" s="148">
        <f>ROUND(U85*INDEX('Master Data'!$F$4:$K$12,MATCH($U$1,'Master Data'!$E$4:$E$12,0),MATCH(C85,'Master Data'!$F$3:$K$3,0)),2)</f>
        <v>0</v>
      </c>
      <c r="W85" s="149">
        <f t="shared" si="9"/>
        <v>777928.80999999994</v>
      </c>
      <c r="X85" s="148">
        <f>ROUND(W85*('Master Data'!$B$54),2)</f>
        <v>194248.82</v>
      </c>
      <c r="Y85" s="149">
        <f t="shared" si="11"/>
        <v>972177.62999999989</v>
      </c>
      <c r="Z85" s="147">
        <f>52*INDEX('Master Data'!$C$75:$O$299,MATCH(A85,'Master Data'!$B$75:$B$299,0),MATCH($Z$1,'Master Data'!$C$74:$O$74,0))</f>
        <v>52</v>
      </c>
      <c r="AA85" s="148">
        <f>Z85*('Master Data'!$F$15)</f>
        <v>3920.8</v>
      </c>
      <c r="AB85" s="147">
        <f>52*INDEX('Master Data'!$C$75:$O$299,MATCH(A85,'Master Data'!$B$75:$B$299,0),MATCH($AB$1,'Master Data'!$C$74:$O$74,0))</f>
        <v>156</v>
      </c>
      <c r="AC85" s="148">
        <f>AB85*('Master Data'!$F$16)</f>
        <v>11281.919999999998</v>
      </c>
      <c r="AD85" s="149">
        <f t="shared" si="12"/>
        <v>15202.719999999998</v>
      </c>
      <c r="AE85" s="148">
        <f>INDEX('Master Data'!$D$58:$D$60,MATCH(D85,'Master Data'!$B$58:$B$60,0))</f>
        <v>19577.099999999999</v>
      </c>
      <c r="AF85" s="148">
        <f>INDEX('Master Data'!$E$58:$E$60,MATCH(D85,'Master Data'!$B$58:$B$60,0))</f>
        <v>992.8</v>
      </c>
      <c r="AG85" s="148">
        <f>INDEX('Master Data'!$F$58:$F$60,MATCH(D85,'Master Data'!$B$58:$B$60,0))</f>
        <v>2876.2</v>
      </c>
      <c r="AH85" s="149">
        <f t="shared" si="13"/>
        <v>1010826.4499999998</v>
      </c>
      <c r="AI85" s="148">
        <f>ROUND(AH85*('Master Data'!$C$54),2)</f>
        <v>121299.17</v>
      </c>
      <c r="AJ85" s="148">
        <f>ROUND(SUM(AH85:AI85,AK85)*('Master Data'!$E$54),2)</f>
        <v>33917.4</v>
      </c>
      <c r="AK85" s="148">
        <f>ROUND(W85*('Master Data'!$F$54),2)</f>
        <v>0</v>
      </c>
      <c r="AL85" s="149">
        <f t="shared" si="14"/>
        <v>1166043.0199999998</v>
      </c>
      <c r="AM85" s="140">
        <f t="shared" si="15"/>
        <v>3360.35</v>
      </c>
      <c r="AN85" s="121"/>
      <c r="AO85" s="121"/>
      <c r="AP85" s="121"/>
      <c r="AQ85" s="121"/>
      <c r="AR85" s="121"/>
      <c r="AS85" s="121"/>
    </row>
    <row r="86" spans="1:45">
      <c r="A86" s="121" t="s">
        <v>239</v>
      </c>
      <c r="B86" s="121" t="str">
        <f t="shared" si="8"/>
        <v>3</v>
      </c>
      <c r="C86" s="121" t="str">
        <f t="shared" si="10"/>
        <v>Medical 3</v>
      </c>
      <c r="D86" s="121" t="str">
        <f>INDEX('Master Data'!$C$75:$C$299,MATCH(A86,'Master Data'!$B$75:$B$299,0))</f>
        <v>2-3</v>
      </c>
      <c r="E86" s="147">
        <f>INDEX('Master Data'!$C$75:$O$299,MATCH(A86,'Master Data'!$B$75:$B$299,0),MATCH($E$1,'Master Data'!$C$74:$O$74,0))</f>
        <v>0.18</v>
      </c>
      <c r="F86" s="148">
        <f>ROUND(E86*INDEX('Master Data'!$F$4:$K$12,MATCH($E$1,'Master Data'!$E$4:$E$12,0),MATCH(C86,'Master Data'!$F$3:$K$3,0)),2)</f>
        <v>14667.64</v>
      </c>
      <c r="G86" s="147">
        <f>INDEX('Master Data'!$C$75:$O$299,MATCH(A86,'Master Data'!$B$75:$B$299,0),MATCH($G$1,'Master Data'!$C$74:$O$74,0))</f>
        <v>0.66</v>
      </c>
      <c r="H86" s="148">
        <f>ROUND(G86*INDEX('Master Data'!$F$4:$K$12,MATCH($G$1,'Master Data'!$E$4:$E$12,0),MATCH(C86,'Master Data'!$F$3:$K$3,0)),2)</f>
        <v>37216.5</v>
      </c>
      <c r="I86" s="147">
        <f>INDEX('Master Data'!$C$75:$O$299,MATCH(A86,'Master Data'!$B$75:$B$299,0),MATCH($I$1,'Master Data'!$C$74:$O$74,0))</f>
        <v>9.1</v>
      </c>
      <c r="J86" s="148">
        <f>ROUND(I86*INDEX('Master Data'!$F$4:$K$12,MATCH($I$1,'Master Data'!$E$4:$E$12,0),MATCH(C86,'Master Data'!$F$3:$K$3,0)),2)</f>
        <v>589968.01</v>
      </c>
      <c r="K86" s="147">
        <f>INDEX('Master Data'!$C$75:$O$299,MATCH(A86,'Master Data'!$B$75:$B$299,0),MATCH($K$1,'Master Data'!$C$74:$O$74,0))</f>
        <v>1.4</v>
      </c>
      <c r="L86" s="148">
        <f>ROUND(K86*INDEX('Master Data'!$F$4:$K$12,MATCH($K$1,'Master Data'!$E$4:$E$12,0),MATCH(C86,'Master Data'!$F$3:$K$3,0)),2)</f>
        <v>65579.399999999994</v>
      </c>
      <c r="M86" s="147">
        <f>INDEX('Master Data'!$C$75:$O$299,MATCH(A86,'Master Data'!$B$75:$B$299,0),MATCH($M$1,'Master Data'!$C$74:$O$74,0))</f>
        <v>1.47</v>
      </c>
      <c r="N86" s="148">
        <f>ROUND(M86*INDEX('Master Data'!$F$4:$K$12,MATCH($M$1,'Master Data'!$E$4:$E$12,0),MATCH(C86,'Master Data'!$F$3:$K$3,0)),2)</f>
        <v>95302.53</v>
      </c>
      <c r="O86" s="147">
        <f>INDEX('Master Data'!$C$75:$O$299,MATCH(A86,'Master Data'!$B$75:$B$299,0),MATCH($O$1,'Master Data'!$C$74:$O$74,0))</f>
        <v>0.23</v>
      </c>
      <c r="P86" s="148">
        <f>ROUND(O86*INDEX('Master Data'!$F$4:$K$12,MATCH($O$1,'Master Data'!$E$4:$E$12,0),MATCH(C86,'Master Data'!$F$3:$K$3,0)),2)</f>
        <v>7176</v>
      </c>
      <c r="Q86" s="147">
        <f>INDEX('Master Data'!$C$75:$O$299,MATCH(A86,'Master Data'!$B$75:$B$299,0),MATCH($Q$1,'Master Data'!$C$74:$O$74,0))</f>
        <v>0.12</v>
      </c>
      <c r="R86" s="148">
        <f>ROUND(Q86*INDEX('Master Data'!$F$4:$K$12,MATCH($Q$1,'Master Data'!$E$4:$E$12,0),MATCH(C86,'Master Data'!$F$3:$K$3,0)),2)</f>
        <v>5621.09</v>
      </c>
      <c r="S86" s="147">
        <f>INDEX('Master Data'!$C$75:$O$299,MATCH(A86,'Master Data'!$B$75:$B$299,0),MATCH($S$1,'Master Data'!$C$74:$O$74,0))</f>
        <v>0</v>
      </c>
      <c r="T86" s="148">
        <f>ROUND(S86*INDEX('Master Data'!$F$4:$K$12,MATCH($S$1,'Master Data'!$E$4:$E$12,0),MATCH(C86,'Master Data'!$F$3:$K$3,0)),2)</f>
        <v>0</v>
      </c>
      <c r="U86" s="147">
        <f>INDEX('Master Data'!$C$75:$O$299,MATCH(A86,'Master Data'!$B$75:$B$299,0),MATCH($U$1,'Master Data'!$C$74:$O$74,0))</f>
        <v>0</v>
      </c>
      <c r="V86" s="148">
        <f>ROUND(U86*INDEX('Master Data'!$F$4:$K$12,MATCH($U$1,'Master Data'!$E$4:$E$12,0),MATCH(C86,'Master Data'!$F$3:$K$3,0)),2)</f>
        <v>0</v>
      </c>
      <c r="W86" s="149">
        <f t="shared" si="9"/>
        <v>815531.17</v>
      </c>
      <c r="X86" s="148">
        <f>ROUND(W86*('Master Data'!$B$54),2)</f>
        <v>203638.13</v>
      </c>
      <c r="Y86" s="149">
        <f t="shared" si="11"/>
        <v>1019169.3</v>
      </c>
      <c r="Z86" s="147">
        <f>52*INDEX('Master Data'!$C$75:$O$299,MATCH(A86,'Master Data'!$B$75:$B$299,0),MATCH($Z$1,'Master Data'!$C$74:$O$74,0))</f>
        <v>52</v>
      </c>
      <c r="AA86" s="148">
        <f>Z86*('Master Data'!$F$15)</f>
        <v>3920.8</v>
      </c>
      <c r="AB86" s="147">
        <f>52*INDEX('Master Data'!$C$75:$O$299,MATCH(A86,'Master Data'!$B$75:$B$299,0),MATCH($AB$1,'Master Data'!$C$74:$O$74,0))</f>
        <v>156</v>
      </c>
      <c r="AC86" s="148">
        <f>AB86*('Master Data'!$F$16)</f>
        <v>11281.919999999998</v>
      </c>
      <c r="AD86" s="149">
        <f t="shared" si="12"/>
        <v>15202.719999999998</v>
      </c>
      <c r="AE86" s="148">
        <f>INDEX('Master Data'!$D$58:$D$60,MATCH(D86,'Master Data'!$B$58:$B$60,0))</f>
        <v>19577.099999999999</v>
      </c>
      <c r="AF86" s="148">
        <f>INDEX('Master Data'!$E$58:$E$60,MATCH(D86,'Master Data'!$B$58:$B$60,0))</f>
        <v>992.8</v>
      </c>
      <c r="AG86" s="148">
        <f>INDEX('Master Data'!$F$58:$F$60,MATCH(D86,'Master Data'!$B$58:$B$60,0))</f>
        <v>2876.2</v>
      </c>
      <c r="AH86" s="149">
        <f t="shared" si="13"/>
        <v>1057818.1200000001</v>
      </c>
      <c r="AI86" s="148">
        <f>ROUND(AH86*('Master Data'!$C$54),2)</f>
        <v>126938.17</v>
      </c>
      <c r="AJ86" s="148">
        <f>ROUND(SUM(AH86:AI86,AK86)*('Master Data'!$E$54),2)</f>
        <v>35494.160000000003</v>
      </c>
      <c r="AK86" s="148">
        <f>ROUND(W86*('Master Data'!$F$54),2)</f>
        <v>0</v>
      </c>
      <c r="AL86" s="149">
        <f t="shared" si="14"/>
        <v>1220250.45</v>
      </c>
      <c r="AM86" s="140">
        <f t="shared" si="15"/>
        <v>3516.57</v>
      </c>
      <c r="AN86" s="121"/>
      <c r="AO86" s="121"/>
      <c r="AP86" s="121"/>
      <c r="AQ86" s="121"/>
      <c r="AR86" s="121"/>
      <c r="AS86" s="121"/>
    </row>
    <row r="87" spans="1:45">
      <c r="A87" s="121" t="s">
        <v>240</v>
      </c>
      <c r="B87" s="121" t="str">
        <f t="shared" si="8"/>
        <v>3</v>
      </c>
      <c r="C87" s="121" t="str">
        <f t="shared" si="10"/>
        <v>Medical 3</v>
      </c>
      <c r="D87" s="121" t="str">
        <f>INDEX('Master Data'!$C$75:$C$299,MATCH(A87,'Master Data'!$B$75:$B$299,0))</f>
        <v>2-3</v>
      </c>
      <c r="E87" s="147">
        <f>INDEX('Master Data'!$C$75:$O$299,MATCH(A87,'Master Data'!$B$75:$B$299,0),MATCH($E$1,'Master Data'!$C$74:$O$74,0))</f>
        <v>0.18</v>
      </c>
      <c r="F87" s="148">
        <f>ROUND(E87*INDEX('Master Data'!$F$4:$K$12,MATCH($E$1,'Master Data'!$E$4:$E$12,0),MATCH(C87,'Master Data'!$F$3:$K$3,0)),2)</f>
        <v>14667.64</v>
      </c>
      <c r="G87" s="147">
        <f>INDEX('Master Data'!$C$75:$O$299,MATCH(A87,'Master Data'!$B$75:$B$299,0),MATCH($G$1,'Master Data'!$C$74:$O$74,0))</f>
        <v>0.66</v>
      </c>
      <c r="H87" s="148">
        <f>ROUND(G87*INDEX('Master Data'!$F$4:$K$12,MATCH($G$1,'Master Data'!$E$4:$E$12,0),MATCH(C87,'Master Data'!$F$3:$K$3,0)),2)</f>
        <v>37216.5</v>
      </c>
      <c r="I87" s="147">
        <f>INDEX('Master Data'!$C$75:$O$299,MATCH(A87,'Master Data'!$B$75:$B$299,0),MATCH($I$1,'Master Data'!$C$74:$O$74,0))</f>
        <v>9.6</v>
      </c>
      <c r="J87" s="148">
        <f>ROUND(I87*INDEX('Master Data'!$F$4:$K$12,MATCH($I$1,'Master Data'!$E$4:$E$12,0),MATCH(C87,'Master Data'!$F$3:$K$3,0)),2)</f>
        <v>622383.84</v>
      </c>
      <c r="K87" s="147">
        <f>INDEX('Master Data'!$C$75:$O$299,MATCH(A87,'Master Data'!$B$75:$B$299,0),MATCH($K$1,'Master Data'!$C$74:$O$74,0))</f>
        <v>1.4</v>
      </c>
      <c r="L87" s="148">
        <f>ROUND(K87*INDEX('Master Data'!$F$4:$K$12,MATCH($K$1,'Master Data'!$E$4:$E$12,0),MATCH(C87,'Master Data'!$F$3:$K$3,0)),2)</f>
        <v>65579.399999999994</v>
      </c>
      <c r="M87" s="147">
        <f>INDEX('Master Data'!$C$75:$O$299,MATCH(A87,'Master Data'!$B$75:$B$299,0),MATCH($M$1,'Master Data'!$C$74:$O$74,0))</f>
        <v>1.56</v>
      </c>
      <c r="N87" s="148">
        <f>ROUND(M87*INDEX('Master Data'!$F$4:$K$12,MATCH($M$1,'Master Data'!$E$4:$E$12,0),MATCH(C87,'Master Data'!$F$3:$K$3,0)),2)</f>
        <v>101137.37</v>
      </c>
      <c r="O87" s="147">
        <f>INDEX('Master Data'!$C$75:$O$299,MATCH(A87,'Master Data'!$B$75:$B$299,0),MATCH($O$1,'Master Data'!$C$74:$O$74,0))</f>
        <v>0.23</v>
      </c>
      <c r="P87" s="148">
        <f>ROUND(O87*INDEX('Master Data'!$F$4:$K$12,MATCH($O$1,'Master Data'!$E$4:$E$12,0),MATCH(C87,'Master Data'!$F$3:$K$3,0)),2)</f>
        <v>7176</v>
      </c>
      <c r="Q87" s="147">
        <f>INDEX('Master Data'!$C$75:$O$299,MATCH(A87,'Master Data'!$B$75:$B$299,0),MATCH($Q$1,'Master Data'!$C$74:$O$74,0))</f>
        <v>0.12</v>
      </c>
      <c r="R87" s="148">
        <f>ROUND(Q87*INDEX('Master Data'!$F$4:$K$12,MATCH($Q$1,'Master Data'!$E$4:$E$12,0),MATCH(C87,'Master Data'!$F$3:$K$3,0)),2)</f>
        <v>5621.09</v>
      </c>
      <c r="S87" s="147">
        <f>INDEX('Master Data'!$C$75:$O$299,MATCH(A87,'Master Data'!$B$75:$B$299,0),MATCH($S$1,'Master Data'!$C$74:$O$74,0))</f>
        <v>0</v>
      </c>
      <c r="T87" s="148">
        <f>ROUND(S87*INDEX('Master Data'!$F$4:$K$12,MATCH($S$1,'Master Data'!$E$4:$E$12,0),MATCH(C87,'Master Data'!$F$3:$K$3,0)),2)</f>
        <v>0</v>
      </c>
      <c r="U87" s="147">
        <f>INDEX('Master Data'!$C$75:$O$299,MATCH(A87,'Master Data'!$B$75:$B$299,0),MATCH($U$1,'Master Data'!$C$74:$O$74,0))</f>
        <v>0</v>
      </c>
      <c r="V87" s="148">
        <f>ROUND(U87*INDEX('Master Data'!$F$4:$K$12,MATCH($U$1,'Master Data'!$E$4:$E$12,0),MATCH(C87,'Master Data'!$F$3:$K$3,0)),2)</f>
        <v>0</v>
      </c>
      <c r="W87" s="149">
        <f t="shared" si="9"/>
        <v>853781.84</v>
      </c>
      <c r="X87" s="148">
        <f>ROUND(W87*('Master Data'!$B$54),2)</f>
        <v>213189.33</v>
      </c>
      <c r="Y87" s="149">
        <f t="shared" si="11"/>
        <v>1066971.17</v>
      </c>
      <c r="Z87" s="147">
        <f>52*INDEX('Master Data'!$C$75:$O$299,MATCH(A87,'Master Data'!$B$75:$B$299,0),MATCH($Z$1,'Master Data'!$C$74:$O$74,0))</f>
        <v>52</v>
      </c>
      <c r="AA87" s="148">
        <f>Z87*('Master Data'!$F$15)</f>
        <v>3920.8</v>
      </c>
      <c r="AB87" s="147">
        <f>52*INDEX('Master Data'!$C$75:$O$299,MATCH(A87,'Master Data'!$B$75:$B$299,0),MATCH($AB$1,'Master Data'!$C$74:$O$74,0))</f>
        <v>156</v>
      </c>
      <c r="AC87" s="148">
        <f>AB87*('Master Data'!$F$16)</f>
        <v>11281.919999999998</v>
      </c>
      <c r="AD87" s="149">
        <f t="shared" si="12"/>
        <v>15202.719999999998</v>
      </c>
      <c r="AE87" s="148">
        <f>INDEX('Master Data'!$D$58:$D$60,MATCH(D87,'Master Data'!$B$58:$B$60,0))</f>
        <v>19577.099999999999</v>
      </c>
      <c r="AF87" s="148">
        <f>INDEX('Master Data'!$E$58:$E$60,MATCH(D87,'Master Data'!$B$58:$B$60,0))</f>
        <v>992.8</v>
      </c>
      <c r="AG87" s="148">
        <f>INDEX('Master Data'!$F$58:$F$60,MATCH(D87,'Master Data'!$B$58:$B$60,0))</f>
        <v>2876.2</v>
      </c>
      <c r="AH87" s="149">
        <f>SUM(Y87,AD87:AG87)</f>
        <v>1105619.99</v>
      </c>
      <c r="AI87" s="148">
        <f>ROUND(AH87*('Master Data'!$C$54),2)</f>
        <v>132674.4</v>
      </c>
      <c r="AJ87" s="148">
        <f>ROUND(SUM(AH87:AI87,AK87)*('Master Data'!$E$54),2)</f>
        <v>37098.11</v>
      </c>
      <c r="AK87" s="148">
        <f>ROUND(W87*('Master Data'!$F$54),2)</f>
        <v>0</v>
      </c>
      <c r="AL87" s="149">
        <f>SUM(AH87:AK87)</f>
        <v>1275392.5</v>
      </c>
      <c r="AM87" s="140">
        <f t="shared" si="15"/>
        <v>3675.48</v>
      </c>
      <c r="AN87" s="121"/>
      <c r="AO87" s="121"/>
      <c r="AP87" s="121"/>
      <c r="AQ87" s="121"/>
      <c r="AR87" s="121"/>
      <c r="AS87" s="121"/>
    </row>
    <row r="88" spans="1:45">
      <c r="A88" s="232" t="s">
        <v>428</v>
      </c>
      <c r="B88" s="121" t="str">
        <f t="shared" si="8"/>
        <v xml:space="preserve"> </v>
      </c>
      <c r="C88" s="121" t="str">
        <f t="shared" si="10"/>
        <v xml:space="preserve">Specialty  </v>
      </c>
      <c r="D88" s="121" t="str">
        <f>INDEX('Master Data'!$C$75:$C$299,MATCH(A88,'Master Data'!$B$75:$B$299,0))</f>
        <v>2-3</v>
      </c>
      <c r="E88" s="147">
        <f>INDEX('Master Data'!$C$75:$O$299,MATCH(A88,'Master Data'!$B$75:$B$299,0),MATCH($E$1,'Master Data'!$C$74:$O$74,0))</f>
        <v>0.18</v>
      </c>
      <c r="F88" s="148">
        <f>ROUND(E88*INDEX('Master Data'!$F$4:$K$12,MATCH($E$1,'Master Data'!$E$4:$E$12,0),MATCH(C88,'Master Data'!$F$3:$K$3,0)),2)</f>
        <v>14667.64</v>
      </c>
      <c r="G88" s="147">
        <f>INDEX('Master Data'!$C$75:$O$299,MATCH(A88,'Master Data'!$B$75:$B$299,0),MATCH($G$1,'Master Data'!$C$74:$O$74,0))</f>
        <v>0.66</v>
      </c>
      <c r="H88" s="148">
        <f>ROUND(G88*INDEX('Master Data'!$F$4:$K$12,MATCH($G$1,'Master Data'!$E$4:$E$12,0),MATCH(C88,'Master Data'!$F$3:$K$3,0)),2)</f>
        <v>49615.6</v>
      </c>
      <c r="I88" s="147">
        <f>INDEX('Master Data'!$C$75:$O$299,MATCH(A88,'Master Data'!$B$75:$B$299,0),MATCH($I$1,'Master Data'!$C$74:$O$74,0))</f>
        <v>2.1</v>
      </c>
      <c r="J88" s="148">
        <f>ROUND(I88*INDEX('Master Data'!$F$4:$K$12,MATCH($I$1,'Master Data'!$E$4:$E$12,0),MATCH(C88,'Master Data'!$F$3:$K$3,0)),2)</f>
        <v>134400</v>
      </c>
      <c r="K88" s="147">
        <f>INDEX('Master Data'!$C$75:$O$299,MATCH(A88,'Master Data'!$B$75:$B$299,0),MATCH($K$1,'Master Data'!$C$74:$O$74,0))</f>
        <v>1.4</v>
      </c>
      <c r="L88" s="148">
        <f>ROUND(K88*INDEX('Master Data'!$F$4:$K$12,MATCH($K$1,'Master Data'!$E$4:$E$12,0),MATCH(C88,'Master Data'!$F$3:$K$3,0)),2)</f>
        <v>89600</v>
      </c>
      <c r="M88" s="147">
        <f>INDEX('Master Data'!$C$75:$O$299,MATCH(A88,'Master Data'!$B$75:$B$299,0),MATCH($M$1,'Master Data'!$C$74:$O$74,0))</f>
        <v>0.39</v>
      </c>
      <c r="N88" s="148">
        <f>ROUND(M88*INDEX('Master Data'!$F$4:$K$12,MATCH($M$1,'Master Data'!$E$4:$E$12,0),MATCH(C88,'Master Data'!$F$3:$K$3,0)),2)</f>
        <v>24960</v>
      </c>
      <c r="O88" s="147">
        <f>INDEX('Master Data'!$C$75:$O$299,MATCH(A88,'Master Data'!$B$75:$B$299,0),MATCH($O$1,'Master Data'!$C$74:$O$74,0))</f>
        <v>0.26</v>
      </c>
      <c r="P88" s="148">
        <f>ROUND(O88*INDEX('Master Data'!$F$4:$K$12,MATCH($O$1,'Master Data'!$E$4:$E$12,0),MATCH(C88,'Master Data'!$F$3:$K$3,0)),2)</f>
        <v>16640</v>
      </c>
      <c r="Q88" s="147">
        <f>INDEX('Master Data'!$C$75:$O$299,MATCH(A88,'Master Data'!$B$75:$B$299,0),MATCH($Q$1,'Master Data'!$C$74:$O$74,0))</f>
        <v>0.12</v>
      </c>
      <c r="R88" s="148">
        <f>ROUND(Q88*INDEX('Master Data'!$F$4:$K$12,MATCH($Q$1,'Master Data'!$E$4:$E$12,0),MATCH(C88,'Master Data'!$F$3:$K$3,0)),2)</f>
        <v>5621.09</v>
      </c>
      <c r="S88" s="147">
        <f>INDEX('Master Data'!$C$75:$O$299,MATCH(A88,'Master Data'!$B$75:$B$299,0),MATCH($S$1,'Master Data'!$C$74:$O$74,0))</f>
        <v>0.1</v>
      </c>
      <c r="T88" s="148">
        <f>ROUND(S88*INDEX('Master Data'!$F$4:$K$12,MATCH($S$1,'Master Data'!$E$4:$E$12,0),MATCH(C88,'Master Data'!$F$3:$K$3,0)),2)</f>
        <v>26912</v>
      </c>
      <c r="U88" s="147">
        <f>INDEX('Master Data'!$C$75:$O$299,MATCH(A88,'Master Data'!$B$75:$B$299,0),MATCH($U$1,'Master Data'!$C$74:$O$74,0))</f>
        <v>0.3</v>
      </c>
      <c r="V88" s="148">
        <f>ROUND(U88*INDEX('Master Data'!$F$4:$K$12,MATCH($U$1,'Master Data'!$E$4:$E$12,0),MATCH(C88,'Master Data'!$F$3:$K$3,0)),2)</f>
        <v>25959.99</v>
      </c>
      <c r="W88" s="149">
        <f t="shared" si="9"/>
        <v>388376.32000000001</v>
      </c>
      <c r="X88" s="148">
        <f>ROUND(W88*('Master Data'!$B$54),2)</f>
        <v>96977.57</v>
      </c>
      <c r="Y88" s="149">
        <f t="shared" ref="Y88:Y151" si="16">SUM(W88:X88)</f>
        <v>485353.89</v>
      </c>
      <c r="Z88" s="147">
        <f>52*INDEX('Master Data'!$C$75:$O$299,MATCH(A88,'Master Data'!$B$75:$B$299,0),MATCH($Z$1,'Master Data'!$C$74:$O$74,0))</f>
        <v>208</v>
      </c>
      <c r="AA88" s="148">
        <f>Z88*('Master Data'!$F$15)</f>
        <v>15683.2</v>
      </c>
      <c r="AB88" s="147">
        <f>52*INDEX('Master Data'!$C$75:$O$299,MATCH(A88,'Master Data'!$B$75:$B$299,0),MATCH($AB$1,'Master Data'!$C$74:$O$74,0))</f>
        <v>0</v>
      </c>
      <c r="AC88" s="148">
        <f>AB88*('Master Data'!$F$16)</f>
        <v>0</v>
      </c>
      <c r="AD88" s="149">
        <f t="shared" si="12"/>
        <v>15683.2</v>
      </c>
      <c r="AE88" s="148">
        <f>INDEX('Master Data'!$D$58:$D$60,MATCH(D88,'Master Data'!$B$58:$B$60,0))</f>
        <v>19577.099999999999</v>
      </c>
      <c r="AF88" s="148">
        <f>INDEX('Master Data'!$E$58:$E$60,MATCH(D88,'Master Data'!$B$58:$B$60,0))</f>
        <v>992.8</v>
      </c>
      <c r="AG88" s="148">
        <f>INDEX('Master Data'!$F$58:$F$60,MATCH(D88,'Master Data'!$B$58:$B$60,0))</f>
        <v>2876.2</v>
      </c>
      <c r="AH88" s="149">
        <f t="shared" ref="AH88:AH103" si="17">SUM(Y88,AD88:AG88)</f>
        <v>524483.18999999994</v>
      </c>
      <c r="AI88" s="148">
        <f>ROUND(AH88*('Master Data'!$C$54),2)</f>
        <v>62937.98</v>
      </c>
      <c r="AJ88" s="148">
        <f>ROUND(SUM(AH88:AI88,AK88)*('Master Data'!$E$54),2)</f>
        <v>17598.580000000002</v>
      </c>
      <c r="AK88" s="148">
        <f>ROUND(W88*('Master Data'!$F$54),2)</f>
        <v>0</v>
      </c>
      <c r="AL88" s="149">
        <f t="shared" ref="AL88:AL103" si="18">SUM(AH88:AK88)</f>
        <v>605019.74999999988</v>
      </c>
      <c r="AM88" s="140">
        <f>ROUND(AL88/347,2)</f>
        <v>1743.57</v>
      </c>
      <c r="AN88" s="121"/>
      <c r="AO88" s="121"/>
      <c r="AP88" s="121"/>
      <c r="AQ88" s="121"/>
      <c r="AR88" s="121"/>
      <c r="AS88" s="121"/>
    </row>
    <row r="89" spans="1:45">
      <c r="A89" s="232" t="s">
        <v>430</v>
      </c>
      <c r="B89" s="121" t="str">
        <f t="shared" si="8"/>
        <v xml:space="preserve"> </v>
      </c>
      <c r="C89" s="121" t="str">
        <f t="shared" si="10"/>
        <v xml:space="preserve">Specialty  </v>
      </c>
      <c r="D89" s="121" t="str">
        <f>INDEX('Master Data'!$C$75:$C$299,MATCH(A89,'Master Data'!$B$75:$B$299,0))</f>
        <v>2-3</v>
      </c>
      <c r="E89" s="147">
        <f>INDEX('Master Data'!$C$75:$O$299,MATCH(A89,'Master Data'!$B$75:$B$299,0),MATCH($E$1,'Master Data'!$C$74:$O$74,0))</f>
        <v>0.18</v>
      </c>
      <c r="F89" s="148">
        <f>ROUND(E89*INDEX('Master Data'!$F$4:$K$12,MATCH($E$1,'Master Data'!$E$4:$E$12,0),MATCH(C89,'Master Data'!$F$3:$K$3,0)),2)</f>
        <v>14667.64</v>
      </c>
      <c r="G89" s="147">
        <f>INDEX('Master Data'!$C$75:$O$299,MATCH(A89,'Master Data'!$B$75:$B$299,0),MATCH($G$1,'Master Data'!$C$74:$O$74,0))</f>
        <v>0.66</v>
      </c>
      <c r="H89" s="148">
        <f>ROUND(G89*INDEX('Master Data'!$F$4:$K$12,MATCH($G$1,'Master Data'!$E$4:$E$12,0),MATCH(C89,'Master Data'!$F$3:$K$3,0)),2)</f>
        <v>49615.6</v>
      </c>
      <c r="I89" s="147">
        <f>INDEX('Master Data'!$C$75:$O$299,MATCH(A89,'Master Data'!$B$75:$B$299,0),MATCH($I$1,'Master Data'!$C$74:$O$74,0))</f>
        <v>2.6</v>
      </c>
      <c r="J89" s="148">
        <f>ROUND(I89*INDEX('Master Data'!$F$4:$K$12,MATCH($I$1,'Master Data'!$E$4:$E$12,0),MATCH(C89,'Master Data'!$F$3:$K$3,0)),2)</f>
        <v>166400</v>
      </c>
      <c r="K89" s="147">
        <f>INDEX('Master Data'!$C$75:$O$299,MATCH(A89,'Master Data'!$B$75:$B$299,0),MATCH($K$1,'Master Data'!$C$74:$O$74,0))</f>
        <v>1.4</v>
      </c>
      <c r="L89" s="148">
        <f>ROUND(K89*INDEX('Master Data'!$F$4:$K$12,MATCH($K$1,'Master Data'!$E$4:$E$12,0),MATCH(C89,'Master Data'!$F$3:$K$3,0)),2)</f>
        <v>89600</v>
      </c>
      <c r="M89" s="147">
        <f>INDEX('Master Data'!$C$75:$O$299,MATCH(A89,'Master Data'!$B$75:$B$299,0),MATCH($M$1,'Master Data'!$C$74:$O$74,0))</f>
        <v>0.49</v>
      </c>
      <c r="N89" s="148">
        <f>ROUND(M89*INDEX('Master Data'!$F$4:$K$12,MATCH($M$1,'Master Data'!$E$4:$E$12,0),MATCH(C89,'Master Data'!$F$3:$K$3,0)),2)</f>
        <v>31360</v>
      </c>
      <c r="O89" s="147">
        <f>INDEX('Master Data'!$C$75:$O$299,MATCH(A89,'Master Data'!$B$75:$B$299,0),MATCH($O$1,'Master Data'!$C$74:$O$74,0))</f>
        <v>0.26</v>
      </c>
      <c r="P89" s="148">
        <f>ROUND(O89*INDEX('Master Data'!$F$4:$K$12,MATCH($O$1,'Master Data'!$E$4:$E$12,0),MATCH(C89,'Master Data'!$F$3:$K$3,0)),2)</f>
        <v>16640</v>
      </c>
      <c r="Q89" s="147">
        <f>INDEX('Master Data'!$C$75:$O$299,MATCH(A89,'Master Data'!$B$75:$B$299,0),MATCH($Q$1,'Master Data'!$C$74:$O$74,0))</f>
        <v>0.12</v>
      </c>
      <c r="R89" s="148">
        <f>ROUND(Q89*INDEX('Master Data'!$F$4:$K$12,MATCH($Q$1,'Master Data'!$E$4:$E$12,0),MATCH(C89,'Master Data'!$F$3:$K$3,0)),2)</f>
        <v>5621.09</v>
      </c>
      <c r="S89" s="147">
        <f>INDEX('Master Data'!$C$75:$O$299,MATCH(A89,'Master Data'!$B$75:$B$299,0),MATCH($S$1,'Master Data'!$C$74:$O$74,0))</f>
        <v>0.1</v>
      </c>
      <c r="T89" s="148">
        <f>ROUND(S89*INDEX('Master Data'!$F$4:$K$12,MATCH($S$1,'Master Data'!$E$4:$E$12,0),MATCH(C89,'Master Data'!$F$3:$K$3,0)),2)</f>
        <v>26912</v>
      </c>
      <c r="U89" s="147">
        <f>INDEX('Master Data'!$C$75:$O$299,MATCH(A89,'Master Data'!$B$75:$B$299,0),MATCH($U$1,'Master Data'!$C$74:$O$74,0))</f>
        <v>0.3</v>
      </c>
      <c r="V89" s="148">
        <f>ROUND(U89*INDEX('Master Data'!$F$4:$K$12,MATCH($U$1,'Master Data'!$E$4:$E$12,0),MATCH(C89,'Master Data'!$F$3:$K$3,0)),2)</f>
        <v>25959.99</v>
      </c>
      <c r="W89" s="149">
        <f t="shared" si="9"/>
        <v>426776.32000000001</v>
      </c>
      <c r="X89" s="148">
        <f>ROUND(W89*('Master Data'!$B$54),2)</f>
        <v>106566.05</v>
      </c>
      <c r="Y89" s="149">
        <f t="shared" si="16"/>
        <v>533342.37</v>
      </c>
      <c r="Z89" s="147">
        <f>52*INDEX('Master Data'!$C$75:$O$299,MATCH(A89,'Master Data'!$B$75:$B$299,0),MATCH($Z$1,'Master Data'!$C$74:$O$74,0))</f>
        <v>208</v>
      </c>
      <c r="AA89" s="148">
        <f>Z89*('Master Data'!$F$15)</f>
        <v>15683.2</v>
      </c>
      <c r="AB89" s="147">
        <f>52*INDEX('Master Data'!$C$75:$O$299,MATCH(A89,'Master Data'!$B$75:$B$299,0),MATCH($AB$1,'Master Data'!$C$74:$O$74,0))</f>
        <v>0</v>
      </c>
      <c r="AC89" s="148">
        <f>AB89*('Master Data'!$F$16)</f>
        <v>0</v>
      </c>
      <c r="AD89" s="149">
        <f t="shared" si="12"/>
        <v>15683.2</v>
      </c>
      <c r="AE89" s="148">
        <f>INDEX('Master Data'!$D$58:$D$60,MATCH(D89,'Master Data'!$B$58:$B$60,0))</f>
        <v>19577.099999999999</v>
      </c>
      <c r="AF89" s="148">
        <f>INDEX('Master Data'!$E$58:$E$60,MATCH(D89,'Master Data'!$B$58:$B$60,0))</f>
        <v>992.8</v>
      </c>
      <c r="AG89" s="148">
        <f>INDEX('Master Data'!$F$58:$F$60,MATCH(D89,'Master Data'!$B$58:$B$60,0))</f>
        <v>2876.2</v>
      </c>
      <c r="AH89" s="149">
        <f t="shared" si="17"/>
        <v>572471.66999999993</v>
      </c>
      <c r="AI89" s="148">
        <f>ROUND(AH89*('Master Data'!$C$54),2)</f>
        <v>68696.600000000006</v>
      </c>
      <c r="AJ89" s="148">
        <f>ROUND(SUM(AH89:AI89,AK89)*('Master Data'!$E$54),2)</f>
        <v>19208.79</v>
      </c>
      <c r="AK89" s="148">
        <f>ROUND(W89*('Master Data'!$F$54),2)</f>
        <v>0</v>
      </c>
      <c r="AL89" s="149">
        <f t="shared" si="18"/>
        <v>660377.05999999994</v>
      </c>
      <c r="AM89" s="140">
        <f t="shared" si="15"/>
        <v>1903.1</v>
      </c>
      <c r="AN89" s="121"/>
      <c r="AO89" s="121"/>
      <c r="AP89" s="121"/>
      <c r="AQ89" s="121"/>
      <c r="AR89" s="121"/>
      <c r="AS89" s="121"/>
    </row>
    <row r="90" spans="1:45">
      <c r="A90" s="232" t="s">
        <v>431</v>
      </c>
      <c r="B90" s="121" t="str">
        <f t="shared" si="8"/>
        <v xml:space="preserve"> </v>
      </c>
      <c r="C90" s="121" t="str">
        <f t="shared" si="10"/>
        <v xml:space="preserve">Specialty  </v>
      </c>
      <c r="D90" s="121" t="str">
        <f>INDEX('Master Data'!$C$75:$C$299,MATCH(A90,'Master Data'!$B$75:$B$299,0))</f>
        <v>2-3</v>
      </c>
      <c r="E90" s="147">
        <f>INDEX('Master Data'!$C$75:$O$299,MATCH(A90,'Master Data'!$B$75:$B$299,0),MATCH($E$1,'Master Data'!$C$74:$O$74,0))</f>
        <v>0.18</v>
      </c>
      <c r="F90" s="148">
        <f>ROUND(E90*INDEX('Master Data'!$F$4:$K$12,MATCH($E$1,'Master Data'!$E$4:$E$12,0),MATCH(C90,'Master Data'!$F$3:$K$3,0)),2)</f>
        <v>14667.64</v>
      </c>
      <c r="G90" s="147">
        <f>INDEX('Master Data'!$C$75:$O$299,MATCH(A90,'Master Data'!$B$75:$B$299,0),MATCH($G$1,'Master Data'!$C$74:$O$74,0))</f>
        <v>0.66</v>
      </c>
      <c r="H90" s="148">
        <f>ROUND(G90*INDEX('Master Data'!$F$4:$K$12,MATCH($G$1,'Master Data'!$E$4:$E$12,0),MATCH(C90,'Master Data'!$F$3:$K$3,0)),2)</f>
        <v>49615.6</v>
      </c>
      <c r="I90" s="147">
        <f>INDEX('Master Data'!$C$75:$O$299,MATCH(A90,'Master Data'!$B$75:$B$299,0),MATCH($I$1,'Master Data'!$C$74:$O$74,0))</f>
        <v>3.1</v>
      </c>
      <c r="J90" s="148">
        <f>ROUND(I90*INDEX('Master Data'!$F$4:$K$12,MATCH($I$1,'Master Data'!$E$4:$E$12,0),MATCH(C90,'Master Data'!$F$3:$K$3,0)),2)</f>
        <v>198400</v>
      </c>
      <c r="K90" s="147">
        <f>INDEX('Master Data'!$C$75:$O$299,MATCH(A90,'Master Data'!$B$75:$B$299,0),MATCH($K$1,'Master Data'!$C$74:$O$74,0))</f>
        <v>1.4</v>
      </c>
      <c r="L90" s="148">
        <f>ROUND(K90*INDEX('Master Data'!$F$4:$K$12,MATCH($K$1,'Master Data'!$E$4:$E$12,0),MATCH(C90,'Master Data'!$F$3:$K$3,0)),2)</f>
        <v>89600</v>
      </c>
      <c r="M90" s="147">
        <f>INDEX('Master Data'!$C$75:$O$299,MATCH(A90,'Master Data'!$B$75:$B$299,0),MATCH($M$1,'Master Data'!$C$74:$O$74,0))</f>
        <v>0.57999999999999996</v>
      </c>
      <c r="N90" s="148">
        <f>ROUND(M90*INDEX('Master Data'!$F$4:$K$12,MATCH($M$1,'Master Data'!$E$4:$E$12,0),MATCH(C90,'Master Data'!$F$3:$K$3,0)),2)</f>
        <v>37120</v>
      </c>
      <c r="O90" s="147">
        <f>INDEX('Master Data'!$C$75:$O$299,MATCH(A90,'Master Data'!$B$75:$B$299,0),MATCH($O$1,'Master Data'!$C$74:$O$74,0))</f>
        <v>0.26</v>
      </c>
      <c r="P90" s="148">
        <f>ROUND(O90*INDEX('Master Data'!$F$4:$K$12,MATCH($O$1,'Master Data'!$E$4:$E$12,0),MATCH(C90,'Master Data'!$F$3:$K$3,0)),2)</f>
        <v>16640</v>
      </c>
      <c r="Q90" s="147">
        <f>INDEX('Master Data'!$C$75:$O$299,MATCH(A90,'Master Data'!$B$75:$B$299,0),MATCH($Q$1,'Master Data'!$C$74:$O$74,0))</f>
        <v>0.12</v>
      </c>
      <c r="R90" s="148">
        <f>ROUND(Q90*INDEX('Master Data'!$F$4:$K$12,MATCH($Q$1,'Master Data'!$E$4:$E$12,0),MATCH(C90,'Master Data'!$F$3:$K$3,0)),2)</f>
        <v>5621.09</v>
      </c>
      <c r="S90" s="147">
        <f>INDEX('Master Data'!$C$75:$O$299,MATCH(A90,'Master Data'!$B$75:$B$299,0),MATCH($S$1,'Master Data'!$C$74:$O$74,0))</f>
        <v>0.1</v>
      </c>
      <c r="T90" s="148">
        <f>ROUND(S90*INDEX('Master Data'!$F$4:$K$12,MATCH($S$1,'Master Data'!$E$4:$E$12,0),MATCH(C90,'Master Data'!$F$3:$K$3,0)),2)</f>
        <v>26912</v>
      </c>
      <c r="U90" s="147">
        <f>INDEX('Master Data'!$C$75:$O$299,MATCH(A90,'Master Data'!$B$75:$B$299,0),MATCH($U$1,'Master Data'!$C$74:$O$74,0))</f>
        <v>0.3</v>
      </c>
      <c r="V90" s="148">
        <f>ROUND(U90*INDEX('Master Data'!$F$4:$K$12,MATCH($U$1,'Master Data'!$E$4:$E$12,0),MATCH(C90,'Master Data'!$F$3:$K$3,0)),2)</f>
        <v>25959.99</v>
      </c>
      <c r="W90" s="149">
        <f t="shared" si="9"/>
        <v>464536.32000000001</v>
      </c>
      <c r="X90" s="148">
        <f>ROUND(W90*('Master Data'!$B$54),2)</f>
        <v>115994.72</v>
      </c>
      <c r="Y90" s="149">
        <f t="shared" si="16"/>
        <v>580531.04</v>
      </c>
      <c r="Z90" s="147">
        <f>52*INDEX('Master Data'!$C$75:$O$299,MATCH(A90,'Master Data'!$B$75:$B$299,0),MATCH($Z$1,'Master Data'!$C$74:$O$74,0))</f>
        <v>208</v>
      </c>
      <c r="AA90" s="148">
        <f>Z90*('Master Data'!$F$15)</f>
        <v>15683.2</v>
      </c>
      <c r="AB90" s="147">
        <f>52*INDEX('Master Data'!$C$75:$O$299,MATCH(A90,'Master Data'!$B$75:$B$299,0),MATCH($AB$1,'Master Data'!$C$74:$O$74,0))</f>
        <v>0</v>
      </c>
      <c r="AC90" s="148">
        <f>AB90*('Master Data'!$F$16)</f>
        <v>0</v>
      </c>
      <c r="AD90" s="149">
        <f t="shared" si="12"/>
        <v>15683.2</v>
      </c>
      <c r="AE90" s="148">
        <f>INDEX('Master Data'!$D$58:$D$60,MATCH(D90,'Master Data'!$B$58:$B$60,0))</f>
        <v>19577.099999999999</v>
      </c>
      <c r="AF90" s="148">
        <f>INDEX('Master Data'!$E$58:$E$60,MATCH(D90,'Master Data'!$B$58:$B$60,0))</f>
        <v>992.8</v>
      </c>
      <c r="AG90" s="148">
        <f>INDEX('Master Data'!$F$58:$F$60,MATCH(D90,'Master Data'!$B$58:$B$60,0))</f>
        <v>2876.2</v>
      </c>
      <c r="AH90" s="149">
        <f t="shared" si="17"/>
        <v>619660.34</v>
      </c>
      <c r="AI90" s="148">
        <f>ROUND(AH90*('Master Data'!$C$54),2)</f>
        <v>74359.240000000005</v>
      </c>
      <c r="AJ90" s="148">
        <f>ROUND(SUM(AH90:AI90,AK90)*('Master Data'!$E$54),2)</f>
        <v>20792.16</v>
      </c>
      <c r="AK90" s="148">
        <f>ROUND(W90*('Master Data'!$F$54),2)</f>
        <v>0</v>
      </c>
      <c r="AL90" s="149">
        <f t="shared" si="18"/>
        <v>714811.74</v>
      </c>
      <c r="AM90" s="140">
        <f t="shared" si="15"/>
        <v>2059.98</v>
      </c>
      <c r="AN90" s="121"/>
      <c r="AO90" s="121"/>
      <c r="AP90" s="121"/>
      <c r="AQ90" s="121"/>
      <c r="AR90" s="121"/>
      <c r="AS90" s="121"/>
    </row>
    <row r="91" spans="1:45">
      <c r="A91" s="232" t="s">
        <v>432</v>
      </c>
      <c r="B91" s="121" t="str">
        <f t="shared" si="8"/>
        <v xml:space="preserve"> </v>
      </c>
      <c r="C91" s="121" t="str">
        <f t="shared" si="10"/>
        <v xml:space="preserve">Specialty  </v>
      </c>
      <c r="D91" s="121" t="str">
        <f>INDEX('Master Data'!$C$75:$C$299,MATCH(A91,'Master Data'!$B$75:$B$299,0))</f>
        <v>2-3</v>
      </c>
      <c r="E91" s="147">
        <f>INDEX('Master Data'!$C$75:$O$299,MATCH(A91,'Master Data'!$B$75:$B$299,0),MATCH($E$1,'Master Data'!$C$74:$O$74,0))</f>
        <v>0.18</v>
      </c>
      <c r="F91" s="148">
        <f>ROUND(E91*INDEX('Master Data'!$F$4:$K$12,MATCH($E$1,'Master Data'!$E$4:$E$12,0),MATCH(C91,'Master Data'!$F$3:$K$3,0)),2)</f>
        <v>14667.64</v>
      </c>
      <c r="G91" s="147">
        <f>INDEX('Master Data'!$C$75:$O$299,MATCH(A91,'Master Data'!$B$75:$B$299,0),MATCH($G$1,'Master Data'!$C$74:$O$74,0))</f>
        <v>0.66</v>
      </c>
      <c r="H91" s="148">
        <f>ROUND(G91*INDEX('Master Data'!$F$4:$K$12,MATCH($G$1,'Master Data'!$E$4:$E$12,0),MATCH(C91,'Master Data'!$F$3:$K$3,0)),2)</f>
        <v>49615.6</v>
      </c>
      <c r="I91" s="147">
        <f>INDEX('Master Data'!$C$75:$O$299,MATCH(A91,'Master Data'!$B$75:$B$299,0),MATCH($I$1,'Master Data'!$C$74:$O$74,0))</f>
        <v>3.6</v>
      </c>
      <c r="J91" s="148">
        <f>ROUND(I91*INDEX('Master Data'!$F$4:$K$12,MATCH($I$1,'Master Data'!$E$4:$E$12,0),MATCH(C91,'Master Data'!$F$3:$K$3,0)),2)</f>
        <v>230399.99</v>
      </c>
      <c r="K91" s="147">
        <f>INDEX('Master Data'!$C$75:$O$299,MATCH(A91,'Master Data'!$B$75:$B$299,0),MATCH($K$1,'Master Data'!$C$74:$O$74,0))</f>
        <v>1.4</v>
      </c>
      <c r="L91" s="148">
        <f>ROUND(K91*INDEX('Master Data'!$F$4:$K$12,MATCH($K$1,'Master Data'!$E$4:$E$12,0),MATCH(C91,'Master Data'!$F$3:$K$3,0)),2)</f>
        <v>89600</v>
      </c>
      <c r="M91" s="147">
        <f>INDEX('Master Data'!$C$75:$O$299,MATCH(A91,'Master Data'!$B$75:$B$299,0),MATCH($M$1,'Master Data'!$C$74:$O$74,0))</f>
        <v>0.68</v>
      </c>
      <c r="N91" s="148">
        <f>ROUND(M91*INDEX('Master Data'!$F$4:$K$12,MATCH($M$1,'Master Data'!$E$4:$E$12,0),MATCH(C91,'Master Data'!$F$3:$K$3,0)),2)</f>
        <v>43520</v>
      </c>
      <c r="O91" s="147">
        <f>INDEX('Master Data'!$C$75:$O$299,MATCH(A91,'Master Data'!$B$75:$B$299,0),MATCH($O$1,'Master Data'!$C$74:$O$74,0))</f>
        <v>0.26</v>
      </c>
      <c r="P91" s="148">
        <f>ROUND(O91*INDEX('Master Data'!$F$4:$K$12,MATCH($O$1,'Master Data'!$E$4:$E$12,0),MATCH(C91,'Master Data'!$F$3:$K$3,0)),2)</f>
        <v>16640</v>
      </c>
      <c r="Q91" s="147">
        <f>INDEX('Master Data'!$C$75:$O$299,MATCH(A91,'Master Data'!$B$75:$B$299,0),MATCH($Q$1,'Master Data'!$C$74:$O$74,0))</f>
        <v>0.12</v>
      </c>
      <c r="R91" s="148">
        <f>ROUND(Q91*INDEX('Master Data'!$F$4:$K$12,MATCH($Q$1,'Master Data'!$E$4:$E$12,0),MATCH(C91,'Master Data'!$F$3:$K$3,0)),2)</f>
        <v>5621.09</v>
      </c>
      <c r="S91" s="147">
        <f>INDEX('Master Data'!$C$75:$O$299,MATCH(A91,'Master Data'!$B$75:$B$299,0),MATCH($S$1,'Master Data'!$C$74:$O$74,0))</f>
        <v>0.1</v>
      </c>
      <c r="T91" s="148">
        <f>ROUND(S91*INDEX('Master Data'!$F$4:$K$12,MATCH($S$1,'Master Data'!$E$4:$E$12,0),MATCH(C91,'Master Data'!$F$3:$K$3,0)),2)</f>
        <v>26912</v>
      </c>
      <c r="U91" s="147">
        <f>INDEX('Master Data'!$C$75:$O$299,MATCH(A91,'Master Data'!$B$75:$B$299,0),MATCH($U$1,'Master Data'!$C$74:$O$74,0))</f>
        <v>0.3</v>
      </c>
      <c r="V91" s="148">
        <f>ROUND(U91*INDEX('Master Data'!$F$4:$K$12,MATCH($U$1,'Master Data'!$E$4:$E$12,0),MATCH(C91,'Master Data'!$F$3:$K$3,0)),2)</f>
        <v>25959.99</v>
      </c>
      <c r="W91" s="149">
        <f t="shared" si="9"/>
        <v>502936.31</v>
      </c>
      <c r="X91" s="148">
        <f>ROUND(W91*('Master Data'!$B$54),2)</f>
        <v>125583.2</v>
      </c>
      <c r="Y91" s="149">
        <f t="shared" si="16"/>
        <v>628519.51</v>
      </c>
      <c r="Z91" s="147">
        <f>52*INDEX('Master Data'!$C$75:$O$299,MATCH(A91,'Master Data'!$B$75:$B$299,0),MATCH($Z$1,'Master Data'!$C$74:$O$74,0))</f>
        <v>208</v>
      </c>
      <c r="AA91" s="148">
        <f>Z91*('Master Data'!$F$15)</f>
        <v>15683.2</v>
      </c>
      <c r="AB91" s="147">
        <f>52*INDEX('Master Data'!$C$75:$O$299,MATCH(A91,'Master Data'!$B$75:$B$299,0),MATCH($AB$1,'Master Data'!$C$74:$O$74,0))</f>
        <v>0</v>
      </c>
      <c r="AC91" s="148">
        <f>AB91*('Master Data'!$F$16)</f>
        <v>0</v>
      </c>
      <c r="AD91" s="149">
        <f t="shared" si="12"/>
        <v>15683.2</v>
      </c>
      <c r="AE91" s="148">
        <f>INDEX('Master Data'!$D$58:$D$60,MATCH(D91,'Master Data'!$B$58:$B$60,0))</f>
        <v>19577.099999999999</v>
      </c>
      <c r="AF91" s="148">
        <f>INDEX('Master Data'!$E$58:$E$60,MATCH(D91,'Master Data'!$B$58:$B$60,0))</f>
        <v>992.8</v>
      </c>
      <c r="AG91" s="148">
        <f>INDEX('Master Data'!$F$58:$F$60,MATCH(D91,'Master Data'!$B$58:$B$60,0))</f>
        <v>2876.2</v>
      </c>
      <c r="AH91" s="149">
        <f t="shared" si="17"/>
        <v>667648.80999999994</v>
      </c>
      <c r="AI91" s="148">
        <f>ROUND(AH91*('Master Data'!$C$54),2)</f>
        <v>80117.86</v>
      </c>
      <c r="AJ91" s="148">
        <f>ROUND(SUM(AH91:AI91,AK91)*('Master Data'!$E$54),2)</f>
        <v>22402.37</v>
      </c>
      <c r="AK91" s="148">
        <f>ROUND(W91*('Master Data'!$F$54),2)</f>
        <v>0</v>
      </c>
      <c r="AL91" s="149">
        <f t="shared" si="18"/>
        <v>770169.03999999992</v>
      </c>
      <c r="AM91" s="140">
        <f t="shared" si="15"/>
        <v>2219.5100000000002</v>
      </c>
      <c r="AN91" s="121"/>
      <c r="AO91" s="121"/>
      <c r="AP91" s="121"/>
      <c r="AQ91" s="121"/>
      <c r="AR91" s="121"/>
      <c r="AS91" s="121"/>
    </row>
    <row r="92" spans="1:45">
      <c r="A92" s="232" t="s">
        <v>433</v>
      </c>
      <c r="B92" s="121" t="str">
        <f t="shared" si="8"/>
        <v xml:space="preserve"> </v>
      </c>
      <c r="C92" s="121" t="str">
        <f t="shared" si="10"/>
        <v xml:space="preserve">Specialty  </v>
      </c>
      <c r="D92" s="121" t="str">
        <f>INDEX('Master Data'!$C$75:$C$299,MATCH(A92,'Master Data'!$B$75:$B$299,0))</f>
        <v>2-3</v>
      </c>
      <c r="E92" s="147">
        <f>INDEX('Master Data'!$C$75:$O$299,MATCH(A92,'Master Data'!$B$75:$B$299,0),MATCH($E$1,'Master Data'!$C$74:$O$74,0))</f>
        <v>0.18</v>
      </c>
      <c r="F92" s="148">
        <f>ROUND(E92*INDEX('Master Data'!$F$4:$K$12,MATCH($E$1,'Master Data'!$E$4:$E$12,0),MATCH(C92,'Master Data'!$F$3:$K$3,0)),2)</f>
        <v>14667.64</v>
      </c>
      <c r="G92" s="147">
        <f>INDEX('Master Data'!$C$75:$O$299,MATCH(A92,'Master Data'!$B$75:$B$299,0),MATCH($G$1,'Master Data'!$C$74:$O$74,0))</f>
        <v>0.66</v>
      </c>
      <c r="H92" s="148">
        <f>ROUND(G92*INDEX('Master Data'!$F$4:$K$12,MATCH($G$1,'Master Data'!$E$4:$E$12,0),MATCH(C92,'Master Data'!$F$3:$K$3,0)),2)</f>
        <v>49615.6</v>
      </c>
      <c r="I92" s="147">
        <f>INDEX('Master Data'!$C$75:$O$299,MATCH(A92,'Master Data'!$B$75:$B$299,0),MATCH($I$1,'Master Data'!$C$74:$O$74,0))</f>
        <v>4.0999999999999996</v>
      </c>
      <c r="J92" s="148">
        <f>ROUND(I92*INDEX('Master Data'!$F$4:$K$12,MATCH($I$1,'Master Data'!$E$4:$E$12,0),MATCH(C92,'Master Data'!$F$3:$K$3,0)),2)</f>
        <v>262399.99</v>
      </c>
      <c r="K92" s="147">
        <f>INDEX('Master Data'!$C$75:$O$299,MATCH(A92,'Master Data'!$B$75:$B$299,0),MATCH($K$1,'Master Data'!$C$74:$O$74,0))</f>
        <v>1.4</v>
      </c>
      <c r="L92" s="148">
        <f>ROUND(K92*INDEX('Master Data'!$F$4:$K$12,MATCH($K$1,'Master Data'!$E$4:$E$12,0),MATCH(C92,'Master Data'!$F$3:$K$3,0)),2)</f>
        <v>89600</v>
      </c>
      <c r="M92" s="147">
        <f>INDEX('Master Data'!$C$75:$O$299,MATCH(A92,'Master Data'!$B$75:$B$299,0),MATCH($M$1,'Master Data'!$C$74:$O$74,0))</f>
        <v>0.77</v>
      </c>
      <c r="N92" s="148">
        <f>ROUND(M92*INDEX('Master Data'!$F$4:$K$12,MATCH($M$1,'Master Data'!$E$4:$E$12,0),MATCH(C92,'Master Data'!$F$3:$K$3,0)),2)</f>
        <v>49280</v>
      </c>
      <c r="O92" s="147">
        <f>INDEX('Master Data'!$C$75:$O$299,MATCH(A92,'Master Data'!$B$75:$B$299,0),MATCH($O$1,'Master Data'!$C$74:$O$74,0))</f>
        <v>0.26</v>
      </c>
      <c r="P92" s="148">
        <f>ROUND(O92*INDEX('Master Data'!$F$4:$K$12,MATCH($O$1,'Master Data'!$E$4:$E$12,0),MATCH(C92,'Master Data'!$F$3:$K$3,0)),2)</f>
        <v>16640</v>
      </c>
      <c r="Q92" s="147">
        <f>INDEX('Master Data'!$C$75:$O$299,MATCH(A92,'Master Data'!$B$75:$B$299,0),MATCH($Q$1,'Master Data'!$C$74:$O$74,0))</f>
        <v>0.12</v>
      </c>
      <c r="R92" s="148">
        <f>ROUND(Q92*INDEX('Master Data'!$F$4:$K$12,MATCH($Q$1,'Master Data'!$E$4:$E$12,0),MATCH(C92,'Master Data'!$F$3:$K$3,0)),2)</f>
        <v>5621.09</v>
      </c>
      <c r="S92" s="147">
        <f>INDEX('Master Data'!$C$75:$O$299,MATCH(A92,'Master Data'!$B$75:$B$299,0),MATCH($S$1,'Master Data'!$C$74:$O$74,0))</f>
        <v>0.1</v>
      </c>
      <c r="T92" s="148">
        <f>ROUND(S92*INDEX('Master Data'!$F$4:$K$12,MATCH($S$1,'Master Data'!$E$4:$E$12,0),MATCH(C92,'Master Data'!$F$3:$K$3,0)),2)</f>
        <v>26912</v>
      </c>
      <c r="U92" s="147">
        <f>INDEX('Master Data'!$C$75:$O$299,MATCH(A92,'Master Data'!$B$75:$B$299,0),MATCH($U$1,'Master Data'!$C$74:$O$74,0))</f>
        <v>0.3</v>
      </c>
      <c r="V92" s="148">
        <f>ROUND(U92*INDEX('Master Data'!$F$4:$K$12,MATCH($U$1,'Master Data'!$E$4:$E$12,0),MATCH(C92,'Master Data'!$F$3:$K$3,0)),2)</f>
        <v>25959.99</v>
      </c>
      <c r="W92" s="149">
        <f t="shared" si="9"/>
        <v>540696.31000000006</v>
      </c>
      <c r="X92" s="148">
        <f>ROUND(W92*('Master Data'!$B$54),2)</f>
        <v>135011.87</v>
      </c>
      <c r="Y92" s="149">
        <f t="shared" si="16"/>
        <v>675708.18</v>
      </c>
      <c r="Z92" s="147">
        <f>52*INDEX('Master Data'!$C$75:$O$299,MATCH(A92,'Master Data'!$B$75:$B$299,0),MATCH($Z$1,'Master Data'!$C$74:$O$74,0))</f>
        <v>208</v>
      </c>
      <c r="AA92" s="148">
        <f>Z92*('Master Data'!$F$15)</f>
        <v>15683.2</v>
      </c>
      <c r="AB92" s="147">
        <f>52*INDEX('Master Data'!$C$75:$O$299,MATCH(A92,'Master Data'!$B$75:$B$299,0),MATCH($AB$1,'Master Data'!$C$74:$O$74,0))</f>
        <v>0</v>
      </c>
      <c r="AC92" s="148">
        <f>AB92*('Master Data'!$F$16)</f>
        <v>0</v>
      </c>
      <c r="AD92" s="149">
        <f t="shared" si="12"/>
        <v>15683.2</v>
      </c>
      <c r="AE92" s="148">
        <f>INDEX('Master Data'!$D$58:$D$60,MATCH(D92,'Master Data'!$B$58:$B$60,0))</f>
        <v>19577.099999999999</v>
      </c>
      <c r="AF92" s="148">
        <f>INDEX('Master Data'!$E$58:$E$60,MATCH(D92,'Master Data'!$B$58:$B$60,0))</f>
        <v>992.8</v>
      </c>
      <c r="AG92" s="148">
        <f>INDEX('Master Data'!$F$58:$F$60,MATCH(D92,'Master Data'!$B$58:$B$60,0))</f>
        <v>2876.2</v>
      </c>
      <c r="AH92" s="149">
        <f t="shared" si="17"/>
        <v>714837.48</v>
      </c>
      <c r="AI92" s="148">
        <f>ROUND(AH92*('Master Data'!$C$54),2)</f>
        <v>85780.5</v>
      </c>
      <c r="AJ92" s="148">
        <f>ROUND(SUM(AH92:AI92,AK92)*('Master Data'!$E$54),2)</f>
        <v>23985.75</v>
      </c>
      <c r="AK92" s="148">
        <f>ROUND(W92*('Master Data'!$F$54),2)</f>
        <v>0</v>
      </c>
      <c r="AL92" s="149">
        <f t="shared" si="18"/>
        <v>824603.73</v>
      </c>
      <c r="AM92" s="140">
        <f t="shared" si="15"/>
        <v>2376.38</v>
      </c>
      <c r="AN92" s="121"/>
      <c r="AO92" s="121"/>
      <c r="AP92" s="121"/>
      <c r="AQ92" s="121"/>
      <c r="AR92" s="121"/>
      <c r="AS92" s="121"/>
    </row>
    <row r="93" spans="1:45">
      <c r="A93" s="232" t="s">
        <v>434</v>
      </c>
      <c r="B93" s="121" t="str">
        <f t="shared" si="8"/>
        <v xml:space="preserve"> </v>
      </c>
      <c r="C93" s="121" t="str">
        <f t="shared" si="10"/>
        <v xml:space="preserve">Specialty  </v>
      </c>
      <c r="D93" s="121" t="str">
        <f>INDEX('Master Data'!$C$75:$C$299,MATCH(A93,'Master Data'!$B$75:$B$299,0))</f>
        <v>2-3</v>
      </c>
      <c r="E93" s="147">
        <f>INDEX('Master Data'!$C$75:$O$299,MATCH(A93,'Master Data'!$B$75:$B$299,0),MATCH($E$1,'Master Data'!$C$74:$O$74,0))</f>
        <v>0.18</v>
      </c>
      <c r="F93" s="148">
        <f>ROUND(E93*INDEX('Master Data'!$F$4:$K$12,MATCH($E$1,'Master Data'!$E$4:$E$12,0),MATCH(C93,'Master Data'!$F$3:$K$3,0)),2)</f>
        <v>14667.64</v>
      </c>
      <c r="G93" s="147">
        <f>INDEX('Master Data'!$C$75:$O$299,MATCH(A93,'Master Data'!$B$75:$B$299,0),MATCH($G$1,'Master Data'!$C$74:$O$74,0))</f>
        <v>0.66</v>
      </c>
      <c r="H93" s="148">
        <f>ROUND(G93*INDEX('Master Data'!$F$4:$K$12,MATCH($G$1,'Master Data'!$E$4:$E$12,0),MATCH(C93,'Master Data'!$F$3:$K$3,0)),2)</f>
        <v>49615.6</v>
      </c>
      <c r="I93" s="147">
        <f>INDEX('Master Data'!$C$75:$O$299,MATCH(A93,'Master Data'!$B$75:$B$299,0),MATCH($I$1,'Master Data'!$C$74:$O$74,0))</f>
        <v>4.5999999999999996</v>
      </c>
      <c r="J93" s="148">
        <f>ROUND(I93*INDEX('Master Data'!$F$4:$K$12,MATCH($I$1,'Master Data'!$E$4:$E$12,0),MATCH(C93,'Master Data'!$F$3:$K$3,0)),2)</f>
        <v>294399.99</v>
      </c>
      <c r="K93" s="147">
        <f>INDEX('Master Data'!$C$75:$O$299,MATCH(A93,'Master Data'!$B$75:$B$299,0),MATCH($K$1,'Master Data'!$C$74:$O$74,0))</f>
        <v>1.4</v>
      </c>
      <c r="L93" s="148">
        <f>ROUND(K93*INDEX('Master Data'!$F$4:$K$12,MATCH($K$1,'Master Data'!$E$4:$E$12,0),MATCH(C93,'Master Data'!$F$3:$K$3,0)),2)</f>
        <v>89600</v>
      </c>
      <c r="M93" s="147">
        <f>INDEX('Master Data'!$C$75:$O$299,MATCH(A93,'Master Data'!$B$75:$B$299,0),MATCH($M$1,'Master Data'!$C$74:$O$74,0))</f>
        <v>0.86</v>
      </c>
      <c r="N93" s="148">
        <f>ROUND(M93*INDEX('Master Data'!$F$4:$K$12,MATCH($M$1,'Master Data'!$E$4:$E$12,0),MATCH(C93,'Master Data'!$F$3:$K$3,0)),2)</f>
        <v>55040</v>
      </c>
      <c r="O93" s="147">
        <f>INDEX('Master Data'!$C$75:$O$299,MATCH(A93,'Master Data'!$B$75:$B$299,0),MATCH($O$1,'Master Data'!$C$74:$O$74,0))</f>
        <v>0.26</v>
      </c>
      <c r="P93" s="148">
        <f>ROUND(O93*INDEX('Master Data'!$F$4:$K$12,MATCH($O$1,'Master Data'!$E$4:$E$12,0),MATCH(C93,'Master Data'!$F$3:$K$3,0)),2)</f>
        <v>16640</v>
      </c>
      <c r="Q93" s="147">
        <f>INDEX('Master Data'!$C$75:$O$299,MATCH(A93,'Master Data'!$B$75:$B$299,0),MATCH($Q$1,'Master Data'!$C$74:$O$74,0))</f>
        <v>0.12</v>
      </c>
      <c r="R93" s="148">
        <f>ROUND(Q93*INDEX('Master Data'!$F$4:$K$12,MATCH($Q$1,'Master Data'!$E$4:$E$12,0),MATCH(C93,'Master Data'!$F$3:$K$3,0)),2)</f>
        <v>5621.09</v>
      </c>
      <c r="S93" s="147">
        <f>INDEX('Master Data'!$C$75:$O$299,MATCH(A93,'Master Data'!$B$75:$B$299,0),MATCH($S$1,'Master Data'!$C$74:$O$74,0))</f>
        <v>0.1</v>
      </c>
      <c r="T93" s="148">
        <f>ROUND(S93*INDEX('Master Data'!$F$4:$K$12,MATCH($S$1,'Master Data'!$E$4:$E$12,0),MATCH(C93,'Master Data'!$F$3:$K$3,0)),2)</f>
        <v>26912</v>
      </c>
      <c r="U93" s="147">
        <f>INDEX('Master Data'!$C$75:$O$299,MATCH(A93,'Master Data'!$B$75:$B$299,0),MATCH($U$1,'Master Data'!$C$74:$O$74,0))</f>
        <v>0.3</v>
      </c>
      <c r="V93" s="148">
        <f>ROUND(U93*INDEX('Master Data'!$F$4:$K$12,MATCH($U$1,'Master Data'!$E$4:$E$12,0),MATCH(C93,'Master Data'!$F$3:$K$3,0)),2)</f>
        <v>25959.99</v>
      </c>
      <c r="W93" s="149">
        <f t="shared" si="9"/>
        <v>578456.30999999994</v>
      </c>
      <c r="X93" s="148">
        <f>ROUND(W93*('Master Data'!$B$54),2)</f>
        <v>144440.54</v>
      </c>
      <c r="Y93" s="149">
        <f t="shared" si="16"/>
        <v>722896.85</v>
      </c>
      <c r="Z93" s="147">
        <f>52*INDEX('Master Data'!$C$75:$O$299,MATCH(A93,'Master Data'!$B$75:$B$299,0),MATCH($Z$1,'Master Data'!$C$74:$O$74,0))</f>
        <v>208</v>
      </c>
      <c r="AA93" s="148">
        <f>Z93*('Master Data'!$F$15)</f>
        <v>15683.2</v>
      </c>
      <c r="AB93" s="147">
        <f>52*INDEX('Master Data'!$C$75:$O$299,MATCH(A93,'Master Data'!$B$75:$B$299,0),MATCH($AB$1,'Master Data'!$C$74:$O$74,0))</f>
        <v>0</v>
      </c>
      <c r="AC93" s="148">
        <f>AB93*('Master Data'!$F$16)</f>
        <v>0</v>
      </c>
      <c r="AD93" s="149">
        <f t="shared" si="12"/>
        <v>15683.2</v>
      </c>
      <c r="AE93" s="148">
        <f>INDEX('Master Data'!$D$58:$D$60,MATCH(D93,'Master Data'!$B$58:$B$60,0))</f>
        <v>19577.099999999999</v>
      </c>
      <c r="AF93" s="148">
        <f>INDEX('Master Data'!$E$58:$E$60,MATCH(D93,'Master Data'!$B$58:$B$60,0))</f>
        <v>992.8</v>
      </c>
      <c r="AG93" s="148">
        <f>INDEX('Master Data'!$F$58:$F$60,MATCH(D93,'Master Data'!$B$58:$B$60,0))</f>
        <v>2876.2</v>
      </c>
      <c r="AH93" s="149">
        <f t="shared" si="17"/>
        <v>762026.14999999991</v>
      </c>
      <c r="AI93" s="148">
        <f>ROUND(AH93*('Master Data'!$C$54),2)</f>
        <v>91443.14</v>
      </c>
      <c r="AJ93" s="148">
        <f>ROUND(SUM(AH93:AI93,AK93)*('Master Data'!$E$54),2)</f>
        <v>25569.119999999999</v>
      </c>
      <c r="AK93" s="148">
        <f>ROUND(W93*('Master Data'!$F$54),2)</f>
        <v>0</v>
      </c>
      <c r="AL93" s="149">
        <f t="shared" si="18"/>
        <v>879038.40999999992</v>
      </c>
      <c r="AM93" s="140">
        <f t="shared" si="15"/>
        <v>2533.25</v>
      </c>
      <c r="AN93" s="121"/>
      <c r="AO93" s="121"/>
      <c r="AP93" s="121"/>
      <c r="AQ93" s="121"/>
      <c r="AR93" s="121"/>
      <c r="AS93" s="121"/>
    </row>
    <row r="94" spans="1:45">
      <c r="A94" s="232" t="s">
        <v>435</v>
      </c>
      <c r="B94" s="121" t="str">
        <f t="shared" si="8"/>
        <v xml:space="preserve"> </v>
      </c>
      <c r="C94" s="121" t="str">
        <f t="shared" si="10"/>
        <v xml:space="preserve">Specialty  </v>
      </c>
      <c r="D94" s="121" t="str">
        <f>INDEX('Master Data'!$C$75:$C$299,MATCH(A94,'Master Data'!$B$75:$B$299,0))</f>
        <v>2-3</v>
      </c>
      <c r="E94" s="147">
        <f>INDEX('Master Data'!$C$75:$O$299,MATCH(A94,'Master Data'!$B$75:$B$299,0),MATCH($E$1,'Master Data'!$C$74:$O$74,0))</f>
        <v>0.18</v>
      </c>
      <c r="F94" s="148">
        <f>ROUND(E94*INDEX('Master Data'!$F$4:$K$12,MATCH($E$1,'Master Data'!$E$4:$E$12,0),MATCH(C94,'Master Data'!$F$3:$K$3,0)),2)</f>
        <v>14667.64</v>
      </c>
      <c r="G94" s="147">
        <f>INDEX('Master Data'!$C$75:$O$299,MATCH(A94,'Master Data'!$B$75:$B$299,0),MATCH($G$1,'Master Data'!$C$74:$O$74,0))</f>
        <v>0.66</v>
      </c>
      <c r="H94" s="148">
        <f>ROUND(G94*INDEX('Master Data'!$F$4:$K$12,MATCH($G$1,'Master Data'!$E$4:$E$12,0),MATCH(C94,'Master Data'!$F$3:$K$3,0)),2)</f>
        <v>49615.6</v>
      </c>
      <c r="I94" s="147">
        <f>INDEX('Master Data'!$C$75:$O$299,MATCH(A94,'Master Data'!$B$75:$B$299,0),MATCH($I$1,'Master Data'!$C$74:$O$74,0))</f>
        <v>5.0999999999999996</v>
      </c>
      <c r="J94" s="148">
        <f>ROUND(I94*INDEX('Master Data'!$F$4:$K$12,MATCH($I$1,'Master Data'!$E$4:$E$12,0),MATCH(C94,'Master Data'!$F$3:$K$3,0)),2)</f>
        <v>326399.99</v>
      </c>
      <c r="K94" s="147">
        <f>INDEX('Master Data'!$C$75:$O$299,MATCH(A94,'Master Data'!$B$75:$B$299,0),MATCH($K$1,'Master Data'!$C$74:$O$74,0))</f>
        <v>1.4</v>
      </c>
      <c r="L94" s="148">
        <f>ROUND(K94*INDEX('Master Data'!$F$4:$K$12,MATCH($K$1,'Master Data'!$E$4:$E$12,0),MATCH(C94,'Master Data'!$F$3:$K$3,0)),2)</f>
        <v>89600</v>
      </c>
      <c r="M94" s="147">
        <f>INDEX('Master Data'!$C$75:$O$299,MATCH(A94,'Master Data'!$B$75:$B$299,0),MATCH($M$1,'Master Data'!$C$74:$O$74,0))</f>
        <v>0.96</v>
      </c>
      <c r="N94" s="148">
        <f>ROUND(M94*INDEX('Master Data'!$F$4:$K$12,MATCH($M$1,'Master Data'!$E$4:$E$12,0),MATCH(C94,'Master Data'!$F$3:$K$3,0)),2)</f>
        <v>61440</v>
      </c>
      <c r="O94" s="147">
        <f>INDEX('Master Data'!$C$75:$O$299,MATCH(A94,'Master Data'!$B$75:$B$299,0),MATCH($O$1,'Master Data'!$C$74:$O$74,0))</f>
        <v>0.26</v>
      </c>
      <c r="P94" s="148">
        <f>ROUND(O94*INDEX('Master Data'!$F$4:$K$12,MATCH($O$1,'Master Data'!$E$4:$E$12,0),MATCH(C94,'Master Data'!$F$3:$K$3,0)),2)</f>
        <v>16640</v>
      </c>
      <c r="Q94" s="147">
        <f>INDEX('Master Data'!$C$75:$O$299,MATCH(A94,'Master Data'!$B$75:$B$299,0),MATCH($Q$1,'Master Data'!$C$74:$O$74,0))</f>
        <v>0.12</v>
      </c>
      <c r="R94" s="148">
        <f>ROUND(Q94*INDEX('Master Data'!$F$4:$K$12,MATCH($Q$1,'Master Data'!$E$4:$E$12,0),MATCH(C94,'Master Data'!$F$3:$K$3,0)),2)</f>
        <v>5621.09</v>
      </c>
      <c r="S94" s="147">
        <f>INDEX('Master Data'!$C$75:$O$299,MATCH(A94,'Master Data'!$B$75:$B$299,0),MATCH($S$1,'Master Data'!$C$74:$O$74,0))</f>
        <v>0.1</v>
      </c>
      <c r="T94" s="148">
        <f>ROUND(S94*INDEX('Master Data'!$F$4:$K$12,MATCH($S$1,'Master Data'!$E$4:$E$12,0),MATCH(C94,'Master Data'!$F$3:$K$3,0)),2)</f>
        <v>26912</v>
      </c>
      <c r="U94" s="147">
        <f>INDEX('Master Data'!$C$75:$O$299,MATCH(A94,'Master Data'!$B$75:$B$299,0),MATCH($U$1,'Master Data'!$C$74:$O$74,0))</f>
        <v>0.3</v>
      </c>
      <c r="V94" s="148">
        <f>ROUND(U94*INDEX('Master Data'!$F$4:$K$12,MATCH($U$1,'Master Data'!$E$4:$E$12,0),MATCH(C94,'Master Data'!$F$3:$K$3,0)),2)</f>
        <v>25959.99</v>
      </c>
      <c r="W94" s="149">
        <f t="shared" si="9"/>
        <v>616856.30999999994</v>
      </c>
      <c r="X94" s="148">
        <f>ROUND(W94*('Master Data'!$B$54),2)</f>
        <v>154029.01999999999</v>
      </c>
      <c r="Y94" s="149">
        <f t="shared" si="16"/>
        <v>770885.33</v>
      </c>
      <c r="Z94" s="147">
        <f>52*INDEX('Master Data'!$C$75:$O$299,MATCH(A94,'Master Data'!$B$75:$B$299,0),MATCH($Z$1,'Master Data'!$C$74:$O$74,0))</f>
        <v>208</v>
      </c>
      <c r="AA94" s="148">
        <f>Z94*('Master Data'!$F$15)</f>
        <v>15683.2</v>
      </c>
      <c r="AB94" s="147">
        <f>52*INDEX('Master Data'!$C$75:$O$299,MATCH(A94,'Master Data'!$B$75:$B$299,0),MATCH($AB$1,'Master Data'!$C$74:$O$74,0))</f>
        <v>0</v>
      </c>
      <c r="AC94" s="148">
        <f>AB94*('Master Data'!$F$16)</f>
        <v>0</v>
      </c>
      <c r="AD94" s="149">
        <f t="shared" si="12"/>
        <v>15683.2</v>
      </c>
      <c r="AE94" s="148">
        <f>INDEX('Master Data'!$D$58:$D$60,MATCH(D94,'Master Data'!$B$58:$B$60,0))</f>
        <v>19577.099999999999</v>
      </c>
      <c r="AF94" s="148">
        <f>INDEX('Master Data'!$E$58:$E$60,MATCH(D94,'Master Data'!$B$58:$B$60,0))</f>
        <v>992.8</v>
      </c>
      <c r="AG94" s="148">
        <f>INDEX('Master Data'!$F$58:$F$60,MATCH(D94,'Master Data'!$B$58:$B$60,0))</f>
        <v>2876.2</v>
      </c>
      <c r="AH94" s="149">
        <f t="shared" si="17"/>
        <v>810014.62999999989</v>
      </c>
      <c r="AI94" s="148">
        <f>ROUND(AH94*('Master Data'!$C$54),2)</f>
        <v>97201.76</v>
      </c>
      <c r="AJ94" s="148">
        <f>ROUND(SUM(AH94:AI94,AK94)*('Master Data'!$E$54),2)</f>
        <v>27179.33</v>
      </c>
      <c r="AK94" s="148">
        <f>ROUND(W94*('Master Data'!$F$54),2)</f>
        <v>0</v>
      </c>
      <c r="AL94" s="149">
        <f t="shared" si="18"/>
        <v>934395.71999999986</v>
      </c>
      <c r="AM94" s="140">
        <f t="shared" si="15"/>
        <v>2692.78</v>
      </c>
      <c r="AN94" s="121"/>
      <c r="AO94" s="121"/>
      <c r="AP94" s="121"/>
      <c r="AQ94" s="121"/>
      <c r="AR94" s="121"/>
      <c r="AS94" s="121"/>
    </row>
    <row r="95" spans="1:45">
      <c r="A95" s="232" t="s">
        <v>436</v>
      </c>
      <c r="B95" s="121" t="str">
        <f t="shared" si="8"/>
        <v xml:space="preserve"> </v>
      </c>
      <c r="C95" s="121" t="str">
        <f t="shared" si="10"/>
        <v xml:space="preserve">Specialty  </v>
      </c>
      <c r="D95" s="121" t="str">
        <f>INDEX('Master Data'!$C$75:$C$299,MATCH(A95,'Master Data'!$B$75:$B$299,0))</f>
        <v>2-3</v>
      </c>
      <c r="E95" s="147">
        <f>INDEX('Master Data'!$C$75:$O$299,MATCH(A95,'Master Data'!$B$75:$B$299,0),MATCH($E$1,'Master Data'!$C$74:$O$74,0))</f>
        <v>0.18</v>
      </c>
      <c r="F95" s="148">
        <f>ROUND(E95*INDEX('Master Data'!$F$4:$K$12,MATCH($E$1,'Master Data'!$E$4:$E$12,0),MATCH(C95,'Master Data'!$F$3:$K$3,0)),2)</f>
        <v>14667.64</v>
      </c>
      <c r="G95" s="147">
        <f>INDEX('Master Data'!$C$75:$O$299,MATCH(A95,'Master Data'!$B$75:$B$299,0),MATCH($G$1,'Master Data'!$C$74:$O$74,0))</f>
        <v>0.66</v>
      </c>
      <c r="H95" s="148">
        <f>ROUND(G95*INDEX('Master Data'!$F$4:$K$12,MATCH($G$1,'Master Data'!$E$4:$E$12,0),MATCH(C95,'Master Data'!$F$3:$K$3,0)),2)</f>
        <v>49615.6</v>
      </c>
      <c r="I95" s="147">
        <f>INDEX('Master Data'!$C$75:$O$299,MATCH(A95,'Master Data'!$B$75:$B$299,0),MATCH($I$1,'Master Data'!$C$74:$O$74,0))</f>
        <v>5.6</v>
      </c>
      <c r="J95" s="148">
        <f>ROUND(I95*INDEX('Master Data'!$F$4:$K$12,MATCH($I$1,'Master Data'!$E$4:$E$12,0),MATCH(C95,'Master Data'!$F$3:$K$3,0)),2)</f>
        <v>358399.99</v>
      </c>
      <c r="K95" s="147">
        <f>INDEX('Master Data'!$C$75:$O$299,MATCH(A95,'Master Data'!$B$75:$B$299,0),MATCH($K$1,'Master Data'!$C$74:$O$74,0))</f>
        <v>1.4</v>
      </c>
      <c r="L95" s="148">
        <f>ROUND(K95*INDEX('Master Data'!$F$4:$K$12,MATCH($K$1,'Master Data'!$E$4:$E$12,0),MATCH(C95,'Master Data'!$F$3:$K$3,0)),2)</f>
        <v>89600</v>
      </c>
      <c r="M95" s="147">
        <f>INDEX('Master Data'!$C$75:$O$299,MATCH(A95,'Master Data'!$B$75:$B$299,0),MATCH($M$1,'Master Data'!$C$74:$O$74,0))</f>
        <v>1.05</v>
      </c>
      <c r="N95" s="148">
        <f>ROUND(M95*INDEX('Master Data'!$F$4:$K$12,MATCH($M$1,'Master Data'!$E$4:$E$12,0),MATCH(C95,'Master Data'!$F$3:$K$3,0)),2)</f>
        <v>67200</v>
      </c>
      <c r="O95" s="147">
        <f>INDEX('Master Data'!$C$75:$O$299,MATCH(A95,'Master Data'!$B$75:$B$299,0),MATCH($O$1,'Master Data'!$C$74:$O$74,0))</f>
        <v>0.26</v>
      </c>
      <c r="P95" s="148">
        <f>ROUND(O95*INDEX('Master Data'!$F$4:$K$12,MATCH($O$1,'Master Data'!$E$4:$E$12,0),MATCH(C95,'Master Data'!$F$3:$K$3,0)),2)</f>
        <v>16640</v>
      </c>
      <c r="Q95" s="147">
        <f>INDEX('Master Data'!$C$75:$O$299,MATCH(A95,'Master Data'!$B$75:$B$299,0),MATCH($Q$1,'Master Data'!$C$74:$O$74,0))</f>
        <v>0.12</v>
      </c>
      <c r="R95" s="148">
        <f>ROUND(Q95*INDEX('Master Data'!$F$4:$K$12,MATCH($Q$1,'Master Data'!$E$4:$E$12,0),MATCH(C95,'Master Data'!$F$3:$K$3,0)),2)</f>
        <v>5621.09</v>
      </c>
      <c r="S95" s="147">
        <f>INDEX('Master Data'!$C$75:$O$299,MATCH(A95,'Master Data'!$B$75:$B$299,0),MATCH($S$1,'Master Data'!$C$74:$O$74,0))</f>
        <v>0.1</v>
      </c>
      <c r="T95" s="148">
        <f>ROUND(S95*INDEX('Master Data'!$F$4:$K$12,MATCH($S$1,'Master Data'!$E$4:$E$12,0),MATCH(C95,'Master Data'!$F$3:$K$3,0)),2)</f>
        <v>26912</v>
      </c>
      <c r="U95" s="147">
        <f>INDEX('Master Data'!$C$75:$O$299,MATCH(A95,'Master Data'!$B$75:$B$299,0),MATCH($U$1,'Master Data'!$C$74:$O$74,0))</f>
        <v>0.3</v>
      </c>
      <c r="V95" s="148">
        <f>ROUND(U95*INDEX('Master Data'!$F$4:$K$12,MATCH($U$1,'Master Data'!$E$4:$E$12,0),MATCH(C95,'Master Data'!$F$3:$K$3,0)),2)</f>
        <v>25959.99</v>
      </c>
      <c r="W95" s="149">
        <f t="shared" si="9"/>
        <v>654616.30999999994</v>
      </c>
      <c r="X95" s="148">
        <f>ROUND(W95*('Master Data'!$B$54),2)</f>
        <v>163457.69</v>
      </c>
      <c r="Y95" s="149">
        <f t="shared" si="16"/>
        <v>818074</v>
      </c>
      <c r="Z95" s="147">
        <f>52*INDEX('Master Data'!$C$75:$O$299,MATCH(A95,'Master Data'!$B$75:$B$299,0),MATCH($Z$1,'Master Data'!$C$74:$O$74,0))</f>
        <v>208</v>
      </c>
      <c r="AA95" s="148">
        <f>Z95*('Master Data'!$F$15)</f>
        <v>15683.2</v>
      </c>
      <c r="AB95" s="147">
        <f>52*INDEX('Master Data'!$C$75:$O$299,MATCH(A95,'Master Data'!$B$75:$B$299,0),MATCH($AB$1,'Master Data'!$C$74:$O$74,0))</f>
        <v>0</v>
      </c>
      <c r="AC95" s="148">
        <f>AB95*('Master Data'!$F$16)</f>
        <v>0</v>
      </c>
      <c r="AD95" s="149">
        <f t="shared" si="12"/>
        <v>15683.2</v>
      </c>
      <c r="AE95" s="148">
        <f>INDEX('Master Data'!$D$58:$D$60,MATCH(D95,'Master Data'!$B$58:$B$60,0))</f>
        <v>19577.099999999999</v>
      </c>
      <c r="AF95" s="148">
        <f>INDEX('Master Data'!$E$58:$E$60,MATCH(D95,'Master Data'!$B$58:$B$60,0))</f>
        <v>992.8</v>
      </c>
      <c r="AG95" s="148">
        <f>INDEX('Master Data'!$F$58:$F$60,MATCH(D95,'Master Data'!$B$58:$B$60,0))</f>
        <v>2876.2</v>
      </c>
      <c r="AH95" s="149">
        <f t="shared" si="17"/>
        <v>857203.29999999993</v>
      </c>
      <c r="AI95" s="148">
        <f>ROUND(AH95*('Master Data'!$C$54),2)</f>
        <v>102864.4</v>
      </c>
      <c r="AJ95" s="148">
        <f>ROUND(SUM(AH95:AI95,AK95)*('Master Data'!$E$54),2)</f>
        <v>28762.71</v>
      </c>
      <c r="AK95" s="148">
        <f>ROUND(W95*('Master Data'!$F$54),2)</f>
        <v>0</v>
      </c>
      <c r="AL95" s="149">
        <f t="shared" si="18"/>
        <v>988830.40999999992</v>
      </c>
      <c r="AM95" s="140">
        <f t="shared" si="15"/>
        <v>2849.66</v>
      </c>
      <c r="AN95" s="121"/>
      <c r="AO95" s="121"/>
      <c r="AP95" s="121"/>
      <c r="AQ95" s="121"/>
      <c r="AR95" s="121"/>
      <c r="AS95" s="121"/>
    </row>
    <row r="96" spans="1:45">
      <c r="A96" s="232" t="s">
        <v>437</v>
      </c>
      <c r="B96" s="121" t="str">
        <f t="shared" si="8"/>
        <v xml:space="preserve"> </v>
      </c>
      <c r="C96" s="121" t="str">
        <f t="shared" si="10"/>
        <v xml:space="preserve">Specialty  </v>
      </c>
      <c r="D96" s="121" t="str">
        <f>INDEX('Master Data'!$C$75:$C$299,MATCH(A96,'Master Data'!$B$75:$B$299,0))</f>
        <v>2-3</v>
      </c>
      <c r="E96" s="147">
        <f>INDEX('Master Data'!$C$75:$O$299,MATCH(A96,'Master Data'!$B$75:$B$299,0),MATCH($E$1,'Master Data'!$C$74:$O$74,0))</f>
        <v>0.18</v>
      </c>
      <c r="F96" s="148">
        <f>ROUND(E96*INDEX('Master Data'!$F$4:$K$12,MATCH($E$1,'Master Data'!$E$4:$E$12,0),MATCH(C96,'Master Data'!$F$3:$K$3,0)),2)</f>
        <v>14667.64</v>
      </c>
      <c r="G96" s="147">
        <f>INDEX('Master Data'!$C$75:$O$299,MATCH(A96,'Master Data'!$B$75:$B$299,0),MATCH($G$1,'Master Data'!$C$74:$O$74,0))</f>
        <v>0.66</v>
      </c>
      <c r="H96" s="148">
        <f>ROUND(G96*INDEX('Master Data'!$F$4:$K$12,MATCH($G$1,'Master Data'!$E$4:$E$12,0),MATCH(C96,'Master Data'!$F$3:$K$3,0)),2)</f>
        <v>49615.6</v>
      </c>
      <c r="I96" s="147">
        <f>INDEX('Master Data'!$C$75:$O$299,MATCH(A96,'Master Data'!$B$75:$B$299,0),MATCH($I$1,'Master Data'!$C$74:$O$74,0))</f>
        <v>6.1</v>
      </c>
      <c r="J96" s="148">
        <f>ROUND(I96*INDEX('Master Data'!$F$4:$K$12,MATCH($I$1,'Master Data'!$E$4:$E$12,0),MATCH(C96,'Master Data'!$F$3:$K$3,0)),2)</f>
        <v>390399.99</v>
      </c>
      <c r="K96" s="147">
        <f>INDEX('Master Data'!$C$75:$O$299,MATCH(A96,'Master Data'!$B$75:$B$299,0),MATCH($K$1,'Master Data'!$C$74:$O$74,0))</f>
        <v>1.4</v>
      </c>
      <c r="L96" s="148">
        <f>ROUND(K96*INDEX('Master Data'!$F$4:$K$12,MATCH($K$1,'Master Data'!$E$4:$E$12,0),MATCH(C96,'Master Data'!$F$3:$K$3,0)),2)</f>
        <v>89600</v>
      </c>
      <c r="M96" s="147">
        <f>INDEX('Master Data'!$C$75:$O$299,MATCH(A96,'Master Data'!$B$75:$B$299,0),MATCH($M$1,'Master Data'!$C$74:$O$74,0))</f>
        <v>1.1499999999999999</v>
      </c>
      <c r="N96" s="148">
        <f>ROUND(M96*INDEX('Master Data'!$F$4:$K$12,MATCH($M$1,'Master Data'!$E$4:$E$12,0),MATCH(C96,'Master Data'!$F$3:$K$3,0)),2)</f>
        <v>73600</v>
      </c>
      <c r="O96" s="147">
        <f>INDEX('Master Data'!$C$75:$O$299,MATCH(A96,'Master Data'!$B$75:$B$299,0),MATCH($O$1,'Master Data'!$C$74:$O$74,0))</f>
        <v>0.26</v>
      </c>
      <c r="P96" s="148">
        <f>ROUND(O96*INDEX('Master Data'!$F$4:$K$12,MATCH($O$1,'Master Data'!$E$4:$E$12,0),MATCH(C96,'Master Data'!$F$3:$K$3,0)),2)</f>
        <v>16640</v>
      </c>
      <c r="Q96" s="147">
        <f>INDEX('Master Data'!$C$75:$O$299,MATCH(A96,'Master Data'!$B$75:$B$299,0),MATCH($Q$1,'Master Data'!$C$74:$O$74,0))</f>
        <v>0.12</v>
      </c>
      <c r="R96" s="148">
        <f>ROUND(Q96*INDEX('Master Data'!$F$4:$K$12,MATCH($Q$1,'Master Data'!$E$4:$E$12,0),MATCH(C96,'Master Data'!$F$3:$K$3,0)),2)</f>
        <v>5621.09</v>
      </c>
      <c r="S96" s="147">
        <f>INDEX('Master Data'!$C$75:$O$299,MATCH(A96,'Master Data'!$B$75:$B$299,0),MATCH($S$1,'Master Data'!$C$74:$O$74,0))</f>
        <v>0.1</v>
      </c>
      <c r="T96" s="148">
        <f>ROUND(S96*INDEX('Master Data'!$F$4:$K$12,MATCH($S$1,'Master Data'!$E$4:$E$12,0),MATCH(C96,'Master Data'!$F$3:$K$3,0)),2)</f>
        <v>26912</v>
      </c>
      <c r="U96" s="147">
        <f>INDEX('Master Data'!$C$75:$O$299,MATCH(A96,'Master Data'!$B$75:$B$299,0),MATCH($U$1,'Master Data'!$C$74:$O$74,0))</f>
        <v>0.3</v>
      </c>
      <c r="V96" s="148">
        <f>ROUND(U96*INDEX('Master Data'!$F$4:$K$12,MATCH($U$1,'Master Data'!$E$4:$E$12,0),MATCH(C96,'Master Data'!$F$3:$K$3,0)),2)</f>
        <v>25959.99</v>
      </c>
      <c r="W96" s="149">
        <f t="shared" si="9"/>
        <v>693016.30999999994</v>
      </c>
      <c r="X96" s="148">
        <f>ROUND(W96*('Master Data'!$B$54),2)</f>
        <v>173046.17</v>
      </c>
      <c r="Y96" s="149">
        <f t="shared" si="16"/>
        <v>866062.48</v>
      </c>
      <c r="Z96" s="147">
        <f>52*INDEX('Master Data'!$C$75:$O$299,MATCH(A96,'Master Data'!$B$75:$B$299,0),MATCH($Z$1,'Master Data'!$C$74:$O$74,0))</f>
        <v>208</v>
      </c>
      <c r="AA96" s="148">
        <f>Z96*('Master Data'!$F$15)</f>
        <v>15683.2</v>
      </c>
      <c r="AB96" s="147">
        <f>52*INDEX('Master Data'!$C$75:$O$299,MATCH(A96,'Master Data'!$B$75:$B$299,0),MATCH($AB$1,'Master Data'!$C$74:$O$74,0))</f>
        <v>0</v>
      </c>
      <c r="AC96" s="148">
        <f>AB96*('Master Data'!$F$16)</f>
        <v>0</v>
      </c>
      <c r="AD96" s="149">
        <f t="shared" si="12"/>
        <v>15683.2</v>
      </c>
      <c r="AE96" s="148">
        <f>INDEX('Master Data'!$D$58:$D$60,MATCH(D96,'Master Data'!$B$58:$B$60,0))</f>
        <v>19577.099999999999</v>
      </c>
      <c r="AF96" s="148">
        <f>INDEX('Master Data'!$E$58:$E$60,MATCH(D96,'Master Data'!$B$58:$B$60,0))</f>
        <v>992.8</v>
      </c>
      <c r="AG96" s="148">
        <f>INDEX('Master Data'!$F$58:$F$60,MATCH(D96,'Master Data'!$B$58:$B$60,0))</f>
        <v>2876.2</v>
      </c>
      <c r="AH96" s="149">
        <f t="shared" si="17"/>
        <v>905191.77999999991</v>
      </c>
      <c r="AI96" s="148">
        <f>ROUND(AH96*('Master Data'!$C$54),2)</f>
        <v>108623.01</v>
      </c>
      <c r="AJ96" s="148">
        <f>ROUND(SUM(AH96:AI96,AK96)*('Master Data'!$E$54),2)</f>
        <v>30372.92</v>
      </c>
      <c r="AK96" s="148">
        <f>ROUND(W96*('Master Data'!$F$54),2)</f>
        <v>0</v>
      </c>
      <c r="AL96" s="149">
        <f t="shared" si="18"/>
        <v>1044187.71</v>
      </c>
      <c r="AM96" s="140">
        <f t="shared" si="15"/>
        <v>3009.19</v>
      </c>
      <c r="AN96" s="121"/>
      <c r="AO96" s="121"/>
      <c r="AP96" s="121"/>
      <c r="AQ96" s="121"/>
      <c r="AR96" s="121"/>
      <c r="AS96" s="121"/>
    </row>
    <row r="97" spans="1:45">
      <c r="A97" s="232" t="s">
        <v>438</v>
      </c>
      <c r="B97" s="121" t="str">
        <f t="shared" si="8"/>
        <v xml:space="preserve"> </v>
      </c>
      <c r="C97" s="121" t="str">
        <f t="shared" si="10"/>
        <v xml:space="preserve">Specialty  </v>
      </c>
      <c r="D97" s="121" t="str">
        <f>INDEX('Master Data'!$C$75:$C$299,MATCH(A97,'Master Data'!$B$75:$B$299,0))</f>
        <v>2-3</v>
      </c>
      <c r="E97" s="147">
        <f>INDEX('Master Data'!$C$75:$O$299,MATCH(A97,'Master Data'!$B$75:$B$299,0),MATCH($E$1,'Master Data'!$C$74:$O$74,0))</f>
        <v>0.18</v>
      </c>
      <c r="F97" s="148">
        <f>ROUND(E97*INDEX('Master Data'!$F$4:$K$12,MATCH($E$1,'Master Data'!$E$4:$E$12,0),MATCH(C97,'Master Data'!$F$3:$K$3,0)),2)</f>
        <v>14667.64</v>
      </c>
      <c r="G97" s="147">
        <f>INDEX('Master Data'!$C$75:$O$299,MATCH(A97,'Master Data'!$B$75:$B$299,0),MATCH($G$1,'Master Data'!$C$74:$O$74,0))</f>
        <v>0.66</v>
      </c>
      <c r="H97" s="148">
        <f>ROUND(G97*INDEX('Master Data'!$F$4:$K$12,MATCH($G$1,'Master Data'!$E$4:$E$12,0),MATCH(C97,'Master Data'!$F$3:$K$3,0)),2)</f>
        <v>49615.6</v>
      </c>
      <c r="I97" s="147">
        <f>INDEX('Master Data'!$C$75:$O$299,MATCH(A97,'Master Data'!$B$75:$B$299,0),MATCH($I$1,'Master Data'!$C$74:$O$74,0))</f>
        <v>6.6</v>
      </c>
      <c r="J97" s="148">
        <f>ROUND(I97*INDEX('Master Data'!$F$4:$K$12,MATCH($I$1,'Master Data'!$E$4:$E$12,0),MATCH(C97,'Master Data'!$F$3:$K$3,0)),2)</f>
        <v>422399.99</v>
      </c>
      <c r="K97" s="147">
        <f>INDEX('Master Data'!$C$75:$O$299,MATCH(A97,'Master Data'!$B$75:$B$299,0),MATCH($K$1,'Master Data'!$C$74:$O$74,0))</f>
        <v>1.4</v>
      </c>
      <c r="L97" s="148">
        <f>ROUND(K97*INDEX('Master Data'!$F$4:$K$12,MATCH($K$1,'Master Data'!$E$4:$E$12,0),MATCH(C97,'Master Data'!$F$3:$K$3,0)),2)</f>
        <v>89600</v>
      </c>
      <c r="M97" s="147">
        <f>INDEX('Master Data'!$C$75:$O$299,MATCH(A97,'Master Data'!$B$75:$B$299,0),MATCH($M$1,'Master Data'!$C$74:$O$74,0))</f>
        <v>1.24</v>
      </c>
      <c r="N97" s="148">
        <f>ROUND(M97*INDEX('Master Data'!$F$4:$K$12,MATCH($M$1,'Master Data'!$E$4:$E$12,0),MATCH(C97,'Master Data'!$F$3:$K$3,0)),2)</f>
        <v>79360</v>
      </c>
      <c r="O97" s="147">
        <f>INDEX('Master Data'!$C$75:$O$299,MATCH(A97,'Master Data'!$B$75:$B$299,0),MATCH($O$1,'Master Data'!$C$74:$O$74,0))</f>
        <v>0.26</v>
      </c>
      <c r="P97" s="148">
        <f>ROUND(O97*INDEX('Master Data'!$F$4:$K$12,MATCH($O$1,'Master Data'!$E$4:$E$12,0),MATCH(C97,'Master Data'!$F$3:$K$3,0)),2)</f>
        <v>16640</v>
      </c>
      <c r="Q97" s="147">
        <f>INDEX('Master Data'!$C$75:$O$299,MATCH(A97,'Master Data'!$B$75:$B$299,0),MATCH($Q$1,'Master Data'!$C$74:$O$74,0))</f>
        <v>0.12</v>
      </c>
      <c r="R97" s="148">
        <f>ROUND(Q97*INDEX('Master Data'!$F$4:$K$12,MATCH($Q$1,'Master Data'!$E$4:$E$12,0),MATCH(C97,'Master Data'!$F$3:$K$3,0)),2)</f>
        <v>5621.09</v>
      </c>
      <c r="S97" s="147">
        <f>INDEX('Master Data'!$C$75:$O$299,MATCH(A97,'Master Data'!$B$75:$B$299,0),MATCH($S$1,'Master Data'!$C$74:$O$74,0))</f>
        <v>0.1</v>
      </c>
      <c r="T97" s="148">
        <f>ROUND(S97*INDEX('Master Data'!$F$4:$K$12,MATCH($S$1,'Master Data'!$E$4:$E$12,0),MATCH(C97,'Master Data'!$F$3:$K$3,0)),2)</f>
        <v>26912</v>
      </c>
      <c r="U97" s="147">
        <f>INDEX('Master Data'!$C$75:$O$299,MATCH(A97,'Master Data'!$B$75:$B$299,0),MATCH($U$1,'Master Data'!$C$74:$O$74,0))</f>
        <v>0.3</v>
      </c>
      <c r="V97" s="148">
        <f>ROUND(U97*INDEX('Master Data'!$F$4:$K$12,MATCH($U$1,'Master Data'!$E$4:$E$12,0),MATCH(C97,'Master Data'!$F$3:$K$3,0)),2)</f>
        <v>25959.99</v>
      </c>
      <c r="W97" s="149">
        <f t="shared" si="9"/>
        <v>730776.30999999994</v>
      </c>
      <c r="X97" s="148">
        <f>ROUND(W97*('Master Data'!$B$54),2)</f>
        <v>182474.84</v>
      </c>
      <c r="Y97" s="149">
        <f t="shared" si="16"/>
        <v>913251.14999999991</v>
      </c>
      <c r="Z97" s="147">
        <f>52*INDEX('Master Data'!$C$75:$O$299,MATCH(A97,'Master Data'!$B$75:$B$299,0),MATCH($Z$1,'Master Data'!$C$74:$O$74,0))</f>
        <v>208</v>
      </c>
      <c r="AA97" s="148">
        <f>Z97*('Master Data'!$F$15)</f>
        <v>15683.2</v>
      </c>
      <c r="AB97" s="147">
        <f>52*INDEX('Master Data'!$C$75:$O$299,MATCH(A97,'Master Data'!$B$75:$B$299,0),MATCH($AB$1,'Master Data'!$C$74:$O$74,0))</f>
        <v>0</v>
      </c>
      <c r="AC97" s="148">
        <f>AB97*('Master Data'!$F$16)</f>
        <v>0</v>
      </c>
      <c r="AD97" s="149">
        <f t="shared" si="12"/>
        <v>15683.2</v>
      </c>
      <c r="AE97" s="148">
        <f>INDEX('Master Data'!$D$58:$D$60,MATCH(D97,'Master Data'!$B$58:$B$60,0))</f>
        <v>19577.099999999999</v>
      </c>
      <c r="AF97" s="148">
        <f>INDEX('Master Data'!$E$58:$E$60,MATCH(D97,'Master Data'!$B$58:$B$60,0))</f>
        <v>992.8</v>
      </c>
      <c r="AG97" s="148">
        <f>INDEX('Master Data'!$F$58:$F$60,MATCH(D97,'Master Data'!$B$58:$B$60,0))</f>
        <v>2876.2</v>
      </c>
      <c r="AH97" s="149">
        <f t="shared" si="17"/>
        <v>952380.44999999984</v>
      </c>
      <c r="AI97" s="148">
        <f>ROUND(AH97*('Master Data'!$C$54),2)</f>
        <v>114285.65</v>
      </c>
      <c r="AJ97" s="148">
        <f>ROUND(SUM(AH97:AI97,AK97)*('Master Data'!$E$54),2)</f>
        <v>31956.29</v>
      </c>
      <c r="AK97" s="148">
        <f>ROUND(W97*('Master Data'!$F$54),2)</f>
        <v>0</v>
      </c>
      <c r="AL97" s="149">
        <f t="shared" si="18"/>
        <v>1098622.3899999999</v>
      </c>
      <c r="AM97" s="140">
        <f t="shared" si="15"/>
        <v>3166.06</v>
      </c>
      <c r="AN97" s="121"/>
      <c r="AO97" s="121"/>
      <c r="AP97" s="121"/>
      <c r="AQ97" s="121"/>
      <c r="AR97" s="121"/>
      <c r="AS97" s="121"/>
    </row>
    <row r="98" spans="1:45">
      <c r="A98" s="232" t="s">
        <v>439</v>
      </c>
      <c r="B98" s="121" t="str">
        <f t="shared" si="8"/>
        <v xml:space="preserve"> </v>
      </c>
      <c r="C98" s="121" t="str">
        <f t="shared" si="10"/>
        <v xml:space="preserve">Specialty  </v>
      </c>
      <c r="D98" s="121" t="str">
        <f>INDEX('Master Data'!$C$75:$C$299,MATCH(A98,'Master Data'!$B$75:$B$299,0))</f>
        <v>2-3</v>
      </c>
      <c r="E98" s="147">
        <f>INDEX('Master Data'!$C$75:$O$299,MATCH(A98,'Master Data'!$B$75:$B$299,0),MATCH($E$1,'Master Data'!$C$74:$O$74,0))</f>
        <v>0.18</v>
      </c>
      <c r="F98" s="148">
        <f>ROUND(E98*INDEX('Master Data'!$F$4:$K$12,MATCH($E$1,'Master Data'!$E$4:$E$12,0),MATCH(C98,'Master Data'!$F$3:$K$3,0)),2)</f>
        <v>14667.64</v>
      </c>
      <c r="G98" s="147">
        <f>INDEX('Master Data'!$C$75:$O$299,MATCH(A98,'Master Data'!$B$75:$B$299,0),MATCH($G$1,'Master Data'!$C$74:$O$74,0))</f>
        <v>0.66</v>
      </c>
      <c r="H98" s="148">
        <f>ROUND(G98*INDEX('Master Data'!$F$4:$K$12,MATCH($G$1,'Master Data'!$E$4:$E$12,0),MATCH(C98,'Master Data'!$F$3:$K$3,0)),2)</f>
        <v>49615.6</v>
      </c>
      <c r="I98" s="147">
        <f>INDEX('Master Data'!$C$75:$O$299,MATCH(A98,'Master Data'!$B$75:$B$299,0),MATCH($I$1,'Master Data'!$C$74:$O$74,0))</f>
        <v>7.1</v>
      </c>
      <c r="J98" s="148">
        <f>ROUND(I98*INDEX('Master Data'!$F$4:$K$12,MATCH($I$1,'Master Data'!$E$4:$E$12,0),MATCH(C98,'Master Data'!$F$3:$K$3,0)),2)</f>
        <v>454399.99</v>
      </c>
      <c r="K98" s="147">
        <f>INDEX('Master Data'!$C$75:$O$299,MATCH(A98,'Master Data'!$B$75:$B$299,0),MATCH($K$1,'Master Data'!$C$74:$O$74,0))</f>
        <v>1.4</v>
      </c>
      <c r="L98" s="148">
        <f>ROUND(K98*INDEX('Master Data'!$F$4:$K$12,MATCH($K$1,'Master Data'!$E$4:$E$12,0),MATCH(C98,'Master Data'!$F$3:$K$3,0)),2)</f>
        <v>89600</v>
      </c>
      <c r="M98" s="147">
        <f>INDEX('Master Data'!$C$75:$O$299,MATCH(A98,'Master Data'!$B$75:$B$299,0),MATCH($M$1,'Master Data'!$C$74:$O$74,0))</f>
        <v>1.33</v>
      </c>
      <c r="N98" s="148">
        <f>ROUND(M98*INDEX('Master Data'!$F$4:$K$12,MATCH($M$1,'Master Data'!$E$4:$E$12,0),MATCH(C98,'Master Data'!$F$3:$K$3,0)),2)</f>
        <v>85120</v>
      </c>
      <c r="O98" s="147">
        <f>INDEX('Master Data'!$C$75:$O$299,MATCH(A98,'Master Data'!$B$75:$B$299,0),MATCH($O$1,'Master Data'!$C$74:$O$74,0))</f>
        <v>0.26</v>
      </c>
      <c r="P98" s="148">
        <f>ROUND(O98*INDEX('Master Data'!$F$4:$K$12,MATCH($O$1,'Master Data'!$E$4:$E$12,0),MATCH(C98,'Master Data'!$F$3:$K$3,0)),2)</f>
        <v>16640</v>
      </c>
      <c r="Q98" s="147">
        <f>INDEX('Master Data'!$C$75:$O$299,MATCH(A98,'Master Data'!$B$75:$B$299,0),MATCH($Q$1,'Master Data'!$C$74:$O$74,0))</f>
        <v>0.12</v>
      </c>
      <c r="R98" s="148">
        <f>ROUND(Q98*INDEX('Master Data'!$F$4:$K$12,MATCH($Q$1,'Master Data'!$E$4:$E$12,0),MATCH(C98,'Master Data'!$F$3:$K$3,0)),2)</f>
        <v>5621.09</v>
      </c>
      <c r="S98" s="147">
        <f>INDEX('Master Data'!$C$75:$O$299,MATCH(A98,'Master Data'!$B$75:$B$299,0),MATCH($S$1,'Master Data'!$C$74:$O$74,0))</f>
        <v>0.1</v>
      </c>
      <c r="T98" s="148">
        <f>ROUND(S98*INDEX('Master Data'!$F$4:$K$12,MATCH($S$1,'Master Data'!$E$4:$E$12,0),MATCH(C98,'Master Data'!$F$3:$K$3,0)),2)</f>
        <v>26912</v>
      </c>
      <c r="U98" s="147">
        <f>INDEX('Master Data'!$C$75:$O$299,MATCH(A98,'Master Data'!$B$75:$B$299,0),MATCH($U$1,'Master Data'!$C$74:$O$74,0))</f>
        <v>0.3</v>
      </c>
      <c r="V98" s="148">
        <f>ROUND(U98*INDEX('Master Data'!$F$4:$K$12,MATCH($U$1,'Master Data'!$E$4:$E$12,0),MATCH(C98,'Master Data'!$F$3:$K$3,0)),2)</f>
        <v>25959.99</v>
      </c>
      <c r="W98" s="149">
        <f t="shared" si="9"/>
        <v>768536.30999999994</v>
      </c>
      <c r="X98" s="148">
        <f>ROUND(W98*('Master Data'!$B$54),2)</f>
        <v>191903.52</v>
      </c>
      <c r="Y98" s="149">
        <f t="shared" si="16"/>
        <v>960439.83</v>
      </c>
      <c r="Z98" s="147">
        <f>52*INDEX('Master Data'!$C$75:$O$299,MATCH(A98,'Master Data'!$B$75:$B$299,0),MATCH($Z$1,'Master Data'!$C$74:$O$74,0))</f>
        <v>208</v>
      </c>
      <c r="AA98" s="148">
        <f>Z98*('Master Data'!$F$15)</f>
        <v>15683.2</v>
      </c>
      <c r="AB98" s="147">
        <f>52*INDEX('Master Data'!$C$75:$O$299,MATCH(A98,'Master Data'!$B$75:$B$299,0),MATCH($AB$1,'Master Data'!$C$74:$O$74,0))</f>
        <v>0</v>
      </c>
      <c r="AC98" s="148">
        <f>AB98*('Master Data'!$F$16)</f>
        <v>0</v>
      </c>
      <c r="AD98" s="149">
        <f t="shared" si="12"/>
        <v>15683.2</v>
      </c>
      <c r="AE98" s="148">
        <f>INDEX('Master Data'!$D$58:$D$60,MATCH(D98,'Master Data'!$B$58:$B$60,0))</f>
        <v>19577.099999999999</v>
      </c>
      <c r="AF98" s="148">
        <f>INDEX('Master Data'!$E$58:$E$60,MATCH(D98,'Master Data'!$B$58:$B$60,0))</f>
        <v>992.8</v>
      </c>
      <c r="AG98" s="148">
        <f>INDEX('Master Data'!$F$58:$F$60,MATCH(D98,'Master Data'!$B$58:$B$60,0))</f>
        <v>2876.2</v>
      </c>
      <c r="AH98" s="149">
        <f t="shared" si="17"/>
        <v>999569.12999999989</v>
      </c>
      <c r="AI98" s="148">
        <f>ROUND(AH98*('Master Data'!$C$54),2)</f>
        <v>119948.3</v>
      </c>
      <c r="AJ98" s="148">
        <f>ROUND(SUM(AH98:AI98,AK98)*('Master Data'!$E$54),2)</f>
        <v>33539.67</v>
      </c>
      <c r="AK98" s="148">
        <f>ROUND(W98*('Master Data'!$F$54),2)</f>
        <v>0</v>
      </c>
      <c r="AL98" s="149">
        <f t="shared" si="18"/>
        <v>1153057.0999999999</v>
      </c>
      <c r="AM98" s="140">
        <f t="shared" si="15"/>
        <v>3322.93</v>
      </c>
      <c r="AN98" s="121"/>
      <c r="AO98" s="121"/>
      <c r="AP98" s="121"/>
      <c r="AQ98" s="121"/>
      <c r="AR98" s="121"/>
      <c r="AS98" s="121"/>
    </row>
    <row r="99" spans="1:45">
      <c r="A99" s="232" t="s">
        <v>440</v>
      </c>
      <c r="B99" s="121" t="str">
        <f t="shared" si="8"/>
        <v xml:space="preserve"> </v>
      </c>
      <c r="C99" s="121" t="str">
        <f t="shared" si="10"/>
        <v xml:space="preserve">Specialty  </v>
      </c>
      <c r="D99" s="121" t="str">
        <f>INDEX('Master Data'!$C$75:$C$299,MATCH(A99,'Master Data'!$B$75:$B$299,0))</f>
        <v>2-3</v>
      </c>
      <c r="E99" s="147">
        <f>INDEX('Master Data'!$C$75:$O$299,MATCH(A99,'Master Data'!$B$75:$B$299,0),MATCH($E$1,'Master Data'!$C$74:$O$74,0))</f>
        <v>0.18</v>
      </c>
      <c r="F99" s="148">
        <f>ROUND(E99*INDEX('Master Data'!$F$4:$K$12,MATCH($E$1,'Master Data'!$E$4:$E$12,0),MATCH(C99,'Master Data'!$F$3:$K$3,0)),2)</f>
        <v>14667.64</v>
      </c>
      <c r="G99" s="147">
        <f>INDEX('Master Data'!$C$75:$O$299,MATCH(A99,'Master Data'!$B$75:$B$299,0),MATCH($G$1,'Master Data'!$C$74:$O$74,0))</f>
        <v>0.66</v>
      </c>
      <c r="H99" s="148">
        <f>ROUND(G99*INDEX('Master Data'!$F$4:$K$12,MATCH($G$1,'Master Data'!$E$4:$E$12,0),MATCH(C99,'Master Data'!$F$3:$K$3,0)),2)</f>
        <v>49615.6</v>
      </c>
      <c r="I99" s="147">
        <f>INDEX('Master Data'!$C$75:$O$299,MATCH(A99,'Master Data'!$B$75:$B$299,0),MATCH($I$1,'Master Data'!$C$74:$O$74,0))</f>
        <v>7.6</v>
      </c>
      <c r="J99" s="148">
        <f>ROUND(I99*INDEX('Master Data'!$F$4:$K$12,MATCH($I$1,'Master Data'!$E$4:$E$12,0),MATCH(C99,'Master Data'!$F$3:$K$3,0)),2)</f>
        <v>486399.99</v>
      </c>
      <c r="K99" s="147">
        <f>INDEX('Master Data'!$C$75:$O$299,MATCH(A99,'Master Data'!$B$75:$B$299,0),MATCH($K$1,'Master Data'!$C$74:$O$74,0))</f>
        <v>1.4</v>
      </c>
      <c r="L99" s="148">
        <f>ROUND(K99*INDEX('Master Data'!$F$4:$K$12,MATCH($K$1,'Master Data'!$E$4:$E$12,0),MATCH(C99,'Master Data'!$F$3:$K$3,0)),2)</f>
        <v>89600</v>
      </c>
      <c r="M99" s="147">
        <f>INDEX('Master Data'!$C$75:$O$299,MATCH(A99,'Master Data'!$B$75:$B$299,0),MATCH($M$1,'Master Data'!$C$74:$O$74,0))</f>
        <v>1.43</v>
      </c>
      <c r="N99" s="148">
        <f>ROUND(M99*INDEX('Master Data'!$F$4:$K$12,MATCH($M$1,'Master Data'!$E$4:$E$12,0),MATCH(C99,'Master Data'!$F$3:$K$3,0)),2)</f>
        <v>91520</v>
      </c>
      <c r="O99" s="147">
        <f>INDEX('Master Data'!$C$75:$O$299,MATCH(A99,'Master Data'!$B$75:$B$299,0),MATCH($O$1,'Master Data'!$C$74:$O$74,0))</f>
        <v>0.26</v>
      </c>
      <c r="P99" s="148">
        <f>ROUND(O99*INDEX('Master Data'!$F$4:$K$12,MATCH($O$1,'Master Data'!$E$4:$E$12,0),MATCH(C99,'Master Data'!$F$3:$K$3,0)),2)</f>
        <v>16640</v>
      </c>
      <c r="Q99" s="147">
        <f>INDEX('Master Data'!$C$75:$O$299,MATCH(A99,'Master Data'!$B$75:$B$299,0),MATCH($Q$1,'Master Data'!$C$74:$O$74,0))</f>
        <v>0.12</v>
      </c>
      <c r="R99" s="148">
        <f>ROUND(Q99*INDEX('Master Data'!$F$4:$K$12,MATCH($Q$1,'Master Data'!$E$4:$E$12,0),MATCH(C99,'Master Data'!$F$3:$K$3,0)),2)</f>
        <v>5621.09</v>
      </c>
      <c r="S99" s="147">
        <f>INDEX('Master Data'!$C$75:$O$299,MATCH(A99,'Master Data'!$B$75:$B$299,0),MATCH($S$1,'Master Data'!$C$74:$O$74,0))</f>
        <v>0.1</v>
      </c>
      <c r="T99" s="148">
        <f>ROUND(S99*INDEX('Master Data'!$F$4:$K$12,MATCH($S$1,'Master Data'!$E$4:$E$12,0),MATCH(C99,'Master Data'!$F$3:$K$3,0)),2)</f>
        <v>26912</v>
      </c>
      <c r="U99" s="147">
        <f>INDEX('Master Data'!$C$75:$O$299,MATCH(A99,'Master Data'!$B$75:$B$299,0),MATCH($U$1,'Master Data'!$C$74:$O$74,0))</f>
        <v>0.3</v>
      </c>
      <c r="V99" s="148">
        <f>ROUND(U99*INDEX('Master Data'!$F$4:$K$12,MATCH($U$1,'Master Data'!$E$4:$E$12,0),MATCH(C99,'Master Data'!$F$3:$K$3,0)),2)</f>
        <v>25959.99</v>
      </c>
      <c r="W99" s="149">
        <f t="shared" si="9"/>
        <v>806936.30999999994</v>
      </c>
      <c r="X99" s="148">
        <f>ROUND(W99*('Master Data'!$B$54),2)</f>
        <v>201492</v>
      </c>
      <c r="Y99" s="149">
        <f t="shared" si="16"/>
        <v>1008428.3099999999</v>
      </c>
      <c r="Z99" s="147">
        <f>52*INDEX('Master Data'!$C$75:$O$299,MATCH(A99,'Master Data'!$B$75:$B$299,0),MATCH($Z$1,'Master Data'!$C$74:$O$74,0))</f>
        <v>208</v>
      </c>
      <c r="AA99" s="148">
        <f>Z99*('Master Data'!$F$15)</f>
        <v>15683.2</v>
      </c>
      <c r="AB99" s="147">
        <f>52*INDEX('Master Data'!$C$75:$O$299,MATCH(A99,'Master Data'!$B$75:$B$299,0),MATCH($AB$1,'Master Data'!$C$74:$O$74,0))</f>
        <v>0</v>
      </c>
      <c r="AC99" s="148">
        <f>AB99*('Master Data'!$F$16)</f>
        <v>0</v>
      </c>
      <c r="AD99" s="149">
        <f t="shared" si="12"/>
        <v>15683.2</v>
      </c>
      <c r="AE99" s="148">
        <f>INDEX('Master Data'!$D$58:$D$60,MATCH(D99,'Master Data'!$B$58:$B$60,0))</f>
        <v>19577.099999999999</v>
      </c>
      <c r="AF99" s="148">
        <f>INDEX('Master Data'!$E$58:$E$60,MATCH(D99,'Master Data'!$B$58:$B$60,0))</f>
        <v>992.8</v>
      </c>
      <c r="AG99" s="148">
        <f>INDEX('Master Data'!$F$58:$F$60,MATCH(D99,'Master Data'!$B$58:$B$60,0))</f>
        <v>2876.2</v>
      </c>
      <c r="AH99" s="149">
        <f t="shared" si="17"/>
        <v>1047557.6099999999</v>
      </c>
      <c r="AI99" s="148">
        <f>ROUND(AH99*('Master Data'!$C$54),2)</f>
        <v>125706.91</v>
      </c>
      <c r="AJ99" s="148">
        <f>ROUND(SUM(AH99:AI99,AK99)*('Master Data'!$E$54),2)</f>
        <v>35149.879999999997</v>
      </c>
      <c r="AK99" s="148">
        <f>ROUND(W99*('Master Data'!$F$54),2)</f>
        <v>0</v>
      </c>
      <c r="AL99" s="149">
        <f t="shared" si="18"/>
        <v>1208414.3999999997</v>
      </c>
      <c r="AM99" s="140">
        <f t="shared" si="15"/>
        <v>3482.46</v>
      </c>
      <c r="AN99" s="121"/>
      <c r="AO99" s="121"/>
      <c r="AP99" s="121"/>
      <c r="AQ99" s="121"/>
      <c r="AR99" s="121"/>
      <c r="AS99" s="121"/>
    </row>
    <row r="100" spans="1:45">
      <c r="A100" s="232" t="s">
        <v>441</v>
      </c>
      <c r="B100" s="121" t="str">
        <f t="shared" si="8"/>
        <v xml:space="preserve"> </v>
      </c>
      <c r="C100" s="121" t="str">
        <f t="shared" si="10"/>
        <v xml:space="preserve">Specialty  </v>
      </c>
      <c r="D100" s="121" t="str">
        <f>INDEX('Master Data'!$C$75:$C$299,MATCH(A100,'Master Data'!$B$75:$B$299,0))</f>
        <v>2-3</v>
      </c>
      <c r="E100" s="147">
        <f>INDEX('Master Data'!$C$75:$O$299,MATCH(A100,'Master Data'!$B$75:$B$299,0),MATCH($E$1,'Master Data'!$C$74:$O$74,0))</f>
        <v>0.18</v>
      </c>
      <c r="F100" s="148">
        <f>ROUND(E100*INDEX('Master Data'!$F$4:$K$12,MATCH($E$1,'Master Data'!$E$4:$E$12,0),MATCH(C100,'Master Data'!$F$3:$K$3,0)),2)</f>
        <v>14667.64</v>
      </c>
      <c r="G100" s="147">
        <f>INDEX('Master Data'!$C$75:$O$299,MATCH(A100,'Master Data'!$B$75:$B$299,0),MATCH($G$1,'Master Data'!$C$74:$O$74,0))</f>
        <v>0.66</v>
      </c>
      <c r="H100" s="148">
        <f>ROUND(G100*INDEX('Master Data'!$F$4:$K$12,MATCH($G$1,'Master Data'!$E$4:$E$12,0),MATCH(C100,'Master Data'!$F$3:$K$3,0)),2)</f>
        <v>49615.6</v>
      </c>
      <c r="I100" s="147">
        <f>INDEX('Master Data'!$C$75:$O$299,MATCH(A100,'Master Data'!$B$75:$B$299,0),MATCH($I$1,'Master Data'!$C$74:$O$74,0))</f>
        <v>8.1</v>
      </c>
      <c r="J100" s="148">
        <f>ROUND(I100*INDEX('Master Data'!$F$4:$K$12,MATCH($I$1,'Master Data'!$E$4:$E$12,0),MATCH(C100,'Master Data'!$F$3:$K$3,0)),2)</f>
        <v>518399.99</v>
      </c>
      <c r="K100" s="147">
        <f>INDEX('Master Data'!$C$75:$O$299,MATCH(A100,'Master Data'!$B$75:$B$299,0),MATCH($K$1,'Master Data'!$C$74:$O$74,0))</f>
        <v>1.4</v>
      </c>
      <c r="L100" s="148">
        <f>ROUND(K100*INDEX('Master Data'!$F$4:$K$12,MATCH($K$1,'Master Data'!$E$4:$E$12,0),MATCH(C100,'Master Data'!$F$3:$K$3,0)),2)</f>
        <v>89600</v>
      </c>
      <c r="M100" s="147">
        <f>INDEX('Master Data'!$C$75:$O$299,MATCH(A100,'Master Data'!$B$75:$B$299,0),MATCH($M$1,'Master Data'!$C$74:$O$74,0))</f>
        <v>1.52</v>
      </c>
      <c r="N100" s="148">
        <f>ROUND(M100*INDEX('Master Data'!$F$4:$K$12,MATCH($M$1,'Master Data'!$E$4:$E$12,0),MATCH(C100,'Master Data'!$F$3:$K$3,0)),2)</f>
        <v>97280</v>
      </c>
      <c r="O100" s="147">
        <f>INDEX('Master Data'!$C$75:$O$299,MATCH(A100,'Master Data'!$B$75:$B$299,0),MATCH($O$1,'Master Data'!$C$74:$O$74,0))</f>
        <v>0.26</v>
      </c>
      <c r="P100" s="148">
        <f>ROUND(O100*INDEX('Master Data'!$F$4:$K$12,MATCH($O$1,'Master Data'!$E$4:$E$12,0),MATCH(C100,'Master Data'!$F$3:$K$3,0)),2)</f>
        <v>16640</v>
      </c>
      <c r="Q100" s="147">
        <f>INDEX('Master Data'!$C$75:$O$299,MATCH(A100,'Master Data'!$B$75:$B$299,0),MATCH($Q$1,'Master Data'!$C$74:$O$74,0))</f>
        <v>0.12</v>
      </c>
      <c r="R100" s="148">
        <f>ROUND(Q100*INDEX('Master Data'!$F$4:$K$12,MATCH($Q$1,'Master Data'!$E$4:$E$12,0),MATCH(C100,'Master Data'!$F$3:$K$3,0)),2)</f>
        <v>5621.09</v>
      </c>
      <c r="S100" s="147">
        <f>INDEX('Master Data'!$C$75:$O$299,MATCH(A100,'Master Data'!$B$75:$B$299,0),MATCH($S$1,'Master Data'!$C$74:$O$74,0))</f>
        <v>0.1</v>
      </c>
      <c r="T100" s="148">
        <f>ROUND(S100*INDEX('Master Data'!$F$4:$K$12,MATCH($S$1,'Master Data'!$E$4:$E$12,0),MATCH(C100,'Master Data'!$F$3:$K$3,0)),2)</f>
        <v>26912</v>
      </c>
      <c r="U100" s="147">
        <f>INDEX('Master Data'!$C$75:$O$299,MATCH(A100,'Master Data'!$B$75:$B$299,0),MATCH($U$1,'Master Data'!$C$74:$O$74,0))</f>
        <v>0.3</v>
      </c>
      <c r="V100" s="148">
        <f>ROUND(U100*INDEX('Master Data'!$F$4:$K$12,MATCH($U$1,'Master Data'!$E$4:$E$12,0),MATCH(C100,'Master Data'!$F$3:$K$3,0)),2)</f>
        <v>25959.99</v>
      </c>
      <c r="W100" s="149">
        <f t="shared" si="9"/>
        <v>844696.30999999994</v>
      </c>
      <c r="X100" s="148">
        <f>ROUND(W100*('Master Data'!$B$54),2)</f>
        <v>210920.67</v>
      </c>
      <c r="Y100" s="149">
        <f t="shared" si="16"/>
        <v>1055616.98</v>
      </c>
      <c r="Z100" s="147">
        <f>52*INDEX('Master Data'!$C$75:$O$299,MATCH(A100,'Master Data'!$B$75:$B$299,0),MATCH($Z$1,'Master Data'!$C$74:$O$74,0))</f>
        <v>208</v>
      </c>
      <c r="AA100" s="148">
        <f>Z100*('Master Data'!$F$15)</f>
        <v>15683.2</v>
      </c>
      <c r="AB100" s="147">
        <f>52*INDEX('Master Data'!$C$75:$O$299,MATCH(A100,'Master Data'!$B$75:$B$299,0),MATCH($AB$1,'Master Data'!$C$74:$O$74,0))</f>
        <v>0</v>
      </c>
      <c r="AC100" s="148">
        <f>AB100*('Master Data'!$F$16)</f>
        <v>0</v>
      </c>
      <c r="AD100" s="149">
        <f t="shared" si="12"/>
        <v>15683.2</v>
      </c>
      <c r="AE100" s="148">
        <f>INDEX('Master Data'!$D$58:$D$60,MATCH(D100,'Master Data'!$B$58:$B$60,0))</f>
        <v>19577.099999999999</v>
      </c>
      <c r="AF100" s="148">
        <f>INDEX('Master Data'!$E$58:$E$60,MATCH(D100,'Master Data'!$B$58:$B$60,0))</f>
        <v>992.8</v>
      </c>
      <c r="AG100" s="148">
        <f>INDEX('Master Data'!$F$58:$F$60,MATCH(D100,'Master Data'!$B$58:$B$60,0))</f>
        <v>2876.2</v>
      </c>
      <c r="AH100" s="149">
        <f t="shared" si="17"/>
        <v>1094746.28</v>
      </c>
      <c r="AI100" s="148">
        <f>ROUND(AH100*('Master Data'!$C$54),2)</f>
        <v>131369.54999999999</v>
      </c>
      <c r="AJ100" s="148">
        <f>ROUND(SUM(AH100:AI100,AK100)*('Master Data'!$E$54),2)</f>
        <v>36733.25</v>
      </c>
      <c r="AK100" s="148">
        <f>ROUND(W100*('Master Data'!$F$54),2)</f>
        <v>0</v>
      </c>
      <c r="AL100" s="149">
        <f t="shared" si="18"/>
        <v>1262849.08</v>
      </c>
      <c r="AM100" s="140">
        <f t="shared" si="15"/>
        <v>3639.33</v>
      </c>
      <c r="AN100" s="121"/>
      <c r="AO100" s="121"/>
      <c r="AP100" s="121"/>
      <c r="AQ100" s="121"/>
      <c r="AR100" s="121"/>
      <c r="AS100" s="121"/>
    </row>
    <row r="101" spans="1:45">
      <c r="A101" s="232" t="s">
        <v>463</v>
      </c>
      <c r="B101" s="121" t="str">
        <f t="shared" si="8"/>
        <v xml:space="preserve"> </v>
      </c>
      <c r="C101" s="121" t="str">
        <f t="shared" si="10"/>
        <v xml:space="preserve">Specialty  </v>
      </c>
      <c r="D101" s="121" t="str">
        <f>INDEX('Master Data'!$C$75:$C$299,MATCH(A101,'Master Data'!$B$75:$B$299,0))</f>
        <v>2-3</v>
      </c>
      <c r="E101" s="147">
        <f>INDEX('Master Data'!$C$75:$O$299,MATCH(A101,'Master Data'!$B$75:$B$299,0),MATCH($E$1,'Master Data'!$C$74:$O$74,0))</f>
        <v>0.18</v>
      </c>
      <c r="F101" s="148">
        <f>ROUND(E101*INDEX('Master Data'!$F$4:$K$12,MATCH($E$1,'Master Data'!$E$4:$E$12,0),MATCH(C101,'Master Data'!$F$3:$K$3,0)),2)</f>
        <v>14667.64</v>
      </c>
      <c r="G101" s="147">
        <f>INDEX('Master Data'!$C$75:$O$299,MATCH(A101,'Master Data'!$B$75:$B$299,0),MATCH($G$1,'Master Data'!$C$74:$O$74,0))</f>
        <v>0.66</v>
      </c>
      <c r="H101" s="148">
        <f>ROUND(G101*INDEX('Master Data'!$F$4:$K$12,MATCH($G$1,'Master Data'!$E$4:$E$12,0),MATCH(C101,'Master Data'!$F$3:$K$3,0)),2)</f>
        <v>49615.6</v>
      </c>
      <c r="I101" s="147">
        <f>INDEX('Master Data'!$C$75:$O$299,MATCH(A101,'Master Data'!$B$75:$B$299,0),MATCH($I$1,'Master Data'!$C$74:$O$74,0))</f>
        <v>8.6</v>
      </c>
      <c r="J101" s="148">
        <f>ROUND(I101*INDEX('Master Data'!$F$4:$K$12,MATCH($I$1,'Master Data'!$E$4:$E$12,0),MATCH(C101,'Master Data'!$F$3:$K$3,0)),2)</f>
        <v>550399.99</v>
      </c>
      <c r="K101" s="147">
        <f>INDEX('Master Data'!$C$75:$O$299,MATCH(A101,'Master Data'!$B$75:$B$299,0),MATCH($K$1,'Master Data'!$C$74:$O$74,0))</f>
        <v>1.4</v>
      </c>
      <c r="L101" s="148">
        <f>ROUND(K101*INDEX('Master Data'!$F$4:$K$12,MATCH($K$1,'Master Data'!$E$4:$E$12,0),MATCH(C101,'Master Data'!$F$3:$K$3,0)),2)</f>
        <v>89600</v>
      </c>
      <c r="M101" s="147">
        <f>INDEX('Master Data'!$C$75:$O$299,MATCH(A101,'Master Data'!$B$75:$B$299,0),MATCH($M$1,'Master Data'!$C$74:$O$74,0))</f>
        <v>1.62</v>
      </c>
      <c r="N101" s="148">
        <f>ROUND(M101*INDEX('Master Data'!$F$4:$K$12,MATCH($M$1,'Master Data'!$E$4:$E$12,0),MATCH(C101,'Master Data'!$F$3:$K$3,0)),2)</f>
        <v>103680</v>
      </c>
      <c r="O101" s="147">
        <f>INDEX('Master Data'!$C$75:$O$299,MATCH(A101,'Master Data'!$B$75:$B$299,0),MATCH($O$1,'Master Data'!$C$74:$O$74,0))</f>
        <v>0.26</v>
      </c>
      <c r="P101" s="148">
        <f>ROUND(O101*INDEX('Master Data'!$F$4:$K$12,MATCH($O$1,'Master Data'!$E$4:$E$12,0),MATCH(C101,'Master Data'!$F$3:$K$3,0)),2)</f>
        <v>16640</v>
      </c>
      <c r="Q101" s="147">
        <f>INDEX('Master Data'!$C$75:$O$299,MATCH(A101,'Master Data'!$B$75:$B$299,0),MATCH($Q$1,'Master Data'!$C$74:$O$74,0))</f>
        <v>0.12</v>
      </c>
      <c r="R101" s="148">
        <f>ROUND(Q101*INDEX('Master Data'!$F$4:$K$12,MATCH($Q$1,'Master Data'!$E$4:$E$12,0),MATCH(C101,'Master Data'!$F$3:$K$3,0)),2)</f>
        <v>5621.09</v>
      </c>
      <c r="S101" s="147">
        <f>INDEX('Master Data'!$C$75:$O$299,MATCH(A101,'Master Data'!$B$75:$B$299,0),MATCH($S$1,'Master Data'!$C$74:$O$74,0))</f>
        <v>0.1</v>
      </c>
      <c r="T101" s="148">
        <f>ROUND(S101*INDEX('Master Data'!$F$4:$K$12,MATCH($S$1,'Master Data'!$E$4:$E$12,0),MATCH(C101,'Master Data'!$F$3:$K$3,0)),2)</f>
        <v>26912</v>
      </c>
      <c r="U101" s="147">
        <f>INDEX('Master Data'!$C$75:$O$299,MATCH(A101,'Master Data'!$B$75:$B$299,0),MATCH($U$1,'Master Data'!$C$74:$O$74,0))</f>
        <v>0.3</v>
      </c>
      <c r="V101" s="148">
        <f>ROUND(U101*INDEX('Master Data'!$F$4:$K$12,MATCH($U$1,'Master Data'!$E$4:$E$12,0),MATCH(C101,'Master Data'!$F$3:$K$3,0)),2)</f>
        <v>25959.99</v>
      </c>
      <c r="W101" s="149">
        <f t="shared" si="9"/>
        <v>883096.30999999994</v>
      </c>
      <c r="X101" s="148">
        <f>ROUND(W101*('Master Data'!$B$54),2)</f>
        <v>220509.15</v>
      </c>
      <c r="Y101" s="149">
        <f t="shared" si="16"/>
        <v>1103605.46</v>
      </c>
      <c r="Z101" s="147">
        <f>52*INDEX('Master Data'!$C$75:$O$299,MATCH(A101,'Master Data'!$B$75:$B$299,0),MATCH($Z$1,'Master Data'!$C$74:$O$74,0))</f>
        <v>208</v>
      </c>
      <c r="AA101" s="148">
        <f>Z101*('Master Data'!$F$15)</f>
        <v>15683.2</v>
      </c>
      <c r="AB101" s="147">
        <f>52*INDEX('Master Data'!$C$75:$O$299,MATCH(A101,'Master Data'!$B$75:$B$299,0),MATCH($AB$1,'Master Data'!$C$74:$O$74,0))</f>
        <v>0</v>
      </c>
      <c r="AC101" s="148">
        <f>AB101*('Master Data'!$F$16)</f>
        <v>0</v>
      </c>
      <c r="AD101" s="149">
        <f t="shared" si="12"/>
        <v>15683.2</v>
      </c>
      <c r="AE101" s="148">
        <f>INDEX('Master Data'!$D$58:$D$60,MATCH(D101,'Master Data'!$B$58:$B$60,0))</f>
        <v>19577.099999999999</v>
      </c>
      <c r="AF101" s="148">
        <f>INDEX('Master Data'!$E$58:$E$60,MATCH(D101,'Master Data'!$B$58:$B$60,0))</f>
        <v>992.8</v>
      </c>
      <c r="AG101" s="148">
        <f>INDEX('Master Data'!$F$58:$F$60,MATCH(D101,'Master Data'!$B$58:$B$60,0))</f>
        <v>2876.2</v>
      </c>
      <c r="AH101" s="149">
        <f t="shared" si="17"/>
        <v>1142734.76</v>
      </c>
      <c r="AI101" s="148">
        <f>ROUND(AH101*('Master Data'!$C$54),2)</f>
        <v>137128.17000000001</v>
      </c>
      <c r="AJ101" s="148">
        <f>ROUND(SUM(AH101:AI101,AK101)*('Master Data'!$E$54),2)</f>
        <v>38343.47</v>
      </c>
      <c r="AK101" s="148">
        <f>ROUND(W101*('Master Data'!$F$54),2)</f>
        <v>0</v>
      </c>
      <c r="AL101" s="149">
        <f t="shared" si="18"/>
        <v>1318206.3999999999</v>
      </c>
      <c r="AM101" s="140">
        <f t="shared" si="15"/>
        <v>3798.87</v>
      </c>
      <c r="AN101" s="121"/>
      <c r="AO101" s="121"/>
      <c r="AP101" s="121"/>
      <c r="AQ101" s="121"/>
      <c r="AR101" s="121"/>
      <c r="AS101" s="121"/>
    </row>
    <row r="102" spans="1:45">
      <c r="A102" s="232" t="s">
        <v>464</v>
      </c>
      <c r="B102" s="121" t="str">
        <f t="shared" si="8"/>
        <v xml:space="preserve"> </v>
      </c>
      <c r="C102" s="121" t="str">
        <f t="shared" si="10"/>
        <v xml:space="preserve">Specialty  </v>
      </c>
      <c r="D102" s="121" t="str">
        <f>INDEX('Master Data'!$C$75:$C$299,MATCH(A102,'Master Data'!$B$75:$B$299,0))</f>
        <v>2-3</v>
      </c>
      <c r="E102" s="147">
        <f>INDEX('Master Data'!$C$75:$O$299,MATCH(A102,'Master Data'!$B$75:$B$299,0),MATCH($E$1,'Master Data'!$C$74:$O$74,0))</f>
        <v>0.18</v>
      </c>
      <c r="F102" s="148">
        <f>ROUND(E102*INDEX('Master Data'!$F$4:$K$12,MATCH($E$1,'Master Data'!$E$4:$E$12,0),MATCH(C102,'Master Data'!$F$3:$K$3,0)),2)</f>
        <v>14667.64</v>
      </c>
      <c r="G102" s="147">
        <f>INDEX('Master Data'!$C$75:$O$299,MATCH(A102,'Master Data'!$B$75:$B$299,0),MATCH($G$1,'Master Data'!$C$74:$O$74,0))</f>
        <v>0.66</v>
      </c>
      <c r="H102" s="148">
        <f>ROUND(G102*INDEX('Master Data'!$F$4:$K$12,MATCH($G$1,'Master Data'!$E$4:$E$12,0),MATCH(C102,'Master Data'!$F$3:$K$3,0)),2)</f>
        <v>49615.6</v>
      </c>
      <c r="I102" s="147">
        <f>INDEX('Master Data'!$C$75:$O$299,MATCH(A102,'Master Data'!$B$75:$B$299,0),MATCH($I$1,'Master Data'!$C$74:$O$74,0))</f>
        <v>9.1</v>
      </c>
      <c r="J102" s="148">
        <f>ROUND(I102*INDEX('Master Data'!$F$4:$K$12,MATCH($I$1,'Master Data'!$E$4:$E$12,0),MATCH(C102,'Master Data'!$F$3:$K$3,0)),2)</f>
        <v>582399.99</v>
      </c>
      <c r="K102" s="147">
        <f>INDEX('Master Data'!$C$75:$O$299,MATCH(A102,'Master Data'!$B$75:$B$299,0),MATCH($K$1,'Master Data'!$C$74:$O$74,0))</f>
        <v>1.4</v>
      </c>
      <c r="L102" s="148">
        <f>ROUND(K102*INDEX('Master Data'!$F$4:$K$12,MATCH($K$1,'Master Data'!$E$4:$E$12,0),MATCH(C102,'Master Data'!$F$3:$K$3,0)),2)</f>
        <v>89600</v>
      </c>
      <c r="M102" s="147">
        <f>INDEX('Master Data'!$C$75:$O$299,MATCH(A102,'Master Data'!$B$75:$B$299,0),MATCH($M$1,'Master Data'!$C$74:$O$74,0))</f>
        <v>1.71</v>
      </c>
      <c r="N102" s="148">
        <f>ROUND(M102*INDEX('Master Data'!$F$4:$K$12,MATCH($M$1,'Master Data'!$E$4:$E$12,0),MATCH(C102,'Master Data'!$F$3:$K$3,0)),2)</f>
        <v>109440</v>
      </c>
      <c r="O102" s="147">
        <f>INDEX('Master Data'!$C$75:$O$299,MATCH(A102,'Master Data'!$B$75:$B$299,0),MATCH($O$1,'Master Data'!$C$74:$O$74,0))</f>
        <v>0.26</v>
      </c>
      <c r="P102" s="148">
        <f>ROUND(O102*INDEX('Master Data'!$F$4:$K$12,MATCH($O$1,'Master Data'!$E$4:$E$12,0),MATCH(C102,'Master Data'!$F$3:$K$3,0)),2)</f>
        <v>16640</v>
      </c>
      <c r="Q102" s="147">
        <f>INDEX('Master Data'!$C$75:$O$299,MATCH(A102,'Master Data'!$B$75:$B$299,0),MATCH($Q$1,'Master Data'!$C$74:$O$74,0))</f>
        <v>0.12</v>
      </c>
      <c r="R102" s="148">
        <f>ROUND(Q102*INDEX('Master Data'!$F$4:$K$12,MATCH($Q$1,'Master Data'!$E$4:$E$12,0),MATCH(C102,'Master Data'!$F$3:$K$3,0)),2)</f>
        <v>5621.09</v>
      </c>
      <c r="S102" s="147">
        <f>INDEX('Master Data'!$C$75:$O$299,MATCH(A102,'Master Data'!$B$75:$B$299,0),MATCH($S$1,'Master Data'!$C$74:$O$74,0))</f>
        <v>0.1</v>
      </c>
      <c r="T102" s="148">
        <f>ROUND(S102*INDEX('Master Data'!$F$4:$K$12,MATCH($S$1,'Master Data'!$E$4:$E$12,0),MATCH(C102,'Master Data'!$F$3:$K$3,0)),2)</f>
        <v>26912</v>
      </c>
      <c r="U102" s="147">
        <f>INDEX('Master Data'!$C$75:$O$299,MATCH(A102,'Master Data'!$B$75:$B$299,0),MATCH($U$1,'Master Data'!$C$74:$O$74,0))</f>
        <v>0.3</v>
      </c>
      <c r="V102" s="148">
        <f>ROUND(U102*INDEX('Master Data'!$F$4:$K$12,MATCH($U$1,'Master Data'!$E$4:$E$12,0),MATCH(C102,'Master Data'!$F$3:$K$3,0)),2)</f>
        <v>25959.99</v>
      </c>
      <c r="W102" s="149">
        <f t="shared" si="9"/>
        <v>920856.30999999994</v>
      </c>
      <c r="X102" s="148">
        <f>ROUND(W102*('Master Data'!$B$54),2)</f>
        <v>229937.82</v>
      </c>
      <c r="Y102" s="149">
        <f t="shared" si="16"/>
        <v>1150794.1299999999</v>
      </c>
      <c r="Z102" s="147">
        <f>52*INDEX('Master Data'!$C$75:$O$299,MATCH(A102,'Master Data'!$B$75:$B$299,0),MATCH($Z$1,'Master Data'!$C$74:$O$74,0))</f>
        <v>208</v>
      </c>
      <c r="AA102" s="148">
        <f>Z102*('Master Data'!$F$15)</f>
        <v>15683.2</v>
      </c>
      <c r="AB102" s="147">
        <f>52*INDEX('Master Data'!$C$75:$O$299,MATCH(A102,'Master Data'!$B$75:$B$299,0),MATCH($AB$1,'Master Data'!$C$74:$O$74,0))</f>
        <v>0</v>
      </c>
      <c r="AC102" s="148">
        <f>AB102*('Master Data'!$F$16)</f>
        <v>0</v>
      </c>
      <c r="AD102" s="149">
        <f t="shared" si="12"/>
        <v>15683.2</v>
      </c>
      <c r="AE102" s="148">
        <f>INDEX('Master Data'!$D$58:$D$60,MATCH(D102,'Master Data'!$B$58:$B$60,0))</f>
        <v>19577.099999999999</v>
      </c>
      <c r="AF102" s="148">
        <f>INDEX('Master Data'!$E$58:$E$60,MATCH(D102,'Master Data'!$B$58:$B$60,0))</f>
        <v>992.8</v>
      </c>
      <c r="AG102" s="148">
        <f>INDEX('Master Data'!$F$58:$F$60,MATCH(D102,'Master Data'!$B$58:$B$60,0))</f>
        <v>2876.2</v>
      </c>
      <c r="AH102" s="149">
        <f t="shared" si="17"/>
        <v>1189923.43</v>
      </c>
      <c r="AI102" s="148">
        <f>ROUND(AH102*('Master Data'!$C$54),2)</f>
        <v>142790.81</v>
      </c>
      <c r="AJ102" s="148">
        <f>ROUND(SUM(AH102:AI102,AK102)*('Master Data'!$E$54),2)</f>
        <v>39926.839999999997</v>
      </c>
      <c r="AK102" s="148">
        <f>ROUND(W102*('Master Data'!$F$54),2)</f>
        <v>0</v>
      </c>
      <c r="AL102" s="149">
        <f t="shared" si="18"/>
        <v>1372641.08</v>
      </c>
      <c r="AM102" s="140">
        <f t="shared" si="15"/>
        <v>3955.74</v>
      </c>
      <c r="AN102" s="121"/>
      <c r="AO102" s="121"/>
      <c r="AP102" s="121"/>
      <c r="AQ102" s="121"/>
      <c r="AR102" s="121"/>
      <c r="AS102" s="121"/>
    </row>
    <row r="103" spans="1:45">
      <c r="A103" s="232" t="s">
        <v>465</v>
      </c>
      <c r="B103" s="121" t="str">
        <f t="shared" si="8"/>
        <v xml:space="preserve"> </v>
      </c>
      <c r="C103" s="121" t="str">
        <f t="shared" ref="C103:C152" si="19">CONCATENATE(IF(LEFT(A103,1)="B","Basic",IF(LEFT(A103,1)="I","Intermediate",IF(LEFT(A103,1)="S","Specialty",IF(LEFT(A103,1)="M","Medical",0))))," ",B103)</f>
        <v xml:space="preserve">Specialty  </v>
      </c>
      <c r="D103" s="121" t="str">
        <f>INDEX('Master Data'!$C$75:$C$299,MATCH(A103,'Master Data'!$B$75:$B$299,0))</f>
        <v>2-3</v>
      </c>
      <c r="E103" s="147">
        <f>INDEX('Master Data'!$C$75:$O$299,MATCH(A103,'Master Data'!$B$75:$B$299,0),MATCH($E$1,'Master Data'!$C$74:$O$74,0))</f>
        <v>0.18</v>
      </c>
      <c r="F103" s="148">
        <f>ROUND(E103*INDEX('Master Data'!$F$4:$K$12,MATCH($E$1,'Master Data'!$E$4:$E$12,0),MATCH(C103,'Master Data'!$F$3:$K$3,0)),2)</f>
        <v>14667.64</v>
      </c>
      <c r="G103" s="147">
        <f>INDEX('Master Data'!$C$75:$O$299,MATCH(A103,'Master Data'!$B$75:$B$299,0),MATCH($G$1,'Master Data'!$C$74:$O$74,0))</f>
        <v>0.66</v>
      </c>
      <c r="H103" s="148">
        <f>ROUND(G103*INDEX('Master Data'!$F$4:$K$12,MATCH($G$1,'Master Data'!$E$4:$E$12,0),MATCH(C103,'Master Data'!$F$3:$K$3,0)),2)</f>
        <v>49615.6</v>
      </c>
      <c r="I103" s="147">
        <f>INDEX('Master Data'!$C$75:$O$299,MATCH(A103,'Master Data'!$B$75:$B$299,0),MATCH($I$1,'Master Data'!$C$74:$O$74,0))</f>
        <v>9.6</v>
      </c>
      <c r="J103" s="148">
        <f>ROUND(I103*INDEX('Master Data'!$F$4:$K$12,MATCH($I$1,'Master Data'!$E$4:$E$12,0),MATCH(C103,'Master Data'!$F$3:$K$3,0)),2)</f>
        <v>614399.98</v>
      </c>
      <c r="K103" s="147">
        <f>INDEX('Master Data'!$C$75:$O$299,MATCH(A103,'Master Data'!$B$75:$B$299,0),MATCH($K$1,'Master Data'!$C$74:$O$74,0))</f>
        <v>1.4</v>
      </c>
      <c r="L103" s="148">
        <f>ROUND(K103*INDEX('Master Data'!$F$4:$K$12,MATCH($K$1,'Master Data'!$E$4:$E$12,0),MATCH(C103,'Master Data'!$F$3:$K$3,0)),2)</f>
        <v>89600</v>
      </c>
      <c r="M103" s="147">
        <f>INDEX('Master Data'!$C$75:$O$299,MATCH(A103,'Master Data'!$B$75:$B$299,0),MATCH($M$1,'Master Data'!$C$74:$O$74,0))</f>
        <v>1.8</v>
      </c>
      <c r="N103" s="148">
        <f>ROUND(M103*INDEX('Master Data'!$F$4:$K$12,MATCH($M$1,'Master Data'!$E$4:$E$12,0),MATCH(C103,'Master Data'!$F$3:$K$3,0)),2)</f>
        <v>115200</v>
      </c>
      <c r="O103" s="147">
        <f>INDEX('Master Data'!$C$75:$O$299,MATCH(A103,'Master Data'!$B$75:$B$299,0),MATCH($O$1,'Master Data'!$C$74:$O$74,0))</f>
        <v>0.26</v>
      </c>
      <c r="P103" s="148">
        <f>ROUND(O103*INDEX('Master Data'!$F$4:$K$12,MATCH($O$1,'Master Data'!$E$4:$E$12,0),MATCH(C103,'Master Data'!$F$3:$K$3,0)),2)</f>
        <v>16640</v>
      </c>
      <c r="Q103" s="147">
        <f>INDEX('Master Data'!$C$75:$O$299,MATCH(A103,'Master Data'!$B$75:$B$299,0),MATCH($Q$1,'Master Data'!$C$74:$O$74,0))</f>
        <v>0.12</v>
      </c>
      <c r="R103" s="148">
        <f>ROUND(Q103*INDEX('Master Data'!$F$4:$K$12,MATCH($Q$1,'Master Data'!$E$4:$E$12,0),MATCH(C103,'Master Data'!$F$3:$K$3,0)),2)</f>
        <v>5621.09</v>
      </c>
      <c r="S103" s="147">
        <f>INDEX('Master Data'!$C$75:$O$299,MATCH(A103,'Master Data'!$B$75:$B$299,0),MATCH($S$1,'Master Data'!$C$74:$O$74,0))</f>
        <v>0.1</v>
      </c>
      <c r="T103" s="148">
        <f>ROUND(S103*INDEX('Master Data'!$F$4:$K$12,MATCH($S$1,'Master Data'!$E$4:$E$12,0),MATCH(C103,'Master Data'!$F$3:$K$3,0)),2)</f>
        <v>26912</v>
      </c>
      <c r="U103" s="147">
        <f>INDEX('Master Data'!$C$75:$O$299,MATCH(A103,'Master Data'!$B$75:$B$299,0),MATCH($U$1,'Master Data'!$C$74:$O$74,0))</f>
        <v>0.3</v>
      </c>
      <c r="V103" s="148">
        <f>ROUND(U103*INDEX('Master Data'!$F$4:$K$12,MATCH($U$1,'Master Data'!$E$4:$E$12,0),MATCH(C103,'Master Data'!$F$3:$K$3,0)),2)</f>
        <v>25959.99</v>
      </c>
      <c r="W103" s="149">
        <f t="shared" si="9"/>
        <v>958616.29999999993</v>
      </c>
      <c r="X103" s="148">
        <f>ROUND(W103*('Master Data'!$B$54),2)</f>
        <v>239366.49</v>
      </c>
      <c r="Y103" s="149">
        <f t="shared" si="16"/>
        <v>1197982.79</v>
      </c>
      <c r="Z103" s="147">
        <f>52*INDEX('Master Data'!$C$75:$O$299,MATCH(A103,'Master Data'!$B$75:$B$299,0),MATCH($Z$1,'Master Data'!$C$74:$O$74,0))</f>
        <v>208</v>
      </c>
      <c r="AA103" s="148">
        <f>Z103*('Master Data'!$F$15)</f>
        <v>15683.2</v>
      </c>
      <c r="AB103" s="147">
        <f>52*INDEX('Master Data'!$C$75:$O$299,MATCH(A103,'Master Data'!$B$75:$B$299,0),MATCH($AB$1,'Master Data'!$C$74:$O$74,0))</f>
        <v>0</v>
      </c>
      <c r="AC103" s="148">
        <f>AB103*('Master Data'!$F$16)</f>
        <v>0</v>
      </c>
      <c r="AD103" s="149">
        <f t="shared" si="12"/>
        <v>15683.2</v>
      </c>
      <c r="AE103" s="148">
        <f>INDEX('Master Data'!$D$58:$D$60,MATCH(D103,'Master Data'!$B$58:$B$60,0))</f>
        <v>19577.099999999999</v>
      </c>
      <c r="AF103" s="148">
        <f>INDEX('Master Data'!$E$58:$E$60,MATCH(D103,'Master Data'!$B$58:$B$60,0))</f>
        <v>992.8</v>
      </c>
      <c r="AG103" s="148">
        <f>INDEX('Master Data'!$F$58:$F$60,MATCH(D103,'Master Data'!$B$58:$B$60,0))</f>
        <v>2876.2</v>
      </c>
      <c r="AH103" s="149">
        <f t="shared" si="17"/>
        <v>1237112.0900000001</v>
      </c>
      <c r="AI103" s="148">
        <f>ROUND(AH103*('Master Data'!$C$54),2)</f>
        <v>148453.45000000001</v>
      </c>
      <c r="AJ103" s="148">
        <f>ROUND(SUM(AH103:AI103,AK103)*('Master Data'!$E$54),2)</f>
        <v>41510.22</v>
      </c>
      <c r="AK103" s="148">
        <f>ROUND(W103*('Master Data'!$F$54),2)</f>
        <v>0</v>
      </c>
      <c r="AL103" s="149">
        <f t="shared" si="18"/>
        <v>1427075.76</v>
      </c>
      <c r="AM103" s="140">
        <f t="shared" si="15"/>
        <v>4112.6099999999997</v>
      </c>
      <c r="AN103" s="121"/>
      <c r="AO103" s="121"/>
      <c r="AP103" s="121"/>
      <c r="AQ103" s="121"/>
      <c r="AR103" s="121"/>
      <c r="AS103" s="121"/>
    </row>
    <row r="104" spans="1:45">
      <c r="A104" s="121" t="s">
        <v>241</v>
      </c>
      <c r="B104" s="121" t="str">
        <f t="shared" si="8"/>
        <v xml:space="preserve"> </v>
      </c>
      <c r="C104" s="121" t="str">
        <f t="shared" si="19"/>
        <v xml:space="preserve">Basic  </v>
      </c>
      <c r="D104" s="121" t="str">
        <f>INDEX('Master Data'!$C$75:$C$299,MATCH(A104,'Master Data'!$B$75:$B$299,0))</f>
        <v>4+</v>
      </c>
      <c r="E104" s="147">
        <f>INDEX('Master Data'!$C$75:$O$299,MATCH(A104,'Master Data'!$B$75:$B$299,0),MATCH($E$1,'Master Data'!$C$74:$O$74,0))</f>
        <v>0.41</v>
      </c>
      <c r="F104" s="148">
        <f>ROUND(E104*INDEX('Master Data'!$F$4:$K$12,MATCH($E$1,'Master Data'!$E$4:$E$12,0),MATCH(C104,'Master Data'!$F$3:$K$3,0)),2)</f>
        <v>33409.629999999997</v>
      </c>
      <c r="G104" s="147">
        <f>INDEX('Master Data'!$C$75:$O$299,MATCH(A104,'Master Data'!$B$75:$B$299,0),MATCH($G$1,'Master Data'!$C$74:$O$74,0))</f>
        <v>1</v>
      </c>
      <c r="H104" s="148">
        <f>ROUND(G104*INDEX('Master Data'!$F$4:$K$12,MATCH($G$1,'Master Data'!$E$4:$E$12,0),MATCH(C104,'Master Data'!$F$3:$K$3,0)),2)</f>
        <v>56388.63</v>
      </c>
      <c r="I104" s="147">
        <f>INDEX('Master Data'!$C$75:$O$299,MATCH(A104,'Master Data'!$B$75:$B$299,0),MATCH($I$1,'Master Data'!$C$74:$O$74,0))</f>
        <v>2.1</v>
      </c>
      <c r="J104" s="148">
        <f>ROUND(I104*INDEX('Master Data'!$F$4:$K$12,MATCH($I$1,'Master Data'!$E$4:$E$12,0),MATCH(C104,'Master Data'!$F$3:$K$3,0)),2)</f>
        <v>98369.11</v>
      </c>
      <c r="K104" s="147">
        <f>INDEX('Master Data'!$C$75:$O$299,MATCH(A104,'Master Data'!$B$75:$B$299,0),MATCH($K$1,'Master Data'!$C$74:$O$74,0))</f>
        <v>1.4</v>
      </c>
      <c r="L104" s="148">
        <f>ROUND(K104*INDEX('Master Data'!$F$4:$K$12,MATCH($K$1,'Master Data'!$E$4:$E$12,0),MATCH(C104,'Master Data'!$F$3:$K$3,0)),2)</f>
        <v>65579.399999999994</v>
      </c>
      <c r="M104" s="147">
        <f>INDEX('Master Data'!$C$75:$O$299,MATCH(A104,'Master Data'!$B$75:$B$299,0),MATCH($M$1,'Master Data'!$C$74:$O$74,0))</f>
        <v>0.34</v>
      </c>
      <c r="N104" s="148">
        <f>ROUND(M104*INDEX('Master Data'!$F$4:$K$12,MATCH($M$1,'Master Data'!$E$4:$E$12,0),MATCH(C104,'Master Data'!$F$3:$K$3,0)),2)</f>
        <v>15926.43</v>
      </c>
      <c r="O104" s="147">
        <f>INDEX('Master Data'!$C$75:$O$299,MATCH(A104,'Master Data'!$B$75:$B$299,0),MATCH($O$1,'Master Data'!$C$74:$O$74,0))</f>
        <v>0.23</v>
      </c>
      <c r="P104" s="148">
        <f>ROUND(O104*INDEX('Master Data'!$F$4:$K$12,MATCH($O$1,'Master Data'!$E$4:$E$12,0),MATCH(C104,'Master Data'!$F$3:$K$3,0)),2)</f>
        <v>7176</v>
      </c>
      <c r="Q104" s="147">
        <f>INDEX('Master Data'!$C$75:$O$299,MATCH(A104,'Master Data'!$B$75:$B$299,0),MATCH($Q$1,'Master Data'!$C$74:$O$74,0))</f>
        <v>0.12</v>
      </c>
      <c r="R104" s="148">
        <f>ROUND(Q104*INDEX('Master Data'!$F$4:$K$12,MATCH($Q$1,'Master Data'!$E$4:$E$12,0),MATCH(C104,'Master Data'!$F$3:$K$3,0)),2)</f>
        <v>5621.09</v>
      </c>
      <c r="S104" s="147">
        <f>INDEX('Master Data'!$C$75:$O$299,MATCH(A104,'Master Data'!$B$75:$B$299,0),MATCH($S$1,'Master Data'!$C$74:$O$74,0))</f>
        <v>0</v>
      </c>
      <c r="T104" s="148">
        <f>ROUND(S104*INDEX('Master Data'!$F$4:$K$12,MATCH($S$1,'Master Data'!$E$4:$E$12,0),MATCH(C104,'Master Data'!$F$3:$K$3,0)),2)</f>
        <v>0</v>
      </c>
      <c r="U104" s="147">
        <f>INDEX('Master Data'!$C$75:$O$299,MATCH(A104,'Master Data'!$B$75:$B$299,0),MATCH($U$1,'Master Data'!$C$74:$O$74,0))</f>
        <v>0</v>
      </c>
      <c r="V104" s="148">
        <f>ROUND(U104*INDEX('Master Data'!$F$4:$K$12,MATCH($U$1,'Master Data'!$E$4:$E$12,0),MATCH(C104,'Master Data'!$F$3:$K$3,0)),2)</f>
        <v>0</v>
      </c>
      <c r="W104" s="149">
        <f t="shared" si="9"/>
        <v>282470.29000000004</v>
      </c>
      <c r="X104" s="148">
        <f>ROUND(W104*('Master Data'!$B$54),2)</f>
        <v>70532.83</v>
      </c>
      <c r="Y104" s="149">
        <f t="shared" si="16"/>
        <v>353003.12000000005</v>
      </c>
      <c r="Z104" s="147">
        <f>52*INDEX('Master Data'!$C$75:$O$299,MATCH(A104,'Master Data'!$B$75:$B$299,0),MATCH($Z$1,'Master Data'!$C$74:$O$74,0))</f>
        <v>52</v>
      </c>
      <c r="AA104" s="148">
        <f>Z104*('Master Data'!$F$15)</f>
        <v>3920.8</v>
      </c>
      <c r="AB104" s="147">
        <f>52*INDEX('Master Data'!$C$75:$O$299,MATCH(A104,'Master Data'!$B$75:$B$299,0),MATCH($AB$1,'Master Data'!$C$74:$O$74,0))</f>
        <v>52</v>
      </c>
      <c r="AC104" s="148">
        <f>AB104*('Master Data'!$F$16)</f>
        <v>3760.6399999999994</v>
      </c>
      <c r="AD104" s="149">
        <f t="shared" si="12"/>
        <v>7681.44</v>
      </c>
      <c r="AE104" s="148">
        <f>INDEX('Master Data'!$D$58:$D$60,MATCH(D104,'Master Data'!$B$58:$B$60,0))</f>
        <v>24321.56</v>
      </c>
      <c r="AF104" s="148">
        <f>INDEX('Master Data'!$E$58:$E$60,MATCH(D104,'Master Data'!$B$58:$B$60,0))</f>
        <v>2233.8000000000002</v>
      </c>
      <c r="AG104" s="148">
        <f>INDEX('Master Data'!$F$58:$F$60,MATCH(D104,'Master Data'!$B$58:$B$60,0))</f>
        <v>6471.45</v>
      </c>
      <c r="AH104" s="149">
        <f t="shared" si="13"/>
        <v>393711.37000000005</v>
      </c>
      <c r="AI104" s="148">
        <f>ROUND(AH104*('Master Data'!$C$54),2)</f>
        <v>47245.36</v>
      </c>
      <c r="AJ104" s="148">
        <f>ROUND(SUM(AH104:AI104,AK104)*('Master Data'!$E$54),2)</f>
        <v>13210.64</v>
      </c>
      <c r="AK104" s="148">
        <f>ROUND(W104*('Master Data'!$F$54),2)</f>
        <v>0</v>
      </c>
      <c r="AL104" s="149">
        <f t="shared" si="14"/>
        <v>454167.37000000005</v>
      </c>
      <c r="AM104" s="140">
        <f t="shared" si="15"/>
        <v>1308.8399999999999</v>
      </c>
      <c r="AN104" s="121"/>
      <c r="AO104" s="121"/>
      <c r="AP104" s="121"/>
      <c r="AQ104" s="121"/>
      <c r="AR104" s="121"/>
      <c r="AS104" s="121"/>
    </row>
    <row r="105" spans="1:45">
      <c r="A105" s="121" t="s">
        <v>242</v>
      </c>
      <c r="B105" s="121" t="str">
        <f t="shared" si="8"/>
        <v xml:space="preserve"> </v>
      </c>
      <c r="C105" s="121" t="str">
        <f t="shared" si="19"/>
        <v xml:space="preserve">Basic  </v>
      </c>
      <c r="D105" s="121" t="str">
        <f>INDEX('Master Data'!$C$75:$C$299,MATCH(A105,'Master Data'!$B$75:$B$299,0))</f>
        <v>4+</v>
      </c>
      <c r="E105" s="147">
        <f>INDEX('Master Data'!$C$75:$O$299,MATCH(A105,'Master Data'!$B$75:$B$299,0),MATCH($E$1,'Master Data'!$C$74:$O$74,0))</f>
        <v>0.41</v>
      </c>
      <c r="F105" s="148">
        <f>ROUND(E105*INDEX('Master Data'!$F$4:$K$12,MATCH($E$1,'Master Data'!$E$4:$E$12,0),MATCH(C105,'Master Data'!$F$3:$K$3,0)),2)</f>
        <v>33409.629999999997</v>
      </c>
      <c r="G105" s="147">
        <f>INDEX('Master Data'!$C$75:$O$299,MATCH(A105,'Master Data'!$B$75:$B$299,0),MATCH($G$1,'Master Data'!$C$74:$O$74,0))</f>
        <v>1</v>
      </c>
      <c r="H105" s="148">
        <f>ROUND(G105*INDEX('Master Data'!$F$4:$K$12,MATCH($G$1,'Master Data'!$E$4:$E$12,0),MATCH(C105,'Master Data'!$F$3:$K$3,0)),2)</f>
        <v>56388.63</v>
      </c>
      <c r="I105" s="147">
        <f>INDEX('Master Data'!$C$75:$O$299,MATCH(A105,'Master Data'!$B$75:$B$299,0),MATCH($I$1,'Master Data'!$C$74:$O$74,0))</f>
        <v>2.6</v>
      </c>
      <c r="J105" s="148">
        <f>ROUND(I105*INDEX('Master Data'!$F$4:$K$12,MATCH($I$1,'Master Data'!$E$4:$E$12,0),MATCH(C105,'Master Data'!$F$3:$K$3,0)),2)</f>
        <v>121790.32</v>
      </c>
      <c r="K105" s="147">
        <f>INDEX('Master Data'!$C$75:$O$299,MATCH(A105,'Master Data'!$B$75:$B$299,0),MATCH($K$1,'Master Data'!$C$74:$O$74,0))</f>
        <v>1.4</v>
      </c>
      <c r="L105" s="148">
        <f>ROUND(K105*INDEX('Master Data'!$F$4:$K$12,MATCH($K$1,'Master Data'!$E$4:$E$12,0),MATCH(C105,'Master Data'!$F$3:$K$3,0)),2)</f>
        <v>65579.399999999994</v>
      </c>
      <c r="M105" s="147">
        <f>INDEX('Master Data'!$C$75:$O$299,MATCH(A105,'Master Data'!$B$75:$B$299,0),MATCH($M$1,'Master Data'!$C$74:$O$74,0))</f>
        <v>0.42</v>
      </c>
      <c r="N105" s="148">
        <f>ROUND(M105*INDEX('Master Data'!$F$4:$K$12,MATCH($M$1,'Master Data'!$E$4:$E$12,0),MATCH(C105,'Master Data'!$F$3:$K$3,0)),2)</f>
        <v>19673.82</v>
      </c>
      <c r="O105" s="147">
        <f>INDEX('Master Data'!$C$75:$O$299,MATCH(A105,'Master Data'!$B$75:$B$299,0),MATCH($O$1,'Master Data'!$C$74:$O$74,0))</f>
        <v>0.23</v>
      </c>
      <c r="P105" s="148">
        <f>ROUND(O105*INDEX('Master Data'!$F$4:$K$12,MATCH($O$1,'Master Data'!$E$4:$E$12,0),MATCH(C105,'Master Data'!$F$3:$K$3,0)),2)</f>
        <v>7176</v>
      </c>
      <c r="Q105" s="147">
        <f>INDEX('Master Data'!$C$75:$O$299,MATCH(A105,'Master Data'!$B$75:$B$299,0),MATCH($Q$1,'Master Data'!$C$74:$O$74,0))</f>
        <v>0.12</v>
      </c>
      <c r="R105" s="148">
        <f>ROUND(Q105*INDEX('Master Data'!$F$4:$K$12,MATCH($Q$1,'Master Data'!$E$4:$E$12,0),MATCH(C105,'Master Data'!$F$3:$K$3,0)),2)</f>
        <v>5621.09</v>
      </c>
      <c r="S105" s="147">
        <f>INDEX('Master Data'!$C$75:$O$299,MATCH(A105,'Master Data'!$B$75:$B$299,0),MATCH($S$1,'Master Data'!$C$74:$O$74,0))</f>
        <v>0</v>
      </c>
      <c r="T105" s="148">
        <f>ROUND(S105*INDEX('Master Data'!$F$4:$K$12,MATCH($S$1,'Master Data'!$E$4:$E$12,0),MATCH(C105,'Master Data'!$F$3:$K$3,0)),2)</f>
        <v>0</v>
      </c>
      <c r="U105" s="147">
        <f>INDEX('Master Data'!$C$75:$O$299,MATCH(A105,'Master Data'!$B$75:$B$299,0),MATCH($U$1,'Master Data'!$C$74:$O$74,0))</f>
        <v>0</v>
      </c>
      <c r="V105" s="148">
        <f>ROUND(U105*INDEX('Master Data'!$F$4:$K$12,MATCH($U$1,'Master Data'!$E$4:$E$12,0),MATCH(C105,'Master Data'!$F$3:$K$3,0)),2)</f>
        <v>0</v>
      </c>
      <c r="W105" s="149">
        <f t="shared" si="9"/>
        <v>309638.89</v>
      </c>
      <c r="X105" s="148">
        <f>ROUND(W105*('Master Data'!$B$54),2)</f>
        <v>77316.83</v>
      </c>
      <c r="Y105" s="149">
        <f t="shared" si="16"/>
        <v>386955.72000000003</v>
      </c>
      <c r="Z105" s="147">
        <f>52*INDEX('Master Data'!$C$75:$O$299,MATCH(A105,'Master Data'!$B$75:$B$299,0),MATCH($Z$1,'Master Data'!$C$74:$O$74,0))</f>
        <v>52</v>
      </c>
      <c r="AA105" s="148">
        <f>Z105*('Master Data'!$F$15)</f>
        <v>3920.8</v>
      </c>
      <c r="AB105" s="147">
        <f>52*INDEX('Master Data'!$C$75:$O$299,MATCH(A105,'Master Data'!$B$75:$B$299,0),MATCH($AB$1,'Master Data'!$C$74:$O$74,0))</f>
        <v>52</v>
      </c>
      <c r="AC105" s="148">
        <f>AB105*('Master Data'!$F$16)</f>
        <v>3760.6399999999994</v>
      </c>
      <c r="AD105" s="149">
        <f t="shared" si="12"/>
        <v>7681.44</v>
      </c>
      <c r="AE105" s="148">
        <f>INDEX('Master Data'!$D$58:$D$60,MATCH(D105,'Master Data'!$B$58:$B$60,0))</f>
        <v>24321.56</v>
      </c>
      <c r="AF105" s="148">
        <f>INDEX('Master Data'!$E$58:$E$60,MATCH(D105,'Master Data'!$B$58:$B$60,0))</f>
        <v>2233.8000000000002</v>
      </c>
      <c r="AG105" s="148">
        <f>INDEX('Master Data'!$F$58:$F$60,MATCH(D105,'Master Data'!$B$58:$B$60,0))</f>
        <v>6471.45</v>
      </c>
      <c r="AH105" s="149">
        <f t="shared" si="13"/>
        <v>427663.97000000003</v>
      </c>
      <c r="AI105" s="148">
        <f>ROUND(AH105*('Master Data'!$C$54),2)</f>
        <v>51319.68</v>
      </c>
      <c r="AJ105" s="148">
        <f>ROUND(SUM(AH105:AI105,AK105)*('Master Data'!$E$54),2)</f>
        <v>14349.89</v>
      </c>
      <c r="AK105" s="148">
        <f>ROUND(W105*('Master Data'!$F$54),2)</f>
        <v>0</v>
      </c>
      <c r="AL105" s="149">
        <f t="shared" si="14"/>
        <v>493333.54000000004</v>
      </c>
      <c r="AM105" s="140">
        <f t="shared" si="15"/>
        <v>1421.71</v>
      </c>
      <c r="AN105" s="121"/>
      <c r="AO105" s="121"/>
      <c r="AP105" s="121"/>
      <c r="AQ105" s="121"/>
      <c r="AR105" s="121"/>
      <c r="AS105" s="121"/>
    </row>
    <row r="106" spans="1:45">
      <c r="A106" s="121" t="s">
        <v>243</v>
      </c>
      <c r="B106" s="121" t="str">
        <f t="shared" si="8"/>
        <v xml:space="preserve"> </v>
      </c>
      <c r="C106" s="121" t="str">
        <f t="shared" si="19"/>
        <v xml:space="preserve">Basic  </v>
      </c>
      <c r="D106" s="121" t="str">
        <f>INDEX('Master Data'!$C$75:$C$299,MATCH(A106,'Master Data'!$B$75:$B$299,0))</f>
        <v>4+</v>
      </c>
      <c r="E106" s="147">
        <f>INDEX('Master Data'!$C$75:$O$299,MATCH(A106,'Master Data'!$B$75:$B$299,0),MATCH($E$1,'Master Data'!$C$74:$O$74,0))</f>
        <v>0.41</v>
      </c>
      <c r="F106" s="148">
        <f>ROUND(E106*INDEX('Master Data'!$F$4:$K$12,MATCH($E$1,'Master Data'!$E$4:$E$12,0),MATCH(C106,'Master Data'!$F$3:$K$3,0)),2)</f>
        <v>33409.629999999997</v>
      </c>
      <c r="G106" s="147">
        <f>INDEX('Master Data'!$C$75:$O$299,MATCH(A106,'Master Data'!$B$75:$B$299,0),MATCH($G$1,'Master Data'!$C$74:$O$74,0))</f>
        <v>1</v>
      </c>
      <c r="H106" s="148">
        <f>ROUND(G106*INDEX('Master Data'!$F$4:$K$12,MATCH($G$1,'Master Data'!$E$4:$E$12,0),MATCH(C106,'Master Data'!$F$3:$K$3,0)),2)</f>
        <v>56388.63</v>
      </c>
      <c r="I106" s="147">
        <f>INDEX('Master Data'!$C$75:$O$299,MATCH(A106,'Master Data'!$B$75:$B$299,0),MATCH($I$1,'Master Data'!$C$74:$O$74,0))</f>
        <v>3.1</v>
      </c>
      <c r="J106" s="148">
        <f>ROUND(I106*INDEX('Master Data'!$F$4:$K$12,MATCH($I$1,'Master Data'!$E$4:$E$12,0),MATCH(C106,'Master Data'!$F$3:$K$3,0)),2)</f>
        <v>145211.54</v>
      </c>
      <c r="K106" s="147">
        <f>INDEX('Master Data'!$C$75:$O$299,MATCH(A106,'Master Data'!$B$75:$B$299,0),MATCH($K$1,'Master Data'!$C$74:$O$74,0))</f>
        <v>1.4</v>
      </c>
      <c r="L106" s="148">
        <f>ROUND(K106*INDEX('Master Data'!$F$4:$K$12,MATCH($K$1,'Master Data'!$E$4:$E$12,0),MATCH(C106,'Master Data'!$F$3:$K$3,0)),2)</f>
        <v>65579.399999999994</v>
      </c>
      <c r="M106" s="147">
        <f>INDEX('Master Data'!$C$75:$O$299,MATCH(A106,'Master Data'!$B$75:$B$299,0),MATCH($M$1,'Master Data'!$C$74:$O$74,0))</f>
        <v>0.5</v>
      </c>
      <c r="N106" s="148">
        <f>ROUND(M106*INDEX('Master Data'!$F$4:$K$12,MATCH($M$1,'Master Data'!$E$4:$E$12,0),MATCH(C106,'Master Data'!$F$3:$K$3,0)),2)</f>
        <v>23421.22</v>
      </c>
      <c r="O106" s="147">
        <f>INDEX('Master Data'!$C$75:$O$299,MATCH(A106,'Master Data'!$B$75:$B$299,0),MATCH($O$1,'Master Data'!$C$74:$O$74,0))</f>
        <v>0.23</v>
      </c>
      <c r="P106" s="148">
        <f>ROUND(O106*INDEX('Master Data'!$F$4:$K$12,MATCH($O$1,'Master Data'!$E$4:$E$12,0),MATCH(C106,'Master Data'!$F$3:$K$3,0)),2)</f>
        <v>7176</v>
      </c>
      <c r="Q106" s="147">
        <f>INDEX('Master Data'!$C$75:$O$299,MATCH(A106,'Master Data'!$B$75:$B$299,0),MATCH($Q$1,'Master Data'!$C$74:$O$74,0))</f>
        <v>0.12</v>
      </c>
      <c r="R106" s="148">
        <f>ROUND(Q106*INDEX('Master Data'!$F$4:$K$12,MATCH($Q$1,'Master Data'!$E$4:$E$12,0),MATCH(C106,'Master Data'!$F$3:$K$3,0)),2)</f>
        <v>5621.09</v>
      </c>
      <c r="S106" s="147">
        <f>INDEX('Master Data'!$C$75:$O$299,MATCH(A106,'Master Data'!$B$75:$B$299,0),MATCH($S$1,'Master Data'!$C$74:$O$74,0))</f>
        <v>0</v>
      </c>
      <c r="T106" s="148">
        <f>ROUND(S106*INDEX('Master Data'!$F$4:$K$12,MATCH($S$1,'Master Data'!$E$4:$E$12,0),MATCH(C106,'Master Data'!$F$3:$K$3,0)),2)</f>
        <v>0</v>
      </c>
      <c r="U106" s="147">
        <f>INDEX('Master Data'!$C$75:$O$299,MATCH(A106,'Master Data'!$B$75:$B$299,0),MATCH($U$1,'Master Data'!$C$74:$O$74,0))</f>
        <v>0</v>
      </c>
      <c r="V106" s="148">
        <f>ROUND(U106*INDEX('Master Data'!$F$4:$K$12,MATCH($U$1,'Master Data'!$E$4:$E$12,0),MATCH(C106,'Master Data'!$F$3:$K$3,0)),2)</f>
        <v>0</v>
      </c>
      <c r="W106" s="149">
        <f t="shared" si="9"/>
        <v>336807.50999999995</v>
      </c>
      <c r="X106" s="148">
        <f>ROUND(W106*('Master Data'!$B$54),2)</f>
        <v>84100.84</v>
      </c>
      <c r="Y106" s="149">
        <f t="shared" si="16"/>
        <v>420908.35</v>
      </c>
      <c r="Z106" s="147">
        <f>52*INDEX('Master Data'!$C$75:$O$299,MATCH(A106,'Master Data'!$B$75:$B$299,0),MATCH($Z$1,'Master Data'!$C$74:$O$74,0))</f>
        <v>52</v>
      </c>
      <c r="AA106" s="148">
        <f>Z106*('Master Data'!$F$15)</f>
        <v>3920.8</v>
      </c>
      <c r="AB106" s="147">
        <f>52*INDEX('Master Data'!$C$75:$O$299,MATCH(A106,'Master Data'!$B$75:$B$299,0),MATCH($AB$1,'Master Data'!$C$74:$O$74,0))</f>
        <v>52</v>
      </c>
      <c r="AC106" s="148">
        <f>AB106*('Master Data'!$F$16)</f>
        <v>3760.6399999999994</v>
      </c>
      <c r="AD106" s="149">
        <f t="shared" si="12"/>
        <v>7681.44</v>
      </c>
      <c r="AE106" s="148">
        <f>INDEX('Master Data'!$D$58:$D$60,MATCH(D106,'Master Data'!$B$58:$B$60,0))</f>
        <v>24321.56</v>
      </c>
      <c r="AF106" s="148">
        <f>INDEX('Master Data'!$E$58:$E$60,MATCH(D106,'Master Data'!$B$58:$B$60,0))</f>
        <v>2233.8000000000002</v>
      </c>
      <c r="AG106" s="148">
        <f>INDEX('Master Data'!$F$58:$F$60,MATCH(D106,'Master Data'!$B$58:$B$60,0))</f>
        <v>6471.45</v>
      </c>
      <c r="AH106" s="149">
        <f t="shared" si="13"/>
        <v>461616.6</v>
      </c>
      <c r="AI106" s="148">
        <f>ROUND(AH106*('Master Data'!$C$54),2)</f>
        <v>55393.99</v>
      </c>
      <c r="AJ106" s="148">
        <f>ROUND(SUM(AH106:AI106,AK106)*('Master Data'!$E$54),2)</f>
        <v>15489.14</v>
      </c>
      <c r="AK106" s="148">
        <f>ROUND(W106*('Master Data'!$F$54),2)</f>
        <v>0</v>
      </c>
      <c r="AL106" s="149">
        <f t="shared" si="14"/>
        <v>532499.73</v>
      </c>
      <c r="AM106" s="140">
        <f t="shared" si="15"/>
        <v>1534.58</v>
      </c>
      <c r="AN106" s="121"/>
      <c r="AO106" s="121"/>
      <c r="AP106" s="121"/>
      <c r="AQ106" s="121"/>
      <c r="AR106" s="121"/>
      <c r="AS106" s="121"/>
    </row>
    <row r="107" spans="1:45">
      <c r="A107" s="121" t="s">
        <v>244</v>
      </c>
      <c r="B107" s="121" t="str">
        <f t="shared" si="8"/>
        <v xml:space="preserve"> </v>
      </c>
      <c r="C107" s="121" t="str">
        <f t="shared" si="19"/>
        <v xml:space="preserve">Basic  </v>
      </c>
      <c r="D107" s="121" t="str">
        <f>INDEX('Master Data'!$C$75:$C$299,MATCH(A107,'Master Data'!$B$75:$B$299,0))</f>
        <v>4+</v>
      </c>
      <c r="E107" s="147">
        <f>INDEX('Master Data'!$C$75:$O$299,MATCH(A107,'Master Data'!$B$75:$B$299,0),MATCH($E$1,'Master Data'!$C$74:$O$74,0))</f>
        <v>0.41</v>
      </c>
      <c r="F107" s="148">
        <f>ROUND(E107*INDEX('Master Data'!$F$4:$K$12,MATCH($E$1,'Master Data'!$E$4:$E$12,0),MATCH(C107,'Master Data'!$F$3:$K$3,0)),2)</f>
        <v>33409.629999999997</v>
      </c>
      <c r="G107" s="147">
        <f>INDEX('Master Data'!$C$75:$O$299,MATCH(A107,'Master Data'!$B$75:$B$299,0),MATCH($G$1,'Master Data'!$C$74:$O$74,0))</f>
        <v>1</v>
      </c>
      <c r="H107" s="148">
        <f>ROUND(G107*INDEX('Master Data'!$F$4:$K$12,MATCH($G$1,'Master Data'!$E$4:$E$12,0),MATCH(C107,'Master Data'!$F$3:$K$3,0)),2)</f>
        <v>56388.63</v>
      </c>
      <c r="I107" s="147">
        <f>INDEX('Master Data'!$C$75:$O$299,MATCH(A107,'Master Data'!$B$75:$B$299,0),MATCH($I$1,'Master Data'!$C$74:$O$74,0))</f>
        <v>3.6</v>
      </c>
      <c r="J107" s="148">
        <f>ROUND(I107*INDEX('Master Data'!$F$4:$K$12,MATCH($I$1,'Master Data'!$E$4:$E$12,0),MATCH(C107,'Master Data'!$F$3:$K$3,0)),2)</f>
        <v>168632.76</v>
      </c>
      <c r="K107" s="147">
        <f>INDEX('Master Data'!$C$75:$O$299,MATCH(A107,'Master Data'!$B$75:$B$299,0),MATCH($K$1,'Master Data'!$C$74:$O$74,0))</f>
        <v>1.4</v>
      </c>
      <c r="L107" s="148">
        <f>ROUND(K107*INDEX('Master Data'!$F$4:$K$12,MATCH($K$1,'Master Data'!$E$4:$E$12,0),MATCH(C107,'Master Data'!$F$3:$K$3,0)),2)</f>
        <v>65579.399999999994</v>
      </c>
      <c r="M107" s="147">
        <f>INDEX('Master Data'!$C$75:$O$299,MATCH(A107,'Master Data'!$B$75:$B$299,0),MATCH($M$1,'Master Data'!$C$74:$O$74,0))</f>
        <v>0.57999999999999996</v>
      </c>
      <c r="N107" s="148">
        <f>ROUND(M107*INDEX('Master Data'!$F$4:$K$12,MATCH($M$1,'Master Data'!$E$4:$E$12,0),MATCH(C107,'Master Data'!$F$3:$K$3,0)),2)</f>
        <v>27168.61</v>
      </c>
      <c r="O107" s="147">
        <f>INDEX('Master Data'!$C$75:$O$299,MATCH(A107,'Master Data'!$B$75:$B$299,0),MATCH($O$1,'Master Data'!$C$74:$O$74,0))</f>
        <v>0.23</v>
      </c>
      <c r="P107" s="148">
        <f>ROUND(O107*INDEX('Master Data'!$F$4:$K$12,MATCH($O$1,'Master Data'!$E$4:$E$12,0),MATCH(C107,'Master Data'!$F$3:$K$3,0)),2)</f>
        <v>7176</v>
      </c>
      <c r="Q107" s="147">
        <f>INDEX('Master Data'!$C$75:$O$299,MATCH(A107,'Master Data'!$B$75:$B$299,0),MATCH($Q$1,'Master Data'!$C$74:$O$74,0))</f>
        <v>0.12</v>
      </c>
      <c r="R107" s="148">
        <f>ROUND(Q107*INDEX('Master Data'!$F$4:$K$12,MATCH($Q$1,'Master Data'!$E$4:$E$12,0),MATCH(C107,'Master Data'!$F$3:$K$3,0)),2)</f>
        <v>5621.09</v>
      </c>
      <c r="S107" s="147">
        <f>INDEX('Master Data'!$C$75:$O$299,MATCH(A107,'Master Data'!$B$75:$B$299,0),MATCH($S$1,'Master Data'!$C$74:$O$74,0))</f>
        <v>0</v>
      </c>
      <c r="T107" s="148">
        <f>ROUND(S107*INDEX('Master Data'!$F$4:$K$12,MATCH($S$1,'Master Data'!$E$4:$E$12,0),MATCH(C107,'Master Data'!$F$3:$K$3,0)),2)</f>
        <v>0</v>
      </c>
      <c r="U107" s="147">
        <f>INDEX('Master Data'!$C$75:$O$299,MATCH(A107,'Master Data'!$B$75:$B$299,0),MATCH($U$1,'Master Data'!$C$74:$O$74,0))</f>
        <v>0</v>
      </c>
      <c r="V107" s="148">
        <f>ROUND(U107*INDEX('Master Data'!$F$4:$K$12,MATCH($U$1,'Master Data'!$E$4:$E$12,0),MATCH(C107,'Master Data'!$F$3:$K$3,0)),2)</f>
        <v>0</v>
      </c>
      <c r="W107" s="149">
        <f t="shared" si="9"/>
        <v>363976.12000000005</v>
      </c>
      <c r="X107" s="148">
        <f>ROUND(W107*('Master Data'!$B$54),2)</f>
        <v>90884.84</v>
      </c>
      <c r="Y107" s="149">
        <f t="shared" si="16"/>
        <v>454860.96000000008</v>
      </c>
      <c r="Z107" s="147">
        <f>52*INDEX('Master Data'!$C$75:$O$299,MATCH(A107,'Master Data'!$B$75:$B$299,0),MATCH($Z$1,'Master Data'!$C$74:$O$74,0))</f>
        <v>52</v>
      </c>
      <c r="AA107" s="148">
        <f>Z107*('Master Data'!$F$15)</f>
        <v>3920.8</v>
      </c>
      <c r="AB107" s="147">
        <f>52*INDEX('Master Data'!$C$75:$O$299,MATCH(A107,'Master Data'!$B$75:$B$299,0),MATCH($AB$1,'Master Data'!$C$74:$O$74,0))</f>
        <v>52</v>
      </c>
      <c r="AC107" s="148">
        <f>AB107*('Master Data'!$F$16)</f>
        <v>3760.6399999999994</v>
      </c>
      <c r="AD107" s="149">
        <f t="shared" si="12"/>
        <v>7681.44</v>
      </c>
      <c r="AE107" s="148">
        <f>INDEX('Master Data'!$D$58:$D$60,MATCH(D107,'Master Data'!$B$58:$B$60,0))</f>
        <v>24321.56</v>
      </c>
      <c r="AF107" s="148">
        <f>INDEX('Master Data'!$E$58:$E$60,MATCH(D107,'Master Data'!$B$58:$B$60,0))</f>
        <v>2233.8000000000002</v>
      </c>
      <c r="AG107" s="148">
        <f>INDEX('Master Data'!$F$58:$F$60,MATCH(D107,'Master Data'!$B$58:$B$60,0))</f>
        <v>6471.45</v>
      </c>
      <c r="AH107" s="149">
        <f t="shared" si="13"/>
        <v>495569.21000000008</v>
      </c>
      <c r="AI107" s="148">
        <f>ROUND(AH107*('Master Data'!$C$54),2)</f>
        <v>59468.31</v>
      </c>
      <c r="AJ107" s="148">
        <f>ROUND(SUM(AH107:AI107,AK107)*('Master Data'!$E$54),2)</f>
        <v>16628.39</v>
      </c>
      <c r="AK107" s="148">
        <f>ROUND(W107*('Master Data'!$F$54),2)</f>
        <v>0</v>
      </c>
      <c r="AL107" s="149">
        <f t="shared" si="14"/>
        <v>571665.91</v>
      </c>
      <c r="AM107" s="140">
        <f t="shared" si="15"/>
        <v>1647.45</v>
      </c>
      <c r="AN107" s="121"/>
      <c r="AO107" s="121"/>
      <c r="AP107" s="121"/>
      <c r="AQ107" s="121"/>
      <c r="AR107" s="121"/>
      <c r="AS107" s="121"/>
    </row>
    <row r="108" spans="1:45">
      <c r="A108" s="121" t="s">
        <v>245</v>
      </c>
      <c r="B108" s="121" t="str">
        <f t="shared" si="8"/>
        <v xml:space="preserve"> </v>
      </c>
      <c r="C108" s="121" t="str">
        <f t="shared" si="19"/>
        <v xml:space="preserve">Basic  </v>
      </c>
      <c r="D108" s="121" t="str">
        <f>INDEX('Master Data'!$C$75:$C$299,MATCH(A108,'Master Data'!$B$75:$B$299,0))</f>
        <v>4+</v>
      </c>
      <c r="E108" s="147">
        <f>INDEX('Master Data'!$C$75:$O$299,MATCH(A108,'Master Data'!$B$75:$B$299,0),MATCH($E$1,'Master Data'!$C$74:$O$74,0))</f>
        <v>0.41</v>
      </c>
      <c r="F108" s="148">
        <f>ROUND(E108*INDEX('Master Data'!$F$4:$K$12,MATCH($E$1,'Master Data'!$E$4:$E$12,0),MATCH(C108,'Master Data'!$F$3:$K$3,0)),2)</f>
        <v>33409.629999999997</v>
      </c>
      <c r="G108" s="147">
        <f>INDEX('Master Data'!$C$75:$O$299,MATCH(A108,'Master Data'!$B$75:$B$299,0),MATCH($G$1,'Master Data'!$C$74:$O$74,0))</f>
        <v>1</v>
      </c>
      <c r="H108" s="148">
        <f>ROUND(G108*INDEX('Master Data'!$F$4:$K$12,MATCH($G$1,'Master Data'!$E$4:$E$12,0),MATCH(C108,'Master Data'!$F$3:$K$3,0)),2)</f>
        <v>56388.63</v>
      </c>
      <c r="I108" s="147">
        <f>INDEX('Master Data'!$C$75:$O$299,MATCH(A108,'Master Data'!$B$75:$B$299,0),MATCH($I$1,'Master Data'!$C$74:$O$74,0))</f>
        <v>4.0999999999999996</v>
      </c>
      <c r="J108" s="148">
        <f>ROUND(I108*INDEX('Master Data'!$F$4:$K$12,MATCH($I$1,'Master Data'!$E$4:$E$12,0),MATCH(C108,'Master Data'!$F$3:$K$3,0)),2)</f>
        <v>192053.97</v>
      </c>
      <c r="K108" s="147">
        <f>INDEX('Master Data'!$C$75:$O$299,MATCH(A108,'Master Data'!$B$75:$B$299,0),MATCH($K$1,'Master Data'!$C$74:$O$74,0))</f>
        <v>1.4</v>
      </c>
      <c r="L108" s="148">
        <f>ROUND(K108*INDEX('Master Data'!$F$4:$K$12,MATCH($K$1,'Master Data'!$E$4:$E$12,0),MATCH(C108,'Master Data'!$F$3:$K$3,0)),2)</f>
        <v>65579.399999999994</v>
      </c>
      <c r="M108" s="147">
        <f>INDEX('Master Data'!$C$75:$O$299,MATCH(A108,'Master Data'!$B$75:$B$299,0),MATCH($M$1,'Master Data'!$C$74:$O$74,0))</f>
        <v>0.66</v>
      </c>
      <c r="N108" s="148">
        <f>ROUND(M108*INDEX('Master Data'!$F$4:$K$12,MATCH($M$1,'Master Data'!$E$4:$E$12,0),MATCH(C108,'Master Data'!$F$3:$K$3,0)),2)</f>
        <v>30916.01</v>
      </c>
      <c r="O108" s="147">
        <f>INDEX('Master Data'!$C$75:$O$299,MATCH(A108,'Master Data'!$B$75:$B$299,0),MATCH($O$1,'Master Data'!$C$74:$O$74,0))</f>
        <v>0.23</v>
      </c>
      <c r="P108" s="148">
        <f>ROUND(O108*INDEX('Master Data'!$F$4:$K$12,MATCH($O$1,'Master Data'!$E$4:$E$12,0),MATCH(C108,'Master Data'!$F$3:$K$3,0)),2)</f>
        <v>7176</v>
      </c>
      <c r="Q108" s="147">
        <f>INDEX('Master Data'!$C$75:$O$299,MATCH(A108,'Master Data'!$B$75:$B$299,0),MATCH($Q$1,'Master Data'!$C$74:$O$74,0))</f>
        <v>0.12</v>
      </c>
      <c r="R108" s="148">
        <f>ROUND(Q108*INDEX('Master Data'!$F$4:$K$12,MATCH($Q$1,'Master Data'!$E$4:$E$12,0),MATCH(C108,'Master Data'!$F$3:$K$3,0)),2)</f>
        <v>5621.09</v>
      </c>
      <c r="S108" s="147">
        <f>INDEX('Master Data'!$C$75:$O$299,MATCH(A108,'Master Data'!$B$75:$B$299,0),MATCH($S$1,'Master Data'!$C$74:$O$74,0))</f>
        <v>0</v>
      </c>
      <c r="T108" s="148">
        <f>ROUND(S108*INDEX('Master Data'!$F$4:$K$12,MATCH($S$1,'Master Data'!$E$4:$E$12,0),MATCH(C108,'Master Data'!$F$3:$K$3,0)),2)</f>
        <v>0</v>
      </c>
      <c r="U108" s="147">
        <f>INDEX('Master Data'!$C$75:$O$299,MATCH(A108,'Master Data'!$B$75:$B$299,0),MATCH($U$1,'Master Data'!$C$74:$O$74,0))</f>
        <v>0</v>
      </c>
      <c r="V108" s="148">
        <f>ROUND(U108*INDEX('Master Data'!$F$4:$K$12,MATCH($U$1,'Master Data'!$E$4:$E$12,0),MATCH(C108,'Master Data'!$F$3:$K$3,0)),2)</f>
        <v>0</v>
      </c>
      <c r="W108" s="149">
        <f t="shared" si="9"/>
        <v>391144.73000000004</v>
      </c>
      <c r="X108" s="148">
        <f>ROUND(W108*('Master Data'!$B$54),2)</f>
        <v>97668.84</v>
      </c>
      <c r="Y108" s="149">
        <f t="shared" si="16"/>
        <v>488813.57000000007</v>
      </c>
      <c r="Z108" s="147">
        <f>52*INDEX('Master Data'!$C$75:$O$299,MATCH(A108,'Master Data'!$B$75:$B$299,0),MATCH($Z$1,'Master Data'!$C$74:$O$74,0))</f>
        <v>52</v>
      </c>
      <c r="AA108" s="148">
        <f>Z108*('Master Data'!$F$15)</f>
        <v>3920.8</v>
      </c>
      <c r="AB108" s="147">
        <f>52*INDEX('Master Data'!$C$75:$O$299,MATCH(A108,'Master Data'!$B$75:$B$299,0),MATCH($AB$1,'Master Data'!$C$74:$O$74,0))</f>
        <v>52</v>
      </c>
      <c r="AC108" s="148">
        <f>AB108*('Master Data'!$F$16)</f>
        <v>3760.6399999999994</v>
      </c>
      <c r="AD108" s="149">
        <f t="shared" si="12"/>
        <v>7681.44</v>
      </c>
      <c r="AE108" s="148">
        <f>INDEX('Master Data'!$D$58:$D$60,MATCH(D108,'Master Data'!$B$58:$B$60,0))</f>
        <v>24321.56</v>
      </c>
      <c r="AF108" s="148">
        <f>INDEX('Master Data'!$E$58:$E$60,MATCH(D108,'Master Data'!$B$58:$B$60,0))</f>
        <v>2233.8000000000002</v>
      </c>
      <c r="AG108" s="148">
        <f>INDEX('Master Data'!$F$58:$F$60,MATCH(D108,'Master Data'!$B$58:$B$60,0))</f>
        <v>6471.45</v>
      </c>
      <c r="AH108" s="149">
        <f t="shared" si="13"/>
        <v>529521.82000000007</v>
      </c>
      <c r="AI108" s="148">
        <f>ROUND(AH108*('Master Data'!$C$54),2)</f>
        <v>63542.62</v>
      </c>
      <c r="AJ108" s="148">
        <f>ROUND(SUM(AH108:AI108,AK108)*('Master Data'!$E$54),2)</f>
        <v>17767.64</v>
      </c>
      <c r="AK108" s="148">
        <f>ROUND(W108*('Master Data'!$F$54),2)</f>
        <v>0</v>
      </c>
      <c r="AL108" s="149">
        <f t="shared" si="14"/>
        <v>610832.08000000007</v>
      </c>
      <c r="AM108" s="140">
        <f t="shared" si="15"/>
        <v>1760.32</v>
      </c>
      <c r="AN108" s="121"/>
      <c r="AO108" s="121"/>
      <c r="AP108" s="121"/>
      <c r="AQ108" s="121"/>
      <c r="AR108" s="121"/>
      <c r="AS108" s="121"/>
    </row>
    <row r="109" spans="1:45">
      <c r="A109" s="121" t="s">
        <v>246</v>
      </c>
      <c r="B109" s="121" t="str">
        <f t="shared" si="8"/>
        <v xml:space="preserve"> </v>
      </c>
      <c r="C109" s="121" t="str">
        <f t="shared" si="19"/>
        <v xml:space="preserve">Basic  </v>
      </c>
      <c r="D109" s="121" t="str">
        <f>INDEX('Master Data'!$C$75:$C$299,MATCH(A109,'Master Data'!$B$75:$B$299,0))</f>
        <v>4+</v>
      </c>
      <c r="E109" s="147">
        <f>INDEX('Master Data'!$C$75:$O$299,MATCH(A109,'Master Data'!$B$75:$B$299,0),MATCH($E$1,'Master Data'!$C$74:$O$74,0))</f>
        <v>0.41</v>
      </c>
      <c r="F109" s="148">
        <f>ROUND(E109*INDEX('Master Data'!$F$4:$K$12,MATCH($E$1,'Master Data'!$E$4:$E$12,0),MATCH(C109,'Master Data'!$F$3:$K$3,0)),2)</f>
        <v>33409.629999999997</v>
      </c>
      <c r="G109" s="147">
        <f>INDEX('Master Data'!$C$75:$O$299,MATCH(A109,'Master Data'!$B$75:$B$299,0),MATCH($G$1,'Master Data'!$C$74:$O$74,0))</f>
        <v>1</v>
      </c>
      <c r="H109" s="148">
        <f>ROUND(G109*INDEX('Master Data'!$F$4:$K$12,MATCH($G$1,'Master Data'!$E$4:$E$12,0),MATCH(C109,'Master Data'!$F$3:$K$3,0)),2)</f>
        <v>56388.63</v>
      </c>
      <c r="I109" s="147">
        <f>INDEX('Master Data'!$C$75:$O$299,MATCH(A109,'Master Data'!$B$75:$B$299,0),MATCH($I$1,'Master Data'!$C$74:$O$74,0))</f>
        <v>4.5999999999999996</v>
      </c>
      <c r="J109" s="148">
        <f>ROUND(I109*INDEX('Master Data'!$F$4:$K$12,MATCH($I$1,'Master Data'!$E$4:$E$12,0),MATCH(C109,'Master Data'!$F$3:$K$3,0)),2)</f>
        <v>215475.19</v>
      </c>
      <c r="K109" s="147">
        <f>INDEX('Master Data'!$C$75:$O$299,MATCH(A109,'Master Data'!$B$75:$B$299,0),MATCH($K$1,'Master Data'!$C$74:$O$74,0))</f>
        <v>1.4</v>
      </c>
      <c r="L109" s="148">
        <f>ROUND(K109*INDEX('Master Data'!$F$4:$K$12,MATCH($K$1,'Master Data'!$E$4:$E$12,0),MATCH(C109,'Master Data'!$F$3:$K$3,0)),2)</f>
        <v>65579.399999999994</v>
      </c>
      <c r="M109" s="147">
        <f>INDEX('Master Data'!$C$75:$O$299,MATCH(A109,'Master Data'!$B$75:$B$299,0),MATCH($M$1,'Master Data'!$C$74:$O$74,0))</f>
        <v>0.75</v>
      </c>
      <c r="N109" s="148">
        <f>ROUND(M109*INDEX('Master Data'!$F$4:$K$12,MATCH($M$1,'Master Data'!$E$4:$E$12,0),MATCH(C109,'Master Data'!$F$3:$K$3,0)),2)</f>
        <v>35131.82</v>
      </c>
      <c r="O109" s="147">
        <f>INDEX('Master Data'!$C$75:$O$299,MATCH(A109,'Master Data'!$B$75:$B$299,0),MATCH($O$1,'Master Data'!$C$74:$O$74,0))</f>
        <v>0.23</v>
      </c>
      <c r="P109" s="148">
        <f>ROUND(O109*INDEX('Master Data'!$F$4:$K$12,MATCH($O$1,'Master Data'!$E$4:$E$12,0),MATCH(C109,'Master Data'!$F$3:$K$3,0)),2)</f>
        <v>7176</v>
      </c>
      <c r="Q109" s="147">
        <f>INDEX('Master Data'!$C$75:$O$299,MATCH(A109,'Master Data'!$B$75:$B$299,0),MATCH($Q$1,'Master Data'!$C$74:$O$74,0))</f>
        <v>0.12</v>
      </c>
      <c r="R109" s="148">
        <f>ROUND(Q109*INDEX('Master Data'!$F$4:$K$12,MATCH($Q$1,'Master Data'!$E$4:$E$12,0),MATCH(C109,'Master Data'!$F$3:$K$3,0)),2)</f>
        <v>5621.09</v>
      </c>
      <c r="S109" s="147">
        <f>INDEX('Master Data'!$C$75:$O$299,MATCH(A109,'Master Data'!$B$75:$B$299,0),MATCH($S$1,'Master Data'!$C$74:$O$74,0))</f>
        <v>0</v>
      </c>
      <c r="T109" s="148">
        <f>ROUND(S109*INDEX('Master Data'!$F$4:$K$12,MATCH($S$1,'Master Data'!$E$4:$E$12,0),MATCH(C109,'Master Data'!$F$3:$K$3,0)),2)</f>
        <v>0</v>
      </c>
      <c r="U109" s="147">
        <f>INDEX('Master Data'!$C$75:$O$299,MATCH(A109,'Master Data'!$B$75:$B$299,0),MATCH($U$1,'Master Data'!$C$74:$O$74,0))</f>
        <v>0</v>
      </c>
      <c r="V109" s="148">
        <f>ROUND(U109*INDEX('Master Data'!$F$4:$K$12,MATCH($U$1,'Master Data'!$E$4:$E$12,0),MATCH(C109,'Master Data'!$F$3:$K$3,0)),2)</f>
        <v>0</v>
      </c>
      <c r="W109" s="149">
        <f t="shared" si="9"/>
        <v>418781.76</v>
      </c>
      <c r="X109" s="148">
        <f>ROUND(W109*('Master Data'!$B$54),2)</f>
        <v>104569.81</v>
      </c>
      <c r="Y109" s="149">
        <f t="shared" si="16"/>
        <v>523351.57</v>
      </c>
      <c r="Z109" s="147">
        <f>52*INDEX('Master Data'!$C$75:$O$299,MATCH(A109,'Master Data'!$B$75:$B$299,0),MATCH($Z$1,'Master Data'!$C$74:$O$74,0))</f>
        <v>52</v>
      </c>
      <c r="AA109" s="148">
        <f>Z109*('Master Data'!$F$15)</f>
        <v>3920.8</v>
      </c>
      <c r="AB109" s="147">
        <f>52*INDEX('Master Data'!$C$75:$O$299,MATCH(A109,'Master Data'!$B$75:$B$299,0),MATCH($AB$1,'Master Data'!$C$74:$O$74,0))</f>
        <v>52</v>
      </c>
      <c r="AC109" s="148">
        <f>AB109*('Master Data'!$F$16)</f>
        <v>3760.6399999999994</v>
      </c>
      <c r="AD109" s="149">
        <f t="shared" si="12"/>
        <v>7681.44</v>
      </c>
      <c r="AE109" s="148">
        <f>INDEX('Master Data'!$D$58:$D$60,MATCH(D109,'Master Data'!$B$58:$B$60,0))</f>
        <v>24321.56</v>
      </c>
      <c r="AF109" s="148">
        <f>INDEX('Master Data'!$E$58:$E$60,MATCH(D109,'Master Data'!$B$58:$B$60,0))</f>
        <v>2233.8000000000002</v>
      </c>
      <c r="AG109" s="148">
        <f>INDEX('Master Data'!$F$58:$F$60,MATCH(D109,'Master Data'!$B$58:$B$60,0))</f>
        <v>6471.45</v>
      </c>
      <c r="AH109" s="149">
        <f t="shared" si="13"/>
        <v>564059.82000000007</v>
      </c>
      <c r="AI109" s="148">
        <f>ROUND(AH109*('Master Data'!$C$54),2)</f>
        <v>67687.179999999993</v>
      </c>
      <c r="AJ109" s="148">
        <f>ROUND(SUM(AH109:AI109,AK109)*('Master Data'!$E$54),2)</f>
        <v>18926.53</v>
      </c>
      <c r="AK109" s="148">
        <f>ROUND(W109*('Master Data'!$F$54),2)</f>
        <v>0</v>
      </c>
      <c r="AL109" s="149">
        <f t="shared" si="14"/>
        <v>650673.53</v>
      </c>
      <c r="AM109" s="140">
        <f t="shared" si="15"/>
        <v>1875.14</v>
      </c>
      <c r="AN109" s="121"/>
      <c r="AO109" s="121"/>
      <c r="AP109" s="121"/>
      <c r="AQ109" s="121"/>
      <c r="AR109" s="121"/>
      <c r="AS109" s="121"/>
    </row>
    <row r="110" spans="1:45">
      <c r="A110" s="121" t="s">
        <v>247</v>
      </c>
      <c r="B110" s="121" t="str">
        <f t="shared" si="8"/>
        <v xml:space="preserve"> </v>
      </c>
      <c r="C110" s="121" t="str">
        <f t="shared" si="19"/>
        <v xml:space="preserve">Basic  </v>
      </c>
      <c r="D110" s="121" t="str">
        <f>INDEX('Master Data'!$C$75:$C$299,MATCH(A110,'Master Data'!$B$75:$B$299,0))</f>
        <v>4+</v>
      </c>
      <c r="E110" s="147">
        <f>INDEX('Master Data'!$C$75:$O$299,MATCH(A110,'Master Data'!$B$75:$B$299,0),MATCH($E$1,'Master Data'!$C$74:$O$74,0))</f>
        <v>0.41</v>
      </c>
      <c r="F110" s="148">
        <f>ROUND(E110*INDEX('Master Data'!$F$4:$K$12,MATCH($E$1,'Master Data'!$E$4:$E$12,0),MATCH(C110,'Master Data'!$F$3:$K$3,0)),2)</f>
        <v>33409.629999999997</v>
      </c>
      <c r="G110" s="147">
        <f>INDEX('Master Data'!$C$75:$O$299,MATCH(A110,'Master Data'!$B$75:$B$299,0),MATCH($G$1,'Master Data'!$C$74:$O$74,0))</f>
        <v>1</v>
      </c>
      <c r="H110" s="148">
        <f>ROUND(G110*INDEX('Master Data'!$F$4:$K$12,MATCH($G$1,'Master Data'!$E$4:$E$12,0),MATCH(C110,'Master Data'!$F$3:$K$3,0)),2)</f>
        <v>56388.63</v>
      </c>
      <c r="I110" s="147">
        <f>INDEX('Master Data'!$C$75:$O$299,MATCH(A110,'Master Data'!$B$75:$B$299,0),MATCH($I$1,'Master Data'!$C$74:$O$74,0))</f>
        <v>5.0999999999999996</v>
      </c>
      <c r="J110" s="148">
        <f>ROUND(I110*INDEX('Master Data'!$F$4:$K$12,MATCH($I$1,'Master Data'!$E$4:$E$12,0),MATCH(C110,'Master Data'!$F$3:$K$3,0)),2)</f>
        <v>238896.4</v>
      </c>
      <c r="K110" s="147">
        <f>INDEX('Master Data'!$C$75:$O$299,MATCH(A110,'Master Data'!$B$75:$B$299,0),MATCH($K$1,'Master Data'!$C$74:$O$74,0))</f>
        <v>1.4</v>
      </c>
      <c r="L110" s="148">
        <f>ROUND(K110*INDEX('Master Data'!$F$4:$K$12,MATCH($K$1,'Master Data'!$E$4:$E$12,0),MATCH(C110,'Master Data'!$F$3:$K$3,0)),2)</f>
        <v>65579.399999999994</v>
      </c>
      <c r="M110" s="147">
        <f>INDEX('Master Data'!$C$75:$O$299,MATCH(A110,'Master Data'!$B$75:$B$299,0),MATCH($M$1,'Master Data'!$C$74:$O$74,0))</f>
        <v>0.83</v>
      </c>
      <c r="N110" s="148">
        <f>ROUND(M110*INDEX('Master Data'!$F$4:$K$12,MATCH($M$1,'Master Data'!$E$4:$E$12,0),MATCH(C110,'Master Data'!$F$3:$K$3,0)),2)</f>
        <v>38879.22</v>
      </c>
      <c r="O110" s="147">
        <f>INDEX('Master Data'!$C$75:$O$299,MATCH(A110,'Master Data'!$B$75:$B$299,0),MATCH($O$1,'Master Data'!$C$74:$O$74,0))</f>
        <v>0.23</v>
      </c>
      <c r="P110" s="148">
        <f>ROUND(O110*INDEX('Master Data'!$F$4:$K$12,MATCH($O$1,'Master Data'!$E$4:$E$12,0),MATCH(C110,'Master Data'!$F$3:$K$3,0)),2)</f>
        <v>7176</v>
      </c>
      <c r="Q110" s="147">
        <f>INDEX('Master Data'!$C$75:$O$299,MATCH(A110,'Master Data'!$B$75:$B$299,0),MATCH($Q$1,'Master Data'!$C$74:$O$74,0))</f>
        <v>0.12</v>
      </c>
      <c r="R110" s="148">
        <f>ROUND(Q110*INDEX('Master Data'!$F$4:$K$12,MATCH($Q$1,'Master Data'!$E$4:$E$12,0),MATCH(C110,'Master Data'!$F$3:$K$3,0)),2)</f>
        <v>5621.09</v>
      </c>
      <c r="S110" s="147">
        <f>INDEX('Master Data'!$C$75:$O$299,MATCH(A110,'Master Data'!$B$75:$B$299,0),MATCH($S$1,'Master Data'!$C$74:$O$74,0))</f>
        <v>0</v>
      </c>
      <c r="T110" s="148">
        <f>ROUND(S110*INDEX('Master Data'!$F$4:$K$12,MATCH($S$1,'Master Data'!$E$4:$E$12,0),MATCH(C110,'Master Data'!$F$3:$K$3,0)),2)</f>
        <v>0</v>
      </c>
      <c r="U110" s="147">
        <f>INDEX('Master Data'!$C$75:$O$299,MATCH(A110,'Master Data'!$B$75:$B$299,0),MATCH($U$1,'Master Data'!$C$74:$O$74,0))</f>
        <v>0</v>
      </c>
      <c r="V110" s="148">
        <f>ROUND(U110*INDEX('Master Data'!$F$4:$K$12,MATCH($U$1,'Master Data'!$E$4:$E$12,0),MATCH(C110,'Master Data'!$F$3:$K$3,0)),2)</f>
        <v>0</v>
      </c>
      <c r="W110" s="149">
        <f t="shared" si="9"/>
        <v>445950.36999999994</v>
      </c>
      <c r="X110" s="148">
        <f>ROUND(W110*('Master Data'!$B$54),2)</f>
        <v>111353.81</v>
      </c>
      <c r="Y110" s="149">
        <f t="shared" si="16"/>
        <v>557304.17999999993</v>
      </c>
      <c r="Z110" s="147">
        <f>52*INDEX('Master Data'!$C$75:$O$299,MATCH(A110,'Master Data'!$B$75:$B$299,0),MATCH($Z$1,'Master Data'!$C$74:$O$74,0))</f>
        <v>52</v>
      </c>
      <c r="AA110" s="148">
        <f>Z110*('Master Data'!$F$15)</f>
        <v>3920.8</v>
      </c>
      <c r="AB110" s="147">
        <f>52*INDEX('Master Data'!$C$75:$O$299,MATCH(A110,'Master Data'!$B$75:$B$299,0),MATCH($AB$1,'Master Data'!$C$74:$O$74,0))</f>
        <v>52</v>
      </c>
      <c r="AC110" s="148">
        <f>AB110*('Master Data'!$F$16)</f>
        <v>3760.6399999999994</v>
      </c>
      <c r="AD110" s="149">
        <f t="shared" si="12"/>
        <v>7681.44</v>
      </c>
      <c r="AE110" s="148">
        <f>INDEX('Master Data'!$D$58:$D$60,MATCH(D110,'Master Data'!$B$58:$B$60,0))</f>
        <v>24321.56</v>
      </c>
      <c r="AF110" s="148">
        <f>INDEX('Master Data'!$E$58:$E$60,MATCH(D110,'Master Data'!$B$58:$B$60,0))</f>
        <v>2233.8000000000002</v>
      </c>
      <c r="AG110" s="148">
        <f>INDEX('Master Data'!$F$58:$F$60,MATCH(D110,'Master Data'!$B$58:$B$60,0))</f>
        <v>6471.45</v>
      </c>
      <c r="AH110" s="149">
        <f t="shared" si="13"/>
        <v>598012.42999999993</v>
      </c>
      <c r="AI110" s="148">
        <f>ROUND(AH110*('Master Data'!$C$54),2)</f>
        <v>71761.490000000005</v>
      </c>
      <c r="AJ110" s="148">
        <f>ROUND(SUM(AH110:AI110,AK110)*('Master Data'!$E$54),2)</f>
        <v>20065.78</v>
      </c>
      <c r="AK110" s="148">
        <f>ROUND(W110*('Master Data'!$F$54),2)</f>
        <v>0</v>
      </c>
      <c r="AL110" s="149">
        <f t="shared" si="14"/>
        <v>689839.7</v>
      </c>
      <c r="AM110" s="140">
        <f t="shared" si="15"/>
        <v>1988.01</v>
      </c>
      <c r="AN110" s="121"/>
      <c r="AO110" s="121"/>
      <c r="AP110" s="121"/>
      <c r="AQ110" s="121"/>
      <c r="AR110" s="121"/>
      <c r="AS110" s="121"/>
    </row>
    <row r="111" spans="1:45">
      <c r="A111" s="121" t="s">
        <v>248</v>
      </c>
      <c r="B111" s="121" t="str">
        <f t="shared" si="8"/>
        <v xml:space="preserve"> </v>
      </c>
      <c r="C111" s="121" t="str">
        <f t="shared" si="19"/>
        <v xml:space="preserve">Basic  </v>
      </c>
      <c r="D111" s="121" t="str">
        <f>INDEX('Master Data'!$C$75:$C$299,MATCH(A111,'Master Data'!$B$75:$B$299,0))</f>
        <v>4+</v>
      </c>
      <c r="E111" s="147">
        <f>INDEX('Master Data'!$C$75:$O$299,MATCH(A111,'Master Data'!$B$75:$B$299,0),MATCH($E$1,'Master Data'!$C$74:$O$74,0))</f>
        <v>0.41</v>
      </c>
      <c r="F111" s="148">
        <f>ROUND(E111*INDEX('Master Data'!$F$4:$K$12,MATCH($E$1,'Master Data'!$E$4:$E$12,0),MATCH(C111,'Master Data'!$F$3:$K$3,0)),2)</f>
        <v>33409.629999999997</v>
      </c>
      <c r="G111" s="147">
        <f>INDEX('Master Data'!$C$75:$O$299,MATCH(A111,'Master Data'!$B$75:$B$299,0),MATCH($G$1,'Master Data'!$C$74:$O$74,0))</f>
        <v>1</v>
      </c>
      <c r="H111" s="148">
        <f>ROUND(G111*INDEX('Master Data'!$F$4:$K$12,MATCH($G$1,'Master Data'!$E$4:$E$12,0),MATCH(C111,'Master Data'!$F$3:$K$3,0)),2)</f>
        <v>56388.63</v>
      </c>
      <c r="I111" s="147">
        <f>INDEX('Master Data'!$C$75:$O$299,MATCH(A111,'Master Data'!$B$75:$B$299,0),MATCH($I$1,'Master Data'!$C$74:$O$74,0))</f>
        <v>5.6</v>
      </c>
      <c r="J111" s="148">
        <f>ROUND(I111*INDEX('Master Data'!$F$4:$K$12,MATCH($I$1,'Master Data'!$E$4:$E$12,0),MATCH(C111,'Master Data'!$F$3:$K$3,0)),2)</f>
        <v>262317.62</v>
      </c>
      <c r="K111" s="147">
        <f>INDEX('Master Data'!$C$75:$O$299,MATCH(A111,'Master Data'!$B$75:$B$299,0),MATCH($K$1,'Master Data'!$C$74:$O$74,0))</f>
        <v>1.4</v>
      </c>
      <c r="L111" s="148">
        <f>ROUND(K111*INDEX('Master Data'!$F$4:$K$12,MATCH($K$1,'Master Data'!$E$4:$E$12,0),MATCH(C111,'Master Data'!$F$3:$K$3,0)),2)</f>
        <v>65579.399999999994</v>
      </c>
      <c r="M111" s="147">
        <f>INDEX('Master Data'!$C$75:$O$299,MATCH(A111,'Master Data'!$B$75:$B$299,0),MATCH($M$1,'Master Data'!$C$74:$O$74,0))</f>
        <v>0.91</v>
      </c>
      <c r="N111" s="148">
        <f>ROUND(M111*INDEX('Master Data'!$F$4:$K$12,MATCH($M$1,'Master Data'!$E$4:$E$12,0),MATCH(C111,'Master Data'!$F$3:$K$3,0)),2)</f>
        <v>42626.61</v>
      </c>
      <c r="O111" s="147">
        <f>INDEX('Master Data'!$C$75:$O$299,MATCH(A111,'Master Data'!$B$75:$B$299,0),MATCH($O$1,'Master Data'!$C$74:$O$74,0))</f>
        <v>0.23</v>
      </c>
      <c r="P111" s="148">
        <f>ROUND(O111*INDEX('Master Data'!$F$4:$K$12,MATCH($O$1,'Master Data'!$E$4:$E$12,0),MATCH(C111,'Master Data'!$F$3:$K$3,0)),2)</f>
        <v>7176</v>
      </c>
      <c r="Q111" s="147">
        <f>INDEX('Master Data'!$C$75:$O$299,MATCH(A111,'Master Data'!$B$75:$B$299,0),MATCH($Q$1,'Master Data'!$C$74:$O$74,0))</f>
        <v>0.12</v>
      </c>
      <c r="R111" s="148">
        <f>ROUND(Q111*INDEX('Master Data'!$F$4:$K$12,MATCH($Q$1,'Master Data'!$E$4:$E$12,0),MATCH(C111,'Master Data'!$F$3:$K$3,0)),2)</f>
        <v>5621.09</v>
      </c>
      <c r="S111" s="147">
        <f>INDEX('Master Data'!$C$75:$O$299,MATCH(A111,'Master Data'!$B$75:$B$299,0),MATCH($S$1,'Master Data'!$C$74:$O$74,0))</f>
        <v>0</v>
      </c>
      <c r="T111" s="148">
        <f>ROUND(S111*INDEX('Master Data'!$F$4:$K$12,MATCH($S$1,'Master Data'!$E$4:$E$12,0),MATCH(C111,'Master Data'!$F$3:$K$3,0)),2)</f>
        <v>0</v>
      </c>
      <c r="U111" s="147">
        <f>INDEX('Master Data'!$C$75:$O$299,MATCH(A111,'Master Data'!$B$75:$B$299,0),MATCH($U$1,'Master Data'!$C$74:$O$74,0))</f>
        <v>0</v>
      </c>
      <c r="V111" s="148">
        <f>ROUND(U111*INDEX('Master Data'!$F$4:$K$12,MATCH($U$1,'Master Data'!$E$4:$E$12,0),MATCH(C111,'Master Data'!$F$3:$K$3,0)),2)</f>
        <v>0</v>
      </c>
      <c r="W111" s="149">
        <f t="shared" si="9"/>
        <v>473118.98000000004</v>
      </c>
      <c r="X111" s="148">
        <f>ROUND(W111*('Master Data'!$B$54),2)</f>
        <v>118137.81</v>
      </c>
      <c r="Y111" s="149">
        <f t="shared" si="16"/>
        <v>591256.79</v>
      </c>
      <c r="Z111" s="147">
        <f>52*INDEX('Master Data'!$C$75:$O$299,MATCH(A111,'Master Data'!$B$75:$B$299,0),MATCH($Z$1,'Master Data'!$C$74:$O$74,0))</f>
        <v>52</v>
      </c>
      <c r="AA111" s="148">
        <f>Z111*('Master Data'!$F$15)</f>
        <v>3920.8</v>
      </c>
      <c r="AB111" s="147">
        <f>52*INDEX('Master Data'!$C$75:$O$299,MATCH(A111,'Master Data'!$B$75:$B$299,0),MATCH($AB$1,'Master Data'!$C$74:$O$74,0))</f>
        <v>52</v>
      </c>
      <c r="AC111" s="148">
        <f>AB111*('Master Data'!$F$16)</f>
        <v>3760.6399999999994</v>
      </c>
      <c r="AD111" s="149">
        <f t="shared" si="12"/>
        <v>7681.44</v>
      </c>
      <c r="AE111" s="148">
        <f>INDEX('Master Data'!$D$58:$D$60,MATCH(D111,'Master Data'!$B$58:$B$60,0))</f>
        <v>24321.56</v>
      </c>
      <c r="AF111" s="148">
        <f>INDEX('Master Data'!$E$58:$E$60,MATCH(D111,'Master Data'!$B$58:$B$60,0))</f>
        <v>2233.8000000000002</v>
      </c>
      <c r="AG111" s="148">
        <f>INDEX('Master Data'!$F$58:$F$60,MATCH(D111,'Master Data'!$B$58:$B$60,0))</f>
        <v>6471.45</v>
      </c>
      <c r="AH111" s="149">
        <f t="shared" si="13"/>
        <v>631965.04</v>
      </c>
      <c r="AI111" s="148">
        <f>ROUND(AH111*('Master Data'!$C$54),2)</f>
        <v>75835.8</v>
      </c>
      <c r="AJ111" s="148">
        <f>ROUND(SUM(AH111:AI111,AK111)*('Master Data'!$E$54),2)</f>
        <v>21205.03</v>
      </c>
      <c r="AK111" s="148">
        <f>ROUND(W111*('Master Data'!$F$54),2)</f>
        <v>0</v>
      </c>
      <c r="AL111" s="149">
        <f t="shared" si="14"/>
        <v>729005.87000000011</v>
      </c>
      <c r="AM111" s="140">
        <f t="shared" si="15"/>
        <v>2100.88</v>
      </c>
      <c r="AN111" s="121"/>
      <c r="AO111" s="121"/>
      <c r="AP111" s="121"/>
      <c r="AQ111" s="121"/>
      <c r="AR111" s="121"/>
      <c r="AS111" s="121"/>
    </row>
    <row r="112" spans="1:45">
      <c r="A112" s="121" t="s">
        <v>249</v>
      </c>
      <c r="B112" s="121" t="str">
        <f t="shared" si="8"/>
        <v xml:space="preserve"> </v>
      </c>
      <c r="C112" s="121" t="str">
        <f t="shared" si="19"/>
        <v xml:space="preserve">Basic  </v>
      </c>
      <c r="D112" s="121" t="str">
        <f>INDEX('Master Data'!$C$75:$C$299,MATCH(A112,'Master Data'!$B$75:$B$299,0))</f>
        <v>4+</v>
      </c>
      <c r="E112" s="147">
        <f>INDEX('Master Data'!$C$75:$O$299,MATCH(A112,'Master Data'!$B$75:$B$299,0),MATCH($E$1,'Master Data'!$C$74:$O$74,0))</f>
        <v>0.41</v>
      </c>
      <c r="F112" s="148">
        <f>ROUND(E112*INDEX('Master Data'!$F$4:$K$12,MATCH($E$1,'Master Data'!$E$4:$E$12,0),MATCH(C112,'Master Data'!$F$3:$K$3,0)),2)</f>
        <v>33409.629999999997</v>
      </c>
      <c r="G112" s="147">
        <f>INDEX('Master Data'!$C$75:$O$299,MATCH(A112,'Master Data'!$B$75:$B$299,0),MATCH($G$1,'Master Data'!$C$74:$O$74,0))</f>
        <v>1</v>
      </c>
      <c r="H112" s="148">
        <f>ROUND(G112*INDEX('Master Data'!$F$4:$K$12,MATCH($G$1,'Master Data'!$E$4:$E$12,0),MATCH(C112,'Master Data'!$F$3:$K$3,0)),2)</f>
        <v>56388.63</v>
      </c>
      <c r="I112" s="147">
        <f>INDEX('Master Data'!$C$75:$O$299,MATCH(A112,'Master Data'!$B$75:$B$299,0),MATCH($I$1,'Master Data'!$C$74:$O$74,0))</f>
        <v>6.1</v>
      </c>
      <c r="J112" s="148">
        <f>ROUND(I112*INDEX('Master Data'!$F$4:$K$12,MATCH($I$1,'Master Data'!$E$4:$E$12,0),MATCH(C112,'Master Data'!$F$3:$K$3,0)),2)</f>
        <v>285738.84000000003</v>
      </c>
      <c r="K112" s="147">
        <f>INDEX('Master Data'!$C$75:$O$299,MATCH(A112,'Master Data'!$B$75:$B$299,0),MATCH($K$1,'Master Data'!$C$74:$O$74,0))</f>
        <v>1.4</v>
      </c>
      <c r="L112" s="148">
        <f>ROUND(K112*INDEX('Master Data'!$F$4:$K$12,MATCH($K$1,'Master Data'!$E$4:$E$12,0),MATCH(C112,'Master Data'!$F$3:$K$3,0)),2)</f>
        <v>65579.399999999994</v>
      </c>
      <c r="M112" s="147">
        <f>INDEX('Master Data'!$C$75:$O$299,MATCH(A112,'Master Data'!$B$75:$B$299,0),MATCH($M$1,'Master Data'!$C$74:$O$74,0))</f>
        <v>0.99</v>
      </c>
      <c r="N112" s="148">
        <f>ROUND(M112*INDEX('Master Data'!$F$4:$K$12,MATCH($M$1,'Master Data'!$E$4:$E$12,0),MATCH(C112,'Master Data'!$F$3:$K$3,0)),2)</f>
        <v>46374.01</v>
      </c>
      <c r="O112" s="147">
        <f>INDEX('Master Data'!$C$75:$O$299,MATCH(A112,'Master Data'!$B$75:$B$299,0),MATCH($O$1,'Master Data'!$C$74:$O$74,0))</f>
        <v>0.23</v>
      </c>
      <c r="P112" s="148">
        <f>ROUND(O112*INDEX('Master Data'!$F$4:$K$12,MATCH($O$1,'Master Data'!$E$4:$E$12,0),MATCH(C112,'Master Data'!$F$3:$K$3,0)),2)</f>
        <v>7176</v>
      </c>
      <c r="Q112" s="147">
        <f>INDEX('Master Data'!$C$75:$O$299,MATCH(A112,'Master Data'!$B$75:$B$299,0),MATCH($Q$1,'Master Data'!$C$74:$O$74,0))</f>
        <v>0.12</v>
      </c>
      <c r="R112" s="148">
        <f>ROUND(Q112*INDEX('Master Data'!$F$4:$K$12,MATCH($Q$1,'Master Data'!$E$4:$E$12,0),MATCH(C112,'Master Data'!$F$3:$K$3,0)),2)</f>
        <v>5621.09</v>
      </c>
      <c r="S112" s="147">
        <f>INDEX('Master Data'!$C$75:$O$299,MATCH(A112,'Master Data'!$B$75:$B$299,0),MATCH($S$1,'Master Data'!$C$74:$O$74,0))</f>
        <v>0</v>
      </c>
      <c r="T112" s="148">
        <f>ROUND(S112*INDEX('Master Data'!$F$4:$K$12,MATCH($S$1,'Master Data'!$E$4:$E$12,0),MATCH(C112,'Master Data'!$F$3:$K$3,0)),2)</f>
        <v>0</v>
      </c>
      <c r="U112" s="147">
        <f>INDEX('Master Data'!$C$75:$O$299,MATCH(A112,'Master Data'!$B$75:$B$299,0),MATCH($U$1,'Master Data'!$C$74:$O$74,0))</f>
        <v>0</v>
      </c>
      <c r="V112" s="148">
        <f>ROUND(U112*INDEX('Master Data'!$F$4:$K$12,MATCH($U$1,'Master Data'!$E$4:$E$12,0),MATCH(C112,'Master Data'!$F$3:$K$3,0)),2)</f>
        <v>0</v>
      </c>
      <c r="W112" s="149">
        <f t="shared" si="9"/>
        <v>500287.60000000003</v>
      </c>
      <c r="X112" s="148">
        <f>ROUND(W112*('Master Data'!$B$54),2)</f>
        <v>124921.81</v>
      </c>
      <c r="Y112" s="149">
        <f t="shared" si="16"/>
        <v>625209.41</v>
      </c>
      <c r="Z112" s="147">
        <f>52*INDEX('Master Data'!$C$75:$O$299,MATCH(A112,'Master Data'!$B$75:$B$299,0),MATCH($Z$1,'Master Data'!$C$74:$O$74,0))</f>
        <v>52</v>
      </c>
      <c r="AA112" s="148">
        <f>Z112*('Master Data'!$F$15)</f>
        <v>3920.8</v>
      </c>
      <c r="AB112" s="147">
        <f>52*INDEX('Master Data'!$C$75:$O$299,MATCH(A112,'Master Data'!$B$75:$B$299,0),MATCH($AB$1,'Master Data'!$C$74:$O$74,0))</f>
        <v>52</v>
      </c>
      <c r="AC112" s="148">
        <f>AB112*('Master Data'!$F$16)</f>
        <v>3760.6399999999994</v>
      </c>
      <c r="AD112" s="149">
        <f t="shared" si="12"/>
        <v>7681.44</v>
      </c>
      <c r="AE112" s="148">
        <f>INDEX('Master Data'!$D$58:$D$60,MATCH(D112,'Master Data'!$B$58:$B$60,0))</f>
        <v>24321.56</v>
      </c>
      <c r="AF112" s="148">
        <f>INDEX('Master Data'!$E$58:$E$60,MATCH(D112,'Master Data'!$B$58:$B$60,0))</f>
        <v>2233.8000000000002</v>
      </c>
      <c r="AG112" s="148">
        <f>INDEX('Master Data'!$F$58:$F$60,MATCH(D112,'Master Data'!$B$58:$B$60,0))</f>
        <v>6471.45</v>
      </c>
      <c r="AH112" s="149">
        <f t="shared" si="13"/>
        <v>665917.66</v>
      </c>
      <c r="AI112" s="148">
        <f>ROUND(AH112*('Master Data'!$C$54),2)</f>
        <v>79910.12</v>
      </c>
      <c r="AJ112" s="148">
        <f>ROUND(SUM(AH112:AI112,AK112)*('Master Data'!$E$54),2)</f>
        <v>22344.29</v>
      </c>
      <c r="AK112" s="148">
        <f>ROUND(W112*('Master Data'!$F$54),2)</f>
        <v>0</v>
      </c>
      <c r="AL112" s="149">
        <f t="shared" si="14"/>
        <v>768172.07000000007</v>
      </c>
      <c r="AM112" s="140">
        <f t="shared" si="15"/>
        <v>2213.75</v>
      </c>
      <c r="AN112" s="121"/>
      <c r="AO112" s="121"/>
      <c r="AP112" s="121"/>
      <c r="AQ112" s="121"/>
      <c r="AR112" s="121"/>
      <c r="AS112" s="121"/>
    </row>
    <row r="113" spans="1:45">
      <c r="A113" s="121" t="s">
        <v>250</v>
      </c>
      <c r="B113" s="121" t="str">
        <f t="shared" si="8"/>
        <v xml:space="preserve"> </v>
      </c>
      <c r="C113" s="121" t="str">
        <f t="shared" si="19"/>
        <v xml:space="preserve">Basic  </v>
      </c>
      <c r="D113" s="121" t="str">
        <f>INDEX('Master Data'!$C$75:$C$299,MATCH(A113,'Master Data'!$B$75:$B$299,0))</f>
        <v>4+</v>
      </c>
      <c r="E113" s="147">
        <f>INDEX('Master Data'!$C$75:$O$299,MATCH(A113,'Master Data'!$B$75:$B$299,0),MATCH($E$1,'Master Data'!$C$74:$O$74,0))</f>
        <v>0.41</v>
      </c>
      <c r="F113" s="148">
        <f>ROUND(E113*INDEX('Master Data'!$F$4:$K$12,MATCH($E$1,'Master Data'!$E$4:$E$12,0),MATCH(C113,'Master Data'!$F$3:$K$3,0)),2)</f>
        <v>33409.629999999997</v>
      </c>
      <c r="G113" s="147">
        <f>INDEX('Master Data'!$C$75:$O$299,MATCH(A113,'Master Data'!$B$75:$B$299,0),MATCH($G$1,'Master Data'!$C$74:$O$74,0))</f>
        <v>1</v>
      </c>
      <c r="H113" s="148">
        <f>ROUND(G113*INDEX('Master Data'!$F$4:$K$12,MATCH($G$1,'Master Data'!$E$4:$E$12,0),MATCH(C113,'Master Data'!$F$3:$K$3,0)),2)</f>
        <v>56388.63</v>
      </c>
      <c r="I113" s="147">
        <f>INDEX('Master Data'!$C$75:$O$299,MATCH(A113,'Master Data'!$B$75:$B$299,0),MATCH($I$1,'Master Data'!$C$74:$O$74,0))</f>
        <v>6.6</v>
      </c>
      <c r="J113" s="148">
        <f>ROUND(I113*INDEX('Master Data'!$F$4:$K$12,MATCH($I$1,'Master Data'!$E$4:$E$12,0),MATCH(C113,'Master Data'!$F$3:$K$3,0)),2)</f>
        <v>309160.05</v>
      </c>
      <c r="K113" s="147">
        <f>INDEX('Master Data'!$C$75:$O$299,MATCH(A113,'Master Data'!$B$75:$B$299,0),MATCH($K$1,'Master Data'!$C$74:$O$74,0))</f>
        <v>1.4</v>
      </c>
      <c r="L113" s="148">
        <f>ROUND(K113*INDEX('Master Data'!$F$4:$K$12,MATCH($K$1,'Master Data'!$E$4:$E$12,0),MATCH(C113,'Master Data'!$F$3:$K$3,0)),2)</f>
        <v>65579.399999999994</v>
      </c>
      <c r="M113" s="147">
        <f>INDEX('Master Data'!$C$75:$O$299,MATCH(A113,'Master Data'!$B$75:$B$299,0),MATCH($M$1,'Master Data'!$C$74:$O$74,0))</f>
        <v>1.07</v>
      </c>
      <c r="N113" s="148">
        <f>ROUND(M113*INDEX('Master Data'!$F$4:$K$12,MATCH($M$1,'Master Data'!$E$4:$E$12,0),MATCH(C113,'Master Data'!$F$3:$K$3,0)),2)</f>
        <v>50121.4</v>
      </c>
      <c r="O113" s="147">
        <f>INDEX('Master Data'!$C$75:$O$299,MATCH(A113,'Master Data'!$B$75:$B$299,0),MATCH($O$1,'Master Data'!$C$74:$O$74,0))</f>
        <v>0.23</v>
      </c>
      <c r="P113" s="148">
        <f>ROUND(O113*INDEX('Master Data'!$F$4:$K$12,MATCH($O$1,'Master Data'!$E$4:$E$12,0),MATCH(C113,'Master Data'!$F$3:$K$3,0)),2)</f>
        <v>7176</v>
      </c>
      <c r="Q113" s="147">
        <f>INDEX('Master Data'!$C$75:$O$299,MATCH(A113,'Master Data'!$B$75:$B$299,0),MATCH($Q$1,'Master Data'!$C$74:$O$74,0))</f>
        <v>0.12</v>
      </c>
      <c r="R113" s="148">
        <f>ROUND(Q113*INDEX('Master Data'!$F$4:$K$12,MATCH($Q$1,'Master Data'!$E$4:$E$12,0),MATCH(C113,'Master Data'!$F$3:$K$3,0)),2)</f>
        <v>5621.09</v>
      </c>
      <c r="S113" s="147">
        <f>INDEX('Master Data'!$C$75:$O$299,MATCH(A113,'Master Data'!$B$75:$B$299,0),MATCH($S$1,'Master Data'!$C$74:$O$74,0))</f>
        <v>0</v>
      </c>
      <c r="T113" s="148">
        <f>ROUND(S113*INDEX('Master Data'!$F$4:$K$12,MATCH($S$1,'Master Data'!$E$4:$E$12,0),MATCH(C113,'Master Data'!$F$3:$K$3,0)),2)</f>
        <v>0</v>
      </c>
      <c r="U113" s="147">
        <f>INDEX('Master Data'!$C$75:$O$299,MATCH(A113,'Master Data'!$B$75:$B$299,0),MATCH($U$1,'Master Data'!$C$74:$O$74,0))</f>
        <v>0</v>
      </c>
      <c r="V113" s="148">
        <f>ROUND(U113*INDEX('Master Data'!$F$4:$K$12,MATCH($U$1,'Master Data'!$E$4:$E$12,0),MATCH(C113,'Master Data'!$F$3:$K$3,0)),2)</f>
        <v>0</v>
      </c>
      <c r="W113" s="149">
        <f t="shared" si="9"/>
        <v>527456.19999999995</v>
      </c>
      <c r="X113" s="148">
        <f>ROUND(W113*('Master Data'!$B$54),2)</f>
        <v>131705.81</v>
      </c>
      <c r="Y113" s="149">
        <f t="shared" si="16"/>
        <v>659162.01</v>
      </c>
      <c r="Z113" s="147">
        <f>52*INDEX('Master Data'!$C$75:$O$299,MATCH(A113,'Master Data'!$B$75:$B$299,0),MATCH($Z$1,'Master Data'!$C$74:$O$74,0))</f>
        <v>52</v>
      </c>
      <c r="AA113" s="148">
        <f>Z113*('Master Data'!$F$15)</f>
        <v>3920.8</v>
      </c>
      <c r="AB113" s="147">
        <f>52*INDEX('Master Data'!$C$75:$O$299,MATCH(A113,'Master Data'!$B$75:$B$299,0),MATCH($AB$1,'Master Data'!$C$74:$O$74,0))</f>
        <v>52</v>
      </c>
      <c r="AC113" s="148">
        <f>AB113*('Master Data'!$F$16)</f>
        <v>3760.6399999999994</v>
      </c>
      <c r="AD113" s="149">
        <f t="shared" si="12"/>
        <v>7681.44</v>
      </c>
      <c r="AE113" s="148">
        <f>INDEX('Master Data'!$D$58:$D$60,MATCH(D113,'Master Data'!$B$58:$B$60,0))</f>
        <v>24321.56</v>
      </c>
      <c r="AF113" s="148">
        <f>INDEX('Master Data'!$E$58:$E$60,MATCH(D113,'Master Data'!$B$58:$B$60,0))</f>
        <v>2233.8000000000002</v>
      </c>
      <c r="AG113" s="148">
        <f>INDEX('Master Data'!$F$58:$F$60,MATCH(D113,'Master Data'!$B$58:$B$60,0))</f>
        <v>6471.45</v>
      </c>
      <c r="AH113" s="149">
        <f t="shared" si="13"/>
        <v>699870.26</v>
      </c>
      <c r="AI113" s="148">
        <f>ROUND(AH113*('Master Data'!$C$54),2)</f>
        <v>83984.43</v>
      </c>
      <c r="AJ113" s="148">
        <f>ROUND(SUM(AH113:AI113,AK113)*('Master Data'!$E$54),2)</f>
        <v>23483.54</v>
      </c>
      <c r="AK113" s="148">
        <f>ROUND(W113*('Master Data'!$F$54),2)</f>
        <v>0</v>
      </c>
      <c r="AL113" s="149">
        <f t="shared" si="14"/>
        <v>807338.23</v>
      </c>
      <c r="AM113" s="140">
        <f t="shared" si="15"/>
        <v>2326.62</v>
      </c>
      <c r="AN113" s="121"/>
      <c r="AO113" s="121"/>
      <c r="AP113" s="121"/>
      <c r="AQ113" s="121"/>
      <c r="AR113" s="121"/>
      <c r="AS113" s="121"/>
    </row>
    <row r="114" spans="1:45">
      <c r="A114" s="121" t="s">
        <v>251</v>
      </c>
      <c r="B114" s="121" t="str">
        <f t="shared" si="8"/>
        <v xml:space="preserve"> </v>
      </c>
      <c r="C114" s="121" t="str">
        <f t="shared" si="19"/>
        <v xml:space="preserve">Basic  </v>
      </c>
      <c r="D114" s="121" t="str">
        <f>INDEX('Master Data'!$C$75:$C$299,MATCH(A114,'Master Data'!$B$75:$B$299,0))</f>
        <v>4+</v>
      </c>
      <c r="E114" s="147">
        <f>INDEX('Master Data'!$C$75:$O$299,MATCH(A114,'Master Data'!$B$75:$B$299,0),MATCH($E$1,'Master Data'!$C$74:$O$74,0))</f>
        <v>0.41</v>
      </c>
      <c r="F114" s="148">
        <f>ROUND(E114*INDEX('Master Data'!$F$4:$K$12,MATCH($E$1,'Master Data'!$E$4:$E$12,0),MATCH(C114,'Master Data'!$F$3:$K$3,0)),2)</f>
        <v>33409.629999999997</v>
      </c>
      <c r="G114" s="147">
        <f>INDEX('Master Data'!$C$75:$O$299,MATCH(A114,'Master Data'!$B$75:$B$299,0),MATCH($G$1,'Master Data'!$C$74:$O$74,0))</f>
        <v>1</v>
      </c>
      <c r="H114" s="148">
        <f>ROUND(G114*INDEX('Master Data'!$F$4:$K$12,MATCH($G$1,'Master Data'!$E$4:$E$12,0),MATCH(C114,'Master Data'!$F$3:$K$3,0)),2)</f>
        <v>56388.63</v>
      </c>
      <c r="I114" s="147">
        <f>INDEX('Master Data'!$C$75:$O$299,MATCH(A114,'Master Data'!$B$75:$B$299,0),MATCH($I$1,'Master Data'!$C$74:$O$74,0))</f>
        <v>7.1</v>
      </c>
      <c r="J114" s="148">
        <f>ROUND(I114*INDEX('Master Data'!$F$4:$K$12,MATCH($I$1,'Master Data'!$E$4:$E$12,0),MATCH(C114,'Master Data'!$F$3:$K$3,0)),2)</f>
        <v>332581.27</v>
      </c>
      <c r="K114" s="147">
        <f>INDEX('Master Data'!$C$75:$O$299,MATCH(A114,'Master Data'!$B$75:$B$299,0),MATCH($K$1,'Master Data'!$C$74:$O$74,0))</f>
        <v>1.4</v>
      </c>
      <c r="L114" s="148">
        <f>ROUND(K114*INDEX('Master Data'!$F$4:$K$12,MATCH($K$1,'Master Data'!$E$4:$E$12,0),MATCH(C114,'Master Data'!$F$3:$K$3,0)),2)</f>
        <v>65579.399999999994</v>
      </c>
      <c r="M114" s="147">
        <f>INDEX('Master Data'!$C$75:$O$299,MATCH(A114,'Master Data'!$B$75:$B$299,0),MATCH($M$1,'Master Data'!$C$74:$O$74,0))</f>
        <v>1.1499999999999999</v>
      </c>
      <c r="N114" s="148">
        <f>ROUND(M114*INDEX('Master Data'!$F$4:$K$12,MATCH($M$1,'Master Data'!$E$4:$E$12,0),MATCH(C114,'Master Data'!$F$3:$K$3,0)),2)</f>
        <v>53868.800000000003</v>
      </c>
      <c r="O114" s="147">
        <f>INDEX('Master Data'!$C$75:$O$299,MATCH(A114,'Master Data'!$B$75:$B$299,0),MATCH($O$1,'Master Data'!$C$74:$O$74,0))</f>
        <v>0.23</v>
      </c>
      <c r="P114" s="148">
        <f>ROUND(O114*INDEX('Master Data'!$F$4:$K$12,MATCH($O$1,'Master Data'!$E$4:$E$12,0),MATCH(C114,'Master Data'!$F$3:$K$3,0)),2)</f>
        <v>7176</v>
      </c>
      <c r="Q114" s="147">
        <f>INDEX('Master Data'!$C$75:$O$299,MATCH(A114,'Master Data'!$B$75:$B$299,0),MATCH($Q$1,'Master Data'!$C$74:$O$74,0))</f>
        <v>0.12</v>
      </c>
      <c r="R114" s="148">
        <f>ROUND(Q114*INDEX('Master Data'!$F$4:$K$12,MATCH($Q$1,'Master Data'!$E$4:$E$12,0),MATCH(C114,'Master Data'!$F$3:$K$3,0)),2)</f>
        <v>5621.09</v>
      </c>
      <c r="S114" s="147">
        <f>INDEX('Master Data'!$C$75:$O$299,MATCH(A114,'Master Data'!$B$75:$B$299,0),MATCH($S$1,'Master Data'!$C$74:$O$74,0))</f>
        <v>0</v>
      </c>
      <c r="T114" s="148">
        <f>ROUND(S114*INDEX('Master Data'!$F$4:$K$12,MATCH($S$1,'Master Data'!$E$4:$E$12,0),MATCH(C114,'Master Data'!$F$3:$K$3,0)),2)</f>
        <v>0</v>
      </c>
      <c r="U114" s="147">
        <f>INDEX('Master Data'!$C$75:$O$299,MATCH(A114,'Master Data'!$B$75:$B$299,0),MATCH($U$1,'Master Data'!$C$74:$O$74,0))</f>
        <v>0</v>
      </c>
      <c r="V114" s="148">
        <f>ROUND(U114*INDEX('Master Data'!$F$4:$K$12,MATCH($U$1,'Master Data'!$E$4:$E$12,0),MATCH(C114,'Master Data'!$F$3:$K$3,0)),2)</f>
        <v>0</v>
      </c>
      <c r="W114" s="149">
        <f t="shared" si="9"/>
        <v>554624.82000000007</v>
      </c>
      <c r="X114" s="148">
        <f>ROUND(W114*('Master Data'!$B$54),2)</f>
        <v>138489.82</v>
      </c>
      <c r="Y114" s="149">
        <f t="shared" si="16"/>
        <v>693114.64000000013</v>
      </c>
      <c r="Z114" s="147">
        <f>52*INDEX('Master Data'!$C$75:$O$299,MATCH(A114,'Master Data'!$B$75:$B$299,0),MATCH($Z$1,'Master Data'!$C$74:$O$74,0))</f>
        <v>52</v>
      </c>
      <c r="AA114" s="148">
        <f>Z114*('Master Data'!$F$15)</f>
        <v>3920.8</v>
      </c>
      <c r="AB114" s="147">
        <f>52*INDEX('Master Data'!$C$75:$O$299,MATCH(A114,'Master Data'!$B$75:$B$299,0),MATCH($AB$1,'Master Data'!$C$74:$O$74,0))</f>
        <v>52</v>
      </c>
      <c r="AC114" s="148">
        <f>AB114*('Master Data'!$F$16)</f>
        <v>3760.6399999999994</v>
      </c>
      <c r="AD114" s="149">
        <f t="shared" si="12"/>
        <v>7681.44</v>
      </c>
      <c r="AE114" s="148">
        <f>INDEX('Master Data'!$D$58:$D$60,MATCH(D114,'Master Data'!$B$58:$B$60,0))</f>
        <v>24321.56</v>
      </c>
      <c r="AF114" s="148">
        <f>INDEX('Master Data'!$E$58:$E$60,MATCH(D114,'Master Data'!$B$58:$B$60,0))</f>
        <v>2233.8000000000002</v>
      </c>
      <c r="AG114" s="148">
        <f>INDEX('Master Data'!$F$58:$F$60,MATCH(D114,'Master Data'!$B$58:$B$60,0))</f>
        <v>6471.45</v>
      </c>
      <c r="AH114" s="149">
        <f t="shared" si="13"/>
        <v>733822.89000000013</v>
      </c>
      <c r="AI114" s="148">
        <f>ROUND(AH114*('Master Data'!$C$54),2)</f>
        <v>88058.75</v>
      </c>
      <c r="AJ114" s="148">
        <f>ROUND(SUM(AH114:AI114,AK114)*('Master Data'!$E$54),2)</f>
        <v>24622.79</v>
      </c>
      <c r="AK114" s="148">
        <f>ROUND(W114*('Master Data'!$F$54),2)</f>
        <v>0</v>
      </c>
      <c r="AL114" s="149">
        <f t="shared" si="14"/>
        <v>846504.43000000017</v>
      </c>
      <c r="AM114" s="140">
        <f t="shared" si="15"/>
        <v>2439.4899999999998</v>
      </c>
      <c r="AN114" s="121"/>
      <c r="AO114" s="121"/>
      <c r="AP114" s="121"/>
      <c r="AQ114" s="121"/>
      <c r="AR114" s="121"/>
      <c r="AS114" s="121"/>
    </row>
    <row r="115" spans="1:45">
      <c r="A115" s="121" t="s">
        <v>252</v>
      </c>
      <c r="B115" s="121" t="str">
        <f t="shared" si="8"/>
        <v xml:space="preserve"> </v>
      </c>
      <c r="C115" s="121" t="str">
        <f t="shared" si="19"/>
        <v xml:space="preserve">Basic  </v>
      </c>
      <c r="D115" s="121" t="str">
        <f>INDEX('Master Data'!$C$75:$C$299,MATCH(A115,'Master Data'!$B$75:$B$299,0))</f>
        <v>4+</v>
      </c>
      <c r="E115" s="147">
        <f>INDEX('Master Data'!$C$75:$O$299,MATCH(A115,'Master Data'!$B$75:$B$299,0),MATCH($E$1,'Master Data'!$C$74:$O$74,0))</f>
        <v>0.41</v>
      </c>
      <c r="F115" s="148">
        <f>ROUND(E115*INDEX('Master Data'!$F$4:$K$12,MATCH($E$1,'Master Data'!$E$4:$E$12,0),MATCH(C115,'Master Data'!$F$3:$K$3,0)),2)</f>
        <v>33409.629999999997</v>
      </c>
      <c r="G115" s="147">
        <f>INDEX('Master Data'!$C$75:$O$299,MATCH(A115,'Master Data'!$B$75:$B$299,0),MATCH($G$1,'Master Data'!$C$74:$O$74,0))</f>
        <v>1</v>
      </c>
      <c r="H115" s="148">
        <f>ROUND(G115*INDEX('Master Data'!$F$4:$K$12,MATCH($G$1,'Master Data'!$E$4:$E$12,0),MATCH(C115,'Master Data'!$F$3:$K$3,0)),2)</f>
        <v>56388.63</v>
      </c>
      <c r="I115" s="147">
        <f>INDEX('Master Data'!$C$75:$O$299,MATCH(A115,'Master Data'!$B$75:$B$299,0),MATCH($I$1,'Master Data'!$C$74:$O$74,0))</f>
        <v>7.6</v>
      </c>
      <c r="J115" s="148">
        <f>ROUND(I115*INDEX('Master Data'!$F$4:$K$12,MATCH($I$1,'Master Data'!$E$4:$E$12,0),MATCH(C115,'Master Data'!$F$3:$K$3,0)),2)</f>
        <v>356002.48</v>
      </c>
      <c r="K115" s="147">
        <f>INDEX('Master Data'!$C$75:$O$299,MATCH(A115,'Master Data'!$B$75:$B$299,0),MATCH($K$1,'Master Data'!$C$74:$O$74,0))</f>
        <v>1.4</v>
      </c>
      <c r="L115" s="148">
        <f>ROUND(K115*INDEX('Master Data'!$F$4:$K$12,MATCH($K$1,'Master Data'!$E$4:$E$12,0),MATCH(C115,'Master Data'!$F$3:$K$3,0)),2)</f>
        <v>65579.399999999994</v>
      </c>
      <c r="M115" s="147">
        <f>INDEX('Master Data'!$C$75:$O$299,MATCH(A115,'Master Data'!$B$75:$B$299,0),MATCH($M$1,'Master Data'!$C$74:$O$74,0))</f>
        <v>1.23</v>
      </c>
      <c r="N115" s="148">
        <f>ROUND(M115*INDEX('Master Data'!$F$4:$K$12,MATCH($M$1,'Master Data'!$E$4:$E$12,0),MATCH(C115,'Master Data'!$F$3:$K$3,0)),2)</f>
        <v>57616.19</v>
      </c>
      <c r="O115" s="147">
        <f>INDEX('Master Data'!$C$75:$O$299,MATCH(A115,'Master Data'!$B$75:$B$299,0),MATCH($O$1,'Master Data'!$C$74:$O$74,0))</f>
        <v>0.23</v>
      </c>
      <c r="P115" s="148">
        <f>ROUND(O115*INDEX('Master Data'!$F$4:$K$12,MATCH($O$1,'Master Data'!$E$4:$E$12,0),MATCH(C115,'Master Data'!$F$3:$K$3,0)),2)</f>
        <v>7176</v>
      </c>
      <c r="Q115" s="147">
        <f>INDEX('Master Data'!$C$75:$O$299,MATCH(A115,'Master Data'!$B$75:$B$299,0),MATCH($Q$1,'Master Data'!$C$74:$O$74,0))</f>
        <v>0.12</v>
      </c>
      <c r="R115" s="148">
        <f>ROUND(Q115*INDEX('Master Data'!$F$4:$K$12,MATCH($Q$1,'Master Data'!$E$4:$E$12,0),MATCH(C115,'Master Data'!$F$3:$K$3,0)),2)</f>
        <v>5621.09</v>
      </c>
      <c r="S115" s="147">
        <f>INDEX('Master Data'!$C$75:$O$299,MATCH(A115,'Master Data'!$B$75:$B$299,0),MATCH($S$1,'Master Data'!$C$74:$O$74,0))</f>
        <v>0</v>
      </c>
      <c r="T115" s="148">
        <f>ROUND(S115*INDEX('Master Data'!$F$4:$K$12,MATCH($S$1,'Master Data'!$E$4:$E$12,0),MATCH(C115,'Master Data'!$F$3:$K$3,0)),2)</f>
        <v>0</v>
      </c>
      <c r="U115" s="147">
        <f>INDEX('Master Data'!$C$75:$O$299,MATCH(A115,'Master Data'!$B$75:$B$299,0),MATCH($U$1,'Master Data'!$C$74:$O$74,0))</f>
        <v>0</v>
      </c>
      <c r="V115" s="148">
        <f>ROUND(U115*INDEX('Master Data'!$F$4:$K$12,MATCH($U$1,'Master Data'!$E$4:$E$12,0),MATCH(C115,'Master Data'!$F$3:$K$3,0)),2)</f>
        <v>0</v>
      </c>
      <c r="W115" s="149">
        <f t="shared" si="9"/>
        <v>581793.42000000004</v>
      </c>
      <c r="X115" s="148">
        <f>ROUND(W115*('Master Data'!$B$54),2)</f>
        <v>145273.82</v>
      </c>
      <c r="Y115" s="149">
        <f t="shared" si="16"/>
        <v>727067.24</v>
      </c>
      <c r="Z115" s="147">
        <f>52*INDEX('Master Data'!$C$75:$O$299,MATCH(A115,'Master Data'!$B$75:$B$299,0),MATCH($Z$1,'Master Data'!$C$74:$O$74,0))</f>
        <v>52</v>
      </c>
      <c r="AA115" s="148">
        <f>Z115*('Master Data'!$F$15)</f>
        <v>3920.8</v>
      </c>
      <c r="AB115" s="147">
        <f>52*INDEX('Master Data'!$C$75:$O$299,MATCH(A115,'Master Data'!$B$75:$B$299,0),MATCH($AB$1,'Master Data'!$C$74:$O$74,0))</f>
        <v>52</v>
      </c>
      <c r="AC115" s="148">
        <f>AB115*('Master Data'!$F$16)</f>
        <v>3760.6399999999994</v>
      </c>
      <c r="AD115" s="149">
        <f t="shared" si="12"/>
        <v>7681.44</v>
      </c>
      <c r="AE115" s="148">
        <f>INDEX('Master Data'!$D$58:$D$60,MATCH(D115,'Master Data'!$B$58:$B$60,0))</f>
        <v>24321.56</v>
      </c>
      <c r="AF115" s="148">
        <f>INDEX('Master Data'!$E$58:$E$60,MATCH(D115,'Master Data'!$B$58:$B$60,0))</f>
        <v>2233.8000000000002</v>
      </c>
      <c r="AG115" s="148">
        <f>INDEX('Master Data'!$F$58:$F$60,MATCH(D115,'Master Data'!$B$58:$B$60,0))</f>
        <v>6471.45</v>
      </c>
      <c r="AH115" s="149">
        <f t="shared" si="13"/>
        <v>767775.49</v>
      </c>
      <c r="AI115" s="148">
        <f>ROUND(AH115*('Master Data'!$C$54),2)</f>
        <v>92133.06</v>
      </c>
      <c r="AJ115" s="148">
        <f>ROUND(SUM(AH115:AI115,AK115)*('Master Data'!$E$54),2)</f>
        <v>25762.04</v>
      </c>
      <c r="AK115" s="148">
        <f>ROUND(W115*('Master Data'!$F$54),2)</f>
        <v>0</v>
      </c>
      <c r="AL115" s="149">
        <f t="shared" si="14"/>
        <v>885670.59000000008</v>
      </c>
      <c r="AM115" s="140">
        <f t="shared" si="15"/>
        <v>2552.36</v>
      </c>
      <c r="AN115" s="121"/>
      <c r="AO115" s="121"/>
      <c r="AP115" s="121"/>
      <c r="AQ115" s="121"/>
      <c r="AR115" s="121"/>
      <c r="AS115" s="121"/>
    </row>
    <row r="116" spans="1:45">
      <c r="A116" s="121" t="s">
        <v>253</v>
      </c>
      <c r="B116" s="121" t="str">
        <f t="shared" si="8"/>
        <v xml:space="preserve"> </v>
      </c>
      <c r="C116" s="121" t="str">
        <f t="shared" si="19"/>
        <v xml:space="preserve">Basic  </v>
      </c>
      <c r="D116" s="121" t="str">
        <f>INDEX('Master Data'!$C$75:$C$299,MATCH(A116,'Master Data'!$B$75:$B$299,0))</f>
        <v>4+</v>
      </c>
      <c r="E116" s="147">
        <f>INDEX('Master Data'!$C$75:$O$299,MATCH(A116,'Master Data'!$B$75:$B$299,0),MATCH($E$1,'Master Data'!$C$74:$O$74,0))</f>
        <v>0.41</v>
      </c>
      <c r="F116" s="148">
        <f>ROUND(E116*INDEX('Master Data'!$F$4:$K$12,MATCH($E$1,'Master Data'!$E$4:$E$12,0),MATCH(C116,'Master Data'!$F$3:$K$3,0)),2)</f>
        <v>33409.629999999997</v>
      </c>
      <c r="G116" s="147">
        <f>INDEX('Master Data'!$C$75:$O$299,MATCH(A116,'Master Data'!$B$75:$B$299,0),MATCH($G$1,'Master Data'!$C$74:$O$74,0))</f>
        <v>1</v>
      </c>
      <c r="H116" s="148">
        <f>ROUND(G116*INDEX('Master Data'!$F$4:$K$12,MATCH($G$1,'Master Data'!$E$4:$E$12,0),MATCH(C116,'Master Data'!$F$3:$K$3,0)),2)</f>
        <v>56388.63</v>
      </c>
      <c r="I116" s="147">
        <f>INDEX('Master Data'!$C$75:$O$299,MATCH(A116,'Master Data'!$B$75:$B$299,0),MATCH($I$1,'Master Data'!$C$74:$O$74,0))</f>
        <v>8.1</v>
      </c>
      <c r="J116" s="148">
        <f>ROUND(I116*INDEX('Master Data'!$F$4:$K$12,MATCH($I$1,'Master Data'!$E$4:$E$12,0),MATCH(C116,'Master Data'!$F$3:$K$3,0)),2)</f>
        <v>379423.7</v>
      </c>
      <c r="K116" s="147">
        <f>INDEX('Master Data'!$C$75:$O$299,MATCH(A116,'Master Data'!$B$75:$B$299,0),MATCH($K$1,'Master Data'!$C$74:$O$74,0))</f>
        <v>1.4</v>
      </c>
      <c r="L116" s="148">
        <f>ROUND(K116*INDEX('Master Data'!$F$4:$K$12,MATCH($K$1,'Master Data'!$E$4:$E$12,0),MATCH(C116,'Master Data'!$F$3:$K$3,0)),2)</f>
        <v>65579.399999999994</v>
      </c>
      <c r="M116" s="147">
        <f>INDEX('Master Data'!$C$75:$O$299,MATCH(A116,'Master Data'!$B$75:$B$299,0),MATCH($M$1,'Master Data'!$C$74:$O$74,0))</f>
        <v>1.31</v>
      </c>
      <c r="N116" s="148">
        <f>ROUND(M116*INDEX('Master Data'!$F$4:$K$12,MATCH($M$1,'Master Data'!$E$4:$E$12,0),MATCH(C116,'Master Data'!$F$3:$K$3,0)),2)</f>
        <v>61363.59</v>
      </c>
      <c r="O116" s="147">
        <f>INDEX('Master Data'!$C$75:$O$299,MATCH(A116,'Master Data'!$B$75:$B$299,0),MATCH($O$1,'Master Data'!$C$74:$O$74,0))</f>
        <v>0.23</v>
      </c>
      <c r="P116" s="148">
        <f>ROUND(O116*INDEX('Master Data'!$F$4:$K$12,MATCH($O$1,'Master Data'!$E$4:$E$12,0),MATCH(C116,'Master Data'!$F$3:$K$3,0)),2)</f>
        <v>7176</v>
      </c>
      <c r="Q116" s="147">
        <f>INDEX('Master Data'!$C$75:$O$299,MATCH(A116,'Master Data'!$B$75:$B$299,0),MATCH($Q$1,'Master Data'!$C$74:$O$74,0))</f>
        <v>0.12</v>
      </c>
      <c r="R116" s="148">
        <f>ROUND(Q116*INDEX('Master Data'!$F$4:$K$12,MATCH($Q$1,'Master Data'!$E$4:$E$12,0),MATCH(C116,'Master Data'!$F$3:$K$3,0)),2)</f>
        <v>5621.09</v>
      </c>
      <c r="S116" s="147">
        <f>INDEX('Master Data'!$C$75:$O$299,MATCH(A116,'Master Data'!$B$75:$B$299,0),MATCH($S$1,'Master Data'!$C$74:$O$74,0))</f>
        <v>0</v>
      </c>
      <c r="T116" s="148">
        <f>ROUND(S116*INDEX('Master Data'!$F$4:$K$12,MATCH($S$1,'Master Data'!$E$4:$E$12,0),MATCH(C116,'Master Data'!$F$3:$K$3,0)),2)</f>
        <v>0</v>
      </c>
      <c r="U116" s="147">
        <f>INDEX('Master Data'!$C$75:$O$299,MATCH(A116,'Master Data'!$B$75:$B$299,0),MATCH($U$1,'Master Data'!$C$74:$O$74,0))</f>
        <v>0</v>
      </c>
      <c r="V116" s="148">
        <f>ROUND(U116*INDEX('Master Data'!$F$4:$K$12,MATCH($U$1,'Master Data'!$E$4:$E$12,0),MATCH(C116,'Master Data'!$F$3:$K$3,0)),2)</f>
        <v>0</v>
      </c>
      <c r="W116" s="149">
        <f t="shared" si="9"/>
        <v>608962.03999999992</v>
      </c>
      <c r="X116" s="148">
        <f>ROUND(W116*('Master Data'!$B$54),2)</f>
        <v>152057.82</v>
      </c>
      <c r="Y116" s="149">
        <f t="shared" si="16"/>
        <v>761019.85999999987</v>
      </c>
      <c r="Z116" s="147">
        <f>52*INDEX('Master Data'!$C$75:$O$299,MATCH(A116,'Master Data'!$B$75:$B$299,0),MATCH($Z$1,'Master Data'!$C$74:$O$74,0))</f>
        <v>52</v>
      </c>
      <c r="AA116" s="148">
        <f>Z116*('Master Data'!$F$15)</f>
        <v>3920.8</v>
      </c>
      <c r="AB116" s="147">
        <f>52*INDEX('Master Data'!$C$75:$O$299,MATCH(A116,'Master Data'!$B$75:$B$299,0),MATCH($AB$1,'Master Data'!$C$74:$O$74,0))</f>
        <v>52</v>
      </c>
      <c r="AC116" s="148">
        <f>AB116*('Master Data'!$F$16)</f>
        <v>3760.6399999999994</v>
      </c>
      <c r="AD116" s="149">
        <f t="shared" si="12"/>
        <v>7681.44</v>
      </c>
      <c r="AE116" s="148">
        <f>INDEX('Master Data'!$D$58:$D$60,MATCH(D116,'Master Data'!$B$58:$B$60,0))</f>
        <v>24321.56</v>
      </c>
      <c r="AF116" s="148">
        <f>INDEX('Master Data'!$E$58:$E$60,MATCH(D116,'Master Data'!$B$58:$B$60,0))</f>
        <v>2233.8000000000002</v>
      </c>
      <c r="AG116" s="148">
        <f>INDEX('Master Data'!$F$58:$F$60,MATCH(D116,'Master Data'!$B$58:$B$60,0))</f>
        <v>6471.45</v>
      </c>
      <c r="AH116" s="149">
        <f t="shared" si="13"/>
        <v>801728.10999999987</v>
      </c>
      <c r="AI116" s="148">
        <f>ROUND(AH116*('Master Data'!$C$54),2)</f>
        <v>96207.37</v>
      </c>
      <c r="AJ116" s="148">
        <f>ROUND(SUM(AH116:AI116,AK116)*('Master Data'!$E$54),2)</f>
        <v>26901.29</v>
      </c>
      <c r="AK116" s="148">
        <f>ROUND(W116*('Master Data'!$F$54),2)</f>
        <v>0</v>
      </c>
      <c r="AL116" s="149">
        <f t="shared" si="14"/>
        <v>924836.7699999999</v>
      </c>
      <c r="AM116" s="140">
        <f t="shared" si="15"/>
        <v>2665.24</v>
      </c>
      <c r="AN116" s="121"/>
      <c r="AO116" s="121"/>
      <c r="AP116" s="121"/>
      <c r="AQ116" s="121"/>
      <c r="AR116" s="121"/>
      <c r="AS116" s="121"/>
    </row>
    <row r="117" spans="1:45">
      <c r="A117" s="121" t="s">
        <v>254</v>
      </c>
      <c r="B117" s="121" t="str">
        <f t="shared" si="8"/>
        <v xml:space="preserve"> </v>
      </c>
      <c r="C117" s="121" t="str">
        <f t="shared" si="19"/>
        <v xml:space="preserve">Basic  </v>
      </c>
      <c r="D117" s="121" t="str">
        <f>INDEX('Master Data'!$C$75:$C$299,MATCH(A117,'Master Data'!$B$75:$B$299,0))</f>
        <v>4+</v>
      </c>
      <c r="E117" s="147">
        <f>INDEX('Master Data'!$C$75:$O$299,MATCH(A117,'Master Data'!$B$75:$B$299,0),MATCH($E$1,'Master Data'!$C$74:$O$74,0))</f>
        <v>0.41</v>
      </c>
      <c r="F117" s="148">
        <f>ROUND(E117*INDEX('Master Data'!$F$4:$K$12,MATCH($E$1,'Master Data'!$E$4:$E$12,0),MATCH(C117,'Master Data'!$F$3:$K$3,0)),2)</f>
        <v>33409.629999999997</v>
      </c>
      <c r="G117" s="147">
        <f>INDEX('Master Data'!$C$75:$O$299,MATCH(A117,'Master Data'!$B$75:$B$299,0),MATCH($G$1,'Master Data'!$C$74:$O$74,0))</f>
        <v>1</v>
      </c>
      <c r="H117" s="148">
        <f>ROUND(G117*INDEX('Master Data'!$F$4:$K$12,MATCH($G$1,'Master Data'!$E$4:$E$12,0),MATCH(C117,'Master Data'!$F$3:$K$3,0)),2)</f>
        <v>56388.63</v>
      </c>
      <c r="I117" s="147">
        <f>INDEX('Master Data'!$C$75:$O$299,MATCH(A117,'Master Data'!$B$75:$B$299,0),MATCH($I$1,'Master Data'!$C$74:$O$74,0))</f>
        <v>8.6</v>
      </c>
      <c r="J117" s="148">
        <f>ROUND(I117*INDEX('Master Data'!$F$4:$K$12,MATCH($I$1,'Master Data'!$E$4:$E$12,0),MATCH(C117,'Master Data'!$F$3:$K$3,0)),2)</f>
        <v>402844.92</v>
      </c>
      <c r="K117" s="147">
        <f>INDEX('Master Data'!$C$75:$O$299,MATCH(A117,'Master Data'!$B$75:$B$299,0),MATCH($K$1,'Master Data'!$C$74:$O$74,0))</f>
        <v>1.4</v>
      </c>
      <c r="L117" s="148">
        <f>ROUND(K117*INDEX('Master Data'!$F$4:$K$12,MATCH($K$1,'Master Data'!$E$4:$E$12,0),MATCH(C117,'Master Data'!$F$3:$K$3,0)),2)</f>
        <v>65579.399999999994</v>
      </c>
      <c r="M117" s="147">
        <f>INDEX('Master Data'!$C$75:$O$299,MATCH(A117,'Master Data'!$B$75:$B$299,0),MATCH($M$1,'Master Data'!$C$74:$O$74,0))</f>
        <v>1.39</v>
      </c>
      <c r="N117" s="148">
        <f>ROUND(M117*INDEX('Master Data'!$F$4:$K$12,MATCH($M$1,'Master Data'!$E$4:$E$12,0),MATCH(C117,'Master Data'!$F$3:$K$3,0)),2)</f>
        <v>65110.98</v>
      </c>
      <c r="O117" s="147">
        <f>INDEX('Master Data'!$C$75:$O$299,MATCH(A117,'Master Data'!$B$75:$B$299,0),MATCH($O$1,'Master Data'!$C$74:$O$74,0))</f>
        <v>0.23</v>
      </c>
      <c r="P117" s="148">
        <f>ROUND(O117*INDEX('Master Data'!$F$4:$K$12,MATCH($O$1,'Master Data'!$E$4:$E$12,0),MATCH(C117,'Master Data'!$F$3:$K$3,0)),2)</f>
        <v>7176</v>
      </c>
      <c r="Q117" s="147">
        <f>INDEX('Master Data'!$C$75:$O$299,MATCH(A117,'Master Data'!$B$75:$B$299,0),MATCH($Q$1,'Master Data'!$C$74:$O$74,0))</f>
        <v>0.12</v>
      </c>
      <c r="R117" s="148">
        <f>ROUND(Q117*INDEX('Master Data'!$F$4:$K$12,MATCH($Q$1,'Master Data'!$E$4:$E$12,0),MATCH(C117,'Master Data'!$F$3:$K$3,0)),2)</f>
        <v>5621.09</v>
      </c>
      <c r="S117" s="147">
        <f>INDEX('Master Data'!$C$75:$O$299,MATCH(A117,'Master Data'!$B$75:$B$299,0),MATCH($S$1,'Master Data'!$C$74:$O$74,0))</f>
        <v>0</v>
      </c>
      <c r="T117" s="148">
        <f>ROUND(S117*INDEX('Master Data'!$F$4:$K$12,MATCH($S$1,'Master Data'!$E$4:$E$12,0),MATCH(C117,'Master Data'!$F$3:$K$3,0)),2)</f>
        <v>0</v>
      </c>
      <c r="U117" s="147">
        <f>INDEX('Master Data'!$C$75:$O$299,MATCH(A117,'Master Data'!$B$75:$B$299,0),MATCH($U$1,'Master Data'!$C$74:$O$74,0))</f>
        <v>0</v>
      </c>
      <c r="V117" s="148">
        <f>ROUND(U117*INDEX('Master Data'!$F$4:$K$12,MATCH($U$1,'Master Data'!$E$4:$E$12,0),MATCH(C117,'Master Data'!$F$3:$K$3,0)),2)</f>
        <v>0</v>
      </c>
      <c r="W117" s="149">
        <f t="shared" si="9"/>
        <v>636130.64999999991</v>
      </c>
      <c r="X117" s="148">
        <f>ROUND(W117*('Master Data'!$B$54),2)</f>
        <v>158841.82</v>
      </c>
      <c r="Y117" s="149">
        <f t="shared" si="16"/>
        <v>794972.47</v>
      </c>
      <c r="Z117" s="147">
        <f>52*INDEX('Master Data'!$C$75:$O$299,MATCH(A117,'Master Data'!$B$75:$B$299,0),MATCH($Z$1,'Master Data'!$C$74:$O$74,0))</f>
        <v>52</v>
      </c>
      <c r="AA117" s="148">
        <f>Z117*('Master Data'!$F$15)</f>
        <v>3920.8</v>
      </c>
      <c r="AB117" s="147">
        <f>52*INDEX('Master Data'!$C$75:$O$299,MATCH(A117,'Master Data'!$B$75:$B$299,0),MATCH($AB$1,'Master Data'!$C$74:$O$74,0))</f>
        <v>52</v>
      </c>
      <c r="AC117" s="148">
        <f>AB117*('Master Data'!$F$16)</f>
        <v>3760.6399999999994</v>
      </c>
      <c r="AD117" s="149">
        <f t="shared" si="12"/>
        <v>7681.44</v>
      </c>
      <c r="AE117" s="148">
        <f>INDEX('Master Data'!$D$58:$D$60,MATCH(D117,'Master Data'!$B$58:$B$60,0))</f>
        <v>24321.56</v>
      </c>
      <c r="AF117" s="148">
        <f>INDEX('Master Data'!$E$58:$E$60,MATCH(D117,'Master Data'!$B$58:$B$60,0))</f>
        <v>2233.8000000000002</v>
      </c>
      <c r="AG117" s="148">
        <f>INDEX('Master Data'!$F$58:$F$60,MATCH(D117,'Master Data'!$B$58:$B$60,0))</f>
        <v>6471.45</v>
      </c>
      <c r="AH117" s="149">
        <f t="shared" si="13"/>
        <v>835680.72</v>
      </c>
      <c r="AI117" s="148">
        <f>ROUND(AH117*('Master Data'!$C$54),2)</f>
        <v>100281.69</v>
      </c>
      <c r="AJ117" s="148">
        <f>ROUND(SUM(AH117:AI117,AK117)*('Master Data'!$E$54),2)</f>
        <v>28040.54</v>
      </c>
      <c r="AK117" s="148">
        <f>ROUND(W117*('Master Data'!$F$54),2)</f>
        <v>0</v>
      </c>
      <c r="AL117" s="149">
        <f t="shared" si="14"/>
        <v>964002.95</v>
      </c>
      <c r="AM117" s="140">
        <f t="shared" si="15"/>
        <v>2778.11</v>
      </c>
      <c r="AN117" s="121"/>
      <c r="AO117" s="121"/>
      <c r="AP117" s="121"/>
      <c r="AQ117" s="121"/>
      <c r="AR117" s="121"/>
      <c r="AS117" s="121"/>
    </row>
    <row r="118" spans="1:45">
      <c r="A118" s="121" t="s">
        <v>255</v>
      </c>
      <c r="B118" s="121" t="str">
        <f t="shared" si="8"/>
        <v xml:space="preserve"> </v>
      </c>
      <c r="C118" s="121" t="str">
        <f t="shared" si="19"/>
        <v xml:space="preserve">Basic  </v>
      </c>
      <c r="D118" s="121" t="str">
        <f>INDEX('Master Data'!$C$75:$C$299,MATCH(A118,'Master Data'!$B$75:$B$299,0))</f>
        <v>4+</v>
      </c>
      <c r="E118" s="147">
        <f>INDEX('Master Data'!$C$75:$O$299,MATCH(A118,'Master Data'!$B$75:$B$299,0),MATCH($E$1,'Master Data'!$C$74:$O$74,0))</f>
        <v>0.41</v>
      </c>
      <c r="F118" s="148">
        <f>ROUND(E118*INDEX('Master Data'!$F$4:$K$12,MATCH($E$1,'Master Data'!$E$4:$E$12,0),MATCH(C118,'Master Data'!$F$3:$K$3,0)),2)</f>
        <v>33409.629999999997</v>
      </c>
      <c r="G118" s="147">
        <f>INDEX('Master Data'!$C$75:$O$299,MATCH(A118,'Master Data'!$B$75:$B$299,0),MATCH($G$1,'Master Data'!$C$74:$O$74,0))</f>
        <v>1</v>
      </c>
      <c r="H118" s="148">
        <f>ROUND(G118*INDEX('Master Data'!$F$4:$K$12,MATCH($G$1,'Master Data'!$E$4:$E$12,0),MATCH(C118,'Master Data'!$F$3:$K$3,0)),2)</f>
        <v>56388.63</v>
      </c>
      <c r="I118" s="147">
        <f>INDEX('Master Data'!$C$75:$O$299,MATCH(A118,'Master Data'!$B$75:$B$299,0),MATCH($I$1,'Master Data'!$C$74:$O$74,0))</f>
        <v>9.1</v>
      </c>
      <c r="J118" s="148">
        <f>ROUND(I118*INDEX('Master Data'!$F$4:$K$12,MATCH($I$1,'Master Data'!$E$4:$E$12,0),MATCH(C118,'Master Data'!$F$3:$K$3,0)),2)</f>
        <v>426266.13</v>
      </c>
      <c r="K118" s="147">
        <f>INDEX('Master Data'!$C$75:$O$299,MATCH(A118,'Master Data'!$B$75:$B$299,0),MATCH($K$1,'Master Data'!$C$74:$O$74,0))</f>
        <v>1.4</v>
      </c>
      <c r="L118" s="148">
        <f>ROUND(K118*INDEX('Master Data'!$F$4:$K$12,MATCH($K$1,'Master Data'!$E$4:$E$12,0),MATCH(C118,'Master Data'!$F$3:$K$3,0)),2)</f>
        <v>65579.399999999994</v>
      </c>
      <c r="M118" s="147">
        <f>INDEX('Master Data'!$C$75:$O$299,MATCH(A118,'Master Data'!$B$75:$B$299,0),MATCH($M$1,'Master Data'!$C$74:$O$74,0))</f>
        <v>1.47</v>
      </c>
      <c r="N118" s="148">
        <f>ROUND(M118*INDEX('Master Data'!$F$4:$K$12,MATCH($M$1,'Master Data'!$E$4:$E$12,0),MATCH(C118,'Master Data'!$F$3:$K$3,0)),2)</f>
        <v>68858.38</v>
      </c>
      <c r="O118" s="147">
        <f>INDEX('Master Data'!$C$75:$O$299,MATCH(A118,'Master Data'!$B$75:$B$299,0),MATCH($O$1,'Master Data'!$C$74:$O$74,0))</f>
        <v>0.23</v>
      </c>
      <c r="P118" s="148">
        <f>ROUND(O118*INDEX('Master Data'!$F$4:$K$12,MATCH($O$1,'Master Data'!$E$4:$E$12,0),MATCH(C118,'Master Data'!$F$3:$K$3,0)),2)</f>
        <v>7176</v>
      </c>
      <c r="Q118" s="147">
        <f>INDEX('Master Data'!$C$75:$O$299,MATCH(A118,'Master Data'!$B$75:$B$299,0),MATCH($Q$1,'Master Data'!$C$74:$O$74,0))</f>
        <v>0.12</v>
      </c>
      <c r="R118" s="148">
        <f>ROUND(Q118*INDEX('Master Data'!$F$4:$K$12,MATCH($Q$1,'Master Data'!$E$4:$E$12,0),MATCH(C118,'Master Data'!$F$3:$K$3,0)),2)</f>
        <v>5621.09</v>
      </c>
      <c r="S118" s="147">
        <f>INDEX('Master Data'!$C$75:$O$299,MATCH(A118,'Master Data'!$B$75:$B$299,0),MATCH($S$1,'Master Data'!$C$74:$O$74,0))</f>
        <v>0</v>
      </c>
      <c r="T118" s="148">
        <f>ROUND(S118*INDEX('Master Data'!$F$4:$K$12,MATCH($S$1,'Master Data'!$E$4:$E$12,0),MATCH(C118,'Master Data'!$F$3:$K$3,0)),2)</f>
        <v>0</v>
      </c>
      <c r="U118" s="147">
        <f>INDEX('Master Data'!$C$75:$O$299,MATCH(A118,'Master Data'!$B$75:$B$299,0),MATCH($U$1,'Master Data'!$C$74:$O$74,0))</f>
        <v>0</v>
      </c>
      <c r="V118" s="148">
        <f>ROUND(U118*INDEX('Master Data'!$F$4:$K$12,MATCH($U$1,'Master Data'!$E$4:$E$12,0),MATCH(C118,'Master Data'!$F$3:$K$3,0)),2)</f>
        <v>0</v>
      </c>
      <c r="W118" s="149">
        <f t="shared" si="9"/>
        <v>663299.26</v>
      </c>
      <c r="X118" s="148">
        <f>ROUND(W118*('Master Data'!$B$54),2)</f>
        <v>165625.82999999999</v>
      </c>
      <c r="Y118" s="149">
        <f t="shared" si="16"/>
        <v>828925.09</v>
      </c>
      <c r="Z118" s="147">
        <f>52*INDEX('Master Data'!$C$75:$O$299,MATCH(A118,'Master Data'!$B$75:$B$299,0),MATCH($Z$1,'Master Data'!$C$74:$O$74,0))</f>
        <v>52</v>
      </c>
      <c r="AA118" s="148">
        <f>Z118*('Master Data'!$F$15)</f>
        <v>3920.8</v>
      </c>
      <c r="AB118" s="147">
        <f>52*INDEX('Master Data'!$C$75:$O$299,MATCH(A118,'Master Data'!$B$75:$B$299,0),MATCH($AB$1,'Master Data'!$C$74:$O$74,0))</f>
        <v>52</v>
      </c>
      <c r="AC118" s="148">
        <f>AB118*('Master Data'!$F$16)</f>
        <v>3760.6399999999994</v>
      </c>
      <c r="AD118" s="149">
        <f t="shared" si="12"/>
        <v>7681.44</v>
      </c>
      <c r="AE118" s="148">
        <f>INDEX('Master Data'!$D$58:$D$60,MATCH(D118,'Master Data'!$B$58:$B$60,0))</f>
        <v>24321.56</v>
      </c>
      <c r="AF118" s="148">
        <f>INDEX('Master Data'!$E$58:$E$60,MATCH(D118,'Master Data'!$B$58:$B$60,0))</f>
        <v>2233.8000000000002</v>
      </c>
      <c r="AG118" s="148">
        <f>INDEX('Master Data'!$F$58:$F$60,MATCH(D118,'Master Data'!$B$58:$B$60,0))</f>
        <v>6471.45</v>
      </c>
      <c r="AH118" s="149">
        <f t="shared" si="13"/>
        <v>869633.34</v>
      </c>
      <c r="AI118" s="148">
        <f>ROUND(AH118*('Master Data'!$C$54),2)</f>
        <v>104356</v>
      </c>
      <c r="AJ118" s="148">
        <f>ROUND(SUM(AH118:AI118,AK118)*('Master Data'!$E$54),2)</f>
        <v>29179.79</v>
      </c>
      <c r="AK118" s="148">
        <f>ROUND(W118*('Master Data'!$F$54),2)</f>
        <v>0</v>
      </c>
      <c r="AL118" s="149">
        <f t="shared" si="14"/>
        <v>1003169.13</v>
      </c>
      <c r="AM118" s="140">
        <f t="shared" si="15"/>
        <v>2890.98</v>
      </c>
      <c r="AN118" s="121"/>
      <c r="AO118" s="121"/>
      <c r="AP118" s="121"/>
      <c r="AQ118" s="121"/>
      <c r="AR118" s="121"/>
      <c r="AS118" s="121"/>
    </row>
    <row r="119" spans="1:45">
      <c r="A119" s="121" t="s">
        <v>256</v>
      </c>
      <c r="B119" s="121" t="str">
        <f t="shared" si="8"/>
        <v xml:space="preserve"> </v>
      </c>
      <c r="C119" s="121" t="str">
        <f t="shared" si="19"/>
        <v xml:space="preserve">Basic  </v>
      </c>
      <c r="D119" s="121" t="str">
        <f>INDEX('Master Data'!$C$75:$C$299,MATCH(A119,'Master Data'!$B$75:$B$299,0))</f>
        <v>4+</v>
      </c>
      <c r="E119" s="147">
        <f>INDEX('Master Data'!$C$75:$O$299,MATCH(A119,'Master Data'!$B$75:$B$299,0),MATCH($E$1,'Master Data'!$C$74:$O$74,0))</f>
        <v>0.41</v>
      </c>
      <c r="F119" s="148">
        <f>ROUND(E119*INDEX('Master Data'!$F$4:$K$12,MATCH($E$1,'Master Data'!$E$4:$E$12,0),MATCH(C119,'Master Data'!$F$3:$K$3,0)),2)</f>
        <v>33409.629999999997</v>
      </c>
      <c r="G119" s="147">
        <f>INDEX('Master Data'!$C$75:$O$299,MATCH(A119,'Master Data'!$B$75:$B$299,0),MATCH($G$1,'Master Data'!$C$74:$O$74,0))</f>
        <v>1</v>
      </c>
      <c r="H119" s="148">
        <f>ROUND(G119*INDEX('Master Data'!$F$4:$K$12,MATCH($G$1,'Master Data'!$E$4:$E$12,0),MATCH(C119,'Master Data'!$F$3:$K$3,0)),2)</f>
        <v>56388.63</v>
      </c>
      <c r="I119" s="147">
        <f>INDEX('Master Data'!$C$75:$O$299,MATCH(A119,'Master Data'!$B$75:$B$299,0),MATCH($I$1,'Master Data'!$C$74:$O$74,0))</f>
        <v>9.6</v>
      </c>
      <c r="J119" s="148">
        <f>ROUND(I119*INDEX('Master Data'!$F$4:$K$12,MATCH($I$1,'Master Data'!$E$4:$E$12,0),MATCH(C119,'Master Data'!$F$3:$K$3,0)),2)</f>
        <v>449687.35</v>
      </c>
      <c r="K119" s="147">
        <f>INDEX('Master Data'!$C$75:$O$299,MATCH(A119,'Master Data'!$B$75:$B$299,0),MATCH($K$1,'Master Data'!$C$74:$O$74,0))</f>
        <v>1.4</v>
      </c>
      <c r="L119" s="148">
        <f>ROUND(K119*INDEX('Master Data'!$F$4:$K$12,MATCH($K$1,'Master Data'!$E$4:$E$12,0),MATCH(C119,'Master Data'!$F$3:$K$3,0)),2)</f>
        <v>65579.399999999994</v>
      </c>
      <c r="M119" s="147">
        <f>INDEX('Master Data'!$C$75:$O$299,MATCH(A119,'Master Data'!$B$75:$B$299,0),MATCH($M$1,'Master Data'!$C$74:$O$74,0))</f>
        <v>1.56</v>
      </c>
      <c r="N119" s="148">
        <f>ROUND(M119*INDEX('Master Data'!$F$4:$K$12,MATCH($M$1,'Master Data'!$E$4:$E$12,0),MATCH(C119,'Master Data'!$F$3:$K$3,0)),2)</f>
        <v>73074.19</v>
      </c>
      <c r="O119" s="147">
        <f>INDEX('Master Data'!$C$75:$O$299,MATCH(A119,'Master Data'!$B$75:$B$299,0),MATCH($O$1,'Master Data'!$C$74:$O$74,0))</f>
        <v>0.23</v>
      </c>
      <c r="P119" s="148">
        <f>ROUND(O119*INDEX('Master Data'!$F$4:$K$12,MATCH($O$1,'Master Data'!$E$4:$E$12,0),MATCH(C119,'Master Data'!$F$3:$K$3,0)),2)</f>
        <v>7176</v>
      </c>
      <c r="Q119" s="147">
        <f>INDEX('Master Data'!$C$75:$O$299,MATCH(A119,'Master Data'!$B$75:$B$299,0),MATCH($Q$1,'Master Data'!$C$74:$O$74,0))</f>
        <v>0.12</v>
      </c>
      <c r="R119" s="148">
        <f>ROUND(Q119*INDEX('Master Data'!$F$4:$K$12,MATCH($Q$1,'Master Data'!$E$4:$E$12,0),MATCH(C119,'Master Data'!$F$3:$K$3,0)),2)</f>
        <v>5621.09</v>
      </c>
      <c r="S119" s="147">
        <f>INDEX('Master Data'!$C$75:$O$299,MATCH(A119,'Master Data'!$B$75:$B$299,0),MATCH($S$1,'Master Data'!$C$74:$O$74,0))</f>
        <v>0</v>
      </c>
      <c r="T119" s="148">
        <f>ROUND(S119*INDEX('Master Data'!$F$4:$K$12,MATCH($S$1,'Master Data'!$E$4:$E$12,0),MATCH(C119,'Master Data'!$F$3:$K$3,0)),2)</f>
        <v>0</v>
      </c>
      <c r="U119" s="147">
        <f>INDEX('Master Data'!$C$75:$O$299,MATCH(A119,'Master Data'!$B$75:$B$299,0),MATCH($U$1,'Master Data'!$C$74:$O$74,0))</f>
        <v>0</v>
      </c>
      <c r="V119" s="148">
        <f>ROUND(U119*INDEX('Master Data'!$F$4:$K$12,MATCH($U$1,'Master Data'!$E$4:$E$12,0),MATCH(C119,'Master Data'!$F$3:$K$3,0)),2)</f>
        <v>0</v>
      </c>
      <c r="W119" s="149">
        <f t="shared" si="9"/>
        <v>690936.28999999992</v>
      </c>
      <c r="X119" s="148">
        <f>ROUND(W119*('Master Data'!$B$54),2)</f>
        <v>172526.79</v>
      </c>
      <c r="Y119" s="149">
        <f t="shared" si="16"/>
        <v>863463.08</v>
      </c>
      <c r="Z119" s="147">
        <f>52*INDEX('Master Data'!$C$75:$O$299,MATCH(A119,'Master Data'!$B$75:$B$299,0),MATCH($Z$1,'Master Data'!$C$74:$O$74,0))</f>
        <v>52</v>
      </c>
      <c r="AA119" s="148">
        <f>Z119*('Master Data'!$F$15)</f>
        <v>3920.8</v>
      </c>
      <c r="AB119" s="147">
        <f>52*INDEX('Master Data'!$C$75:$O$299,MATCH(A119,'Master Data'!$B$75:$B$299,0),MATCH($AB$1,'Master Data'!$C$74:$O$74,0))</f>
        <v>52</v>
      </c>
      <c r="AC119" s="148">
        <f>AB119*('Master Data'!$F$16)</f>
        <v>3760.6399999999994</v>
      </c>
      <c r="AD119" s="149">
        <f t="shared" si="12"/>
        <v>7681.44</v>
      </c>
      <c r="AE119" s="148">
        <f>INDEX('Master Data'!$D$58:$D$60,MATCH(D119,'Master Data'!$B$58:$B$60,0))</f>
        <v>24321.56</v>
      </c>
      <c r="AF119" s="148">
        <f>INDEX('Master Data'!$E$58:$E$60,MATCH(D119,'Master Data'!$B$58:$B$60,0))</f>
        <v>2233.8000000000002</v>
      </c>
      <c r="AG119" s="148">
        <f>INDEX('Master Data'!$F$58:$F$60,MATCH(D119,'Master Data'!$B$58:$B$60,0))</f>
        <v>6471.45</v>
      </c>
      <c r="AH119" s="149">
        <f t="shared" si="13"/>
        <v>904171.33</v>
      </c>
      <c r="AI119" s="148">
        <f>ROUND(AH119*('Master Data'!$C$54),2)</f>
        <v>108500.56</v>
      </c>
      <c r="AJ119" s="148">
        <f>ROUND(SUM(AH119:AI119,AK119)*('Master Data'!$E$54),2)</f>
        <v>30338.68</v>
      </c>
      <c r="AK119" s="148">
        <f>ROUND(W119*('Master Data'!$F$54),2)</f>
        <v>0</v>
      </c>
      <c r="AL119" s="149">
        <f t="shared" si="14"/>
        <v>1043010.57</v>
      </c>
      <c r="AM119" s="140">
        <f t="shared" si="15"/>
        <v>3005.79</v>
      </c>
      <c r="AN119" s="121"/>
      <c r="AO119" s="121"/>
      <c r="AP119" s="121"/>
      <c r="AQ119" s="121"/>
      <c r="AR119" s="121"/>
      <c r="AS119" s="121"/>
    </row>
    <row r="120" spans="1:45">
      <c r="A120" s="121" t="s">
        <v>257</v>
      </c>
      <c r="B120" s="121" t="str">
        <f t="shared" si="8"/>
        <v xml:space="preserve"> </v>
      </c>
      <c r="C120" s="121" t="str">
        <f t="shared" si="19"/>
        <v xml:space="preserve">Basic  </v>
      </c>
      <c r="D120" s="121" t="str">
        <f>INDEX('Master Data'!$C$75:$C$299,MATCH(A120,'Master Data'!$B$75:$B$299,0))</f>
        <v>4+</v>
      </c>
      <c r="E120" s="147">
        <f>INDEX('Master Data'!$C$75:$O$299,MATCH(A120,'Master Data'!$B$75:$B$299,0),MATCH($E$1,'Master Data'!$C$74:$O$74,0))</f>
        <v>0.41</v>
      </c>
      <c r="F120" s="148">
        <f>ROUND(E120*INDEX('Master Data'!$F$4:$K$12,MATCH($E$1,'Master Data'!$E$4:$E$12,0),MATCH(C120,'Master Data'!$F$3:$K$3,0)),2)</f>
        <v>33409.629999999997</v>
      </c>
      <c r="G120" s="147">
        <f>INDEX('Master Data'!$C$75:$O$299,MATCH(A120,'Master Data'!$B$75:$B$299,0),MATCH($G$1,'Master Data'!$C$74:$O$74,0))</f>
        <v>1</v>
      </c>
      <c r="H120" s="148">
        <f>ROUND(G120*INDEX('Master Data'!$F$4:$K$12,MATCH($G$1,'Master Data'!$E$4:$E$12,0),MATCH(C120,'Master Data'!$F$3:$K$3,0)),2)</f>
        <v>56388.63</v>
      </c>
      <c r="I120" s="147">
        <f>INDEX('Master Data'!$C$75:$O$299,MATCH(A120,'Master Data'!$B$75:$B$299,0),MATCH($I$1,'Master Data'!$C$74:$O$74,0))</f>
        <v>10.1</v>
      </c>
      <c r="J120" s="148">
        <f>ROUND(I120*INDEX('Master Data'!$F$4:$K$12,MATCH($I$1,'Master Data'!$E$4:$E$12,0),MATCH(C120,'Master Data'!$F$3:$K$3,0)),2)</f>
        <v>473108.56</v>
      </c>
      <c r="K120" s="147">
        <f>INDEX('Master Data'!$C$75:$O$299,MATCH(A120,'Master Data'!$B$75:$B$299,0),MATCH($K$1,'Master Data'!$C$74:$O$74,0))</f>
        <v>1.4</v>
      </c>
      <c r="L120" s="148">
        <f>ROUND(K120*INDEX('Master Data'!$F$4:$K$12,MATCH($K$1,'Master Data'!$E$4:$E$12,0),MATCH(C120,'Master Data'!$F$3:$K$3,0)),2)</f>
        <v>65579.399999999994</v>
      </c>
      <c r="M120" s="147">
        <f>INDEX('Master Data'!$C$75:$O$299,MATCH(A120,'Master Data'!$B$75:$B$299,0),MATCH($M$1,'Master Data'!$C$74:$O$74,0))</f>
        <v>1.64</v>
      </c>
      <c r="N120" s="148">
        <f>ROUND(M120*INDEX('Master Data'!$F$4:$K$12,MATCH($M$1,'Master Data'!$E$4:$E$12,0),MATCH(C120,'Master Data'!$F$3:$K$3,0)),2)</f>
        <v>76821.59</v>
      </c>
      <c r="O120" s="147">
        <f>INDEX('Master Data'!$C$75:$O$299,MATCH(A120,'Master Data'!$B$75:$B$299,0),MATCH($O$1,'Master Data'!$C$74:$O$74,0))</f>
        <v>0.23</v>
      </c>
      <c r="P120" s="148">
        <f>ROUND(O120*INDEX('Master Data'!$F$4:$K$12,MATCH($O$1,'Master Data'!$E$4:$E$12,0),MATCH(C120,'Master Data'!$F$3:$K$3,0)),2)</f>
        <v>7176</v>
      </c>
      <c r="Q120" s="147">
        <f>INDEX('Master Data'!$C$75:$O$299,MATCH(A120,'Master Data'!$B$75:$B$299,0),MATCH($Q$1,'Master Data'!$C$74:$O$74,0))</f>
        <v>0.12</v>
      </c>
      <c r="R120" s="148">
        <f>ROUND(Q120*INDEX('Master Data'!$F$4:$K$12,MATCH($Q$1,'Master Data'!$E$4:$E$12,0),MATCH(C120,'Master Data'!$F$3:$K$3,0)),2)</f>
        <v>5621.09</v>
      </c>
      <c r="S120" s="147">
        <f>INDEX('Master Data'!$C$75:$O$299,MATCH(A120,'Master Data'!$B$75:$B$299,0),MATCH($S$1,'Master Data'!$C$74:$O$74,0))</f>
        <v>0</v>
      </c>
      <c r="T120" s="148">
        <f>ROUND(S120*INDEX('Master Data'!$F$4:$K$12,MATCH($S$1,'Master Data'!$E$4:$E$12,0),MATCH(C120,'Master Data'!$F$3:$K$3,0)),2)</f>
        <v>0</v>
      </c>
      <c r="U120" s="147">
        <f>INDEX('Master Data'!$C$75:$O$299,MATCH(A120,'Master Data'!$B$75:$B$299,0),MATCH($U$1,'Master Data'!$C$74:$O$74,0))</f>
        <v>0</v>
      </c>
      <c r="V120" s="148">
        <f>ROUND(U120*INDEX('Master Data'!$F$4:$K$12,MATCH($U$1,'Master Data'!$E$4:$E$12,0),MATCH(C120,'Master Data'!$F$3:$K$3,0)),2)</f>
        <v>0</v>
      </c>
      <c r="W120" s="149">
        <f t="shared" si="9"/>
        <v>718104.89999999991</v>
      </c>
      <c r="X120" s="148">
        <f>ROUND(W120*('Master Data'!$B$54),2)</f>
        <v>179310.79</v>
      </c>
      <c r="Y120" s="149">
        <f t="shared" si="16"/>
        <v>897415.69</v>
      </c>
      <c r="Z120" s="147">
        <f>52*INDEX('Master Data'!$C$75:$O$299,MATCH(A120,'Master Data'!$B$75:$B$299,0),MATCH($Z$1,'Master Data'!$C$74:$O$74,0))</f>
        <v>52</v>
      </c>
      <c r="AA120" s="148">
        <f>Z120*('Master Data'!$F$15)</f>
        <v>3920.8</v>
      </c>
      <c r="AB120" s="147">
        <f>52*INDEX('Master Data'!$C$75:$O$299,MATCH(A120,'Master Data'!$B$75:$B$299,0),MATCH($AB$1,'Master Data'!$C$74:$O$74,0))</f>
        <v>52</v>
      </c>
      <c r="AC120" s="148">
        <f>AB120*('Master Data'!$F$16)</f>
        <v>3760.6399999999994</v>
      </c>
      <c r="AD120" s="149">
        <f t="shared" si="12"/>
        <v>7681.44</v>
      </c>
      <c r="AE120" s="148">
        <f>INDEX('Master Data'!$D$58:$D$60,MATCH(D120,'Master Data'!$B$58:$B$60,0))</f>
        <v>24321.56</v>
      </c>
      <c r="AF120" s="148">
        <f>INDEX('Master Data'!$E$58:$E$60,MATCH(D120,'Master Data'!$B$58:$B$60,0))</f>
        <v>2233.8000000000002</v>
      </c>
      <c r="AG120" s="148">
        <f>INDEX('Master Data'!$F$58:$F$60,MATCH(D120,'Master Data'!$B$58:$B$60,0))</f>
        <v>6471.45</v>
      </c>
      <c r="AH120" s="149">
        <f t="shared" si="13"/>
        <v>938123.94</v>
      </c>
      <c r="AI120" s="148">
        <f>ROUND(AH120*('Master Data'!$C$54),2)</f>
        <v>112574.87</v>
      </c>
      <c r="AJ120" s="148">
        <f>ROUND(SUM(AH120:AI120,AK120)*('Master Data'!$E$54),2)</f>
        <v>31477.93</v>
      </c>
      <c r="AK120" s="148">
        <f>ROUND(W120*('Master Data'!$F$54),2)</f>
        <v>0</v>
      </c>
      <c r="AL120" s="149">
        <f t="shared" si="14"/>
        <v>1082176.74</v>
      </c>
      <c r="AM120" s="140">
        <f t="shared" si="15"/>
        <v>3118.66</v>
      </c>
      <c r="AN120" s="121"/>
      <c r="AO120" s="121"/>
      <c r="AP120" s="121"/>
      <c r="AQ120" s="121"/>
      <c r="AR120" s="121"/>
      <c r="AS120" s="121"/>
    </row>
    <row r="121" spans="1:45">
      <c r="A121" s="121" t="s">
        <v>258</v>
      </c>
      <c r="B121" s="121" t="str">
        <f t="shared" si="8"/>
        <v xml:space="preserve"> </v>
      </c>
      <c r="C121" s="121" t="str">
        <f t="shared" si="19"/>
        <v xml:space="preserve">Basic  </v>
      </c>
      <c r="D121" s="121" t="str">
        <f>INDEX('Master Data'!$C$75:$C$299,MATCH(A121,'Master Data'!$B$75:$B$299,0))</f>
        <v>4+</v>
      </c>
      <c r="E121" s="147">
        <f>INDEX('Master Data'!$C$75:$O$299,MATCH(A121,'Master Data'!$B$75:$B$299,0),MATCH($E$1,'Master Data'!$C$74:$O$74,0))</f>
        <v>0.41</v>
      </c>
      <c r="F121" s="148">
        <f>ROUND(E121*INDEX('Master Data'!$F$4:$K$12,MATCH($E$1,'Master Data'!$E$4:$E$12,0),MATCH(C121,'Master Data'!$F$3:$K$3,0)),2)</f>
        <v>33409.629999999997</v>
      </c>
      <c r="G121" s="147">
        <f>INDEX('Master Data'!$C$75:$O$299,MATCH(A121,'Master Data'!$B$75:$B$299,0),MATCH($G$1,'Master Data'!$C$74:$O$74,0))</f>
        <v>1</v>
      </c>
      <c r="H121" s="148">
        <f>ROUND(G121*INDEX('Master Data'!$F$4:$K$12,MATCH($G$1,'Master Data'!$E$4:$E$12,0),MATCH(C121,'Master Data'!$F$3:$K$3,0)),2)</f>
        <v>56388.63</v>
      </c>
      <c r="I121" s="147">
        <f>INDEX('Master Data'!$C$75:$O$299,MATCH(A121,'Master Data'!$B$75:$B$299,0),MATCH($I$1,'Master Data'!$C$74:$O$74,0))</f>
        <v>10.6</v>
      </c>
      <c r="J121" s="148">
        <f>ROUND(I121*INDEX('Master Data'!$F$4:$K$12,MATCH($I$1,'Master Data'!$E$4:$E$12,0),MATCH(C121,'Master Data'!$F$3:$K$3,0)),2)</f>
        <v>496529.78</v>
      </c>
      <c r="K121" s="147">
        <f>INDEX('Master Data'!$C$75:$O$299,MATCH(A121,'Master Data'!$B$75:$B$299,0),MATCH($K$1,'Master Data'!$C$74:$O$74,0))</f>
        <v>1.4</v>
      </c>
      <c r="L121" s="148">
        <f>ROUND(K121*INDEX('Master Data'!$F$4:$K$12,MATCH($K$1,'Master Data'!$E$4:$E$12,0),MATCH(C121,'Master Data'!$F$3:$K$3,0)),2)</f>
        <v>65579.399999999994</v>
      </c>
      <c r="M121" s="147">
        <f>INDEX('Master Data'!$C$75:$O$299,MATCH(A121,'Master Data'!$B$75:$B$299,0),MATCH($M$1,'Master Data'!$C$74:$O$74,0))</f>
        <v>1.72</v>
      </c>
      <c r="N121" s="148">
        <f>ROUND(M121*INDEX('Master Data'!$F$4:$K$12,MATCH($M$1,'Master Data'!$E$4:$E$12,0),MATCH(C121,'Master Data'!$F$3:$K$3,0)),2)</f>
        <v>80568.98</v>
      </c>
      <c r="O121" s="147">
        <f>INDEX('Master Data'!$C$75:$O$299,MATCH(A121,'Master Data'!$B$75:$B$299,0),MATCH($O$1,'Master Data'!$C$74:$O$74,0))</f>
        <v>0.23</v>
      </c>
      <c r="P121" s="148">
        <f>ROUND(O121*INDEX('Master Data'!$F$4:$K$12,MATCH($O$1,'Master Data'!$E$4:$E$12,0),MATCH(C121,'Master Data'!$F$3:$K$3,0)),2)</f>
        <v>7176</v>
      </c>
      <c r="Q121" s="147">
        <f>INDEX('Master Data'!$C$75:$O$299,MATCH(A121,'Master Data'!$B$75:$B$299,0),MATCH($Q$1,'Master Data'!$C$74:$O$74,0))</f>
        <v>0.12</v>
      </c>
      <c r="R121" s="148">
        <f>ROUND(Q121*INDEX('Master Data'!$F$4:$K$12,MATCH($Q$1,'Master Data'!$E$4:$E$12,0),MATCH(C121,'Master Data'!$F$3:$K$3,0)),2)</f>
        <v>5621.09</v>
      </c>
      <c r="S121" s="147">
        <f>INDEX('Master Data'!$C$75:$O$299,MATCH(A121,'Master Data'!$B$75:$B$299,0),MATCH($S$1,'Master Data'!$C$74:$O$74,0))</f>
        <v>0</v>
      </c>
      <c r="T121" s="148">
        <f>ROUND(S121*INDEX('Master Data'!$F$4:$K$12,MATCH($S$1,'Master Data'!$E$4:$E$12,0),MATCH(C121,'Master Data'!$F$3:$K$3,0)),2)</f>
        <v>0</v>
      </c>
      <c r="U121" s="147">
        <f>INDEX('Master Data'!$C$75:$O$299,MATCH(A121,'Master Data'!$B$75:$B$299,0),MATCH($U$1,'Master Data'!$C$74:$O$74,0))</f>
        <v>0</v>
      </c>
      <c r="V121" s="148">
        <f>ROUND(U121*INDEX('Master Data'!$F$4:$K$12,MATCH($U$1,'Master Data'!$E$4:$E$12,0),MATCH(C121,'Master Data'!$F$3:$K$3,0)),2)</f>
        <v>0</v>
      </c>
      <c r="W121" s="149">
        <f t="shared" si="9"/>
        <v>745273.51</v>
      </c>
      <c r="X121" s="148">
        <f>ROUND(W121*('Master Data'!$B$54),2)</f>
        <v>186094.8</v>
      </c>
      <c r="Y121" s="149">
        <f t="shared" si="16"/>
        <v>931368.31</v>
      </c>
      <c r="Z121" s="147">
        <f>52*INDEX('Master Data'!$C$75:$O$299,MATCH(A121,'Master Data'!$B$75:$B$299,0),MATCH($Z$1,'Master Data'!$C$74:$O$74,0))</f>
        <v>52</v>
      </c>
      <c r="AA121" s="148">
        <f>Z121*('Master Data'!$F$15)</f>
        <v>3920.8</v>
      </c>
      <c r="AB121" s="147">
        <f>52*INDEX('Master Data'!$C$75:$O$299,MATCH(A121,'Master Data'!$B$75:$B$299,0),MATCH($AB$1,'Master Data'!$C$74:$O$74,0))</f>
        <v>52</v>
      </c>
      <c r="AC121" s="148">
        <f>AB121*('Master Data'!$F$16)</f>
        <v>3760.6399999999994</v>
      </c>
      <c r="AD121" s="149">
        <f t="shared" si="12"/>
        <v>7681.44</v>
      </c>
      <c r="AE121" s="148">
        <f>INDEX('Master Data'!$D$58:$D$60,MATCH(D121,'Master Data'!$B$58:$B$60,0))</f>
        <v>24321.56</v>
      </c>
      <c r="AF121" s="148">
        <f>INDEX('Master Data'!$E$58:$E$60,MATCH(D121,'Master Data'!$B$58:$B$60,0))</f>
        <v>2233.8000000000002</v>
      </c>
      <c r="AG121" s="148">
        <f>INDEX('Master Data'!$F$58:$F$60,MATCH(D121,'Master Data'!$B$58:$B$60,0))</f>
        <v>6471.45</v>
      </c>
      <c r="AH121" s="149">
        <f t="shared" si="13"/>
        <v>972076.56</v>
      </c>
      <c r="AI121" s="148">
        <f>ROUND(AH121*('Master Data'!$C$54),2)</f>
        <v>116649.19</v>
      </c>
      <c r="AJ121" s="148">
        <f>ROUND(SUM(AH121:AI121,AK121)*('Master Data'!$E$54),2)</f>
        <v>32617.18</v>
      </c>
      <c r="AK121" s="148">
        <f>ROUND(W121*('Master Data'!$F$54),2)</f>
        <v>0</v>
      </c>
      <c r="AL121" s="149">
        <f t="shared" si="14"/>
        <v>1121342.93</v>
      </c>
      <c r="AM121" s="140">
        <f t="shared" si="15"/>
        <v>3231.54</v>
      </c>
      <c r="AN121" s="121"/>
      <c r="AO121" s="121"/>
      <c r="AP121" s="121"/>
      <c r="AQ121" s="121"/>
      <c r="AR121" s="121"/>
      <c r="AS121" s="121"/>
    </row>
    <row r="122" spans="1:45">
      <c r="A122" s="121" t="s">
        <v>259</v>
      </c>
      <c r="B122" s="121" t="str">
        <f t="shared" si="8"/>
        <v xml:space="preserve"> </v>
      </c>
      <c r="C122" s="121" t="str">
        <f t="shared" si="19"/>
        <v xml:space="preserve">Basic  </v>
      </c>
      <c r="D122" s="121" t="str">
        <f>INDEX('Master Data'!$C$75:$C$299,MATCH(A122,'Master Data'!$B$75:$B$299,0))</f>
        <v>4+</v>
      </c>
      <c r="E122" s="147">
        <f>INDEX('Master Data'!$C$75:$O$299,MATCH(A122,'Master Data'!$B$75:$B$299,0),MATCH($E$1,'Master Data'!$C$74:$O$74,0))</f>
        <v>0.41</v>
      </c>
      <c r="F122" s="148">
        <f>ROUND(E122*INDEX('Master Data'!$F$4:$K$12,MATCH($E$1,'Master Data'!$E$4:$E$12,0),MATCH(C122,'Master Data'!$F$3:$K$3,0)),2)</f>
        <v>33409.629999999997</v>
      </c>
      <c r="G122" s="147">
        <f>INDEX('Master Data'!$C$75:$O$299,MATCH(A122,'Master Data'!$B$75:$B$299,0),MATCH($G$1,'Master Data'!$C$74:$O$74,0))</f>
        <v>1</v>
      </c>
      <c r="H122" s="148">
        <f>ROUND(G122*INDEX('Master Data'!$F$4:$K$12,MATCH($G$1,'Master Data'!$E$4:$E$12,0),MATCH(C122,'Master Data'!$F$3:$K$3,0)),2)</f>
        <v>56388.63</v>
      </c>
      <c r="I122" s="147">
        <f>INDEX('Master Data'!$C$75:$O$299,MATCH(A122,'Master Data'!$B$75:$B$299,0),MATCH($I$1,'Master Data'!$C$74:$O$74,0))</f>
        <v>11.1</v>
      </c>
      <c r="J122" s="148">
        <f>ROUND(I122*INDEX('Master Data'!$F$4:$K$12,MATCH($I$1,'Master Data'!$E$4:$E$12,0),MATCH(C122,'Master Data'!$F$3:$K$3,0)),2)</f>
        <v>519951</v>
      </c>
      <c r="K122" s="147">
        <f>INDEX('Master Data'!$C$75:$O$299,MATCH(A122,'Master Data'!$B$75:$B$299,0),MATCH($K$1,'Master Data'!$C$74:$O$74,0))</f>
        <v>1.4</v>
      </c>
      <c r="L122" s="148">
        <f>ROUND(K122*INDEX('Master Data'!$F$4:$K$12,MATCH($K$1,'Master Data'!$E$4:$E$12,0),MATCH(C122,'Master Data'!$F$3:$K$3,0)),2)</f>
        <v>65579.399999999994</v>
      </c>
      <c r="M122" s="147">
        <f>INDEX('Master Data'!$C$75:$O$299,MATCH(A122,'Master Data'!$B$75:$B$299,0),MATCH($M$1,'Master Data'!$C$74:$O$74,0))</f>
        <v>1.8</v>
      </c>
      <c r="N122" s="148">
        <f>ROUND(M122*INDEX('Master Data'!$F$4:$K$12,MATCH($M$1,'Master Data'!$E$4:$E$12,0),MATCH(C122,'Master Data'!$F$3:$K$3,0)),2)</f>
        <v>84316.38</v>
      </c>
      <c r="O122" s="147">
        <f>INDEX('Master Data'!$C$75:$O$299,MATCH(A122,'Master Data'!$B$75:$B$299,0),MATCH($O$1,'Master Data'!$C$74:$O$74,0))</f>
        <v>0.23</v>
      </c>
      <c r="P122" s="148">
        <f>ROUND(O122*INDEX('Master Data'!$F$4:$K$12,MATCH($O$1,'Master Data'!$E$4:$E$12,0),MATCH(C122,'Master Data'!$F$3:$K$3,0)),2)</f>
        <v>7176</v>
      </c>
      <c r="Q122" s="147">
        <f>INDEX('Master Data'!$C$75:$O$299,MATCH(A122,'Master Data'!$B$75:$B$299,0),MATCH($Q$1,'Master Data'!$C$74:$O$74,0))</f>
        <v>0.12</v>
      </c>
      <c r="R122" s="148">
        <f>ROUND(Q122*INDEX('Master Data'!$F$4:$K$12,MATCH($Q$1,'Master Data'!$E$4:$E$12,0),MATCH(C122,'Master Data'!$F$3:$K$3,0)),2)</f>
        <v>5621.09</v>
      </c>
      <c r="S122" s="147">
        <f>INDEX('Master Data'!$C$75:$O$299,MATCH(A122,'Master Data'!$B$75:$B$299,0),MATCH($S$1,'Master Data'!$C$74:$O$74,0))</f>
        <v>0</v>
      </c>
      <c r="T122" s="148">
        <f>ROUND(S122*INDEX('Master Data'!$F$4:$K$12,MATCH($S$1,'Master Data'!$E$4:$E$12,0),MATCH(C122,'Master Data'!$F$3:$K$3,0)),2)</f>
        <v>0</v>
      </c>
      <c r="U122" s="147">
        <f>INDEX('Master Data'!$C$75:$O$299,MATCH(A122,'Master Data'!$B$75:$B$299,0),MATCH($U$1,'Master Data'!$C$74:$O$74,0))</f>
        <v>0</v>
      </c>
      <c r="V122" s="148">
        <f>ROUND(U122*INDEX('Master Data'!$F$4:$K$12,MATCH($U$1,'Master Data'!$E$4:$E$12,0),MATCH(C122,'Master Data'!$F$3:$K$3,0)),2)</f>
        <v>0</v>
      </c>
      <c r="W122" s="149">
        <f t="shared" si="9"/>
        <v>772442.13</v>
      </c>
      <c r="X122" s="148">
        <f>ROUND(W122*('Master Data'!$B$54),2)</f>
        <v>192878.8</v>
      </c>
      <c r="Y122" s="149">
        <f t="shared" si="16"/>
        <v>965320.92999999993</v>
      </c>
      <c r="Z122" s="147">
        <f>52*INDEX('Master Data'!$C$75:$O$299,MATCH(A122,'Master Data'!$B$75:$B$299,0),MATCH($Z$1,'Master Data'!$C$74:$O$74,0))</f>
        <v>52</v>
      </c>
      <c r="AA122" s="148">
        <f>Z122*('Master Data'!$F$15)</f>
        <v>3920.8</v>
      </c>
      <c r="AB122" s="147">
        <f>52*INDEX('Master Data'!$C$75:$O$299,MATCH(A122,'Master Data'!$B$75:$B$299,0),MATCH($AB$1,'Master Data'!$C$74:$O$74,0))</f>
        <v>52</v>
      </c>
      <c r="AC122" s="148">
        <f>AB122*('Master Data'!$F$16)</f>
        <v>3760.6399999999994</v>
      </c>
      <c r="AD122" s="149">
        <f t="shared" si="12"/>
        <v>7681.44</v>
      </c>
      <c r="AE122" s="148">
        <f>INDEX('Master Data'!$D$58:$D$60,MATCH(D122,'Master Data'!$B$58:$B$60,0))</f>
        <v>24321.56</v>
      </c>
      <c r="AF122" s="148">
        <f>INDEX('Master Data'!$E$58:$E$60,MATCH(D122,'Master Data'!$B$58:$B$60,0))</f>
        <v>2233.8000000000002</v>
      </c>
      <c r="AG122" s="148">
        <f>INDEX('Master Data'!$F$58:$F$60,MATCH(D122,'Master Data'!$B$58:$B$60,0))</f>
        <v>6471.45</v>
      </c>
      <c r="AH122" s="149">
        <f t="shared" si="13"/>
        <v>1006029.1799999999</v>
      </c>
      <c r="AI122" s="148">
        <f>ROUND(AH122*('Master Data'!$C$54),2)</f>
        <v>120723.5</v>
      </c>
      <c r="AJ122" s="148">
        <f>ROUND(SUM(AH122:AI122,AK122)*('Master Data'!$E$54),2)</f>
        <v>33756.43</v>
      </c>
      <c r="AK122" s="148">
        <f>ROUND(W122*('Master Data'!$F$54),2)</f>
        <v>0</v>
      </c>
      <c r="AL122" s="149">
        <f t="shared" si="14"/>
        <v>1160509.1099999999</v>
      </c>
      <c r="AM122" s="140">
        <f t="shared" si="15"/>
        <v>3344.41</v>
      </c>
      <c r="AN122" s="121"/>
      <c r="AO122" s="121"/>
      <c r="AP122" s="121"/>
      <c r="AQ122" s="121"/>
      <c r="AR122" s="121"/>
      <c r="AS122" s="121"/>
    </row>
    <row r="123" spans="1:45">
      <c r="A123" s="121" t="s">
        <v>146</v>
      </c>
      <c r="B123" s="121" t="str">
        <f t="shared" si="8"/>
        <v xml:space="preserve"> </v>
      </c>
      <c r="C123" s="121" t="str">
        <f t="shared" si="19"/>
        <v xml:space="preserve">Intermediate  </v>
      </c>
      <c r="D123" s="121" t="str">
        <f>INDEX('Master Data'!$C$75:$C$299,MATCH(A123,'Master Data'!$B$75:$B$299,0))</f>
        <v>4+</v>
      </c>
      <c r="E123" s="147">
        <f>INDEX('Master Data'!$C$75:$O$299,MATCH(A123,'Master Data'!$B$75:$B$299,0),MATCH($E$1,'Master Data'!$C$74:$O$74,0))</f>
        <v>0.41</v>
      </c>
      <c r="F123" s="148">
        <f>ROUND(E123*INDEX('Master Data'!$F$4:$K$12,MATCH($E$1,'Master Data'!$E$4:$E$12,0),MATCH(C123,'Master Data'!$F$3:$K$3,0)),2)</f>
        <v>33409.629999999997</v>
      </c>
      <c r="G123" s="147">
        <f>INDEX('Master Data'!$C$75:$O$299,MATCH(A123,'Master Data'!$B$75:$B$299,0),MATCH($G$1,'Master Data'!$C$74:$O$74,0))</f>
        <v>1</v>
      </c>
      <c r="H123" s="148">
        <f>ROUND(G123*INDEX('Master Data'!$F$4:$K$12,MATCH($G$1,'Master Data'!$E$4:$E$12,0),MATCH(C123,'Master Data'!$F$3:$K$3,0)),2)</f>
        <v>56388.63</v>
      </c>
      <c r="I123" s="147">
        <f>INDEX('Master Data'!$C$75:$O$299,MATCH(A123,'Master Data'!$B$75:$B$299,0),MATCH($I$1,'Master Data'!$C$74:$O$74,0))</f>
        <v>2.6</v>
      </c>
      <c r="J123" s="148">
        <f>ROUND(I123*INDEX('Master Data'!$F$4:$K$12,MATCH($I$1,'Master Data'!$E$4:$E$12,0),MATCH(C123,'Master Data'!$F$3:$K$3,0)),2)</f>
        <v>124024.13</v>
      </c>
      <c r="K123" s="147">
        <f>INDEX('Master Data'!$C$75:$O$299,MATCH(A123,'Master Data'!$B$75:$B$299,0),MATCH($K$1,'Master Data'!$C$74:$O$74,0))</f>
        <v>1.4</v>
      </c>
      <c r="L123" s="148">
        <f>ROUND(K123*INDEX('Master Data'!$F$4:$K$12,MATCH($K$1,'Master Data'!$E$4:$E$12,0),MATCH(C123,'Master Data'!$F$3:$K$3,0)),2)</f>
        <v>65579.399999999994</v>
      </c>
      <c r="M123" s="147">
        <f>INDEX('Master Data'!$C$75:$O$299,MATCH(A123,'Master Data'!$B$75:$B$299,0),MATCH($M$1,'Master Data'!$C$74:$O$74,0))</f>
        <v>0.42</v>
      </c>
      <c r="N123" s="148">
        <f>ROUND(M123*INDEX('Master Data'!$F$4:$K$12,MATCH($M$1,'Master Data'!$E$4:$E$12,0),MATCH(C123,'Master Data'!$F$3:$K$3,0)),2)</f>
        <v>20034.669999999998</v>
      </c>
      <c r="O123" s="147">
        <f>INDEX('Master Data'!$C$75:$O$299,MATCH(A123,'Master Data'!$B$75:$B$299,0),MATCH($O$1,'Master Data'!$C$74:$O$74,0))</f>
        <v>0.23</v>
      </c>
      <c r="P123" s="148">
        <f>ROUND(O123*INDEX('Master Data'!$F$4:$K$12,MATCH($O$1,'Master Data'!$E$4:$E$12,0),MATCH(C123,'Master Data'!$F$3:$K$3,0)),2)</f>
        <v>7176</v>
      </c>
      <c r="Q123" s="147">
        <f>INDEX('Master Data'!$C$75:$O$299,MATCH(A123,'Master Data'!$B$75:$B$299,0),MATCH($Q$1,'Master Data'!$C$74:$O$74,0))</f>
        <v>0.12</v>
      </c>
      <c r="R123" s="148">
        <f>ROUND(Q123*INDEX('Master Data'!$F$4:$K$12,MATCH($Q$1,'Master Data'!$E$4:$E$12,0),MATCH(C123,'Master Data'!$F$3:$K$3,0)),2)</f>
        <v>5621.09</v>
      </c>
      <c r="S123" s="147">
        <f>INDEX('Master Data'!$C$75:$O$299,MATCH(A123,'Master Data'!$B$75:$B$299,0),MATCH($S$1,'Master Data'!$C$74:$O$74,0))</f>
        <v>0</v>
      </c>
      <c r="T123" s="148">
        <f>ROUND(S123*INDEX('Master Data'!$F$4:$K$12,MATCH($S$1,'Master Data'!$E$4:$E$12,0),MATCH(C123,'Master Data'!$F$3:$K$3,0)),2)</f>
        <v>0</v>
      </c>
      <c r="U123" s="147">
        <f>INDEX('Master Data'!$C$75:$O$299,MATCH(A123,'Master Data'!$B$75:$B$299,0),MATCH($U$1,'Master Data'!$C$74:$O$74,0))</f>
        <v>0</v>
      </c>
      <c r="V123" s="148">
        <f>ROUND(U123*INDEX('Master Data'!$F$4:$K$12,MATCH($U$1,'Master Data'!$E$4:$E$12,0),MATCH(C123,'Master Data'!$F$3:$K$3,0)),2)</f>
        <v>0</v>
      </c>
      <c r="W123" s="149">
        <f t="shared" si="9"/>
        <v>312233.55000000005</v>
      </c>
      <c r="X123" s="148">
        <f>ROUND(W123*('Master Data'!$B$54),2)</f>
        <v>77964.72</v>
      </c>
      <c r="Y123" s="149">
        <f t="shared" si="16"/>
        <v>390198.27</v>
      </c>
      <c r="Z123" s="147">
        <f>52*INDEX('Master Data'!$C$75:$O$299,MATCH(A123,'Master Data'!$B$75:$B$299,0),MATCH($Z$1,'Master Data'!$C$74:$O$74,0))</f>
        <v>104</v>
      </c>
      <c r="AA123" s="148">
        <f>Z123*('Master Data'!$F$15)</f>
        <v>7841.6</v>
      </c>
      <c r="AB123" s="147">
        <f>52*INDEX('Master Data'!$C$75:$O$299,MATCH(A123,'Master Data'!$B$75:$B$299,0),MATCH($AB$1,'Master Data'!$C$74:$O$74,0))</f>
        <v>156</v>
      </c>
      <c r="AC123" s="148">
        <f>AB123*('Master Data'!$F$16)</f>
        <v>11281.919999999998</v>
      </c>
      <c r="AD123" s="149">
        <f t="shared" si="12"/>
        <v>19123.519999999997</v>
      </c>
      <c r="AE123" s="148">
        <f>INDEX('Master Data'!$D$58:$D$60,MATCH(D123,'Master Data'!$B$58:$B$60,0))</f>
        <v>24321.56</v>
      </c>
      <c r="AF123" s="148">
        <f>INDEX('Master Data'!$E$58:$E$60,MATCH(D123,'Master Data'!$B$58:$B$60,0))</f>
        <v>2233.8000000000002</v>
      </c>
      <c r="AG123" s="148">
        <f>INDEX('Master Data'!$F$58:$F$60,MATCH(D123,'Master Data'!$B$58:$B$60,0))</f>
        <v>6471.45</v>
      </c>
      <c r="AH123" s="149">
        <f t="shared" si="13"/>
        <v>442348.60000000003</v>
      </c>
      <c r="AI123" s="148">
        <f>ROUND(AH123*('Master Data'!$C$54),2)</f>
        <v>53081.83</v>
      </c>
      <c r="AJ123" s="148">
        <f>ROUND(SUM(AH123:AI123,AK123)*('Master Data'!$E$54),2)</f>
        <v>14842.62</v>
      </c>
      <c r="AK123" s="148">
        <f>ROUND(W123*('Master Data'!$F$54),2)</f>
        <v>0</v>
      </c>
      <c r="AL123" s="149">
        <f t="shared" si="14"/>
        <v>510273.05000000005</v>
      </c>
      <c r="AM123" s="140">
        <f t="shared" si="15"/>
        <v>1470.53</v>
      </c>
      <c r="AN123" s="121"/>
      <c r="AO123" s="121"/>
      <c r="AP123" s="121"/>
      <c r="AQ123" s="121"/>
      <c r="AR123" s="121"/>
      <c r="AS123" s="121"/>
    </row>
    <row r="124" spans="1:45">
      <c r="A124" s="121" t="s">
        <v>145</v>
      </c>
      <c r="B124" s="121" t="str">
        <f t="shared" si="8"/>
        <v xml:space="preserve"> </v>
      </c>
      <c r="C124" s="121" t="str">
        <f t="shared" si="19"/>
        <v xml:space="preserve">Intermediate  </v>
      </c>
      <c r="D124" s="121" t="str">
        <f>INDEX('Master Data'!$C$75:$C$299,MATCH(A124,'Master Data'!$B$75:$B$299,0))</f>
        <v>4+</v>
      </c>
      <c r="E124" s="147">
        <f>INDEX('Master Data'!$C$75:$O$299,MATCH(A124,'Master Data'!$B$75:$B$299,0),MATCH($E$1,'Master Data'!$C$74:$O$74,0))</f>
        <v>0.41</v>
      </c>
      <c r="F124" s="148">
        <f>ROUND(E124*INDEX('Master Data'!$F$4:$K$12,MATCH($E$1,'Master Data'!$E$4:$E$12,0),MATCH(C124,'Master Data'!$F$3:$K$3,0)),2)</f>
        <v>33409.629999999997</v>
      </c>
      <c r="G124" s="147">
        <f>INDEX('Master Data'!$C$75:$O$299,MATCH(A124,'Master Data'!$B$75:$B$299,0),MATCH($G$1,'Master Data'!$C$74:$O$74,0))</f>
        <v>1</v>
      </c>
      <c r="H124" s="148">
        <f>ROUND(G124*INDEX('Master Data'!$F$4:$K$12,MATCH($G$1,'Master Data'!$E$4:$E$12,0),MATCH(C124,'Master Data'!$F$3:$K$3,0)),2)</f>
        <v>56388.63</v>
      </c>
      <c r="I124" s="147">
        <f>INDEX('Master Data'!$C$75:$O$299,MATCH(A124,'Master Data'!$B$75:$B$299,0),MATCH($I$1,'Master Data'!$C$74:$O$74,0))</f>
        <v>3.1</v>
      </c>
      <c r="J124" s="148">
        <f>ROUND(I124*INDEX('Master Data'!$F$4:$K$12,MATCH($I$1,'Master Data'!$E$4:$E$12,0),MATCH(C124,'Master Data'!$F$3:$K$3,0)),2)</f>
        <v>147874.93</v>
      </c>
      <c r="K124" s="147">
        <f>INDEX('Master Data'!$C$75:$O$299,MATCH(A124,'Master Data'!$B$75:$B$299,0),MATCH($K$1,'Master Data'!$C$74:$O$74,0))</f>
        <v>1.4</v>
      </c>
      <c r="L124" s="148">
        <f>ROUND(K124*INDEX('Master Data'!$F$4:$K$12,MATCH($K$1,'Master Data'!$E$4:$E$12,0),MATCH(C124,'Master Data'!$F$3:$K$3,0)),2)</f>
        <v>65579.399999999994</v>
      </c>
      <c r="M124" s="147">
        <f>INDEX('Master Data'!$C$75:$O$299,MATCH(A124,'Master Data'!$B$75:$B$299,0),MATCH($M$1,'Master Data'!$C$74:$O$74,0))</f>
        <v>0.5</v>
      </c>
      <c r="N124" s="148">
        <f>ROUND(M124*INDEX('Master Data'!$F$4:$K$12,MATCH($M$1,'Master Data'!$E$4:$E$12,0),MATCH(C124,'Master Data'!$F$3:$K$3,0)),2)</f>
        <v>23850.799999999999</v>
      </c>
      <c r="O124" s="147">
        <f>INDEX('Master Data'!$C$75:$O$299,MATCH(A124,'Master Data'!$B$75:$B$299,0),MATCH($O$1,'Master Data'!$C$74:$O$74,0))</f>
        <v>0.23</v>
      </c>
      <c r="P124" s="148">
        <f>ROUND(O124*INDEX('Master Data'!$F$4:$K$12,MATCH($O$1,'Master Data'!$E$4:$E$12,0),MATCH(C124,'Master Data'!$F$3:$K$3,0)),2)</f>
        <v>7176</v>
      </c>
      <c r="Q124" s="147">
        <f>INDEX('Master Data'!$C$75:$O$299,MATCH(A124,'Master Data'!$B$75:$B$299,0),MATCH($Q$1,'Master Data'!$C$74:$O$74,0))</f>
        <v>0.12</v>
      </c>
      <c r="R124" s="148">
        <f>ROUND(Q124*INDEX('Master Data'!$F$4:$K$12,MATCH($Q$1,'Master Data'!$E$4:$E$12,0),MATCH(C124,'Master Data'!$F$3:$K$3,0)),2)</f>
        <v>5621.09</v>
      </c>
      <c r="S124" s="147">
        <f>INDEX('Master Data'!$C$75:$O$299,MATCH(A124,'Master Data'!$B$75:$B$299,0),MATCH($S$1,'Master Data'!$C$74:$O$74,0))</f>
        <v>0</v>
      </c>
      <c r="T124" s="148">
        <f>ROUND(S124*INDEX('Master Data'!$F$4:$K$12,MATCH($S$1,'Master Data'!$E$4:$E$12,0),MATCH(C124,'Master Data'!$F$3:$K$3,0)),2)</f>
        <v>0</v>
      </c>
      <c r="U124" s="147">
        <f>INDEX('Master Data'!$C$75:$O$299,MATCH(A124,'Master Data'!$B$75:$B$299,0),MATCH($U$1,'Master Data'!$C$74:$O$74,0))</f>
        <v>0</v>
      </c>
      <c r="V124" s="148">
        <f>ROUND(U124*INDEX('Master Data'!$F$4:$K$12,MATCH($U$1,'Master Data'!$E$4:$E$12,0),MATCH(C124,'Master Data'!$F$3:$K$3,0)),2)</f>
        <v>0</v>
      </c>
      <c r="W124" s="149">
        <f t="shared" si="9"/>
        <v>339900.48</v>
      </c>
      <c r="X124" s="148">
        <f>ROUND(W124*('Master Data'!$B$54),2)</f>
        <v>84873.15</v>
      </c>
      <c r="Y124" s="149">
        <f t="shared" si="16"/>
        <v>424773.63</v>
      </c>
      <c r="Z124" s="147">
        <f>52*INDEX('Master Data'!$C$75:$O$299,MATCH(A124,'Master Data'!$B$75:$B$299,0),MATCH($Z$1,'Master Data'!$C$74:$O$74,0))</f>
        <v>104</v>
      </c>
      <c r="AA124" s="148">
        <f>Z124*('Master Data'!$F$15)</f>
        <v>7841.6</v>
      </c>
      <c r="AB124" s="147">
        <f>52*INDEX('Master Data'!$C$75:$O$299,MATCH(A124,'Master Data'!$B$75:$B$299,0),MATCH($AB$1,'Master Data'!$C$74:$O$74,0))</f>
        <v>156</v>
      </c>
      <c r="AC124" s="148">
        <f>AB124*('Master Data'!$F$16)</f>
        <v>11281.919999999998</v>
      </c>
      <c r="AD124" s="149">
        <f t="shared" si="12"/>
        <v>19123.519999999997</v>
      </c>
      <c r="AE124" s="148">
        <f>INDEX('Master Data'!$D$58:$D$60,MATCH(D124,'Master Data'!$B$58:$B$60,0))</f>
        <v>24321.56</v>
      </c>
      <c r="AF124" s="148">
        <f>INDEX('Master Data'!$E$58:$E$60,MATCH(D124,'Master Data'!$B$58:$B$60,0))</f>
        <v>2233.8000000000002</v>
      </c>
      <c r="AG124" s="148">
        <f>INDEX('Master Data'!$F$58:$F$60,MATCH(D124,'Master Data'!$B$58:$B$60,0))</f>
        <v>6471.45</v>
      </c>
      <c r="AH124" s="149">
        <f t="shared" si="13"/>
        <v>476923.96</v>
      </c>
      <c r="AI124" s="148">
        <f>ROUND(AH124*('Master Data'!$C$54),2)</f>
        <v>57230.879999999997</v>
      </c>
      <c r="AJ124" s="148">
        <f>ROUND(SUM(AH124:AI124,AK124)*('Master Data'!$E$54),2)</f>
        <v>16002.77</v>
      </c>
      <c r="AK124" s="148">
        <f>ROUND(W124*('Master Data'!$F$54),2)</f>
        <v>0</v>
      </c>
      <c r="AL124" s="149">
        <f t="shared" si="14"/>
        <v>550157.61</v>
      </c>
      <c r="AM124" s="140">
        <f t="shared" si="15"/>
        <v>1585.47</v>
      </c>
      <c r="AN124" s="121"/>
      <c r="AO124" s="121"/>
      <c r="AP124" s="121"/>
      <c r="AQ124" s="121"/>
      <c r="AR124" s="121"/>
      <c r="AS124" s="121"/>
    </row>
    <row r="125" spans="1:45">
      <c r="A125" s="121" t="s">
        <v>144</v>
      </c>
      <c r="B125" s="121" t="str">
        <f t="shared" si="8"/>
        <v xml:space="preserve"> </v>
      </c>
      <c r="C125" s="121" t="str">
        <f t="shared" si="19"/>
        <v xml:space="preserve">Intermediate  </v>
      </c>
      <c r="D125" s="121" t="str">
        <f>INDEX('Master Data'!$C$75:$C$299,MATCH(A125,'Master Data'!$B$75:$B$299,0))</f>
        <v>4+</v>
      </c>
      <c r="E125" s="147">
        <f>INDEX('Master Data'!$C$75:$O$299,MATCH(A125,'Master Data'!$B$75:$B$299,0),MATCH($E$1,'Master Data'!$C$74:$O$74,0))</f>
        <v>0.41</v>
      </c>
      <c r="F125" s="148">
        <f>ROUND(E125*INDEX('Master Data'!$F$4:$K$12,MATCH($E$1,'Master Data'!$E$4:$E$12,0),MATCH(C125,'Master Data'!$F$3:$K$3,0)),2)</f>
        <v>33409.629999999997</v>
      </c>
      <c r="G125" s="147">
        <f>INDEX('Master Data'!$C$75:$O$299,MATCH(A125,'Master Data'!$B$75:$B$299,0),MATCH($G$1,'Master Data'!$C$74:$O$74,0))</f>
        <v>1</v>
      </c>
      <c r="H125" s="148">
        <f>ROUND(G125*INDEX('Master Data'!$F$4:$K$12,MATCH($G$1,'Master Data'!$E$4:$E$12,0),MATCH(C125,'Master Data'!$F$3:$K$3,0)),2)</f>
        <v>56388.63</v>
      </c>
      <c r="I125" s="147">
        <f>INDEX('Master Data'!$C$75:$O$299,MATCH(A125,'Master Data'!$B$75:$B$299,0),MATCH($I$1,'Master Data'!$C$74:$O$74,0))</f>
        <v>3.6</v>
      </c>
      <c r="J125" s="148">
        <f>ROUND(I125*INDEX('Master Data'!$F$4:$K$12,MATCH($I$1,'Master Data'!$E$4:$E$12,0),MATCH(C125,'Master Data'!$F$3:$K$3,0)),2)</f>
        <v>171725.72</v>
      </c>
      <c r="K125" s="147">
        <f>INDEX('Master Data'!$C$75:$O$299,MATCH(A125,'Master Data'!$B$75:$B$299,0),MATCH($K$1,'Master Data'!$C$74:$O$74,0))</f>
        <v>1.4</v>
      </c>
      <c r="L125" s="148">
        <f>ROUND(K125*INDEX('Master Data'!$F$4:$K$12,MATCH($K$1,'Master Data'!$E$4:$E$12,0),MATCH(C125,'Master Data'!$F$3:$K$3,0)),2)</f>
        <v>65579.399999999994</v>
      </c>
      <c r="M125" s="147">
        <f>INDEX('Master Data'!$C$75:$O$299,MATCH(A125,'Master Data'!$B$75:$B$299,0),MATCH($M$1,'Master Data'!$C$74:$O$74,0))</f>
        <v>0.57999999999999996</v>
      </c>
      <c r="N125" s="148">
        <f>ROUND(M125*INDEX('Master Data'!$F$4:$K$12,MATCH($M$1,'Master Data'!$E$4:$E$12,0),MATCH(C125,'Master Data'!$F$3:$K$3,0)),2)</f>
        <v>27666.92</v>
      </c>
      <c r="O125" s="147">
        <f>INDEX('Master Data'!$C$75:$O$299,MATCH(A125,'Master Data'!$B$75:$B$299,0),MATCH($O$1,'Master Data'!$C$74:$O$74,0))</f>
        <v>0.23</v>
      </c>
      <c r="P125" s="148">
        <f>ROUND(O125*INDEX('Master Data'!$F$4:$K$12,MATCH($O$1,'Master Data'!$E$4:$E$12,0),MATCH(C125,'Master Data'!$F$3:$K$3,0)),2)</f>
        <v>7176</v>
      </c>
      <c r="Q125" s="147">
        <f>INDEX('Master Data'!$C$75:$O$299,MATCH(A125,'Master Data'!$B$75:$B$299,0),MATCH($Q$1,'Master Data'!$C$74:$O$74,0))</f>
        <v>0.12</v>
      </c>
      <c r="R125" s="148">
        <f>ROUND(Q125*INDEX('Master Data'!$F$4:$K$12,MATCH($Q$1,'Master Data'!$E$4:$E$12,0),MATCH(C125,'Master Data'!$F$3:$K$3,0)),2)</f>
        <v>5621.09</v>
      </c>
      <c r="S125" s="147">
        <f>INDEX('Master Data'!$C$75:$O$299,MATCH(A125,'Master Data'!$B$75:$B$299,0),MATCH($S$1,'Master Data'!$C$74:$O$74,0))</f>
        <v>0</v>
      </c>
      <c r="T125" s="148">
        <f>ROUND(S125*INDEX('Master Data'!$F$4:$K$12,MATCH($S$1,'Master Data'!$E$4:$E$12,0),MATCH(C125,'Master Data'!$F$3:$K$3,0)),2)</f>
        <v>0</v>
      </c>
      <c r="U125" s="147">
        <f>INDEX('Master Data'!$C$75:$O$299,MATCH(A125,'Master Data'!$B$75:$B$299,0),MATCH($U$1,'Master Data'!$C$74:$O$74,0))</f>
        <v>0</v>
      </c>
      <c r="V125" s="148">
        <f>ROUND(U125*INDEX('Master Data'!$F$4:$K$12,MATCH($U$1,'Master Data'!$E$4:$E$12,0),MATCH(C125,'Master Data'!$F$3:$K$3,0)),2)</f>
        <v>0</v>
      </c>
      <c r="W125" s="149">
        <f t="shared" si="9"/>
        <v>367567.39</v>
      </c>
      <c r="X125" s="148">
        <f>ROUND(W125*('Master Data'!$B$54),2)</f>
        <v>91781.58</v>
      </c>
      <c r="Y125" s="149">
        <f t="shared" si="16"/>
        <v>459348.97000000003</v>
      </c>
      <c r="Z125" s="147">
        <f>52*INDEX('Master Data'!$C$75:$O$299,MATCH(A125,'Master Data'!$B$75:$B$299,0),MATCH($Z$1,'Master Data'!$C$74:$O$74,0))</f>
        <v>104</v>
      </c>
      <c r="AA125" s="148">
        <f>Z125*('Master Data'!$F$15)</f>
        <v>7841.6</v>
      </c>
      <c r="AB125" s="147">
        <f>52*INDEX('Master Data'!$C$75:$O$299,MATCH(A125,'Master Data'!$B$75:$B$299,0),MATCH($AB$1,'Master Data'!$C$74:$O$74,0))</f>
        <v>156</v>
      </c>
      <c r="AC125" s="148">
        <f>AB125*('Master Data'!$F$16)</f>
        <v>11281.919999999998</v>
      </c>
      <c r="AD125" s="149">
        <f t="shared" si="12"/>
        <v>19123.519999999997</v>
      </c>
      <c r="AE125" s="148">
        <f>INDEX('Master Data'!$D$58:$D$60,MATCH(D125,'Master Data'!$B$58:$B$60,0))</f>
        <v>24321.56</v>
      </c>
      <c r="AF125" s="148">
        <f>INDEX('Master Data'!$E$58:$E$60,MATCH(D125,'Master Data'!$B$58:$B$60,0))</f>
        <v>2233.8000000000002</v>
      </c>
      <c r="AG125" s="148">
        <f>INDEX('Master Data'!$F$58:$F$60,MATCH(D125,'Master Data'!$B$58:$B$60,0))</f>
        <v>6471.45</v>
      </c>
      <c r="AH125" s="149">
        <f t="shared" si="13"/>
        <v>511499.30000000005</v>
      </c>
      <c r="AI125" s="148">
        <f>ROUND(AH125*('Master Data'!$C$54),2)</f>
        <v>61379.92</v>
      </c>
      <c r="AJ125" s="148">
        <f>ROUND(SUM(AH125:AI125,AK125)*('Master Data'!$E$54),2)</f>
        <v>17162.91</v>
      </c>
      <c r="AK125" s="148">
        <f>ROUND(W125*('Master Data'!$F$54),2)</f>
        <v>0</v>
      </c>
      <c r="AL125" s="149">
        <f t="shared" si="14"/>
        <v>590042.13000000012</v>
      </c>
      <c r="AM125" s="140">
        <f t="shared" si="15"/>
        <v>1700.41</v>
      </c>
      <c r="AN125" s="121"/>
      <c r="AO125" s="121"/>
      <c r="AP125" s="121"/>
      <c r="AQ125" s="121"/>
      <c r="AR125" s="121"/>
      <c r="AS125" s="121"/>
    </row>
    <row r="126" spans="1:45">
      <c r="A126" s="121" t="s">
        <v>143</v>
      </c>
      <c r="B126" s="121" t="str">
        <f t="shared" si="8"/>
        <v xml:space="preserve"> </v>
      </c>
      <c r="C126" s="121" t="str">
        <f t="shared" si="19"/>
        <v xml:space="preserve">Intermediate  </v>
      </c>
      <c r="D126" s="121" t="str">
        <f>INDEX('Master Data'!$C$75:$C$299,MATCH(A126,'Master Data'!$B$75:$B$299,0))</f>
        <v>4+</v>
      </c>
      <c r="E126" s="147">
        <f>INDEX('Master Data'!$C$75:$O$299,MATCH(A126,'Master Data'!$B$75:$B$299,0),MATCH($E$1,'Master Data'!$C$74:$O$74,0))</f>
        <v>0.41</v>
      </c>
      <c r="F126" s="148">
        <f>ROUND(E126*INDEX('Master Data'!$F$4:$K$12,MATCH($E$1,'Master Data'!$E$4:$E$12,0),MATCH(C126,'Master Data'!$F$3:$K$3,0)),2)</f>
        <v>33409.629999999997</v>
      </c>
      <c r="G126" s="147">
        <f>INDEX('Master Data'!$C$75:$O$299,MATCH(A126,'Master Data'!$B$75:$B$299,0),MATCH($G$1,'Master Data'!$C$74:$O$74,0))</f>
        <v>1</v>
      </c>
      <c r="H126" s="148">
        <f>ROUND(G126*INDEX('Master Data'!$F$4:$K$12,MATCH($G$1,'Master Data'!$E$4:$E$12,0),MATCH(C126,'Master Data'!$F$3:$K$3,0)),2)</f>
        <v>56388.63</v>
      </c>
      <c r="I126" s="147">
        <f>INDEX('Master Data'!$C$75:$O$299,MATCH(A126,'Master Data'!$B$75:$B$299,0),MATCH($I$1,'Master Data'!$C$74:$O$74,0))</f>
        <v>4.0999999999999996</v>
      </c>
      <c r="J126" s="148">
        <f>ROUND(I126*INDEX('Master Data'!$F$4:$K$12,MATCH($I$1,'Master Data'!$E$4:$E$12,0),MATCH(C126,'Master Data'!$F$3:$K$3,0)),2)</f>
        <v>195576.52</v>
      </c>
      <c r="K126" s="147">
        <f>INDEX('Master Data'!$C$75:$O$299,MATCH(A126,'Master Data'!$B$75:$B$299,0),MATCH($K$1,'Master Data'!$C$74:$O$74,0))</f>
        <v>1.4</v>
      </c>
      <c r="L126" s="148">
        <f>ROUND(K126*INDEX('Master Data'!$F$4:$K$12,MATCH($K$1,'Master Data'!$E$4:$E$12,0),MATCH(C126,'Master Data'!$F$3:$K$3,0)),2)</f>
        <v>65579.399999999994</v>
      </c>
      <c r="M126" s="147">
        <f>INDEX('Master Data'!$C$75:$O$299,MATCH(A126,'Master Data'!$B$75:$B$299,0),MATCH($M$1,'Master Data'!$C$74:$O$74,0))</f>
        <v>0.66</v>
      </c>
      <c r="N126" s="148">
        <f>ROUND(M126*INDEX('Master Data'!$F$4:$K$12,MATCH($M$1,'Master Data'!$E$4:$E$12,0),MATCH(C126,'Master Data'!$F$3:$K$3,0)),2)</f>
        <v>31483.05</v>
      </c>
      <c r="O126" s="147">
        <f>INDEX('Master Data'!$C$75:$O$299,MATCH(A126,'Master Data'!$B$75:$B$299,0),MATCH($O$1,'Master Data'!$C$74:$O$74,0))</f>
        <v>0.23</v>
      </c>
      <c r="P126" s="148">
        <f>ROUND(O126*INDEX('Master Data'!$F$4:$K$12,MATCH($O$1,'Master Data'!$E$4:$E$12,0),MATCH(C126,'Master Data'!$F$3:$K$3,0)),2)</f>
        <v>7176</v>
      </c>
      <c r="Q126" s="147">
        <f>INDEX('Master Data'!$C$75:$O$299,MATCH(A126,'Master Data'!$B$75:$B$299,0),MATCH($Q$1,'Master Data'!$C$74:$O$74,0))</f>
        <v>0.12</v>
      </c>
      <c r="R126" s="148">
        <f>ROUND(Q126*INDEX('Master Data'!$F$4:$K$12,MATCH($Q$1,'Master Data'!$E$4:$E$12,0),MATCH(C126,'Master Data'!$F$3:$K$3,0)),2)</f>
        <v>5621.09</v>
      </c>
      <c r="S126" s="147">
        <f>INDEX('Master Data'!$C$75:$O$299,MATCH(A126,'Master Data'!$B$75:$B$299,0),MATCH($S$1,'Master Data'!$C$74:$O$74,0))</f>
        <v>0</v>
      </c>
      <c r="T126" s="148">
        <f>ROUND(S126*INDEX('Master Data'!$F$4:$K$12,MATCH($S$1,'Master Data'!$E$4:$E$12,0),MATCH(C126,'Master Data'!$F$3:$K$3,0)),2)</f>
        <v>0</v>
      </c>
      <c r="U126" s="147">
        <f>INDEX('Master Data'!$C$75:$O$299,MATCH(A126,'Master Data'!$B$75:$B$299,0),MATCH($U$1,'Master Data'!$C$74:$O$74,0))</f>
        <v>0</v>
      </c>
      <c r="V126" s="148">
        <f>ROUND(U126*INDEX('Master Data'!$F$4:$K$12,MATCH($U$1,'Master Data'!$E$4:$E$12,0),MATCH(C126,'Master Data'!$F$3:$K$3,0)),2)</f>
        <v>0</v>
      </c>
      <c r="W126" s="149">
        <f t="shared" si="9"/>
        <v>395234.31999999995</v>
      </c>
      <c r="X126" s="148">
        <f>ROUND(W126*('Master Data'!$B$54),2)</f>
        <v>98690.01</v>
      </c>
      <c r="Y126" s="149">
        <f t="shared" si="16"/>
        <v>493924.32999999996</v>
      </c>
      <c r="Z126" s="147">
        <f>52*INDEX('Master Data'!$C$75:$O$299,MATCH(A126,'Master Data'!$B$75:$B$299,0),MATCH($Z$1,'Master Data'!$C$74:$O$74,0))</f>
        <v>104</v>
      </c>
      <c r="AA126" s="148">
        <f>Z126*('Master Data'!$F$15)</f>
        <v>7841.6</v>
      </c>
      <c r="AB126" s="147">
        <f>52*INDEX('Master Data'!$C$75:$O$299,MATCH(A126,'Master Data'!$B$75:$B$299,0),MATCH($AB$1,'Master Data'!$C$74:$O$74,0))</f>
        <v>156</v>
      </c>
      <c r="AC126" s="148">
        <f>AB126*('Master Data'!$F$16)</f>
        <v>11281.919999999998</v>
      </c>
      <c r="AD126" s="149">
        <f t="shared" si="12"/>
        <v>19123.519999999997</v>
      </c>
      <c r="AE126" s="148">
        <f>INDEX('Master Data'!$D$58:$D$60,MATCH(D126,'Master Data'!$B$58:$B$60,0))</f>
        <v>24321.56</v>
      </c>
      <c r="AF126" s="148">
        <f>INDEX('Master Data'!$E$58:$E$60,MATCH(D126,'Master Data'!$B$58:$B$60,0))</f>
        <v>2233.8000000000002</v>
      </c>
      <c r="AG126" s="148">
        <f>INDEX('Master Data'!$F$58:$F$60,MATCH(D126,'Master Data'!$B$58:$B$60,0))</f>
        <v>6471.45</v>
      </c>
      <c r="AH126" s="149">
        <f t="shared" si="13"/>
        <v>546074.66</v>
      </c>
      <c r="AI126" s="148">
        <f>ROUND(AH126*('Master Data'!$C$54),2)</f>
        <v>65528.959999999999</v>
      </c>
      <c r="AJ126" s="148">
        <f>ROUND(SUM(AH126:AI126,AK126)*('Master Data'!$E$54),2)</f>
        <v>18323.060000000001</v>
      </c>
      <c r="AK126" s="148">
        <f>ROUND(W126*('Master Data'!$F$54),2)</f>
        <v>0</v>
      </c>
      <c r="AL126" s="149">
        <f t="shared" si="14"/>
        <v>629926.68000000005</v>
      </c>
      <c r="AM126" s="140">
        <f t="shared" si="15"/>
        <v>1815.35</v>
      </c>
      <c r="AN126" s="121"/>
      <c r="AO126" s="121"/>
      <c r="AP126" s="121"/>
      <c r="AQ126" s="121"/>
      <c r="AR126" s="121"/>
      <c r="AS126" s="121"/>
    </row>
    <row r="127" spans="1:45">
      <c r="A127" s="121" t="s">
        <v>260</v>
      </c>
      <c r="B127" s="121" t="str">
        <f t="shared" si="8"/>
        <v xml:space="preserve"> </v>
      </c>
      <c r="C127" s="121" t="str">
        <f t="shared" si="19"/>
        <v xml:space="preserve">Intermediate  </v>
      </c>
      <c r="D127" s="121" t="str">
        <f>INDEX('Master Data'!$C$75:$C$299,MATCH(A127,'Master Data'!$B$75:$B$299,0))</f>
        <v>4+</v>
      </c>
      <c r="E127" s="147">
        <f>INDEX('Master Data'!$C$75:$O$299,MATCH(A127,'Master Data'!$B$75:$B$299,0),MATCH($E$1,'Master Data'!$C$74:$O$74,0))</f>
        <v>0.41</v>
      </c>
      <c r="F127" s="148">
        <f>ROUND(E127*INDEX('Master Data'!$F$4:$K$12,MATCH($E$1,'Master Data'!$E$4:$E$12,0),MATCH(C127,'Master Data'!$F$3:$K$3,0)),2)</f>
        <v>33409.629999999997</v>
      </c>
      <c r="G127" s="147">
        <f>INDEX('Master Data'!$C$75:$O$299,MATCH(A127,'Master Data'!$B$75:$B$299,0),MATCH($G$1,'Master Data'!$C$74:$O$74,0))</f>
        <v>1</v>
      </c>
      <c r="H127" s="148">
        <f>ROUND(G127*INDEX('Master Data'!$F$4:$K$12,MATCH($G$1,'Master Data'!$E$4:$E$12,0),MATCH(C127,'Master Data'!$F$3:$K$3,0)),2)</f>
        <v>56388.63</v>
      </c>
      <c r="I127" s="147">
        <f>INDEX('Master Data'!$C$75:$O$299,MATCH(A127,'Master Data'!$B$75:$B$299,0),MATCH($I$1,'Master Data'!$C$74:$O$74,0))</f>
        <v>4.5999999999999996</v>
      </c>
      <c r="J127" s="148">
        <f>ROUND(I127*INDEX('Master Data'!$F$4:$K$12,MATCH($I$1,'Master Data'!$E$4:$E$12,0),MATCH(C127,'Master Data'!$F$3:$K$3,0)),2)</f>
        <v>219427.31</v>
      </c>
      <c r="K127" s="147">
        <f>INDEX('Master Data'!$C$75:$O$299,MATCH(A127,'Master Data'!$B$75:$B$299,0),MATCH($K$1,'Master Data'!$C$74:$O$74,0))</f>
        <v>1.4</v>
      </c>
      <c r="L127" s="148">
        <f>ROUND(K127*INDEX('Master Data'!$F$4:$K$12,MATCH($K$1,'Master Data'!$E$4:$E$12,0),MATCH(C127,'Master Data'!$F$3:$K$3,0)),2)</f>
        <v>65579.399999999994</v>
      </c>
      <c r="M127" s="147">
        <f>INDEX('Master Data'!$C$75:$O$299,MATCH(A127,'Master Data'!$B$75:$B$299,0),MATCH($M$1,'Master Data'!$C$74:$O$74,0))</f>
        <v>0.75</v>
      </c>
      <c r="N127" s="148">
        <f>ROUND(M127*INDEX('Master Data'!$F$4:$K$12,MATCH($M$1,'Master Data'!$E$4:$E$12,0),MATCH(C127,'Master Data'!$F$3:$K$3,0)),2)</f>
        <v>35776.19</v>
      </c>
      <c r="O127" s="147">
        <f>INDEX('Master Data'!$C$75:$O$299,MATCH(A127,'Master Data'!$B$75:$B$299,0),MATCH($O$1,'Master Data'!$C$74:$O$74,0))</f>
        <v>0.23</v>
      </c>
      <c r="P127" s="148">
        <f>ROUND(O127*INDEX('Master Data'!$F$4:$K$12,MATCH($O$1,'Master Data'!$E$4:$E$12,0),MATCH(C127,'Master Data'!$F$3:$K$3,0)),2)</f>
        <v>7176</v>
      </c>
      <c r="Q127" s="147">
        <f>INDEX('Master Data'!$C$75:$O$299,MATCH(A127,'Master Data'!$B$75:$B$299,0),MATCH($Q$1,'Master Data'!$C$74:$O$74,0))</f>
        <v>0.12</v>
      </c>
      <c r="R127" s="148">
        <f>ROUND(Q127*INDEX('Master Data'!$F$4:$K$12,MATCH($Q$1,'Master Data'!$E$4:$E$12,0),MATCH(C127,'Master Data'!$F$3:$K$3,0)),2)</f>
        <v>5621.09</v>
      </c>
      <c r="S127" s="147">
        <f>INDEX('Master Data'!$C$75:$O$299,MATCH(A127,'Master Data'!$B$75:$B$299,0),MATCH($S$1,'Master Data'!$C$74:$O$74,0))</f>
        <v>0</v>
      </c>
      <c r="T127" s="148">
        <f>ROUND(S127*INDEX('Master Data'!$F$4:$K$12,MATCH($S$1,'Master Data'!$E$4:$E$12,0),MATCH(C127,'Master Data'!$F$3:$K$3,0)),2)</f>
        <v>0</v>
      </c>
      <c r="U127" s="147">
        <f>INDEX('Master Data'!$C$75:$O$299,MATCH(A127,'Master Data'!$B$75:$B$299,0),MATCH($U$1,'Master Data'!$C$74:$O$74,0))</f>
        <v>0</v>
      </c>
      <c r="V127" s="148">
        <f>ROUND(U127*INDEX('Master Data'!$F$4:$K$12,MATCH($U$1,'Master Data'!$E$4:$E$12,0),MATCH(C127,'Master Data'!$F$3:$K$3,0)),2)</f>
        <v>0</v>
      </c>
      <c r="W127" s="149">
        <f t="shared" si="9"/>
        <v>423378.25</v>
      </c>
      <c r="X127" s="148">
        <f>ROUND(W127*('Master Data'!$B$54),2)</f>
        <v>105717.55</v>
      </c>
      <c r="Y127" s="149">
        <f t="shared" si="16"/>
        <v>529095.80000000005</v>
      </c>
      <c r="Z127" s="147">
        <f>52*INDEX('Master Data'!$C$75:$O$299,MATCH(A127,'Master Data'!$B$75:$B$299,0),MATCH($Z$1,'Master Data'!$C$74:$O$74,0))</f>
        <v>104</v>
      </c>
      <c r="AA127" s="148">
        <f>Z127*('Master Data'!$F$15)</f>
        <v>7841.6</v>
      </c>
      <c r="AB127" s="147">
        <f>52*INDEX('Master Data'!$C$75:$O$299,MATCH(A127,'Master Data'!$B$75:$B$299,0),MATCH($AB$1,'Master Data'!$C$74:$O$74,0))</f>
        <v>156</v>
      </c>
      <c r="AC127" s="148">
        <f>AB127*('Master Data'!$F$16)</f>
        <v>11281.919999999998</v>
      </c>
      <c r="AD127" s="149">
        <f t="shared" si="12"/>
        <v>19123.519999999997</v>
      </c>
      <c r="AE127" s="148">
        <f>INDEX('Master Data'!$D$58:$D$60,MATCH(D127,'Master Data'!$B$58:$B$60,0))</f>
        <v>24321.56</v>
      </c>
      <c r="AF127" s="148">
        <f>INDEX('Master Data'!$E$58:$E$60,MATCH(D127,'Master Data'!$B$58:$B$60,0))</f>
        <v>2233.8000000000002</v>
      </c>
      <c r="AG127" s="148">
        <f>INDEX('Master Data'!$F$58:$F$60,MATCH(D127,'Master Data'!$B$58:$B$60,0))</f>
        <v>6471.45</v>
      </c>
      <c r="AH127" s="149">
        <f t="shared" si="13"/>
        <v>581246.13000000012</v>
      </c>
      <c r="AI127" s="148">
        <f>ROUND(AH127*('Master Data'!$C$54),2)</f>
        <v>69749.539999999994</v>
      </c>
      <c r="AJ127" s="148">
        <f>ROUND(SUM(AH127:AI127,AK127)*('Master Data'!$E$54),2)</f>
        <v>19503.21</v>
      </c>
      <c r="AK127" s="148">
        <f>ROUND(W127*('Master Data'!$F$54),2)</f>
        <v>0</v>
      </c>
      <c r="AL127" s="149">
        <f t="shared" si="14"/>
        <v>670498.88000000012</v>
      </c>
      <c r="AM127" s="140">
        <f t="shared" si="15"/>
        <v>1932.27</v>
      </c>
      <c r="AN127" s="121"/>
      <c r="AO127" s="121"/>
      <c r="AP127" s="121"/>
      <c r="AQ127" s="121"/>
      <c r="AR127" s="121"/>
      <c r="AS127" s="121"/>
    </row>
    <row r="128" spans="1:45">
      <c r="A128" s="121" t="s">
        <v>261</v>
      </c>
      <c r="B128" s="121" t="str">
        <f t="shared" si="8"/>
        <v xml:space="preserve"> </v>
      </c>
      <c r="C128" s="121" t="str">
        <f t="shared" si="19"/>
        <v xml:space="preserve">Intermediate  </v>
      </c>
      <c r="D128" s="121" t="str">
        <f>INDEX('Master Data'!$C$75:$C$299,MATCH(A128,'Master Data'!$B$75:$B$299,0))</f>
        <v>4+</v>
      </c>
      <c r="E128" s="147">
        <f>INDEX('Master Data'!$C$75:$O$299,MATCH(A128,'Master Data'!$B$75:$B$299,0),MATCH($E$1,'Master Data'!$C$74:$O$74,0))</f>
        <v>0.41</v>
      </c>
      <c r="F128" s="148">
        <f>ROUND(E128*INDEX('Master Data'!$F$4:$K$12,MATCH($E$1,'Master Data'!$E$4:$E$12,0),MATCH(C128,'Master Data'!$F$3:$K$3,0)),2)</f>
        <v>33409.629999999997</v>
      </c>
      <c r="G128" s="147">
        <f>INDEX('Master Data'!$C$75:$O$299,MATCH(A128,'Master Data'!$B$75:$B$299,0),MATCH($G$1,'Master Data'!$C$74:$O$74,0))</f>
        <v>1</v>
      </c>
      <c r="H128" s="148">
        <f>ROUND(G128*INDEX('Master Data'!$F$4:$K$12,MATCH($G$1,'Master Data'!$E$4:$E$12,0),MATCH(C128,'Master Data'!$F$3:$K$3,0)),2)</f>
        <v>56388.63</v>
      </c>
      <c r="I128" s="147">
        <f>INDEX('Master Data'!$C$75:$O$299,MATCH(A128,'Master Data'!$B$75:$B$299,0),MATCH($I$1,'Master Data'!$C$74:$O$74,0))</f>
        <v>5.0999999999999996</v>
      </c>
      <c r="J128" s="148">
        <f>ROUND(I128*INDEX('Master Data'!$F$4:$K$12,MATCH($I$1,'Master Data'!$E$4:$E$12,0),MATCH(C128,'Master Data'!$F$3:$K$3,0)),2)</f>
        <v>243278.11</v>
      </c>
      <c r="K128" s="147">
        <f>INDEX('Master Data'!$C$75:$O$299,MATCH(A128,'Master Data'!$B$75:$B$299,0),MATCH($K$1,'Master Data'!$C$74:$O$74,0))</f>
        <v>1.4</v>
      </c>
      <c r="L128" s="148">
        <f>ROUND(K128*INDEX('Master Data'!$F$4:$K$12,MATCH($K$1,'Master Data'!$E$4:$E$12,0),MATCH(C128,'Master Data'!$F$3:$K$3,0)),2)</f>
        <v>65579.399999999994</v>
      </c>
      <c r="M128" s="147">
        <f>INDEX('Master Data'!$C$75:$O$299,MATCH(A128,'Master Data'!$B$75:$B$299,0),MATCH($M$1,'Master Data'!$C$74:$O$74,0))</f>
        <v>0.83</v>
      </c>
      <c r="N128" s="148">
        <f>ROUND(M128*INDEX('Master Data'!$F$4:$K$12,MATCH($M$1,'Master Data'!$E$4:$E$12,0),MATCH(C128,'Master Data'!$F$3:$K$3,0)),2)</f>
        <v>39592.32</v>
      </c>
      <c r="O128" s="147">
        <f>INDEX('Master Data'!$C$75:$O$299,MATCH(A128,'Master Data'!$B$75:$B$299,0),MATCH($O$1,'Master Data'!$C$74:$O$74,0))</f>
        <v>0.23</v>
      </c>
      <c r="P128" s="148">
        <f>ROUND(O128*INDEX('Master Data'!$F$4:$K$12,MATCH($O$1,'Master Data'!$E$4:$E$12,0),MATCH(C128,'Master Data'!$F$3:$K$3,0)),2)</f>
        <v>7176</v>
      </c>
      <c r="Q128" s="147">
        <f>INDEX('Master Data'!$C$75:$O$299,MATCH(A128,'Master Data'!$B$75:$B$299,0),MATCH($Q$1,'Master Data'!$C$74:$O$74,0))</f>
        <v>0.12</v>
      </c>
      <c r="R128" s="148">
        <f>ROUND(Q128*INDEX('Master Data'!$F$4:$K$12,MATCH($Q$1,'Master Data'!$E$4:$E$12,0),MATCH(C128,'Master Data'!$F$3:$K$3,0)),2)</f>
        <v>5621.09</v>
      </c>
      <c r="S128" s="147">
        <f>INDEX('Master Data'!$C$75:$O$299,MATCH(A128,'Master Data'!$B$75:$B$299,0),MATCH($S$1,'Master Data'!$C$74:$O$74,0))</f>
        <v>0</v>
      </c>
      <c r="T128" s="148">
        <f>ROUND(S128*INDEX('Master Data'!$F$4:$K$12,MATCH($S$1,'Master Data'!$E$4:$E$12,0),MATCH(C128,'Master Data'!$F$3:$K$3,0)),2)</f>
        <v>0</v>
      </c>
      <c r="U128" s="147">
        <f>INDEX('Master Data'!$C$75:$O$299,MATCH(A128,'Master Data'!$B$75:$B$299,0),MATCH($U$1,'Master Data'!$C$74:$O$74,0))</f>
        <v>0</v>
      </c>
      <c r="V128" s="148">
        <f>ROUND(U128*INDEX('Master Data'!$F$4:$K$12,MATCH($U$1,'Master Data'!$E$4:$E$12,0),MATCH(C128,'Master Data'!$F$3:$K$3,0)),2)</f>
        <v>0</v>
      </c>
      <c r="W128" s="149">
        <f t="shared" si="9"/>
        <v>451045.18000000005</v>
      </c>
      <c r="X128" s="148">
        <f>ROUND(W128*('Master Data'!$B$54),2)</f>
        <v>112625.98</v>
      </c>
      <c r="Y128" s="149">
        <f t="shared" si="16"/>
        <v>563671.16</v>
      </c>
      <c r="Z128" s="147">
        <f>52*INDEX('Master Data'!$C$75:$O$299,MATCH(A128,'Master Data'!$B$75:$B$299,0),MATCH($Z$1,'Master Data'!$C$74:$O$74,0))</f>
        <v>104</v>
      </c>
      <c r="AA128" s="148">
        <f>Z128*('Master Data'!$F$15)</f>
        <v>7841.6</v>
      </c>
      <c r="AB128" s="147">
        <f>52*INDEX('Master Data'!$C$75:$O$299,MATCH(A128,'Master Data'!$B$75:$B$299,0),MATCH($AB$1,'Master Data'!$C$74:$O$74,0))</f>
        <v>156</v>
      </c>
      <c r="AC128" s="148">
        <f>AB128*('Master Data'!$F$16)</f>
        <v>11281.919999999998</v>
      </c>
      <c r="AD128" s="149">
        <f t="shared" si="12"/>
        <v>19123.519999999997</v>
      </c>
      <c r="AE128" s="148">
        <f>INDEX('Master Data'!$D$58:$D$60,MATCH(D128,'Master Data'!$B$58:$B$60,0))</f>
        <v>24321.56</v>
      </c>
      <c r="AF128" s="148">
        <f>INDEX('Master Data'!$E$58:$E$60,MATCH(D128,'Master Data'!$B$58:$B$60,0))</f>
        <v>2233.8000000000002</v>
      </c>
      <c r="AG128" s="148">
        <f>INDEX('Master Data'!$F$58:$F$60,MATCH(D128,'Master Data'!$B$58:$B$60,0))</f>
        <v>6471.45</v>
      </c>
      <c r="AH128" s="149">
        <f t="shared" si="13"/>
        <v>615821.49000000011</v>
      </c>
      <c r="AI128" s="148">
        <f>ROUND(AH128*('Master Data'!$C$54),2)</f>
        <v>73898.58</v>
      </c>
      <c r="AJ128" s="148">
        <f>ROUND(SUM(AH128:AI128,AK128)*('Master Data'!$E$54),2)</f>
        <v>20663.349999999999</v>
      </c>
      <c r="AK128" s="148">
        <f>ROUND(W128*('Master Data'!$F$54),2)</f>
        <v>0</v>
      </c>
      <c r="AL128" s="149">
        <f t="shared" si="14"/>
        <v>710383.42</v>
      </c>
      <c r="AM128" s="140">
        <f t="shared" si="15"/>
        <v>2047.21</v>
      </c>
      <c r="AN128" s="121"/>
      <c r="AO128" s="121"/>
      <c r="AP128" s="121"/>
      <c r="AQ128" s="121"/>
      <c r="AR128" s="121"/>
      <c r="AS128" s="121"/>
    </row>
    <row r="129" spans="1:45">
      <c r="A129" s="121" t="s">
        <v>262</v>
      </c>
      <c r="B129" s="121" t="str">
        <f t="shared" si="8"/>
        <v xml:space="preserve"> </v>
      </c>
      <c r="C129" s="121" t="str">
        <f t="shared" si="19"/>
        <v xml:space="preserve">Intermediate  </v>
      </c>
      <c r="D129" s="121" t="str">
        <f>INDEX('Master Data'!$C$75:$C$299,MATCH(A129,'Master Data'!$B$75:$B$299,0))</f>
        <v>4+</v>
      </c>
      <c r="E129" s="147">
        <f>INDEX('Master Data'!$C$75:$O$299,MATCH(A129,'Master Data'!$B$75:$B$299,0),MATCH($E$1,'Master Data'!$C$74:$O$74,0))</f>
        <v>0.41</v>
      </c>
      <c r="F129" s="148">
        <f>ROUND(E129*INDEX('Master Data'!$F$4:$K$12,MATCH($E$1,'Master Data'!$E$4:$E$12,0),MATCH(C129,'Master Data'!$F$3:$K$3,0)),2)</f>
        <v>33409.629999999997</v>
      </c>
      <c r="G129" s="147">
        <f>INDEX('Master Data'!$C$75:$O$299,MATCH(A129,'Master Data'!$B$75:$B$299,0),MATCH($G$1,'Master Data'!$C$74:$O$74,0))</f>
        <v>1</v>
      </c>
      <c r="H129" s="148">
        <f>ROUND(G129*INDEX('Master Data'!$F$4:$K$12,MATCH($G$1,'Master Data'!$E$4:$E$12,0),MATCH(C129,'Master Data'!$F$3:$K$3,0)),2)</f>
        <v>56388.63</v>
      </c>
      <c r="I129" s="147">
        <f>INDEX('Master Data'!$C$75:$O$299,MATCH(A129,'Master Data'!$B$75:$B$299,0),MATCH($I$1,'Master Data'!$C$74:$O$74,0))</f>
        <v>5.6</v>
      </c>
      <c r="J129" s="148">
        <f>ROUND(I129*INDEX('Master Data'!$F$4:$K$12,MATCH($I$1,'Master Data'!$E$4:$E$12,0),MATCH(C129,'Master Data'!$F$3:$K$3,0)),2)</f>
        <v>267128.90000000002</v>
      </c>
      <c r="K129" s="147">
        <f>INDEX('Master Data'!$C$75:$O$299,MATCH(A129,'Master Data'!$B$75:$B$299,0),MATCH($K$1,'Master Data'!$C$74:$O$74,0))</f>
        <v>1.4</v>
      </c>
      <c r="L129" s="148">
        <f>ROUND(K129*INDEX('Master Data'!$F$4:$K$12,MATCH($K$1,'Master Data'!$E$4:$E$12,0),MATCH(C129,'Master Data'!$F$3:$K$3,0)),2)</f>
        <v>65579.399999999994</v>
      </c>
      <c r="M129" s="147">
        <f>INDEX('Master Data'!$C$75:$O$299,MATCH(A129,'Master Data'!$B$75:$B$299,0),MATCH($M$1,'Master Data'!$C$74:$O$74,0))</f>
        <v>0.91</v>
      </c>
      <c r="N129" s="148">
        <f>ROUND(M129*INDEX('Master Data'!$F$4:$K$12,MATCH($M$1,'Master Data'!$E$4:$E$12,0),MATCH(C129,'Master Data'!$F$3:$K$3,0)),2)</f>
        <v>43408.45</v>
      </c>
      <c r="O129" s="147">
        <f>INDEX('Master Data'!$C$75:$O$299,MATCH(A129,'Master Data'!$B$75:$B$299,0),MATCH($O$1,'Master Data'!$C$74:$O$74,0))</f>
        <v>0.23</v>
      </c>
      <c r="P129" s="148">
        <f>ROUND(O129*INDEX('Master Data'!$F$4:$K$12,MATCH($O$1,'Master Data'!$E$4:$E$12,0),MATCH(C129,'Master Data'!$F$3:$K$3,0)),2)</f>
        <v>7176</v>
      </c>
      <c r="Q129" s="147">
        <f>INDEX('Master Data'!$C$75:$O$299,MATCH(A129,'Master Data'!$B$75:$B$299,0),MATCH($Q$1,'Master Data'!$C$74:$O$74,0))</f>
        <v>0.12</v>
      </c>
      <c r="R129" s="148">
        <f>ROUND(Q129*INDEX('Master Data'!$F$4:$K$12,MATCH($Q$1,'Master Data'!$E$4:$E$12,0),MATCH(C129,'Master Data'!$F$3:$K$3,0)),2)</f>
        <v>5621.09</v>
      </c>
      <c r="S129" s="147">
        <f>INDEX('Master Data'!$C$75:$O$299,MATCH(A129,'Master Data'!$B$75:$B$299,0),MATCH($S$1,'Master Data'!$C$74:$O$74,0))</f>
        <v>0</v>
      </c>
      <c r="T129" s="148">
        <f>ROUND(S129*INDEX('Master Data'!$F$4:$K$12,MATCH($S$1,'Master Data'!$E$4:$E$12,0),MATCH(C129,'Master Data'!$F$3:$K$3,0)),2)</f>
        <v>0</v>
      </c>
      <c r="U129" s="147">
        <f>INDEX('Master Data'!$C$75:$O$299,MATCH(A129,'Master Data'!$B$75:$B$299,0),MATCH($U$1,'Master Data'!$C$74:$O$74,0))</f>
        <v>0</v>
      </c>
      <c r="V129" s="148">
        <f>ROUND(U129*INDEX('Master Data'!$F$4:$K$12,MATCH($U$1,'Master Data'!$E$4:$E$12,0),MATCH(C129,'Master Data'!$F$3:$K$3,0)),2)</f>
        <v>0</v>
      </c>
      <c r="W129" s="149">
        <f t="shared" si="9"/>
        <v>478712.10000000009</v>
      </c>
      <c r="X129" s="148">
        <f>ROUND(W129*('Master Data'!$B$54),2)</f>
        <v>119534.41</v>
      </c>
      <c r="Y129" s="149">
        <f t="shared" si="16"/>
        <v>598246.51000000013</v>
      </c>
      <c r="Z129" s="147">
        <f>52*INDEX('Master Data'!$C$75:$O$299,MATCH(A129,'Master Data'!$B$75:$B$299,0),MATCH($Z$1,'Master Data'!$C$74:$O$74,0))</f>
        <v>104</v>
      </c>
      <c r="AA129" s="148">
        <f>Z129*('Master Data'!$F$15)</f>
        <v>7841.6</v>
      </c>
      <c r="AB129" s="147">
        <f>52*INDEX('Master Data'!$C$75:$O$299,MATCH(A129,'Master Data'!$B$75:$B$299,0),MATCH($AB$1,'Master Data'!$C$74:$O$74,0))</f>
        <v>156</v>
      </c>
      <c r="AC129" s="148">
        <f>AB129*('Master Data'!$F$16)</f>
        <v>11281.919999999998</v>
      </c>
      <c r="AD129" s="149">
        <f t="shared" si="12"/>
        <v>19123.519999999997</v>
      </c>
      <c r="AE129" s="148">
        <f>INDEX('Master Data'!$D$58:$D$60,MATCH(D129,'Master Data'!$B$58:$B$60,0))</f>
        <v>24321.56</v>
      </c>
      <c r="AF129" s="148">
        <f>INDEX('Master Data'!$E$58:$E$60,MATCH(D129,'Master Data'!$B$58:$B$60,0))</f>
        <v>2233.8000000000002</v>
      </c>
      <c r="AG129" s="148">
        <f>INDEX('Master Data'!$F$58:$F$60,MATCH(D129,'Master Data'!$B$58:$B$60,0))</f>
        <v>6471.45</v>
      </c>
      <c r="AH129" s="149">
        <f t="shared" si="13"/>
        <v>650396.8400000002</v>
      </c>
      <c r="AI129" s="148">
        <f>ROUND(AH129*('Master Data'!$C$54),2)</f>
        <v>78047.62</v>
      </c>
      <c r="AJ129" s="148">
        <f>ROUND(SUM(AH129:AI129,AK129)*('Master Data'!$E$54),2)</f>
        <v>21823.5</v>
      </c>
      <c r="AK129" s="148">
        <f>ROUND(W129*('Master Data'!$F$54),2)</f>
        <v>0</v>
      </c>
      <c r="AL129" s="149">
        <f t="shared" si="14"/>
        <v>750267.9600000002</v>
      </c>
      <c r="AM129" s="140">
        <f t="shared" si="15"/>
        <v>2162.16</v>
      </c>
      <c r="AN129" s="121"/>
      <c r="AO129" s="121"/>
      <c r="AP129" s="121"/>
      <c r="AQ129" s="121"/>
      <c r="AR129" s="121"/>
      <c r="AS129" s="121"/>
    </row>
    <row r="130" spans="1:45">
      <c r="A130" s="121" t="s">
        <v>263</v>
      </c>
      <c r="B130" s="121" t="str">
        <f t="shared" si="8"/>
        <v xml:space="preserve"> </v>
      </c>
      <c r="C130" s="121" t="str">
        <f t="shared" si="19"/>
        <v xml:space="preserve">Intermediate  </v>
      </c>
      <c r="D130" s="121" t="str">
        <f>INDEX('Master Data'!$C$75:$C$299,MATCH(A130,'Master Data'!$B$75:$B$299,0))</f>
        <v>4+</v>
      </c>
      <c r="E130" s="147">
        <f>INDEX('Master Data'!$C$75:$O$299,MATCH(A130,'Master Data'!$B$75:$B$299,0),MATCH($E$1,'Master Data'!$C$74:$O$74,0))</f>
        <v>0.41</v>
      </c>
      <c r="F130" s="148">
        <f>ROUND(E130*INDEX('Master Data'!$F$4:$K$12,MATCH($E$1,'Master Data'!$E$4:$E$12,0),MATCH(C130,'Master Data'!$F$3:$K$3,0)),2)</f>
        <v>33409.629999999997</v>
      </c>
      <c r="G130" s="147">
        <f>INDEX('Master Data'!$C$75:$O$299,MATCH(A130,'Master Data'!$B$75:$B$299,0),MATCH($G$1,'Master Data'!$C$74:$O$74,0))</f>
        <v>1</v>
      </c>
      <c r="H130" s="148">
        <f>ROUND(G130*INDEX('Master Data'!$F$4:$K$12,MATCH($G$1,'Master Data'!$E$4:$E$12,0),MATCH(C130,'Master Data'!$F$3:$K$3,0)),2)</f>
        <v>56388.63</v>
      </c>
      <c r="I130" s="147">
        <f>INDEX('Master Data'!$C$75:$O$299,MATCH(A130,'Master Data'!$B$75:$B$299,0),MATCH($I$1,'Master Data'!$C$74:$O$74,0))</f>
        <v>6.1</v>
      </c>
      <c r="J130" s="148">
        <f>ROUND(I130*INDEX('Master Data'!$F$4:$K$12,MATCH($I$1,'Master Data'!$E$4:$E$12,0),MATCH(C130,'Master Data'!$F$3:$K$3,0)),2)</f>
        <v>290979.7</v>
      </c>
      <c r="K130" s="147">
        <f>INDEX('Master Data'!$C$75:$O$299,MATCH(A130,'Master Data'!$B$75:$B$299,0),MATCH($K$1,'Master Data'!$C$74:$O$74,0))</f>
        <v>1.4</v>
      </c>
      <c r="L130" s="148">
        <f>ROUND(K130*INDEX('Master Data'!$F$4:$K$12,MATCH($K$1,'Master Data'!$E$4:$E$12,0),MATCH(C130,'Master Data'!$F$3:$K$3,0)),2)</f>
        <v>65579.399999999994</v>
      </c>
      <c r="M130" s="147">
        <f>INDEX('Master Data'!$C$75:$O$299,MATCH(A130,'Master Data'!$B$75:$B$299,0),MATCH($M$1,'Master Data'!$C$74:$O$74,0))</f>
        <v>0.99</v>
      </c>
      <c r="N130" s="148">
        <f>ROUND(M130*INDEX('Master Data'!$F$4:$K$12,MATCH($M$1,'Master Data'!$E$4:$E$12,0),MATCH(C130,'Master Data'!$F$3:$K$3,0)),2)</f>
        <v>47224.57</v>
      </c>
      <c r="O130" s="147">
        <f>INDEX('Master Data'!$C$75:$O$299,MATCH(A130,'Master Data'!$B$75:$B$299,0),MATCH($O$1,'Master Data'!$C$74:$O$74,0))</f>
        <v>0.23</v>
      </c>
      <c r="P130" s="148">
        <f>ROUND(O130*INDEX('Master Data'!$F$4:$K$12,MATCH($O$1,'Master Data'!$E$4:$E$12,0),MATCH(C130,'Master Data'!$F$3:$K$3,0)),2)</f>
        <v>7176</v>
      </c>
      <c r="Q130" s="147">
        <f>INDEX('Master Data'!$C$75:$O$299,MATCH(A130,'Master Data'!$B$75:$B$299,0),MATCH($Q$1,'Master Data'!$C$74:$O$74,0))</f>
        <v>0.12</v>
      </c>
      <c r="R130" s="148">
        <f>ROUND(Q130*INDEX('Master Data'!$F$4:$K$12,MATCH($Q$1,'Master Data'!$E$4:$E$12,0),MATCH(C130,'Master Data'!$F$3:$K$3,0)),2)</f>
        <v>5621.09</v>
      </c>
      <c r="S130" s="147">
        <f>INDEX('Master Data'!$C$75:$O$299,MATCH(A130,'Master Data'!$B$75:$B$299,0),MATCH($S$1,'Master Data'!$C$74:$O$74,0))</f>
        <v>0</v>
      </c>
      <c r="T130" s="148">
        <f>ROUND(S130*INDEX('Master Data'!$F$4:$K$12,MATCH($S$1,'Master Data'!$E$4:$E$12,0),MATCH(C130,'Master Data'!$F$3:$K$3,0)),2)</f>
        <v>0</v>
      </c>
      <c r="U130" s="147">
        <f>INDEX('Master Data'!$C$75:$O$299,MATCH(A130,'Master Data'!$B$75:$B$299,0),MATCH($U$1,'Master Data'!$C$74:$O$74,0))</f>
        <v>0</v>
      </c>
      <c r="V130" s="148">
        <f>ROUND(U130*INDEX('Master Data'!$F$4:$K$12,MATCH($U$1,'Master Data'!$E$4:$E$12,0),MATCH(C130,'Master Data'!$F$3:$K$3,0)),2)</f>
        <v>0</v>
      </c>
      <c r="W130" s="149">
        <f t="shared" ref="W130:W193" si="20">SUM(F130,H130,J130,L130,N130,P130,R130,T130,V130)</f>
        <v>506379.02</v>
      </c>
      <c r="X130" s="148">
        <f>ROUND(W130*('Master Data'!$B$54),2)</f>
        <v>126442.84</v>
      </c>
      <c r="Y130" s="149">
        <f t="shared" si="16"/>
        <v>632821.86</v>
      </c>
      <c r="Z130" s="147">
        <f>52*INDEX('Master Data'!$C$75:$O$299,MATCH(A130,'Master Data'!$B$75:$B$299,0),MATCH($Z$1,'Master Data'!$C$74:$O$74,0))</f>
        <v>104</v>
      </c>
      <c r="AA130" s="148">
        <f>Z130*('Master Data'!$F$15)</f>
        <v>7841.6</v>
      </c>
      <c r="AB130" s="147">
        <f>52*INDEX('Master Data'!$C$75:$O$299,MATCH(A130,'Master Data'!$B$75:$B$299,0),MATCH($AB$1,'Master Data'!$C$74:$O$74,0))</f>
        <v>156</v>
      </c>
      <c r="AC130" s="148">
        <f>AB130*('Master Data'!$F$16)</f>
        <v>11281.919999999998</v>
      </c>
      <c r="AD130" s="149">
        <f t="shared" si="12"/>
        <v>19123.519999999997</v>
      </c>
      <c r="AE130" s="148">
        <f>INDEX('Master Data'!$D$58:$D$60,MATCH(D130,'Master Data'!$B$58:$B$60,0))</f>
        <v>24321.56</v>
      </c>
      <c r="AF130" s="148">
        <f>INDEX('Master Data'!$E$58:$E$60,MATCH(D130,'Master Data'!$B$58:$B$60,0))</f>
        <v>2233.8000000000002</v>
      </c>
      <c r="AG130" s="148">
        <f>INDEX('Master Data'!$F$58:$F$60,MATCH(D130,'Master Data'!$B$58:$B$60,0))</f>
        <v>6471.45</v>
      </c>
      <c r="AH130" s="149">
        <f t="shared" si="13"/>
        <v>684972.19000000006</v>
      </c>
      <c r="AI130" s="148">
        <f>ROUND(AH130*('Master Data'!$C$54),2)</f>
        <v>82196.66</v>
      </c>
      <c r="AJ130" s="148">
        <f>ROUND(SUM(AH130:AI130,AK130)*('Master Data'!$E$54),2)</f>
        <v>22983.64</v>
      </c>
      <c r="AK130" s="148">
        <f>ROUND(W130*('Master Data'!$F$54),2)</f>
        <v>0</v>
      </c>
      <c r="AL130" s="149">
        <f t="shared" si="14"/>
        <v>790152.49000000011</v>
      </c>
      <c r="AM130" s="140">
        <f t="shared" si="15"/>
        <v>2277.1</v>
      </c>
      <c r="AN130" s="121"/>
      <c r="AO130" s="121"/>
      <c r="AP130" s="121"/>
      <c r="AQ130" s="121"/>
      <c r="AR130" s="121"/>
      <c r="AS130" s="121"/>
    </row>
    <row r="131" spans="1:45">
      <c r="A131" s="121" t="s">
        <v>264</v>
      </c>
      <c r="B131" s="121" t="str">
        <f t="shared" si="8"/>
        <v xml:space="preserve"> </v>
      </c>
      <c r="C131" s="121" t="str">
        <f t="shared" si="19"/>
        <v xml:space="preserve">Intermediate  </v>
      </c>
      <c r="D131" s="121" t="str">
        <f>INDEX('Master Data'!$C$75:$C$299,MATCH(A131,'Master Data'!$B$75:$B$299,0))</f>
        <v>4+</v>
      </c>
      <c r="E131" s="147">
        <f>INDEX('Master Data'!$C$75:$O$299,MATCH(A131,'Master Data'!$B$75:$B$299,0),MATCH($E$1,'Master Data'!$C$74:$O$74,0))</f>
        <v>0.41</v>
      </c>
      <c r="F131" s="148">
        <f>ROUND(E131*INDEX('Master Data'!$F$4:$K$12,MATCH($E$1,'Master Data'!$E$4:$E$12,0),MATCH(C131,'Master Data'!$F$3:$K$3,0)),2)</f>
        <v>33409.629999999997</v>
      </c>
      <c r="G131" s="147">
        <f>INDEX('Master Data'!$C$75:$O$299,MATCH(A131,'Master Data'!$B$75:$B$299,0),MATCH($G$1,'Master Data'!$C$74:$O$74,0))</f>
        <v>1</v>
      </c>
      <c r="H131" s="148">
        <f>ROUND(G131*INDEX('Master Data'!$F$4:$K$12,MATCH($G$1,'Master Data'!$E$4:$E$12,0),MATCH(C131,'Master Data'!$F$3:$K$3,0)),2)</f>
        <v>56388.63</v>
      </c>
      <c r="I131" s="147">
        <f>INDEX('Master Data'!$C$75:$O$299,MATCH(A131,'Master Data'!$B$75:$B$299,0),MATCH($I$1,'Master Data'!$C$74:$O$74,0))</f>
        <v>6.6</v>
      </c>
      <c r="J131" s="148">
        <f>ROUND(I131*INDEX('Master Data'!$F$4:$K$12,MATCH($I$1,'Master Data'!$E$4:$E$12,0),MATCH(C131,'Master Data'!$F$3:$K$3,0)),2)</f>
        <v>314830.49</v>
      </c>
      <c r="K131" s="147">
        <f>INDEX('Master Data'!$C$75:$O$299,MATCH(A131,'Master Data'!$B$75:$B$299,0),MATCH($K$1,'Master Data'!$C$74:$O$74,0))</f>
        <v>1.4</v>
      </c>
      <c r="L131" s="148">
        <f>ROUND(K131*INDEX('Master Data'!$F$4:$K$12,MATCH($K$1,'Master Data'!$E$4:$E$12,0),MATCH(C131,'Master Data'!$F$3:$K$3,0)),2)</f>
        <v>65579.399999999994</v>
      </c>
      <c r="M131" s="147">
        <f>INDEX('Master Data'!$C$75:$O$299,MATCH(A131,'Master Data'!$B$75:$B$299,0),MATCH($M$1,'Master Data'!$C$74:$O$74,0))</f>
        <v>1.07</v>
      </c>
      <c r="N131" s="148">
        <f>ROUND(M131*INDEX('Master Data'!$F$4:$K$12,MATCH($M$1,'Master Data'!$E$4:$E$12,0),MATCH(C131,'Master Data'!$F$3:$K$3,0)),2)</f>
        <v>51040.7</v>
      </c>
      <c r="O131" s="147">
        <f>INDEX('Master Data'!$C$75:$O$299,MATCH(A131,'Master Data'!$B$75:$B$299,0),MATCH($O$1,'Master Data'!$C$74:$O$74,0))</f>
        <v>0.23</v>
      </c>
      <c r="P131" s="148">
        <f>ROUND(O131*INDEX('Master Data'!$F$4:$K$12,MATCH($O$1,'Master Data'!$E$4:$E$12,0),MATCH(C131,'Master Data'!$F$3:$K$3,0)),2)</f>
        <v>7176</v>
      </c>
      <c r="Q131" s="147">
        <f>INDEX('Master Data'!$C$75:$O$299,MATCH(A131,'Master Data'!$B$75:$B$299,0),MATCH($Q$1,'Master Data'!$C$74:$O$74,0))</f>
        <v>0.12</v>
      </c>
      <c r="R131" s="148">
        <f>ROUND(Q131*INDEX('Master Data'!$F$4:$K$12,MATCH($Q$1,'Master Data'!$E$4:$E$12,0),MATCH(C131,'Master Data'!$F$3:$K$3,0)),2)</f>
        <v>5621.09</v>
      </c>
      <c r="S131" s="147">
        <f>INDEX('Master Data'!$C$75:$O$299,MATCH(A131,'Master Data'!$B$75:$B$299,0),MATCH($S$1,'Master Data'!$C$74:$O$74,0))</f>
        <v>0</v>
      </c>
      <c r="T131" s="148">
        <f>ROUND(S131*INDEX('Master Data'!$F$4:$K$12,MATCH($S$1,'Master Data'!$E$4:$E$12,0),MATCH(C131,'Master Data'!$F$3:$K$3,0)),2)</f>
        <v>0</v>
      </c>
      <c r="U131" s="147">
        <f>INDEX('Master Data'!$C$75:$O$299,MATCH(A131,'Master Data'!$B$75:$B$299,0),MATCH($U$1,'Master Data'!$C$74:$O$74,0))</f>
        <v>0</v>
      </c>
      <c r="V131" s="148">
        <f>ROUND(U131*INDEX('Master Data'!$F$4:$K$12,MATCH($U$1,'Master Data'!$E$4:$E$12,0),MATCH(C131,'Master Data'!$F$3:$K$3,0)),2)</f>
        <v>0</v>
      </c>
      <c r="W131" s="149">
        <f t="shared" si="20"/>
        <v>534045.94000000006</v>
      </c>
      <c r="X131" s="148">
        <f>ROUND(W131*('Master Data'!$B$54),2)</f>
        <v>133351.26999999999</v>
      </c>
      <c r="Y131" s="149">
        <f t="shared" si="16"/>
        <v>667397.21000000008</v>
      </c>
      <c r="Z131" s="147">
        <f>52*INDEX('Master Data'!$C$75:$O$299,MATCH(A131,'Master Data'!$B$75:$B$299,0),MATCH($Z$1,'Master Data'!$C$74:$O$74,0))</f>
        <v>104</v>
      </c>
      <c r="AA131" s="148">
        <f>Z131*('Master Data'!$F$15)</f>
        <v>7841.6</v>
      </c>
      <c r="AB131" s="147">
        <f>52*INDEX('Master Data'!$C$75:$O$299,MATCH(A131,'Master Data'!$B$75:$B$299,0),MATCH($AB$1,'Master Data'!$C$74:$O$74,0))</f>
        <v>156</v>
      </c>
      <c r="AC131" s="148">
        <f>AB131*('Master Data'!$F$16)</f>
        <v>11281.919999999998</v>
      </c>
      <c r="AD131" s="149">
        <f t="shared" ref="AD131:AD194" si="21">SUM(AA131,AC131)</f>
        <v>19123.519999999997</v>
      </c>
      <c r="AE131" s="148">
        <f>INDEX('Master Data'!$D$58:$D$60,MATCH(D131,'Master Data'!$B$58:$B$60,0))</f>
        <v>24321.56</v>
      </c>
      <c r="AF131" s="148">
        <f>INDEX('Master Data'!$E$58:$E$60,MATCH(D131,'Master Data'!$B$58:$B$60,0))</f>
        <v>2233.8000000000002</v>
      </c>
      <c r="AG131" s="148">
        <f>INDEX('Master Data'!$F$58:$F$60,MATCH(D131,'Master Data'!$B$58:$B$60,0))</f>
        <v>6471.45</v>
      </c>
      <c r="AH131" s="149">
        <f t="shared" si="13"/>
        <v>719547.54000000015</v>
      </c>
      <c r="AI131" s="148">
        <f>ROUND(AH131*('Master Data'!$C$54),2)</f>
        <v>86345.7</v>
      </c>
      <c r="AJ131" s="148">
        <f>ROUND(SUM(AH131:AI131,AK131)*('Master Data'!$E$54),2)</f>
        <v>24143.79</v>
      </c>
      <c r="AK131" s="148">
        <f>ROUND(W131*('Master Data'!$F$54),2)</f>
        <v>0</v>
      </c>
      <c r="AL131" s="149">
        <f t="shared" si="14"/>
        <v>830037.03000000014</v>
      </c>
      <c r="AM131" s="140">
        <f t="shared" si="15"/>
        <v>2392.04</v>
      </c>
      <c r="AN131" s="121"/>
      <c r="AO131" s="121"/>
      <c r="AP131" s="121"/>
      <c r="AQ131" s="121"/>
      <c r="AR131" s="121"/>
      <c r="AS131" s="121"/>
    </row>
    <row r="132" spans="1:45">
      <c r="A132" s="121" t="s">
        <v>265</v>
      </c>
      <c r="B132" s="121" t="str">
        <f t="shared" si="8"/>
        <v xml:space="preserve"> </v>
      </c>
      <c r="C132" s="121" t="str">
        <f t="shared" si="19"/>
        <v xml:space="preserve">Intermediate  </v>
      </c>
      <c r="D132" s="121" t="str">
        <f>INDEX('Master Data'!$C$75:$C$299,MATCH(A132,'Master Data'!$B$75:$B$299,0))</f>
        <v>4+</v>
      </c>
      <c r="E132" s="147">
        <f>INDEX('Master Data'!$C$75:$O$299,MATCH(A132,'Master Data'!$B$75:$B$299,0),MATCH($E$1,'Master Data'!$C$74:$O$74,0))</f>
        <v>0.41</v>
      </c>
      <c r="F132" s="148">
        <f>ROUND(E132*INDEX('Master Data'!$F$4:$K$12,MATCH($E$1,'Master Data'!$E$4:$E$12,0),MATCH(C132,'Master Data'!$F$3:$K$3,0)),2)</f>
        <v>33409.629999999997</v>
      </c>
      <c r="G132" s="147">
        <f>INDEX('Master Data'!$C$75:$O$299,MATCH(A132,'Master Data'!$B$75:$B$299,0),MATCH($G$1,'Master Data'!$C$74:$O$74,0))</f>
        <v>1</v>
      </c>
      <c r="H132" s="148">
        <f>ROUND(G132*INDEX('Master Data'!$F$4:$K$12,MATCH($G$1,'Master Data'!$E$4:$E$12,0),MATCH(C132,'Master Data'!$F$3:$K$3,0)),2)</f>
        <v>56388.63</v>
      </c>
      <c r="I132" s="147">
        <f>INDEX('Master Data'!$C$75:$O$299,MATCH(A132,'Master Data'!$B$75:$B$299,0),MATCH($I$1,'Master Data'!$C$74:$O$74,0))</f>
        <v>7.1</v>
      </c>
      <c r="J132" s="148">
        <f>ROUND(I132*INDEX('Master Data'!$F$4:$K$12,MATCH($I$1,'Master Data'!$E$4:$E$12,0),MATCH(C132,'Master Data'!$F$3:$K$3,0)),2)</f>
        <v>338681.29</v>
      </c>
      <c r="K132" s="147">
        <f>INDEX('Master Data'!$C$75:$O$299,MATCH(A132,'Master Data'!$B$75:$B$299,0),MATCH($K$1,'Master Data'!$C$74:$O$74,0))</f>
        <v>1.4</v>
      </c>
      <c r="L132" s="148">
        <f>ROUND(K132*INDEX('Master Data'!$F$4:$K$12,MATCH($K$1,'Master Data'!$E$4:$E$12,0),MATCH(C132,'Master Data'!$F$3:$K$3,0)),2)</f>
        <v>65579.399999999994</v>
      </c>
      <c r="M132" s="147">
        <f>INDEX('Master Data'!$C$75:$O$299,MATCH(A132,'Master Data'!$B$75:$B$299,0),MATCH($M$1,'Master Data'!$C$74:$O$74,0))</f>
        <v>1.1499999999999999</v>
      </c>
      <c r="N132" s="148">
        <f>ROUND(M132*INDEX('Master Data'!$F$4:$K$12,MATCH($M$1,'Master Data'!$E$4:$E$12,0),MATCH(C132,'Master Data'!$F$3:$K$3,0)),2)</f>
        <v>54856.83</v>
      </c>
      <c r="O132" s="147">
        <f>INDEX('Master Data'!$C$75:$O$299,MATCH(A132,'Master Data'!$B$75:$B$299,0),MATCH($O$1,'Master Data'!$C$74:$O$74,0))</f>
        <v>0.23</v>
      </c>
      <c r="P132" s="148">
        <f>ROUND(O132*INDEX('Master Data'!$F$4:$K$12,MATCH($O$1,'Master Data'!$E$4:$E$12,0),MATCH(C132,'Master Data'!$F$3:$K$3,0)),2)</f>
        <v>7176</v>
      </c>
      <c r="Q132" s="147">
        <f>INDEX('Master Data'!$C$75:$O$299,MATCH(A132,'Master Data'!$B$75:$B$299,0),MATCH($Q$1,'Master Data'!$C$74:$O$74,0))</f>
        <v>0.12</v>
      </c>
      <c r="R132" s="148">
        <f>ROUND(Q132*INDEX('Master Data'!$F$4:$K$12,MATCH($Q$1,'Master Data'!$E$4:$E$12,0),MATCH(C132,'Master Data'!$F$3:$K$3,0)),2)</f>
        <v>5621.09</v>
      </c>
      <c r="S132" s="147">
        <f>INDEX('Master Data'!$C$75:$O$299,MATCH(A132,'Master Data'!$B$75:$B$299,0),MATCH($S$1,'Master Data'!$C$74:$O$74,0))</f>
        <v>0</v>
      </c>
      <c r="T132" s="148">
        <f>ROUND(S132*INDEX('Master Data'!$F$4:$K$12,MATCH($S$1,'Master Data'!$E$4:$E$12,0),MATCH(C132,'Master Data'!$F$3:$K$3,0)),2)</f>
        <v>0</v>
      </c>
      <c r="U132" s="147">
        <f>INDEX('Master Data'!$C$75:$O$299,MATCH(A132,'Master Data'!$B$75:$B$299,0),MATCH($U$1,'Master Data'!$C$74:$O$74,0))</f>
        <v>0</v>
      </c>
      <c r="V132" s="148">
        <f>ROUND(U132*INDEX('Master Data'!$F$4:$K$12,MATCH($U$1,'Master Data'!$E$4:$E$12,0),MATCH(C132,'Master Data'!$F$3:$K$3,0)),2)</f>
        <v>0</v>
      </c>
      <c r="W132" s="149">
        <f t="shared" si="20"/>
        <v>561712.86999999988</v>
      </c>
      <c r="X132" s="148">
        <f>ROUND(W132*('Master Data'!$B$54),2)</f>
        <v>140259.70000000001</v>
      </c>
      <c r="Y132" s="149">
        <f t="shared" si="16"/>
        <v>701972.56999999983</v>
      </c>
      <c r="Z132" s="147">
        <f>52*INDEX('Master Data'!$C$75:$O$299,MATCH(A132,'Master Data'!$B$75:$B$299,0),MATCH($Z$1,'Master Data'!$C$74:$O$74,0))</f>
        <v>104</v>
      </c>
      <c r="AA132" s="148">
        <f>Z132*('Master Data'!$F$15)</f>
        <v>7841.6</v>
      </c>
      <c r="AB132" s="147">
        <f>52*INDEX('Master Data'!$C$75:$O$299,MATCH(A132,'Master Data'!$B$75:$B$299,0),MATCH($AB$1,'Master Data'!$C$74:$O$74,0))</f>
        <v>156</v>
      </c>
      <c r="AC132" s="148">
        <f>AB132*('Master Data'!$F$16)</f>
        <v>11281.919999999998</v>
      </c>
      <c r="AD132" s="149">
        <f t="shared" si="21"/>
        <v>19123.519999999997</v>
      </c>
      <c r="AE132" s="148">
        <f>INDEX('Master Data'!$D$58:$D$60,MATCH(D132,'Master Data'!$B$58:$B$60,0))</f>
        <v>24321.56</v>
      </c>
      <c r="AF132" s="148">
        <f>INDEX('Master Data'!$E$58:$E$60,MATCH(D132,'Master Data'!$B$58:$B$60,0))</f>
        <v>2233.8000000000002</v>
      </c>
      <c r="AG132" s="148">
        <f>INDEX('Master Data'!$F$58:$F$60,MATCH(D132,'Master Data'!$B$58:$B$60,0))</f>
        <v>6471.45</v>
      </c>
      <c r="AH132" s="149">
        <f t="shared" si="13"/>
        <v>754122.89999999991</v>
      </c>
      <c r="AI132" s="148">
        <f>ROUND(AH132*('Master Data'!$C$54),2)</f>
        <v>90494.75</v>
      </c>
      <c r="AJ132" s="148">
        <f>ROUND(SUM(AH132:AI132,AK132)*('Master Data'!$E$54),2)</f>
        <v>25303.94</v>
      </c>
      <c r="AK132" s="148">
        <f>ROUND(W132*('Master Data'!$F$54),2)</f>
        <v>0</v>
      </c>
      <c r="AL132" s="149">
        <f t="shared" si="14"/>
        <v>869921.58999999985</v>
      </c>
      <c r="AM132" s="140">
        <f t="shared" si="15"/>
        <v>2506.98</v>
      </c>
      <c r="AN132" s="121"/>
      <c r="AO132" s="121"/>
      <c r="AP132" s="121"/>
      <c r="AQ132" s="121"/>
      <c r="AR132" s="121"/>
      <c r="AS132" s="121"/>
    </row>
    <row r="133" spans="1:45">
      <c r="A133" s="121" t="s">
        <v>266</v>
      </c>
      <c r="B133" s="121" t="str">
        <f t="shared" si="8"/>
        <v xml:space="preserve"> </v>
      </c>
      <c r="C133" s="121" t="str">
        <f t="shared" si="19"/>
        <v xml:space="preserve">Intermediate  </v>
      </c>
      <c r="D133" s="121" t="str">
        <f>INDEX('Master Data'!$C$75:$C$299,MATCH(A133,'Master Data'!$B$75:$B$299,0))</f>
        <v>4+</v>
      </c>
      <c r="E133" s="147">
        <f>INDEX('Master Data'!$C$75:$O$299,MATCH(A133,'Master Data'!$B$75:$B$299,0),MATCH($E$1,'Master Data'!$C$74:$O$74,0))</f>
        <v>0.41</v>
      </c>
      <c r="F133" s="148">
        <f>ROUND(E133*INDEX('Master Data'!$F$4:$K$12,MATCH($E$1,'Master Data'!$E$4:$E$12,0),MATCH(C133,'Master Data'!$F$3:$K$3,0)),2)</f>
        <v>33409.629999999997</v>
      </c>
      <c r="G133" s="147">
        <f>INDEX('Master Data'!$C$75:$O$299,MATCH(A133,'Master Data'!$B$75:$B$299,0),MATCH($G$1,'Master Data'!$C$74:$O$74,0))</f>
        <v>1</v>
      </c>
      <c r="H133" s="148">
        <f>ROUND(G133*INDEX('Master Data'!$F$4:$K$12,MATCH($G$1,'Master Data'!$E$4:$E$12,0),MATCH(C133,'Master Data'!$F$3:$K$3,0)),2)</f>
        <v>56388.63</v>
      </c>
      <c r="I133" s="147">
        <f>INDEX('Master Data'!$C$75:$O$299,MATCH(A133,'Master Data'!$B$75:$B$299,0),MATCH($I$1,'Master Data'!$C$74:$O$74,0))</f>
        <v>7.6</v>
      </c>
      <c r="J133" s="148">
        <f>ROUND(I133*INDEX('Master Data'!$F$4:$K$12,MATCH($I$1,'Master Data'!$E$4:$E$12,0),MATCH(C133,'Master Data'!$F$3:$K$3,0)),2)</f>
        <v>362532.08</v>
      </c>
      <c r="K133" s="147">
        <f>INDEX('Master Data'!$C$75:$O$299,MATCH(A133,'Master Data'!$B$75:$B$299,0),MATCH($K$1,'Master Data'!$C$74:$O$74,0))</f>
        <v>1.4</v>
      </c>
      <c r="L133" s="148">
        <f>ROUND(K133*INDEX('Master Data'!$F$4:$K$12,MATCH($K$1,'Master Data'!$E$4:$E$12,0),MATCH(C133,'Master Data'!$F$3:$K$3,0)),2)</f>
        <v>65579.399999999994</v>
      </c>
      <c r="M133" s="147">
        <f>INDEX('Master Data'!$C$75:$O$299,MATCH(A133,'Master Data'!$B$75:$B$299,0),MATCH($M$1,'Master Data'!$C$74:$O$74,0))</f>
        <v>1.23</v>
      </c>
      <c r="N133" s="148">
        <f>ROUND(M133*INDEX('Master Data'!$F$4:$K$12,MATCH($M$1,'Master Data'!$E$4:$E$12,0),MATCH(C133,'Master Data'!$F$3:$K$3,0)),2)</f>
        <v>58672.959999999999</v>
      </c>
      <c r="O133" s="147">
        <f>INDEX('Master Data'!$C$75:$O$299,MATCH(A133,'Master Data'!$B$75:$B$299,0),MATCH($O$1,'Master Data'!$C$74:$O$74,0))</f>
        <v>0.23</v>
      </c>
      <c r="P133" s="148">
        <f>ROUND(O133*INDEX('Master Data'!$F$4:$K$12,MATCH($O$1,'Master Data'!$E$4:$E$12,0),MATCH(C133,'Master Data'!$F$3:$K$3,0)),2)</f>
        <v>7176</v>
      </c>
      <c r="Q133" s="147">
        <f>INDEX('Master Data'!$C$75:$O$299,MATCH(A133,'Master Data'!$B$75:$B$299,0),MATCH($Q$1,'Master Data'!$C$74:$O$74,0))</f>
        <v>0.12</v>
      </c>
      <c r="R133" s="148">
        <f>ROUND(Q133*INDEX('Master Data'!$F$4:$K$12,MATCH($Q$1,'Master Data'!$E$4:$E$12,0),MATCH(C133,'Master Data'!$F$3:$K$3,0)),2)</f>
        <v>5621.09</v>
      </c>
      <c r="S133" s="147">
        <f>INDEX('Master Data'!$C$75:$O$299,MATCH(A133,'Master Data'!$B$75:$B$299,0),MATCH($S$1,'Master Data'!$C$74:$O$74,0))</f>
        <v>0</v>
      </c>
      <c r="T133" s="148">
        <f>ROUND(S133*INDEX('Master Data'!$F$4:$K$12,MATCH($S$1,'Master Data'!$E$4:$E$12,0),MATCH(C133,'Master Data'!$F$3:$K$3,0)),2)</f>
        <v>0</v>
      </c>
      <c r="U133" s="147">
        <f>INDEX('Master Data'!$C$75:$O$299,MATCH(A133,'Master Data'!$B$75:$B$299,0),MATCH($U$1,'Master Data'!$C$74:$O$74,0))</f>
        <v>0</v>
      </c>
      <c r="V133" s="148">
        <f>ROUND(U133*INDEX('Master Data'!$F$4:$K$12,MATCH($U$1,'Master Data'!$E$4:$E$12,0),MATCH(C133,'Master Data'!$F$3:$K$3,0)),2)</f>
        <v>0</v>
      </c>
      <c r="W133" s="149">
        <f t="shared" si="20"/>
        <v>589379.78999999992</v>
      </c>
      <c r="X133" s="148">
        <f>ROUND(W133*('Master Data'!$B$54),2)</f>
        <v>147168.13</v>
      </c>
      <c r="Y133" s="149">
        <f t="shared" si="16"/>
        <v>736547.91999999993</v>
      </c>
      <c r="Z133" s="147">
        <f>52*INDEX('Master Data'!$C$75:$O$299,MATCH(A133,'Master Data'!$B$75:$B$299,0),MATCH($Z$1,'Master Data'!$C$74:$O$74,0))</f>
        <v>104</v>
      </c>
      <c r="AA133" s="148">
        <f>Z133*('Master Data'!$F$15)</f>
        <v>7841.6</v>
      </c>
      <c r="AB133" s="147">
        <f>52*INDEX('Master Data'!$C$75:$O$299,MATCH(A133,'Master Data'!$B$75:$B$299,0),MATCH($AB$1,'Master Data'!$C$74:$O$74,0))</f>
        <v>156</v>
      </c>
      <c r="AC133" s="148">
        <f>AB133*('Master Data'!$F$16)</f>
        <v>11281.919999999998</v>
      </c>
      <c r="AD133" s="149">
        <f t="shared" si="21"/>
        <v>19123.519999999997</v>
      </c>
      <c r="AE133" s="148">
        <f>INDEX('Master Data'!$D$58:$D$60,MATCH(D133,'Master Data'!$B$58:$B$60,0))</f>
        <v>24321.56</v>
      </c>
      <c r="AF133" s="148">
        <f>INDEX('Master Data'!$E$58:$E$60,MATCH(D133,'Master Data'!$B$58:$B$60,0))</f>
        <v>2233.8000000000002</v>
      </c>
      <c r="AG133" s="148">
        <f>INDEX('Master Data'!$F$58:$F$60,MATCH(D133,'Master Data'!$B$58:$B$60,0))</f>
        <v>6471.45</v>
      </c>
      <c r="AH133" s="149">
        <f t="shared" si="13"/>
        <v>788698.25</v>
      </c>
      <c r="AI133" s="148">
        <f>ROUND(AH133*('Master Data'!$C$54),2)</f>
        <v>94643.79</v>
      </c>
      <c r="AJ133" s="148">
        <f>ROUND(SUM(AH133:AI133,AK133)*('Master Data'!$E$54),2)</f>
        <v>26464.080000000002</v>
      </c>
      <c r="AK133" s="148">
        <f>ROUND(W133*('Master Data'!$F$54),2)</f>
        <v>0</v>
      </c>
      <c r="AL133" s="149">
        <f t="shared" si="14"/>
        <v>909806.12</v>
      </c>
      <c r="AM133" s="140">
        <f t="shared" si="15"/>
        <v>2621.92</v>
      </c>
      <c r="AN133" s="121"/>
      <c r="AO133" s="121"/>
      <c r="AP133" s="121"/>
      <c r="AQ133" s="121"/>
      <c r="AR133" s="121"/>
      <c r="AS133" s="121"/>
    </row>
    <row r="134" spans="1:45">
      <c r="A134" s="121" t="s">
        <v>267</v>
      </c>
      <c r="B134" s="121" t="str">
        <f t="shared" si="8"/>
        <v xml:space="preserve"> </v>
      </c>
      <c r="C134" s="121" t="str">
        <f t="shared" si="19"/>
        <v xml:space="preserve">Intermediate  </v>
      </c>
      <c r="D134" s="121" t="str">
        <f>INDEX('Master Data'!$C$75:$C$299,MATCH(A134,'Master Data'!$B$75:$B$299,0))</f>
        <v>4+</v>
      </c>
      <c r="E134" s="147">
        <f>INDEX('Master Data'!$C$75:$O$299,MATCH(A134,'Master Data'!$B$75:$B$299,0),MATCH($E$1,'Master Data'!$C$74:$O$74,0))</f>
        <v>0.41</v>
      </c>
      <c r="F134" s="148">
        <f>ROUND(E134*INDEX('Master Data'!$F$4:$K$12,MATCH($E$1,'Master Data'!$E$4:$E$12,0),MATCH(C134,'Master Data'!$F$3:$K$3,0)),2)</f>
        <v>33409.629999999997</v>
      </c>
      <c r="G134" s="147">
        <f>INDEX('Master Data'!$C$75:$O$299,MATCH(A134,'Master Data'!$B$75:$B$299,0),MATCH($G$1,'Master Data'!$C$74:$O$74,0))</f>
        <v>1</v>
      </c>
      <c r="H134" s="148">
        <f>ROUND(G134*INDEX('Master Data'!$F$4:$K$12,MATCH($G$1,'Master Data'!$E$4:$E$12,0),MATCH(C134,'Master Data'!$F$3:$K$3,0)),2)</f>
        <v>56388.63</v>
      </c>
      <c r="I134" s="147">
        <f>INDEX('Master Data'!$C$75:$O$299,MATCH(A134,'Master Data'!$B$75:$B$299,0),MATCH($I$1,'Master Data'!$C$74:$O$74,0))</f>
        <v>8.1</v>
      </c>
      <c r="J134" s="148">
        <f>ROUND(I134*INDEX('Master Data'!$F$4:$K$12,MATCH($I$1,'Master Data'!$E$4:$E$12,0),MATCH(C134,'Master Data'!$F$3:$K$3,0)),2)</f>
        <v>386382.88</v>
      </c>
      <c r="K134" s="147">
        <f>INDEX('Master Data'!$C$75:$O$299,MATCH(A134,'Master Data'!$B$75:$B$299,0),MATCH($K$1,'Master Data'!$C$74:$O$74,0))</f>
        <v>1.4</v>
      </c>
      <c r="L134" s="148">
        <f>ROUND(K134*INDEX('Master Data'!$F$4:$K$12,MATCH($K$1,'Master Data'!$E$4:$E$12,0),MATCH(C134,'Master Data'!$F$3:$K$3,0)),2)</f>
        <v>65579.399999999994</v>
      </c>
      <c r="M134" s="147">
        <f>INDEX('Master Data'!$C$75:$O$299,MATCH(A134,'Master Data'!$B$75:$B$299,0),MATCH($M$1,'Master Data'!$C$74:$O$74,0))</f>
        <v>1.31</v>
      </c>
      <c r="N134" s="148">
        <f>ROUND(M134*INDEX('Master Data'!$F$4:$K$12,MATCH($M$1,'Master Data'!$E$4:$E$12,0),MATCH(C134,'Master Data'!$F$3:$K$3,0)),2)</f>
        <v>62489.08</v>
      </c>
      <c r="O134" s="147">
        <f>INDEX('Master Data'!$C$75:$O$299,MATCH(A134,'Master Data'!$B$75:$B$299,0),MATCH($O$1,'Master Data'!$C$74:$O$74,0))</f>
        <v>0.23</v>
      </c>
      <c r="P134" s="148">
        <f>ROUND(O134*INDEX('Master Data'!$F$4:$K$12,MATCH($O$1,'Master Data'!$E$4:$E$12,0),MATCH(C134,'Master Data'!$F$3:$K$3,0)),2)</f>
        <v>7176</v>
      </c>
      <c r="Q134" s="147">
        <f>INDEX('Master Data'!$C$75:$O$299,MATCH(A134,'Master Data'!$B$75:$B$299,0),MATCH($Q$1,'Master Data'!$C$74:$O$74,0))</f>
        <v>0.12</v>
      </c>
      <c r="R134" s="148">
        <f>ROUND(Q134*INDEX('Master Data'!$F$4:$K$12,MATCH($Q$1,'Master Data'!$E$4:$E$12,0),MATCH(C134,'Master Data'!$F$3:$K$3,0)),2)</f>
        <v>5621.09</v>
      </c>
      <c r="S134" s="147">
        <f>INDEX('Master Data'!$C$75:$O$299,MATCH(A134,'Master Data'!$B$75:$B$299,0),MATCH($S$1,'Master Data'!$C$74:$O$74,0))</f>
        <v>0</v>
      </c>
      <c r="T134" s="148">
        <f>ROUND(S134*INDEX('Master Data'!$F$4:$K$12,MATCH($S$1,'Master Data'!$E$4:$E$12,0),MATCH(C134,'Master Data'!$F$3:$K$3,0)),2)</f>
        <v>0</v>
      </c>
      <c r="U134" s="147">
        <f>INDEX('Master Data'!$C$75:$O$299,MATCH(A134,'Master Data'!$B$75:$B$299,0),MATCH($U$1,'Master Data'!$C$74:$O$74,0))</f>
        <v>0</v>
      </c>
      <c r="V134" s="148">
        <f>ROUND(U134*INDEX('Master Data'!$F$4:$K$12,MATCH($U$1,'Master Data'!$E$4:$E$12,0),MATCH(C134,'Master Data'!$F$3:$K$3,0)),2)</f>
        <v>0</v>
      </c>
      <c r="W134" s="149">
        <f t="shared" si="20"/>
        <v>617046.71</v>
      </c>
      <c r="X134" s="148">
        <f>ROUND(W134*('Master Data'!$B$54),2)</f>
        <v>154076.56</v>
      </c>
      <c r="Y134" s="149">
        <f t="shared" si="16"/>
        <v>771123.27</v>
      </c>
      <c r="Z134" s="147">
        <f>52*INDEX('Master Data'!$C$75:$O$299,MATCH(A134,'Master Data'!$B$75:$B$299,0),MATCH($Z$1,'Master Data'!$C$74:$O$74,0))</f>
        <v>104</v>
      </c>
      <c r="AA134" s="148">
        <f>Z134*('Master Data'!$F$15)</f>
        <v>7841.6</v>
      </c>
      <c r="AB134" s="147">
        <f>52*INDEX('Master Data'!$C$75:$O$299,MATCH(A134,'Master Data'!$B$75:$B$299,0),MATCH($AB$1,'Master Data'!$C$74:$O$74,0))</f>
        <v>156</v>
      </c>
      <c r="AC134" s="148">
        <f>AB134*('Master Data'!$F$16)</f>
        <v>11281.919999999998</v>
      </c>
      <c r="AD134" s="149">
        <f t="shared" si="21"/>
        <v>19123.519999999997</v>
      </c>
      <c r="AE134" s="148">
        <f>INDEX('Master Data'!$D$58:$D$60,MATCH(D134,'Master Data'!$B$58:$B$60,0))</f>
        <v>24321.56</v>
      </c>
      <c r="AF134" s="148">
        <f>INDEX('Master Data'!$E$58:$E$60,MATCH(D134,'Master Data'!$B$58:$B$60,0))</f>
        <v>2233.8000000000002</v>
      </c>
      <c r="AG134" s="148">
        <f>INDEX('Master Data'!$F$58:$F$60,MATCH(D134,'Master Data'!$B$58:$B$60,0))</f>
        <v>6471.45</v>
      </c>
      <c r="AH134" s="149">
        <f t="shared" si="13"/>
        <v>823273.60000000009</v>
      </c>
      <c r="AI134" s="148">
        <f>ROUND(AH134*('Master Data'!$C$54),2)</f>
        <v>98792.83</v>
      </c>
      <c r="AJ134" s="148">
        <f>ROUND(SUM(AH134:AI134,AK134)*('Master Data'!$E$54),2)</f>
        <v>27624.23</v>
      </c>
      <c r="AK134" s="148">
        <f>ROUND(W134*('Master Data'!$F$54),2)</f>
        <v>0</v>
      </c>
      <c r="AL134" s="149">
        <f t="shared" si="14"/>
        <v>949690.66</v>
      </c>
      <c r="AM134" s="140">
        <f t="shared" si="15"/>
        <v>2736.86</v>
      </c>
      <c r="AN134" s="121"/>
      <c r="AO134" s="121"/>
      <c r="AP134" s="121"/>
      <c r="AQ134" s="121"/>
      <c r="AR134" s="121"/>
      <c r="AS134" s="121"/>
    </row>
    <row r="135" spans="1:45">
      <c r="A135" s="121" t="s">
        <v>268</v>
      </c>
      <c r="B135" s="121" t="str">
        <f t="shared" si="8"/>
        <v xml:space="preserve"> </v>
      </c>
      <c r="C135" s="121" t="str">
        <f t="shared" si="19"/>
        <v xml:space="preserve">Intermediate  </v>
      </c>
      <c r="D135" s="121" t="str">
        <f>INDEX('Master Data'!$C$75:$C$299,MATCH(A135,'Master Data'!$B$75:$B$299,0))</f>
        <v>4+</v>
      </c>
      <c r="E135" s="147">
        <f>INDEX('Master Data'!$C$75:$O$299,MATCH(A135,'Master Data'!$B$75:$B$299,0),MATCH($E$1,'Master Data'!$C$74:$O$74,0))</f>
        <v>0.41</v>
      </c>
      <c r="F135" s="148">
        <f>ROUND(E135*INDEX('Master Data'!$F$4:$K$12,MATCH($E$1,'Master Data'!$E$4:$E$12,0),MATCH(C135,'Master Data'!$F$3:$K$3,0)),2)</f>
        <v>33409.629999999997</v>
      </c>
      <c r="G135" s="147">
        <f>INDEX('Master Data'!$C$75:$O$299,MATCH(A135,'Master Data'!$B$75:$B$299,0),MATCH($G$1,'Master Data'!$C$74:$O$74,0))</f>
        <v>1</v>
      </c>
      <c r="H135" s="148">
        <f>ROUND(G135*INDEX('Master Data'!$F$4:$K$12,MATCH($G$1,'Master Data'!$E$4:$E$12,0),MATCH(C135,'Master Data'!$F$3:$K$3,0)),2)</f>
        <v>56388.63</v>
      </c>
      <c r="I135" s="147">
        <f>INDEX('Master Data'!$C$75:$O$299,MATCH(A135,'Master Data'!$B$75:$B$299,0),MATCH($I$1,'Master Data'!$C$74:$O$74,0))</f>
        <v>8.6</v>
      </c>
      <c r="J135" s="148">
        <f>ROUND(I135*INDEX('Master Data'!$F$4:$K$12,MATCH($I$1,'Master Data'!$E$4:$E$12,0),MATCH(C135,'Master Data'!$F$3:$K$3,0)),2)</f>
        <v>410233.67</v>
      </c>
      <c r="K135" s="147">
        <f>INDEX('Master Data'!$C$75:$O$299,MATCH(A135,'Master Data'!$B$75:$B$299,0),MATCH($K$1,'Master Data'!$C$74:$O$74,0))</f>
        <v>1.4</v>
      </c>
      <c r="L135" s="148">
        <f>ROUND(K135*INDEX('Master Data'!$F$4:$K$12,MATCH($K$1,'Master Data'!$E$4:$E$12,0),MATCH(C135,'Master Data'!$F$3:$K$3,0)),2)</f>
        <v>65579.399999999994</v>
      </c>
      <c r="M135" s="147">
        <f>INDEX('Master Data'!$C$75:$O$299,MATCH(A135,'Master Data'!$B$75:$B$299,0),MATCH($M$1,'Master Data'!$C$74:$O$74,0))</f>
        <v>1.39</v>
      </c>
      <c r="N135" s="148">
        <f>ROUND(M135*INDEX('Master Data'!$F$4:$K$12,MATCH($M$1,'Master Data'!$E$4:$E$12,0),MATCH(C135,'Master Data'!$F$3:$K$3,0)),2)</f>
        <v>66305.210000000006</v>
      </c>
      <c r="O135" s="147">
        <f>INDEX('Master Data'!$C$75:$O$299,MATCH(A135,'Master Data'!$B$75:$B$299,0),MATCH($O$1,'Master Data'!$C$74:$O$74,0))</f>
        <v>0.23</v>
      </c>
      <c r="P135" s="148">
        <f>ROUND(O135*INDEX('Master Data'!$F$4:$K$12,MATCH($O$1,'Master Data'!$E$4:$E$12,0),MATCH(C135,'Master Data'!$F$3:$K$3,0)),2)</f>
        <v>7176</v>
      </c>
      <c r="Q135" s="147">
        <f>INDEX('Master Data'!$C$75:$O$299,MATCH(A135,'Master Data'!$B$75:$B$299,0),MATCH($Q$1,'Master Data'!$C$74:$O$74,0))</f>
        <v>0.12</v>
      </c>
      <c r="R135" s="148">
        <f>ROUND(Q135*INDEX('Master Data'!$F$4:$K$12,MATCH($Q$1,'Master Data'!$E$4:$E$12,0),MATCH(C135,'Master Data'!$F$3:$K$3,0)),2)</f>
        <v>5621.09</v>
      </c>
      <c r="S135" s="147">
        <f>INDEX('Master Data'!$C$75:$O$299,MATCH(A135,'Master Data'!$B$75:$B$299,0),MATCH($S$1,'Master Data'!$C$74:$O$74,0))</f>
        <v>0</v>
      </c>
      <c r="T135" s="148">
        <f>ROUND(S135*INDEX('Master Data'!$F$4:$K$12,MATCH($S$1,'Master Data'!$E$4:$E$12,0),MATCH(C135,'Master Data'!$F$3:$K$3,0)),2)</f>
        <v>0</v>
      </c>
      <c r="U135" s="147">
        <f>INDEX('Master Data'!$C$75:$O$299,MATCH(A135,'Master Data'!$B$75:$B$299,0),MATCH($U$1,'Master Data'!$C$74:$O$74,0))</f>
        <v>0</v>
      </c>
      <c r="V135" s="148">
        <f>ROUND(U135*INDEX('Master Data'!$F$4:$K$12,MATCH($U$1,'Master Data'!$E$4:$E$12,0),MATCH(C135,'Master Data'!$F$3:$K$3,0)),2)</f>
        <v>0</v>
      </c>
      <c r="W135" s="149">
        <f t="shared" si="20"/>
        <v>644713.62999999989</v>
      </c>
      <c r="X135" s="148">
        <f>ROUND(W135*('Master Data'!$B$54),2)</f>
        <v>160984.99</v>
      </c>
      <c r="Y135" s="149">
        <f t="shared" si="16"/>
        <v>805698.61999999988</v>
      </c>
      <c r="Z135" s="147">
        <f>52*INDEX('Master Data'!$C$75:$O$299,MATCH(A135,'Master Data'!$B$75:$B$299,0),MATCH($Z$1,'Master Data'!$C$74:$O$74,0))</f>
        <v>104</v>
      </c>
      <c r="AA135" s="148">
        <f>Z135*('Master Data'!$F$15)</f>
        <v>7841.6</v>
      </c>
      <c r="AB135" s="147">
        <f>52*INDEX('Master Data'!$C$75:$O$299,MATCH(A135,'Master Data'!$B$75:$B$299,0),MATCH($AB$1,'Master Data'!$C$74:$O$74,0))</f>
        <v>156</v>
      </c>
      <c r="AC135" s="148">
        <f>AB135*('Master Data'!$F$16)</f>
        <v>11281.919999999998</v>
      </c>
      <c r="AD135" s="149">
        <f t="shared" si="21"/>
        <v>19123.519999999997</v>
      </c>
      <c r="AE135" s="148">
        <f>INDEX('Master Data'!$D$58:$D$60,MATCH(D135,'Master Data'!$B$58:$B$60,0))</f>
        <v>24321.56</v>
      </c>
      <c r="AF135" s="148">
        <f>INDEX('Master Data'!$E$58:$E$60,MATCH(D135,'Master Data'!$B$58:$B$60,0))</f>
        <v>2233.8000000000002</v>
      </c>
      <c r="AG135" s="148">
        <f>INDEX('Master Data'!$F$58:$F$60,MATCH(D135,'Master Data'!$B$58:$B$60,0))</f>
        <v>6471.45</v>
      </c>
      <c r="AH135" s="149">
        <f t="shared" si="13"/>
        <v>857848.95</v>
      </c>
      <c r="AI135" s="148">
        <f>ROUND(AH135*('Master Data'!$C$54),2)</f>
        <v>102941.87</v>
      </c>
      <c r="AJ135" s="148">
        <f>ROUND(SUM(AH135:AI135,AK135)*('Master Data'!$E$54),2)</f>
        <v>28784.37</v>
      </c>
      <c r="AK135" s="148">
        <f>ROUND(W135*('Master Data'!$F$54),2)</f>
        <v>0</v>
      </c>
      <c r="AL135" s="149">
        <f t="shared" si="14"/>
        <v>989575.19</v>
      </c>
      <c r="AM135" s="140">
        <f t="shared" si="15"/>
        <v>2851.8</v>
      </c>
      <c r="AN135" s="121"/>
      <c r="AO135" s="121"/>
      <c r="AP135" s="121"/>
      <c r="AQ135" s="121"/>
      <c r="AR135" s="121"/>
      <c r="AS135" s="121"/>
    </row>
    <row r="136" spans="1:45">
      <c r="A136" s="121" t="s">
        <v>269</v>
      </c>
      <c r="B136" s="121" t="str">
        <f t="shared" si="8"/>
        <v xml:space="preserve"> </v>
      </c>
      <c r="C136" s="121" t="str">
        <f t="shared" si="19"/>
        <v xml:space="preserve">Intermediate  </v>
      </c>
      <c r="D136" s="121" t="str">
        <f>INDEX('Master Data'!$C$75:$C$299,MATCH(A136,'Master Data'!$B$75:$B$299,0))</f>
        <v>4+</v>
      </c>
      <c r="E136" s="147">
        <f>INDEX('Master Data'!$C$75:$O$299,MATCH(A136,'Master Data'!$B$75:$B$299,0),MATCH($E$1,'Master Data'!$C$74:$O$74,0))</f>
        <v>0.41</v>
      </c>
      <c r="F136" s="148">
        <f>ROUND(E136*INDEX('Master Data'!$F$4:$K$12,MATCH($E$1,'Master Data'!$E$4:$E$12,0),MATCH(C136,'Master Data'!$F$3:$K$3,0)),2)</f>
        <v>33409.629999999997</v>
      </c>
      <c r="G136" s="147">
        <f>INDEX('Master Data'!$C$75:$O$299,MATCH(A136,'Master Data'!$B$75:$B$299,0),MATCH($G$1,'Master Data'!$C$74:$O$74,0))</f>
        <v>1</v>
      </c>
      <c r="H136" s="148">
        <f>ROUND(G136*INDEX('Master Data'!$F$4:$K$12,MATCH($G$1,'Master Data'!$E$4:$E$12,0),MATCH(C136,'Master Data'!$F$3:$K$3,0)),2)</f>
        <v>56388.63</v>
      </c>
      <c r="I136" s="147">
        <f>INDEX('Master Data'!$C$75:$O$299,MATCH(A136,'Master Data'!$B$75:$B$299,0),MATCH($I$1,'Master Data'!$C$74:$O$74,0))</f>
        <v>9.1</v>
      </c>
      <c r="J136" s="148">
        <f>ROUND(I136*INDEX('Master Data'!$F$4:$K$12,MATCH($I$1,'Master Data'!$E$4:$E$12,0),MATCH(C136,'Master Data'!$F$3:$K$3,0)),2)</f>
        <v>434084.47</v>
      </c>
      <c r="K136" s="147">
        <f>INDEX('Master Data'!$C$75:$O$299,MATCH(A136,'Master Data'!$B$75:$B$299,0),MATCH($K$1,'Master Data'!$C$74:$O$74,0))</f>
        <v>1.4</v>
      </c>
      <c r="L136" s="148">
        <f>ROUND(K136*INDEX('Master Data'!$F$4:$K$12,MATCH($K$1,'Master Data'!$E$4:$E$12,0),MATCH(C136,'Master Data'!$F$3:$K$3,0)),2)</f>
        <v>65579.399999999994</v>
      </c>
      <c r="M136" s="147">
        <f>INDEX('Master Data'!$C$75:$O$299,MATCH(A136,'Master Data'!$B$75:$B$299,0),MATCH($M$1,'Master Data'!$C$74:$O$74,0))</f>
        <v>1.47</v>
      </c>
      <c r="N136" s="148">
        <f>ROUND(M136*INDEX('Master Data'!$F$4:$K$12,MATCH($M$1,'Master Data'!$E$4:$E$12,0),MATCH(C136,'Master Data'!$F$3:$K$3,0)),2)</f>
        <v>70121.34</v>
      </c>
      <c r="O136" s="147">
        <f>INDEX('Master Data'!$C$75:$O$299,MATCH(A136,'Master Data'!$B$75:$B$299,0),MATCH($O$1,'Master Data'!$C$74:$O$74,0))</f>
        <v>0.23</v>
      </c>
      <c r="P136" s="148">
        <f>ROUND(O136*INDEX('Master Data'!$F$4:$K$12,MATCH($O$1,'Master Data'!$E$4:$E$12,0),MATCH(C136,'Master Data'!$F$3:$K$3,0)),2)</f>
        <v>7176</v>
      </c>
      <c r="Q136" s="147">
        <f>INDEX('Master Data'!$C$75:$O$299,MATCH(A136,'Master Data'!$B$75:$B$299,0),MATCH($Q$1,'Master Data'!$C$74:$O$74,0))</f>
        <v>0.12</v>
      </c>
      <c r="R136" s="148">
        <f>ROUND(Q136*INDEX('Master Data'!$F$4:$K$12,MATCH($Q$1,'Master Data'!$E$4:$E$12,0),MATCH(C136,'Master Data'!$F$3:$K$3,0)),2)</f>
        <v>5621.09</v>
      </c>
      <c r="S136" s="147">
        <f>INDEX('Master Data'!$C$75:$O$299,MATCH(A136,'Master Data'!$B$75:$B$299,0),MATCH($S$1,'Master Data'!$C$74:$O$74,0))</f>
        <v>0</v>
      </c>
      <c r="T136" s="148">
        <f>ROUND(S136*INDEX('Master Data'!$F$4:$K$12,MATCH($S$1,'Master Data'!$E$4:$E$12,0),MATCH(C136,'Master Data'!$F$3:$K$3,0)),2)</f>
        <v>0</v>
      </c>
      <c r="U136" s="147">
        <f>INDEX('Master Data'!$C$75:$O$299,MATCH(A136,'Master Data'!$B$75:$B$299,0),MATCH($U$1,'Master Data'!$C$74:$O$74,0))</f>
        <v>0</v>
      </c>
      <c r="V136" s="148">
        <f>ROUND(U136*INDEX('Master Data'!$F$4:$K$12,MATCH($U$1,'Master Data'!$E$4:$E$12,0),MATCH(C136,'Master Data'!$F$3:$K$3,0)),2)</f>
        <v>0</v>
      </c>
      <c r="W136" s="149">
        <f t="shared" si="20"/>
        <v>672380.55999999994</v>
      </c>
      <c r="X136" s="148">
        <f>ROUND(W136*('Master Data'!$B$54),2)</f>
        <v>167893.43</v>
      </c>
      <c r="Y136" s="149">
        <f t="shared" si="16"/>
        <v>840273.99</v>
      </c>
      <c r="Z136" s="147">
        <f>52*INDEX('Master Data'!$C$75:$O$299,MATCH(A136,'Master Data'!$B$75:$B$299,0),MATCH($Z$1,'Master Data'!$C$74:$O$74,0))</f>
        <v>104</v>
      </c>
      <c r="AA136" s="148">
        <f>Z136*('Master Data'!$F$15)</f>
        <v>7841.6</v>
      </c>
      <c r="AB136" s="147">
        <f>52*INDEX('Master Data'!$C$75:$O$299,MATCH(A136,'Master Data'!$B$75:$B$299,0),MATCH($AB$1,'Master Data'!$C$74:$O$74,0))</f>
        <v>156</v>
      </c>
      <c r="AC136" s="148">
        <f>AB136*('Master Data'!$F$16)</f>
        <v>11281.919999999998</v>
      </c>
      <c r="AD136" s="149">
        <f t="shared" si="21"/>
        <v>19123.519999999997</v>
      </c>
      <c r="AE136" s="148">
        <f>INDEX('Master Data'!$D$58:$D$60,MATCH(D136,'Master Data'!$B$58:$B$60,0))</f>
        <v>24321.56</v>
      </c>
      <c r="AF136" s="148">
        <f>INDEX('Master Data'!$E$58:$E$60,MATCH(D136,'Master Data'!$B$58:$B$60,0))</f>
        <v>2233.8000000000002</v>
      </c>
      <c r="AG136" s="148">
        <f>INDEX('Master Data'!$F$58:$F$60,MATCH(D136,'Master Data'!$B$58:$B$60,0))</f>
        <v>6471.45</v>
      </c>
      <c r="AH136" s="149">
        <f t="shared" si="13"/>
        <v>892424.32000000007</v>
      </c>
      <c r="AI136" s="148">
        <f>ROUND(AH136*('Master Data'!$C$54),2)</f>
        <v>107090.92</v>
      </c>
      <c r="AJ136" s="148">
        <f>ROUND(SUM(AH136:AI136,AK136)*('Master Data'!$E$54),2)</f>
        <v>29944.52</v>
      </c>
      <c r="AK136" s="148">
        <f>ROUND(W136*('Master Data'!$F$54),2)</f>
        <v>0</v>
      </c>
      <c r="AL136" s="149">
        <f t="shared" si="14"/>
        <v>1029459.7600000001</v>
      </c>
      <c r="AM136" s="140">
        <f t="shared" si="15"/>
        <v>2966.74</v>
      </c>
      <c r="AN136" s="121"/>
      <c r="AO136" s="121"/>
      <c r="AP136" s="121"/>
      <c r="AQ136" s="121"/>
      <c r="AR136" s="121"/>
      <c r="AS136" s="121"/>
    </row>
    <row r="137" spans="1:45">
      <c r="A137" s="121" t="s">
        <v>270</v>
      </c>
      <c r="B137" s="121" t="str">
        <f t="shared" si="8"/>
        <v xml:space="preserve"> </v>
      </c>
      <c r="C137" s="121" t="str">
        <f t="shared" si="19"/>
        <v xml:space="preserve">Intermediate  </v>
      </c>
      <c r="D137" s="121" t="str">
        <f>INDEX('Master Data'!$C$75:$C$299,MATCH(A137,'Master Data'!$B$75:$B$299,0))</f>
        <v>4+</v>
      </c>
      <c r="E137" s="147">
        <f>INDEX('Master Data'!$C$75:$O$299,MATCH(A137,'Master Data'!$B$75:$B$299,0),MATCH($E$1,'Master Data'!$C$74:$O$74,0))</f>
        <v>0.41</v>
      </c>
      <c r="F137" s="148">
        <f>ROUND(E137*INDEX('Master Data'!$F$4:$K$12,MATCH($E$1,'Master Data'!$E$4:$E$12,0),MATCH(C137,'Master Data'!$F$3:$K$3,0)),2)</f>
        <v>33409.629999999997</v>
      </c>
      <c r="G137" s="147">
        <f>INDEX('Master Data'!$C$75:$O$299,MATCH(A137,'Master Data'!$B$75:$B$299,0),MATCH($G$1,'Master Data'!$C$74:$O$74,0))</f>
        <v>1</v>
      </c>
      <c r="H137" s="148">
        <f>ROUND(G137*INDEX('Master Data'!$F$4:$K$12,MATCH($G$1,'Master Data'!$E$4:$E$12,0),MATCH(C137,'Master Data'!$F$3:$K$3,0)),2)</f>
        <v>56388.63</v>
      </c>
      <c r="I137" s="147">
        <f>INDEX('Master Data'!$C$75:$O$299,MATCH(A137,'Master Data'!$B$75:$B$299,0),MATCH($I$1,'Master Data'!$C$74:$O$74,0))</f>
        <v>9.6</v>
      </c>
      <c r="J137" s="148">
        <f>ROUND(I137*INDEX('Master Data'!$F$4:$K$12,MATCH($I$1,'Master Data'!$E$4:$E$12,0),MATCH(C137,'Master Data'!$F$3:$K$3,0)),2)</f>
        <v>457935.26</v>
      </c>
      <c r="K137" s="147">
        <f>INDEX('Master Data'!$C$75:$O$299,MATCH(A137,'Master Data'!$B$75:$B$299,0),MATCH($K$1,'Master Data'!$C$74:$O$74,0))</f>
        <v>1.4</v>
      </c>
      <c r="L137" s="148">
        <f>ROUND(K137*INDEX('Master Data'!$F$4:$K$12,MATCH($K$1,'Master Data'!$E$4:$E$12,0),MATCH(C137,'Master Data'!$F$3:$K$3,0)),2)</f>
        <v>65579.399999999994</v>
      </c>
      <c r="M137" s="147">
        <f>INDEX('Master Data'!$C$75:$O$299,MATCH(A137,'Master Data'!$B$75:$B$299,0),MATCH($M$1,'Master Data'!$C$74:$O$74,0))</f>
        <v>1.56</v>
      </c>
      <c r="N137" s="148">
        <f>ROUND(M137*INDEX('Master Data'!$F$4:$K$12,MATCH($M$1,'Master Data'!$E$4:$E$12,0),MATCH(C137,'Master Data'!$F$3:$K$3,0)),2)</f>
        <v>74414.48</v>
      </c>
      <c r="O137" s="147">
        <f>INDEX('Master Data'!$C$75:$O$299,MATCH(A137,'Master Data'!$B$75:$B$299,0),MATCH($O$1,'Master Data'!$C$74:$O$74,0))</f>
        <v>0.23</v>
      </c>
      <c r="P137" s="148">
        <f>ROUND(O137*INDEX('Master Data'!$F$4:$K$12,MATCH($O$1,'Master Data'!$E$4:$E$12,0),MATCH(C137,'Master Data'!$F$3:$K$3,0)),2)</f>
        <v>7176</v>
      </c>
      <c r="Q137" s="147">
        <f>INDEX('Master Data'!$C$75:$O$299,MATCH(A137,'Master Data'!$B$75:$B$299,0),MATCH($Q$1,'Master Data'!$C$74:$O$74,0))</f>
        <v>0.12</v>
      </c>
      <c r="R137" s="148">
        <f>ROUND(Q137*INDEX('Master Data'!$F$4:$K$12,MATCH($Q$1,'Master Data'!$E$4:$E$12,0),MATCH(C137,'Master Data'!$F$3:$K$3,0)),2)</f>
        <v>5621.09</v>
      </c>
      <c r="S137" s="147">
        <f>INDEX('Master Data'!$C$75:$O$299,MATCH(A137,'Master Data'!$B$75:$B$299,0),MATCH($S$1,'Master Data'!$C$74:$O$74,0))</f>
        <v>0</v>
      </c>
      <c r="T137" s="148">
        <f>ROUND(S137*INDEX('Master Data'!$F$4:$K$12,MATCH($S$1,'Master Data'!$E$4:$E$12,0),MATCH(C137,'Master Data'!$F$3:$K$3,0)),2)</f>
        <v>0</v>
      </c>
      <c r="U137" s="147">
        <f>INDEX('Master Data'!$C$75:$O$299,MATCH(A137,'Master Data'!$B$75:$B$299,0),MATCH($U$1,'Master Data'!$C$74:$O$74,0))</f>
        <v>0</v>
      </c>
      <c r="V137" s="148">
        <f>ROUND(U137*INDEX('Master Data'!$F$4:$K$12,MATCH($U$1,'Master Data'!$E$4:$E$12,0),MATCH(C137,'Master Data'!$F$3:$K$3,0)),2)</f>
        <v>0</v>
      </c>
      <c r="W137" s="149">
        <f t="shared" si="20"/>
        <v>700524.49</v>
      </c>
      <c r="X137" s="148">
        <f>ROUND(W137*('Master Data'!$B$54),2)</f>
        <v>174920.97</v>
      </c>
      <c r="Y137" s="149">
        <f t="shared" si="16"/>
        <v>875445.46</v>
      </c>
      <c r="Z137" s="147">
        <f>52*INDEX('Master Data'!$C$75:$O$299,MATCH(A137,'Master Data'!$B$75:$B$299,0),MATCH($Z$1,'Master Data'!$C$74:$O$74,0))</f>
        <v>104</v>
      </c>
      <c r="AA137" s="148">
        <f>Z137*('Master Data'!$F$15)</f>
        <v>7841.6</v>
      </c>
      <c r="AB137" s="147">
        <f>52*INDEX('Master Data'!$C$75:$O$299,MATCH(A137,'Master Data'!$B$75:$B$299,0),MATCH($AB$1,'Master Data'!$C$74:$O$74,0))</f>
        <v>156</v>
      </c>
      <c r="AC137" s="148">
        <f>AB137*('Master Data'!$F$16)</f>
        <v>11281.919999999998</v>
      </c>
      <c r="AD137" s="149">
        <f t="shared" si="21"/>
        <v>19123.519999999997</v>
      </c>
      <c r="AE137" s="148">
        <f>INDEX('Master Data'!$D$58:$D$60,MATCH(D137,'Master Data'!$B$58:$B$60,0))</f>
        <v>24321.56</v>
      </c>
      <c r="AF137" s="148">
        <f>INDEX('Master Data'!$E$58:$E$60,MATCH(D137,'Master Data'!$B$58:$B$60,0))</f>
        <v>2233.8000000000002</v>
      </c>
      <c r="AG137" s="148">
        <f>INDEX('Master Data'!$F$58:$F$60,MATCH(D137,'Master Data'!$B$58:$B$60,0))</f>
        <v>6471.45</v>
      </c>
      <c r="AH137" s="149">
        <f t="shared" si="13"/>
        <v>927595.79</v>
      </c>
      <c r="AI137" s="148">
        <f>ROUND(AH137*('Master Data'!$C$54),2)</f>
        <v>111311.49</v>
      </c>
      <c r="AJ137" s="148">
        <f>ROUND(SUM(AH137:AI137,AK137)*('Master Data'!$E$54),2)</f>
        <v>31124.67</v>
      </c>
      <c r="AK137" s="148">
        <f>ROUND(W137*('Master Data'!$F$54),2)</f>
        <v>0</v>
      </c>
      <c r="AL137" s="149">
        <f t="shared" si="14"/>
        <v>1070031.95</v>
      </c>
      <c r="AM137" s="140">
        <f t="shared" si="15"/>
        <v>3083.67</v>
      </c>
      <c r="AN137" s="121"/>
      <c r="AO137" s="121"/>
      <c r="AP137" s="121"/>
      <c r="AQ137" s="121"/>
      <c r="AR137" s="121"/>
      <c r="AS137" s="121"/>
    </row>
    <row r="138" spans="1:45">
      <c r="A138" s="121" t="s">
        <v>271</v>
      </c>
      <c r="B138" s="121" t="str">
        <f t="shared" si="8"/>
        <v xml:space="preserve"> </v>
      </c>
      <c r="C138" s="121" t="str">
        <f t="shared" si="19"/>
        <v xml:space="preserve">Intermediate  </v>
      </c>
      <c r="D138" s="121" t="str">
        <f>INDEX('Master Data'!$C$75:$C$299,MATCH(A138,'Master Data'!$B$75:$B$299,0))</f>
        <v>4+</v>
      </c>
      <c r="E138" s="147">
        <f>INDEX('Master Data'!$C$75:$O$299,MATCH(A138,'Master Data'!$B$75:$B$299,0),MATCH($E$1,'Master Data'!$C$74:$O$74,0))</f>
        <v>0.41</v>
      </c>
      <c r="F138" s="148">
        <f>ROUND(E138*INDEX('Master Data'!$F$4:$K$12,MATCH($E$1,'Master Data'!$E$4:$E$12,0),MATCH(C138,'Master Data'!$F$3:$K$3,0)),2)</f>
        <v>33409.629999999997</v>
      </c>
      <c r="G138" s="147">
        <f>INDEX('Master Data'!$C$75:$O$299,MATCH(A138,'Master Data'!$B$75:$B$299,0),MATCH($G$1,'Master Data'!$C$74:$O$74,0))</f>
        <v>1</v>
      </c>
      <c r="H138" s="148">
        <f>ROUND(G138*INDEX('Master Data'!$F$4:$K$12,MATCH($G$1,'Master Data'!$E$4:$E$12,0),MATCH(C138,'Master Data'!$F$3:$K$3,0)),2)</f>
        <v>56388.63</v>
      </c>
      <c r="I138" s="147">
        <f>INDEX('Master Data'!$C$75:$O$299,MATCH(A138,'Master Data'!$B$75:$B$299,0),MATCH($I$1,'Master Data'!$C$74:$O$74,0))</f>
        <v>10.1</v>
      </c>
      <c r="J138" s="148">
        <f>ROUND(I138*INDEX('Master Data'!$F$4:$K$12,MATCH($I$1,'Master Data'!$E$4:$E$12,0),MATCH(C138,'Master Data'!$F$3:$K$3,0)),2)</f>
        <v>481786.06</v>
      </c>
      <c r="K138" s="147">
        <f>INDEX('Master Data'!$C$75:$O$299,MATCH(A138,'Master Data'!$B$75:$B$299,0),MATCH($K$1,'Master Data'!$C$74:$O$74,0))</f>
        <v>1.4</v>
      </c>
      <c r="L138" s="148">
        <f>ROUND(K138*INDEX('Master Data'!$F$4:$K$12,MATCH($K$1,'Master Data'!$E$4:$E$12,0),MATCH(C138,'Master Data'!$F$3:$K$3,0)),2)</f>
        <v>65579.399999999994</v>
      </c>
      <c r="M138" s="147">
        <f>INDEX('Master Data'!$C$75:$O$299,MATCH(A138,'Master Data'!$B$75:$B$299,0),MATCH($M$1,'Master Data'!$C$74:$O$74,0))</f>
        <v>1.64</v>
      </c>
      <c r="N138" s="148">
        <f>ROUND(M138*INDEX('Master Data'!$F$4:$K$12,MATCH($M$1,'Master Data'!$E$4:$E$12,0),MATCH(C138,'Master Data'!$F$3:$K$3,0)),2)</f>
        <v>78230.61</v>
      </c>
      <c r="O138" s="147">
        <f>INDEX('Master Data'!$C$75:$O$299,MATCH(A138,'Master Data'!$B$75:$B$299,0),MATCH($O$1,'Master Data'!$C$74:$O$74,0))</f>
        <v>0.23</v>
      </c>
      <c r="P138" s="148">
        <f>ROUND(O138*INDEX('Master Data'!$F$4:$K$12,MATCH($O$1,'Master Data'!$E$4:$E$12,0),MATCH(C138,'Master Data'!$F$3:$K$3,0)),2)</f>
        <v>7176</v>
      </c>
      <c r="Q138" s="147">
        <f>INDEX('Master Data'!$C$75:$O$299,MATCH(A138,'Master Data'!$B$75:$B$299,0),MATCH($Q$1,'Master Data'!$C$74:$O$74,0))</f>
        <v>0.12</v>
      </c>
      <c r="R138" s="148">
        <f>ROUND(Q138*INDEX('Master Data'!$F$4:$K$12,MATCH($Q$1,'Master Data'!$E$4:$E$12,0),MATCH(C138,'Master Data'!$F$3:$K$3,0)),2)</f>
        <v>5621.09</v>
      </c>
      <c r="S138" s="147">
        <f>INDEX('Master Data'!$C$75:$O$299,MATCH(A138,'Master Data'!$B$75:$B$299,0),MATCH($S$1,'Master Data'!$C$74:$O$74,0))</f>
        <v>0</v>
      </c>
      <c r="T138" s="148">
        <f>ROUND(S138*INDEX('Master Data'!$F$4:$K$12,MATCH($S$1,'Master Data'!$E$4:$E$12,0),MATCH(C138,'Master Data'!$F$3:$K$3,0)),2)</f>
        <v>0</v>
      </c>
      <c r="U138" s="147">
        <f>INDEX('Master Data'!$C$75:$O$299,MATCH(A138,'Master Data'!$B$75:$B$299,0),MATCH($U$1,'Master Data'!$C$74:$O$74,0))</f>
        <v>0</v>
      </c>
      <c r="V138" s="148">
        <f>ROUND(U138*INDEX('Master Data'!$F$4:$K$12,MATCH($U$1,'Master Data'!$E$4:$E$12,0),MATCH(C138,'Master Data'!$F$3:$K$3,0)),2)</f>
        <v>0</v>
      </c>
      <c r="W138" s="149">
        <f t="shared" si="20"/>
        <v>728191.41999999993</v>
      </c>
      <c r="X138" s="148">
        <f>ROUND(W138*('Master Data'!$B$54),2)</f>
        <v>181829.4</v>
      </c>
      <c r="Y138" s="149">
        <f t="shared" si="16"/>
        <v>910020.82</v>
      </c>
      <c r="Z138" s="147">
        <f>52*INDEX('Master Data'!$C$75:$O$299,MATCH(A138,'Master Data'!$B$75:$B$299,0),MATCH($Z$1,'Master Data'!$C$74:$O$74,0))</f>
        <v>104</v>
      </c>
      <c r="AA138" s="148">
        <f>Z138*('Master Data'!$F$15)</f>
        <v>7841.6</v>
      </c>
      <c r="AB138" s="147">
        <f>52*INDEX('Master Data'!$C$75:$O$299,MATCH(A138,'Master Data'!$B$75:$B$299,0),MATCH($AB$1,'Master Data'!$C$74:$O$74,0))</f>
        <v>156</v>
      </c>
      <c r="AC138" s="148">
        <f>AB138*('Master Data'!$F$16)</f>
        <v>11281.919999999998</v>
      </c>
      <c r="AD138" s="149">
        <f t="shared" si="21"/>
        <v>19123.519999999997</v>
      </c>
      <c r="AE138" s="148">
        <f>INDEX('Master Data'!$D$58:$D$60,MATCH(D138,'Master Data'!$B$58:$B$60,0))</f>
        <v>24321.56</v>
      </c>
      <c r="AF138" s="148">
        <f>INDEX('Master Data'!$E$58:$E$60,MATCH(D138,'Master Data'!$B$58:$B$60,0))</f>
        <v>2233.8000000000002</v>
      </c>
      <c r="AG138" s="148">
        <f>INDEX('Master Data'!$F$58:$F$60,MATCH(D138,'Master Data'!$B$58:$B$60,0))</f>
        <v>6471.45</v>
      </c>
      <c r="AH138" s="149">
        <f t="shared" si="13"/>
        <v>962171.15</v>
      </c>
      <c r="AI138" s="148">
        <f>ROUND(AH138*('Master Data'!$C$54),2)</f>
        <v>115460.54</v>
      </c>
      <c r="AJ138" s="148">
        <f>ROUND(SUM(AH138:AI138,AK138)*('Master Data'!$E$54),2)</f>
        <v>32284.81</v>
      </c>
      <c r="AK138" s="148">
        <f>ROUND(W138*('Master Data'!$F$54),2)</f>
        <v>0</v>
      </c>
      <c r="AL138" s="149">
        <f t="shared" si="14"/>
        <v>1109916.5</v>
      </c>
      <c r="AM138" s="140">
        <f t="shared" si="15"/>
        <v>3198.61</v>
      </c>
      <c r="AN138" s="121"/>
      <c r="AO138" s="121"/>
      <c r="AP138" s="121"/>
      <c r="AQ138" s="121"/>
      <c r="AR138" s="121"/>
      <c r="AS138" s="121"/>
    </row>
    <row r="139" spans="1:45">
      <c r="A139" s="121" t="s">
        <v>272</v>
      </c>
      <c r="B139" s="121" t="str">
        <f t="shared" si="8"/>
        <v xml:space="preserve"> </v>
      </c>
      <c r="C139" s="121" t="str">
        <f t="shared" si="19"/>
        <v xml:space="preserve">Intermediate  </v>
      </c>
      <c r="D139" s="121" t="str">
        <f>INDEX('Master Data'!$C$75:$C$299,MATCH(A139,'Master Data'!$B$75:$B$299,0))</f>
        <v>4+</v>
      </c>
      <c r="E139" s="147">
        <f>INDEX('Master Data'!$C$75:$O$299,MATCH(A139,'Master Data'!$B$75:$B$299,0),MATCH($E$1,'Master Data'!$C$74:$O$74,0))</f>
        <v>0.41</v>
      </c>
      <c r="F139" s="148">
        <f>ROUND(E139*INDEX('Master Data'!$F$4:$K$12,MATCH($E$1,'Master Data'!$E$4:$E$12,0),MATCH(C139,'Master Data'!$F$3:$K$3,0)),2)</f>
        <v>33409.629999999997</v>
      </c>
      <c r="G139" s="147">
        <f>INDEX('Master Data'!$C$75:$O$299,MATCH(A139,'Master Data'!$B$75:$B$299,0),MATCH($G$1,'Master Data'!$C$74:$O$74,0))</f>
        <v>1</v>
      </c>
      <c r="H139" s="148">
        <f>ROUND(G139*INDEX('Master Data'!$F$4:$K$12,MATCH($G$1,'Master Data'!$E$4:$E$12,0),MATCH(C139,'Master Data'!$F$3:$K$3,0)),2)</f>
        <v>56388.63</v>
      </c>
      <c r="I139" s="147">
        <f>INDEX('Master Data'!$C$75:$O$299,MATCH(A139,'Master Data'!$B$75:$B$299,0),MATCH($I$1,'Master Data'!$C$74:$O$74,0))</f>
        <v>10.6</v>
      </c>
      <c r="J139" s="148">
        <f>ROUND(I139*INDEX('Master Data'!$F$4:$K$12,MATCH($I$1,'Master Data'!$E$4:$E$12,0),MATCH(C139,'Master Data'!$F$3:$K$3,0)),2)</f>
        <v>505636.85</v>
      </c>
      <c r="K139" s="147">
        <f>INDEX('Master Data'!$C$75:$O$299,MATCH(A139,'Master Data'!$B$75:$B$299,0),MATCH($K$1,'Master Data'!$C$74:$O$74,0))</f>
        <v>1.4</v>
      </c>
      <c r="L139" s="148">
        <f>ROUND(K139*INDEX('Master Data'!$F$4:$K$12,MATCH($K$1,'Master Data'!$E$4:$E$12,0),MATCH(C139,'Master Data'!$F$3:$K$3,0)),2)</f>
        <v>65579.399999999994</v>
      </c>
      <c r="M139" s="147">
        <f>INDEX('Master Data'!$C$75:$O$299,MATCH(A139,'Master Data'!$B$75:$B$299,0),MATCH($M$1,'Master Data'!$C$74:$O$74,0))</f>
        <v>1.72</v>
      </c>
      <c r="N139" s="148">
        <f>ROUND(M139*INDEX('Master Data'!$F$4:$K$12,MATCH($M$1,'Master Data'!$E$4:$E$12,0),MATCH(C139,'Master Data'!$F$3:$K$3,0)),2)</f>
        <v>82046.73</v>
      </c>
      <c r="O139" s="147">
        <f>INDEX('Master Data'!$C$75:$O$299,MATCH(A139,'Master Data'!$B$75:$B$299,0),MATCH($O$1,'Master Data'!$C$74:$O$74,0))</f>
        <v>0.23</v>
      </c>
      <c r="P139" s="148">
        <f>ROUND(O139*INDEX('Master Data'!$F$4:$K$12,MATCH($O$1,'Master Data'!$E$4:$E$12,0),MATCH(C139,'Master Data'!$F$3:$K$3,0)),2)</f>
        <v>7176</v>
      </c>
      <c r="Q139" s="147">
        <f>INDEX('Master Data'!$C$75:$O$299,MATCH(A139,'Master Data'!$B$75:$B$299,0),MATCH($Q$1,'Master Data'!$C$74:$O$74,0))</f>
        <v>0.12</v>
      </c>
      <c r="R139" s="148">
        <f>ROUND(Q139*INDEX('Master Data'!$F$4:$K$12,MATCH($Q$1,'Master Data'!$E$4:$E$12,0),MATCH(C139,'Master Data'!$F$3:$K$3,0)),2)</f>
        <v>5621.09</v>
      </c>
      <c r="S139" s="147">
        <f>INDEX('Master Data'!$C$75:$O$299,MATCH(A139,'Master Data'!$B$75:$B$299,0),MATCH($S$1,'Master Data'!$C$74:$O$74,0))</f>
        <v>0</v>
      </c>
      <c r="T139" s="148">
        <f>ROUND(S139*INDEX('Master Data'!$F$4:$K$12,MATCH($S$1,'Master Data'!$E$4:$E$12,0),MATCH(C139,'Master Data'!$F$3:$K$3,0)),2)</f>
        <v>0</v>
      </c>
      <c r="U139" s="147">
        <f>INDEX('Master Data'!$C$75:$O$299,MATCH(A139,'Master Data'!$B$75:$B$299,0),MATCH($U$1,'Master Data'!$C$74:$O$74,0))</f>
        <v>0</v>
      </c>
      <c r="V139" s="148">
        <f>ROUND(U139*INDEX('Master Data'!$F$4:$K$12,MATCH($U$1,'Master Data'!$E$4:$E$12,0),MATCH(C139,'Master Data'!$F$3:$K$3,0)),2)</f>
        <v>0</v>
      </c>
      <c r="W139" s="149">
        <f t="shared" si="20"/>
        <v>755858.33</v>
      </c>
      <c r="X139" s="148">
        <f>ROUND(W139*('Master Data'!$B$54),2)</f>
        <v>188737.83</v>
      </c>
      <c r="Y139" s="149">
        <f t="shared" si="16"/>
        <v>944596.15999999992</v>
      </c>
      <c r="Z139" s="147">
        <f>52*INDEX('Master Data'!$C$75:$O$299,MATCH(A139,'Master Data'!$B$75:$B$299,0),MATCH($Z$1,'Master Data'!$C$74:$O$74,0))</f>
        <v>104</v>
      </c>
      <c r="AA139" s="148">
        <f>Z139*('Master Data'!$F$15)</f>
        <v>7841.6</v>
      </c>
      <c r="AB139" s="147">
        <f>52*INDEX('Master Data'!$C$75:$O$299,MATCH(A139,'Master Data'!$B$75:$B$299,0),MATCH($AB$1,'Master Data'!$C$74:$O$74,0))</f>
        <v>156</v>
      </c>
      <c r="AC139" s="148">
        <f>AB139*('Master Data'!$F$16)</f>
        <v>11281.919999999998</v>
      </c>
      <c r="AD139" s="149">
        <f t="shared" si="21"/>
        <v>19123.519999999997</v>
      </c>
      <c r="AE139" s="148">
        <f>INDEX('Master Data'!$D$58:$D$60,MATCH(D139,'Master Data'!$B$58:$B$60,0))</f>
        <v>24321.56</v>
      </c>
      <c r="AF139" s="148">
        <f>INDEX('Master Data'!$E$58:$E$60,MATCH(D139,'Master Data'!$B$58:$B$60,0))</f>
        <v>2233.8000000000002</v>
      </c>
      <c r="AG139" s="148">
        <f>INDEX('Master Data'!$F$58:$F$60,MATCH(D139,'Master Data'!$B$58:$B$60,0))</f>
        <v>6471.45</v>
      </c>
      <c r="AH139" s="149">
        <f t="shared" si="13"/>
        <v>996746.49</v>
      </c>
      <c r="AI139" s="148">
        <f>ROUND(AH139*('Master Data'!$C$54),2)</f>
        <v>119609.58</v>
      </c>
      <c r="AJ139" s="148">
        <f>ROUND(SUM(AH139:AI139,AK139)*('Master Data'!$E$54),2)</f>
        <v>33444.959999999999</v>
      </c>
      <c r="AK139" s="148">
        <f>ROUND(W139*('Master Data'!$F$54),2)</f>
        <v>0</v>
      </c>
      <c r="AL139" s="149">
        <f t="shared" si="14"/>
        <v>1149801.03</v>
      </c>
      <c r="AM139" s="140">
        <f t="shared" si="15"/>
        <v>3313.55</v>
      </c>
      <c r="AN139" s="121"/>
      <c r="AO139" s="121"/>
      <c r="AP139" s="121"/>
      <c r="AQ139" s="121"/>
      <c r="AR139" s="121"/>
      <c r="AS139" s="121"/>
    </row>
    <row r="140" spans="1:45">
      <c r="A140" s="121" t="s">
        <v>273</v>
      </c>
      <c r="B140" s="121" t="str">
        <f t="shared" si="8"/>
        <v xml:space="preserve"> </v>
      </c>
      <c r="C140" s="121" t="str">
        <f t="shared" si="19"/>
        <v xml:space="preserve">Intermediate  </v>
      </c>
      <c r="D140" s="121" t="str">
        <f>INDEX('Master Data'!$C$75:$C$299,MATCH(A140,'Master Data'!$B$75:$B$299,0))</f>
        <v>4+</v>
      </c>
      <c r="E140" s="147">
        <f>INDEX('Master Data'!$C$75:$O$299,MATCH(A140,'Master Data'!$B$75:$B$299,0),MATCH($E$1,'Master Data'!$C$74:$O$74,0))</f>
        <v>0.41</v>
      </c>
      <c r="F140" s="148">
        <f>ROUND(E140*INDEX('Master Data'!$F$4:$K$12,MATCH($E$1,'Master Data'!$E$4:$E$12,0),MATCH(C140,'Master Data'!$F$3:$K$3,0)),2)</f>
        <v>33409.629999999997</v>
      </c>
      <c r="G140" s="147">
        <f>INDEX('Master Data'!$C$75:$O$299,MATCH(A140,'Master Data'!$B$75:$B$299,0),MATCH($G$1,'Master Data'!$C$74:$O$74,0))</f>
        <v>1</v>
      </c>
      <c r="H140" s="148">
        <f>ROUND(G140*INDEX('Master Data'!$F$4:$K$12,MATCH($G$1,'Master Data'!$E$4:$E$12,0),MATCH(C140,'Master Data'!$F$3:$K$3,0)),2)</f>
        <v>56388.63</v>
      </c>
      <c r="I140" s="147">
        <f>INDEX('Master Data'!$C$75:$O$299,MATCH(A140,'Master Data'!$B$75:$B$299,0),MATCH($I$1,'Master Data'!$C$74:$O$74,0))</f>
        <v>11.1</v>
      </c>
      <c r="J140" s="148">
        <f>ROUND(I140*INDEX('Master Data'!$F$4:$K$12,MATCH($I$1,'Master Data'!$E$4:$E$12,0),MATCH(C140,'Master Data'!$F$3:$K$3,0)),2)</f>
        <v>529487.65</v>
      </c>
      <c r="K140" s="147">
        <f>INDEX('Master Data'!$C$75:$O$299,MATCH(A140,'Master Data'!$B$75:$B$299,0),MATCH($K$1,'Master Data'!$C$74:$O$74,0))</f>
        <v>1.4</v>
      </c>
      <c r="L140" s="148">
        <f>ROUND(K140*INDEX('Master Data'!$F$4:$K$12,MATCH($K$1,'Master Data'!$E$4:$E$12,0),MATCH(C140,'Master Data'!$F$3:$K$3,0)),2)</f>
        <v>65579.399999999994</v>
      </c>
      <c r="M140" s="147">
        <f>INDEX('Master Data'!$C$75:$O$299,MATCH(A140,'Master Data'!$B$75:$B$299,0),MATCH($M$1,'Master Data'!$C$74:$O$74,0))</f>
        <v>1.8</v>
      </c>
      <c r="N140" s="148">
        <f>ROUND(M140*INDEX('Master Data'!$F$4:$K$12,MATCH($M$1,'Master Data'!$E$4:$E$12,0),MATCH(C140,'Master Data'!$F$3:$K$3,0)),2)</f>
        <v>85862.86</v>
      </c>
      <c r="O140" s="147">
        <f>INDEX('Master Data'!$C$75:$O$299,MATCH(A140,'Master Data'!$B$75:$B$299,0),MATCH($O$1,'Master Data'!$C$74:$O$74,0))</f>
        <v>0.23</v>
      </c>
      <c r="P140" s="148">
        <f>ROUND(O140*INDEX('Master Data'!$F$4:$K$12,MATCH($O$1,'Master Data'!$E$4:$E$12,0),MATCH(C140,'Master Data'!$F$3:$K$3,0)),2)</f>
        <v>7176</v>
      </c>
      <c r="Q140" s="147">
        <f>INDEX('Master Data'!$C$75:$O$299,MATCH(A140,'Master Data'!$B$75:$B$299,0),MATCH($Q$1,'Master Data'!$C$74:$O$74,0))</f>
        <v>0.12</v>
      </c>
      <c r="R140" s="148">
        <f>ROUND(Q140*INDEX('Master Data'!$F$4:$K$12,MATCH($Q$1,'Master Data'!$E$4:$E$12,0),MATCH(C140,'Master Data'!$F$3:$K$3,0)),2)</f>
        <v>5621.09</v>
      </c>
      <c r="S140" s="147">
        <f>INDEX('Master Data'!$C$75:$O$299,MATCH(A140,'Master Data'!$B$75:$B$299,0),MATCH($S$1,'Master Data'!$C$74:$O$74,0))</f>
        <v>0</v>
      </c>
      <c r="T140" s="148">
        <f>ROUND(S140*INDEX('Master Data'!$F$4:$K$12,MATCH($S$1,'Master Data'!$E$4:$E$12,0),MATCH(C140,'Master Data'!$F$3:$K$3,0)),2)</f>
        <v>0</v>
      </c>
      <c r="U140" s="147">
        <f>INDEX('Master Data'!$C$75:$O$299,MATCH(A140,'Master Data'!$B$75:$B$299,0),MATCH($U$1,'Master Data'!$C$74:$O$74,0))</f>
        <v>0</v>
      </c>
      <c r="V140" s="148">
        <f>ROUND(U140*INDEX('Master Data'!$F$4:$K$12,MATCH($U$1,'Master Data'!$E$4:$E$12,0),MATCH(C140,'Master Data'!$F$3:$K$3,0)),2)</f>
        <v>0</v>
      </c>
      <c r="W140" s="149">
        <f t="shared" si="20"/>
        <v>783525.26</v>
      </c>
      <c r="X140" s="148">
        <f>ROUND(W140*('Master Data'!$B$54),2)</f>
        <v>195646.26</v>
      </c>
      <c r="Y140" s="149">
        <f t="shared" si="16"/>
        <v>979171.52</v>
      </c>
      <c r="Z140" s="147">
        <f>52*INDEX('Master Data'!$C$75:$O$299,MATCH(A140,'Master Data'!$B$75:$B$299,0),MATCH($Z$1,'Master Data'!$C$74:$O$74,0))</f>
        <v>104</v>
      </c>
      <c r="AA140" s="148">
        <f>Z140*('Master Data'!$F$15)</f>
        <v>7841.6</v>
      </c>
      <c r="AB140" s="147">
        <f>52*INDEX('Master Data'!$C$75:$O$299,MATCH(A140,'Master Data'!$B$75:$B$299,0),MATCH($AB$1,'Master Data'!$C$74:$O$74,0))</f>
        <v>156</v>
      </c>
      <c r="AC140" s="148">
        <f>AB140*('Master Data'!$F$16)</f>
        <v>11281.919999999998</v>
      </c>
      <c r="AD140" s="149">
        <f t="shared" si="21"/>
        <v>19123.519999999997</v>
      </c>
      <c r="AE140" s="148">
        <f>INDEX('Master Data'!$D$58:$D$60,MATCH(D140,'Master Data'!$B$58:$B$60,0))</f>
        <v>24321.56</v>
      </c>
      <c r="AF140" s="148">
        <f>INDEX('Master Data'!$E$58:$E$60,MATCH(D140,'Master Data'!$B$58:$B$60,0))</f>
        <v>2233.8000000000002</v>
      </c>
      <c r="AG140" s="148">
        <f>INDEX('Master Data'!$F$58:$F$60,MATCH(D140,'Master Data'!$B$58:$B$60,0))</f>
        <v>6471.45</v>
      </c>
      <c r="AH140" s="149">
        <f t="shared" si="13"/>
        <v>1031321.8500000001</v>
      </c>
      <c r="AI140" s="148">
        <f>ROUND(AH140*('Master Data'!$C$54),2)</f>
        <v>123758.62</v>
      </c>
      <c r="AJ140" s="148">
        <f>ROUND(SUM(AH140:AI140,AK140)*('Master Data'!$E$54),2)</f>
        <v>34605.1</v>
      </c>
      <c r="AK140" s="148">
        <f>ROUND(W140*('Master Data'!$F$54),2)</f>
        <v>0</v>
      </c>
      <c r="AL140" s="149">
        <f t="shared" si="14"/>
        <v>1189685.5700000003</v>
      </c>
      <c r="AM140" s="140">
        <f t="shared" si="15"/>
        <v>3428.49</v>
      </c>
      <c r="AN140" s="121"/>
      <c r="AO140" s="121"/>
      <c r="AP140" s="121"/>
      <c r="AQ140" s="121"/>
      <c r="AR140" s="121"/>
      <c r="AS140" s="121"/>
    </row>
    <row r="141" spans="1:45">
      <c r="A141" s="121" t="s">
        <v>274</v>
      </c>
      <c r="B141" s="121" t="str">
        <f t="shared" si="8"/>
        <v xml:space="preserve"> </v>
      </c>
      <c r="C141" s="121" t="str">
        <f t="shared" si="19"/>
        <v xml:space="preserve">Intermediate  </v>
      </c>
      <c r="D141" s="121" t="str">
        <f>INDEX('Master Data'!$C$75:$C$299,MATCH(A141,'Master Data'!$B$75:$B$299,0))</f>
        <v>4+</v>
      </c>
      <c r="E141" s="147">
        <f>INDEX('Master Data'!$C$75:$O$299,MATCH(A141,'Master Data'!$B$75:$B$299,0),MATCH($E$1,'Master Data'!$C$74:$O$74,0))</f>
        <v>0.41</v>
      </c>
      <c r="F141" s="148">
        <f>ROUND(E141*INDEX('Master Data'!$F$4:$K$12,MATCH($E$1,'Master Data'!$E$4:$E$12,0),MATCH(C141,'Master Data'!$F$3:$K$3,0)),2)</f>
        <v>33409.629999999997</v>
      </c>
      <c r="G141" s="147">
        <f>INDEX('Master Data'!$C$75:$O$299,MATCH(A141,'Master Data'!$B$75:$B$299,0),MATCH($G$1,'Master Data'!$C$74:$O$74,0))</f>
        <v>1</v>
      </c>
      <c r="H141" s="148">
        <f>ROUND(G141*INDEX('Master Data'!$F$4:$K$12,MATCH($G$1,'Master Data'!$E$4:$E$12,0),MATCH(C141,'Master Data'!$F$3:$K$3,0)),2)</f>
        <v>56388.63</v>
      </c>
      <c r="I141" s="147">
        <f>INDEX('Master Data'!$C$75:$O$299,MATCH(A141,'Master Data'!$B$75:$B$299,0),MATCH($I$1,'Master Data'!$C$74:$O$74,0))</f>
        <v>11.6</v>
      </c>
      <c r="J141" s="148">
        <f>ROUND(I141*INDEX('Master Data'!$F$4:$K$12,MATCH($I$1,'Master Data'!$E$4:$E$12,0),MATCH(C141,'Master Data'!$F$3:$K$3,0)),2)</f>
        <v>553338.43999999994</v>
      </c>
      <c r="K141" s="147">
        <f>INDEX('Master Data'!$C$75:$O$299,MATCH(A141,'Master Data'!$B$75:$B$299,0),MATCH($K$1,'Master Data'!$C$74:$O$74,0))</f>
        <v>1.4</v>
      </c>
      <c r="L141" s="148">
        <f>ROUND(K141*INDEX('Master Data'!$F$4:$K$12,MATCH($K$1,'Master Data'!$E$4:$E$12,0),MATCH(C141,'Master Data'!$F$3:$K$3,0)),2)</f>
        <v>65579.399999999994</v>
      </c>
      <c r="M141" s="147">
        <f>INDEX('Master Data'!$C$75:$O$299,MATCH(A141,'Master Data'!$B$75:$B$299,0),MATCH($M$1,'Master Data'!$C$74:$O$74,0))</f>
        <v>1.88</v>
      </c>
      <c r="N141" s="148">
        <f>ROUND(M141*INDEX('Master Data'!$F$4:$K$12,MATCH($M$1,'Master Data'!$E$4:$E$12,0),MATCH(C141,'Master Data'!$F$3:$K$3,0)),2)</f>
        <v>89678.99</v>
      </c>
      <c r="O141" s="147">
        <f>INDEX('Master Data'!$C$75:$O$299,MATCH(A141,'Master Data'!$B$75:$B$299,0),MATCH($O$1,'Master Data'!$C$74:$O$74,0))</f>
        <v>0.23</v>
      </c>
      <c r="P141" s="148">
        <f>ROUND(O141*INDEX('Master Data'!$F$4:$K$12,MATCH($O$1,'Master Data'!$E$4:$E$12,0),MATCH(C141,'Master Data'!$F$3:$K$3,0)),2)</f>
        <v>7176</v>
      </c>
      <c r="Q141" s="147">
        <f>INDEX('Master Data'!$C$75:$O$299,MATCH(A141,'Master Data'!$B$75:$B$299,0),MATCH($Q$1,'Master Data'!$C$74:$O$74,0))</f>
        <v>0.12</v>
      </c>
      <c r="R141" s="148">
        <f>ROUND(Q141*INDEX('Master Data'!$F$4:$K$12,MATCH($Q$1,'Master Data'!$E$4:$E$12,0),MATCH(C141,'Master Data'!$F$3:$K$3,0)),2)</f>
        <v>5621.09</v>
      </c>
      <c r="S141" s="147">
        <f>INDEX('Master Data'!$C$75:$O$299,MATCH(A141,'Master Data'!$B$75:$B$299,0),MATCH($S$1,'Master Data'!$C$74:$O$74,0))</f>
        <v>0</v>
      </c>
      <c r="T141" s="148">
        <f>ROUND(S141*INDEX('Master Data'!$F$4:$K$12,MATCH($S$1,'Master Data'!$E$4:$E$12,0),MATCH(C141,'Master Data'!$F$3:$K$3,0)),2)</f>
        <v>0</v>
      </c>
      <c r="U141" s="147">
        <f>INDEX('Master Data'!$C$75:$O$299,MATCH(A141,'Master Data'!$B$75:$B$299,0),MATCH($U$1,'Master Data'!$C$74:$O$74,0))</f>
        <v>0</v>
      </c>
      <c r="V141" s="148">
        <f>ROUND(U141*INDEX('Master Data'!$F$4:$K$12,MATCH($U$1,'Master Data'!$E$4:$E$12,0),MATCH(C141,'Master Data'!$F$3:$K$3,0)),2)</f>
        <v>0</v>
      </c>
      <c r="W141" s="149">
        <f t="shared" si="20"/>
        <v>811192.17999999993</v>
      </c>
      <c r="X141" s="148">
        <f>ROUND(W141*('Master Data'!$B$54),2)</f>
        <v>202554.69</v>
      </c>
      <c r="Y141" s="149">
        <f t="shared" si="16"/>
        <v>1013746.8699999999</v>
      </c>
      <c r="Z141" s="147">
        <f>52*INDEX('Master Data'!$C$75:$O$299,MATCH(A141,'Master Data'!$B$75:$B$299,0),MATCH($Z$1,'Master Data'!$C$74:$O$74,0))</f>
        <v>104</v>
      </c>
      <c r="AA141" s="148">
        <f>Z141*('Master Data'!$F$15)</f>
        <v>7841.6</v>
      </c>
      <c r="AB141" s="147">
        <f>52*INDEX('Master Data'!$C$75:$O$299,MATCH(A141,'Master Data'!$B$75:$B$299,0),MATCH($AB$1,'Master Data'!$C$74:$O$74,0))</f>
        <v>156</v>
      </c>
      <c r="AC141" s="148">
        <f>AB141*('Master Data'!$F$16)</f>
        <v>11281.919999999998</v>
      </c>
      <c r="AD141" s="149">
        <f t="shared" si="21"/>
        <v>19123.519999999997</v>
      </c>
      <c r="AE141" s="148">
        <f>INDEX('Master Data'!$D$58:$D$60,MATCH(D141,'Master Data'!$B$58:$B$60,0))</f>
        <v>24321.56</v>
      </c>
      <c r="AF141" s="148">
        <f>INDEX('Master Data'!$E$58:$E$60,MATCH(D141,'Master Data'!$B$58:$B$60,0))</f>
        <v>2233.8000000000002</v>
      </c>
      <c r="AG141" s="148">
        <f>INDEX('Master Data'!$F$58:$F$60,MATCH(D141,'Master Data'!$B$58:$B$60,0))</f>
        <v>6471.45</v>
      </c>
      <c r="AH141" s="149">
        <f t="shared" si="13"/>
        <v>1065897.2</v>
      </c>
      <c r="AI141" s="148">
        <f>ROUND(AH141*('Master Data'!$C$54),2)</f>
        <v>127907.66</v>
      </c>
      <c r="AJ141" s="148">
        <f>ROUND(SUM(AH141:AI141,AK141)*('Master Data'!$E$54),2)</f>
        <v>35765.25</v>
      </c>
      <c r="AK141" s="148">
        <f>ROUND(W141*('Master Data'!$F$54),2)</f>
        <v>0</v>
      </c>
      <c r="AL141" s="149">
        <f t="shared" si="14"/>
        <v>1229570.1099999999</v>
      </c>
      <c r="AM141" s="140">
        <f t="shared" si="15"/>
        <v>3543.43</v>
      </c>
      <c r="AN141" s="121"/>
      <c r="AO141" s="121"/>
      <c r="AP141" s="121"/>
      <c r="AQ141" s="121"/>
      <c r="AR141" s="121"/>
      <c r="AS141" s="121"/>
    </row>
    <row r="142" spans="1:45">
      <c r="A142" s="121" t="s">
        <v>275</v>
      </c>
      <c r="B142" s="121" t="str">
        <f t="shared" si="8"/>
        <v xml:space="preserve"> </v>
      </c>
      <c r="C142" s="121" t="str">
        <f t="shared" si="19"/>
        <v xml:space="preserve">Intermediate  </v>
      </c>
      <c r="D142" s="121" t="str">
        <f>INDEX('Master Data'!$C$75:$C$299,MATCH(A142,'Master Data'!$B$75:$B$299,0))</f>
        <v>4+</v>
      </c>
      <c r="E142" s="147">
        <f>INDEX('Master Data'!$C$75:$O$299,MATCH(A142,'Master Data'!$B$75:$B$299,0),MATCH($E$1,'Master Data'!$C$74:$O$74,0))</f>
        <v>0.41</v>
      </c>
      <c r="F142" s="148">
        <f>ROUND(E142*INDEX('Master Data'!$F$4:$K$12,MATCH($E$1,'Master Data'!$E$4:$E$12,0),MATCH(C142,'Master Data'!$F$3:$K$3,0)),2)</f>
        <v>33409.629999999997</v>
      </c>
      <c r="G142" s="147">
        <f>INDEX('Master Data'!$C$75:$O$299,MATCH(A142,'Master Data'!$B$75:$B$299,0),MATCH($G$1,'Master Data'!$C$74:$O$74,0))</f>
        <v>1</v>
      </c>
      <c r="H142" s="148">
        <f>ROUND(G142*INDEX('Master Data'!$F$4:$K$12,MATCH($G$1,'Master Data'!$E$4:$E$12,0),MATCH(C142,'Master Data'!$F$3:$K$3,0)),2)</f>
        <v>56388.63</v>
      </c>
      <c r="I142" s="147">
        <f>INDEX('Master Data'!$C$75:$O$299,MATCH(A142,'Master Data'!$B$75:$B$299,0),MATCH($I$1,'Master Data'!$C$74:$O$74,0))</f>
        <v>12.1</v>
      </c>
      <c r="J142" s="148">
        <f>ROUND(I142*INDEX('Master Data'!$F$4:$K$12,MATCH($I$1,'Master Data'!$E$4:$E$12,0),MATCH(C142,'Master Data'!$F$3:$K$3,0)),2)</f>
        <v>577189.24</v>
      </c>
      <c r="K142" s="147">
        <f>INDEX('Master Data'!$C$75:$O$299,MATCH(A142,'Master Data'!$B$75:$B$299,0),MATCH($K$1,'Master Data'!$C$74:$O$74,0))</f>
        <v>1.4</v>
      </c>
      <c r="L142" s="148">
        <f>ROUND(K142*INDEX('Master Data'!$F$4:$K$12,MATCH($K$1,'Master Data'!$E$4:$E$12,0),MATCH(C142,'Master Data'!$F$3:$K$3,0)),2)</f>
        <v>65579.399999999994</v>
      </c>
      <c r="M142" s="147">
        <f>INDEX('Master Data'!$C$75:$O$299,MATCH(A142,'Master Data'!$B$75:$B$299,0),MATCH($M$1,'Master Data'!$C$74:$O$74,0))</f>
        <v>1.96</v>
      </c>
      <c r="N142" s="148">
        <f>ROUND(M142*INDEX('Master Data'!$F$4:$K$12,MATCH($M$1,'Master Data'!$E$4:$E$12,0),MATCH(C142,'Master Data'!$F$3:$K$3,0)),2)</f>
        <v>93495.12</v>
      </c>
      <c r="O142" s="147">
        <f>INDEX('Master Data'!$C$75:$O$299,MATCH(A142,'Master Data'!$B$75:$B$299,0),MATCH($O$1,'Master Data'!$C$74:$O$74,0))</f>
        <v>0.23</v>
      </c>
      <c r="P142" s="148">
        <f>ROUND(O142*INDEX('Master Data'!$F$4:$K$12,MATCH($O$1,'Master Data'!$E$4:$E$12,0),MATCH(C142,'Master Data'!$F$3:$K$3,0)),2)</f>
        <v>7176</v>
      </c>
      <c r="Q142" s="147">
        <f>INDEX('Master Data'!$C$75:$O$299,MATCH(A142,'Master Data'!$B$75:$B$299,0),MATCH($Q$1,'Master Data'!$C$74:$O$74,0))</f>
        <v>0.12</v>
      </c>
      <c r="R142" s="148">
        <f>ROUND(Q142*INDEX('Master Data'!$F$4:$K$12,MATCH($Q$1,'Master Data'!$E$4:$E$12,0),MATCH(C142,'Master Data'!$F$3:$K$3,0)),2)</f>
        <v>5621.09</v>
      </c>
      <c r="S142" s="147">
        <f>INDEX('Master Data'!$C$75:$O$299,MATCH(A142,'Master Data'!$B$75:$B$299,0),MATCH($S$1,'Master Data'!$C$74:$O$74,0))</f>
        <v>0</v>
      </c>
      <c r="T142" s="148">
        <f>ROUND(S142*INDEX('Master Data'!$F$4:$K$12,MATCH($S$1,'Master Data'!$E$4:$E$12,0),MATCH(C142,'Master Data'!$F$3:$K$3,0)),2)</f>
        <v>0</v>
      </c>
      <c r="U142" s="147">
        <f>INDEX('Master Data'!$C$75:$O$299,MATCH(A142,'Master Data'!$B$75:$B$299,0),MATCH($U$1,'Master Data'!$C$74:$O$74,0))</f>
        <v>0</v>
      </c>
      <c r="V142" s="148">
        <f>ROUND(U142*INDEX('Master Data'!$F$4:$K$12,MATCH($U$1,'Master Data'!$E$4:$E$12,0),MATCH(C142,'Master Data'!$F$3:$K$3,0)),2)</f>
        <v>0</v>
      </c>
      <c r="W142" s="149">
        <f t="shared" si="20"/>
        <v>838859.11</v>
      </c>
      <c r="X142" s="148">
        <f>ROUND(W142*('Master Data'!$B$54),2)</f>
        <v>209463.12</v>
      </c>
      <c r="Y142" s="149">
        <f t="shared" si="16"/>
        <v>1048322.23</v>
      </c>
      <c r="Z142" s="147">
        <f>52*INDEX('Master Data'!$C$75:$O$299,MATCH(A142,'Master Data'!$B$75:$B$299,0),MATCH($Z$1,'Master Data'!$C$74:$O$74,0))</f>
        <v>104</v>
      </c>
      <c r="AA142" s="148">
        <f>Z142*('Master Data'!$F$15)</f>
        <v>7841.6</v>
      </c>
      <c r="AB142" s="147">
        <f>52*INDEX('Master Data'!$C$75:$O$299,MATCH(A142,'Master Data'!$B$75:$B$299,0),MATCH($AB$1,'Master Data'!$C$74:$O$74,0))</f>
        <v>156</v>
      </c>
      <c r="AC142" s="148">
        <f>AB142*('Master Data'!$F$16)</f>
        <v>11281.919999999998</v>
      </c>
      <c r="AD142" s="149">
        <f t="shared" si="21"/>
        <v>19123.519999999997</v>
      </c>
      <c r="AE142" s="148">
        <f>INDEX('Master Data'!$D$58:$D$60,MATCH(D142,'Master Data'!$B$58:$B$60,0))</f>
        <v>24321.56</v>
      </c>
      <c r="AF142" s="148">
        <f>INDEX('Master Data'!$E$58:$E$60,MATCH(D142,'Master Data'!$B$58:$B$60,0))</f>
        <v>2233.8000000000002</v>
      </c>
      <c r="AG142" s="148">
        <f>INDEX('Master Data'!$F$58:$F$60,MATCH(D142,'Master Data'!$B$58:$B$60,0))</f>
        <v>6471.45</v>
      </c>
      <c r="AH142" s="149">
        <f t="shared" si="13"/>
        <v>1100472.56</v>
      </c>
      <c r="AI142" s="148">
        <f>ROUND(AH142*('Master Data'!$C$54),2)</f>
        <v>132056.71</v>
      </c>
      <c r="AJ142" s="148">
        <f>ROUND(SUM(AH142:AI142,AK142)*('Master Data'!$E$54),2)</f>
        <v>36925.4</v>
      </c>
      <c r="AK142" s="148">
        <f>ROUND(W142*('Master Data'!$F$54),2)</f>
        <v>0</v>
      </c>
      <c r="AL142" s="149">
        <f t="shared" si="14"/>
        <v>1269454.67</v>
      </c>
      <c r="AM142" s="140">
        <f t="shared" si="15"/>
        <v>3658.37</v>
      </c>
      <c r="AN142" s="121"/>
      <c r="AO142" s="121"/>
      <c r="AP142" s="121"/>
      <c r="AQ142" s="121"/>
      <c r="AR142" s="121"/>
      <c r="AS142" s="121"/>
    </row>
    <row r="143" spans="1:45">
      <c r="A143" s="121" t="s">
        <v>276</v>
      </c>
      <c r="B143" s="121" t="str">
        <f t="shared" si="8"/>
        <v xml:space="preserve"> </v>
      </c>
      <c r="C143" s="121" t="str">
        <f t="shared" si="19"/>
        <v xml:space="preserve">Intermediate  </v>
      </c>
      <c r="D143" s="121" t="str">
        <f>INDEX('Master Data'!$C$75:$C$299,MATCH(A143,'Master Data'!$B$75:$B$299,0))</f>
        <v>4+</v>
      </c>
      <c r="E143" s="147">
        <f>INDEX('Master Data'!$C$75:$O$299,MATCH(A143,'Master Data'!$B$75:$B$299,0),MATCH($E$1,'Master Data'!$C$74:$O$74,0))</f>
        <v>0.41</v>
      </c>
      <c r="F143" s="148">
        <f>ROUND(E143*INDEX('Master Data'!$F$4:$K$12,MATCH($E$1,'Master Data'!$E$4:$E$12,0),MATCH(C143,'Master Data'!$F$3:$K$3,0)),2)</f>
        <v>33409.629999999997</v>
      </c>
      <c r="G143" s="147">
        <f>INDEX('Master Data'!$C$75:$O$299,MATCH(A143,'Master Data'!$B$75:$B$299,0),MATCH($G$1,'Master Data'!$C$74:$O$74,0))</f>
        <v>1</v>
      </c>
      <c r="H143" s="148">
        <f>ROUND(G143*INDEX('Master Data'!$F$4:$K$12,MATCH($G$1,'Master Data'!$E$4:$E$12,0),MATCH(C143,'Master Data'!$F$3:$K$3,0)),2)</f>
        <v>56388.63</v>
      </c>
      <c r="I143" s="147">
        <f>INDEX('Master Data'!$C$75:$O$299,MATCH(A143,'Master Data'!$B$75:$B$299,0),MATCH($I$1,'Master Data'!$C$74:$O$74,0))</f>
        <v>12.6</v>
      </c>
      <c r="J143" s="148">
        <f>ROUND(I143*INDEX('Master Data'!$F$4:$K$12,MATCH($I$1,'Master Data'!$E$4:$E$12,0),MATCH(C143,'Master Data'!$F$3:$K$3,0)),2)</f>
        <v>601040.03</v>
      </c>
      <c r="K143" s="147">
        <f>INDEX('Master Data'!$C$75:$O$299,MATCH(A143,'Master Data'!$B$75:$B$299,0),MATCH($K$1,'Master Data'!$C$74:$O$74,0))</f>
        <v>1.4</v>
      </c>
      <c r="L143" s="148">
        <f>ROUND(K143*INDEX('Master Data'!$F$4:$K$12,MATCH($K$1,'Master Data'!$E$4:$E$12,0),MATCH(C143,'Master Data'!$F$3:$K$3,0)),2)</f>
        <v>65579.399999999994</v>
      </c>
      <c r="M143" s="147">
        <f>INDEX('Master Data'!$C$75:$O$299,MATCH(A143,'Master Data'!$B$75:$B$299,0),MATCH($M$1,'Master Data'!$C$74:$O$74,0))</f>
        <v>2.04</v>
      </c>
      <c r="N143" s="148">
        <f>ROUND(M143*INDEX('Master Data'!$F$4:$K$12,MATCH($M$1,'Master Data'!$E$4:$E$12,0),MATCH(C143,'Master Data'!$F$3:$K$3,0)),2)</f>
        <v>97311.24</v>
      </c>
      <c r="O143" s="147">
        <f>INDEX('Master Data'!$C$75:$O$299,MATCH(A143,'Master Data'!$B$75:$B$299,0),MATCH($O$1,'Master Data'!$C$74:$O$74,0))</f>
        <v>0.23</v>
      </c>
      <c r="P143" s="148">
        <f>ROUND(O143*INDEX('Master Data'!$F$4:$K$12,MATCH($O$1,'Master Data'!$E$4:$E$12,0),MATCH(C143,'Master Data'!$F$3:$K$3,0)),2)</f>
        <v>7176</v>
      </c>
      <c r="Q143" s="147">
        <f>INDEX('Master Data'!$C$75:$O$299,MATCH(A143,'Master Data'!$B$75:$B$299,0),MATCH($Q$1,'Master Data'!$C$74:$O$74,0))</f>
        <v>0.12</v>
      </c>
      <c r="R143" s="148">
        <f>ROUND(Q143*INDEX('Master Data'!$F$4:$K$12,MATCH($Q$1,'Master Data'!$E$4:$E$12,0),MATCH(C143,'Master Data'!$F$3:$K$3,0)),2)</f>
        <v>5621.09</v>
      </c>
      <c r="S143" s="147">
        <f>INDEX('Master Data'!$C$75:$O$299,MATCH(A143,'Master Data'!$B$75:$B$299,0),MATCH($S$1,'Master Data'!$C$74:$O$74,0))</f>
        <v>0</v>
      </c>
      <c r="T143" s="148">
        <f>ROUND(S143*INDEX('Master Data'!$F$4:$K$12,MATCH($S$1,'Master Data'!$E$4:$E$12,0),MATCH(C143,'Master Data'!$F$3:$K$3,0)),2)</f>
        <v>0</v>
      </c>
      <c r="U143" s="147">
        <f>INDEX('Master Data'!$C$75:$O$299,MATCH(A143,'Master Data'!$B$75:$B$299,0),MATCH($U$1,'Master Data'!$C$74:$O$74,0))</f>
        <v>0</v>
      </c>
      <c r="V143" s="148">
        <f>ROUND(U143*INDEX('Master Data'!$F$4:$K$12,MATCH($U$1,'Master Data'!$E$4:$E$12,0),MATCH(C143,'Master Data'!$F$3:$K$3,0)),2)</f>
        <v>0</v>
      </c>
      <c r="W143" s="149">
        <f t="shared" si="20"/>
        <v>866526.02</v>
      </c>
      <c r="X143" s="148">
        <f>ROUND(W143*('Master Data'!$B$54),2)</f>
        <v>216371.55</v>
      </c>
      <c r="Y143" s="149">
        <f t="shared" si="16"/>
        <v>1082897.57</v>
      </c>
      <c r="Z143" s="147">
        <f>52*INDEX('Master Data'!$C$75:$O$299,MATCH(A143,'Master Data'!$B$75:$B$299,0),MATCH($Z$1,'Master Data'!$C$74:$O$74,0))</f>
        <v>104</v>
      </c>
      <c r="AA143" s="148">
        <f>Z143*('Master Data'!$F$15)</f>
        <v>7841.6</v>
      </c>
      <c r="AB143" s="147">
        <f>52*INDEX('Master Data'!$C$75:$O$299,MATCH(A143,'Master Data'!$B$75:$B$299,0),MATCH($AB$1,'Master Data'!$C$74:$O$74,0))</f>
        <v>156</v>
      </c>
      <c r="AC143" s="148">
        <f>AB143*('Master Data'!$F$16)</f>
        <v>11281.919999999998</v>
      </c>
      <c r="AD143" s="149">
        <f t="shared" si="21"/>
        <v>19123.519999999997</v>
      </c>
      <c r="AE143" s="148">
        <f>INDEX('Master Data'!$D$58:$D$60,MATCH(D143,'Master Data'!$B$58:$B$60,0))</f>
        <v>24321.56</v>
      </c>
      <c r="AF143" s="148">
        <f>INDEX('Master Data'!$E$58:$E$60,MATCH(D143,'Master Data'!$B$58:$B$60,0))</f>
        <v>2233.8000000000002</v>
      </c>
      <c r="AG143" s="148">
        <f>INDEX('Master Data'!$F$58:$F$60,MATCH(D143,'Master Data'!$B$58:$B$60,0))</f>
        <v>6471.45</v>
      </c>
      <c r="AH143" s="149">
        <f t="shared" si="13"/>
        <v>1135047.9000000001</v>
      </c>
      <c r="AI143" s="148">
        <f>ROUND(AH143*('Master Data'!$C$54),2)</f>
        <v>136205.75</v>
      </c>
      <c r="AJ143" s="148">
        <f>ROUND(SUM(AH143:AI143,AK143)*('Master Data'!$E$54),2)</f>
        <v>38085.54</v>
      </c>
      <c r="AK143" s="148">
        <f>ROUND(W143*('Master Data'!$F$54),2)</f>
        <v>0</v>
      </c>
      <c r="AL143" s="149">
        <f t="shared" si="14"/>
        <v>1309339.1900000002</v>
      </c>
      <c r="AM143" s="140">
        <f t="shared" si="15"/>
        <v>3773.31</v>
      </c>
      <c r="AN143" s="121"/>
      <c r="AO143" s="121"/>
      <c r="AP143" s="121"/>
      <c r="AQ143" s="121"/>
      <c r="AR143" s="121"/>
      <c r="AS143" s="121"/>
    </row>
    <row r="144" spans="1:45">
      <c r="A144" s="121" t="s">
        <v>277</v>
      </c>
      <c r="B144" s="121" t="str">
        <f t="shared" si="8"/>
        <v xml:space="preserve"> </v>
      </c>
      <c r="C144" s="121" t="str">
        <f t="shared" si="19"/>
        <v xml:space="preserve">Intermediate  </v>
      </c>
      <c r="D144" s="121" t="str">
        <f>INDEX('Master Data'!$C$75:$C$299,MATCH(A144,'Master Data'!$B$75:$B$299,0))</f>
        <v>4+</v>
      </c>
      <c r="E144" s="147">
        <f>INDEX('Master Data'!$C$75:$O$299,MATCH(A144,'Master Data'!$B$75:$B$299,0),MATCH($E$1,'Master Data'!$C$74:$O$74,0))</f>
        <v>0.41</v>
      </c>
      <c r="F144" s="148">
        <f>ROUND(E144*INDEX('Master Data'!$F$4:$K$12,MATCH($E$1,'Master Data'!$E$4:$E$12,0),MATCH(C144,'Master Data'!$F$3:$K$3,0)),2)</f>
        <v>33409.629999999997</v>
      </c>
      <c r="G144" s="147">
        <f>INDEX('Master Data'!$C$75:$O$299,MATCH(A144,'Master Data'!$B$75:$B$299,0),MATCH($G$1,'Master Data'!$C$74:$O$74,0))</f>
        <v>1</v>
      </c>
      <c r="H144" s="148">
        <f>ROUND(G144*INDEX('Master Data'!$F$4:$K$12,MATCH($G$1,'Master Data'!$E$4:$E$12,0),MATCH(C144,'Master Data'!$F$3:$K$3,0)),2)</f>
        <v>56388.63</v>
      </c>
      <c r="I144" s="147">
        <f>INDEX('Master Data'!$C$75:$O$299,MATCH(A144,'Master Data'!$B$75:$B$299,0),MATCH($I$1,'Master Data'!$C$74:$O$74,0))</f>
        <v>13.1</v>
      </c>
      <c r="J144" s="148">
        <f>ROUND(I144*INDEX('Master Data'!$F$4:$K$12,MATCH($I$1,'Master Data'!$E$4:$E$12,0),MATCH(C144,'Master Data'!$F$3:$K$3,0)),2)</f>
        <v>624890.82999999996</v>
      </c>
      <c r="K144" s="147">
        <f>INDEX('Master Data'!$C$75:$O$299,MATCH(A144,'Master Data'!$B$75:$B$299,0),MATCH($K$1,'Master Data'!$C$74:$O$74,0))</f>
        <v>1.4</v>
      </c>
      <c r="L144" s="148">
        <f>ROUND(K144*INDEX('Master Data'!$F$4:$K$12,MATCH($K$1,'Master Data'!$E$4:$E$12,0),MATCH(C144,'Master Data'!$F$3:$K$3,0)),2)</f>
        <v>65579.399999999994</v>
      </c>
      <c r="M144" s="147">
        <f>INDEX('Master Data'!$C$75:$O$299,MATCH(A144,'Master Data'!$B$75:$B$299,0),MATCH($M$1,'Master Data'!$C$74:$O$74,0))</f>
        <v>2.12</v>
      </c>
      <c r="N144" s="148">
        <f>ROUND(M144*INDEX('Master Data'!$F$4:$K$12,MATCH($M$1,'Master Data'!$E$4:$E$12,0),MATCH(C144,'Master Data'!$F$3:$K$3,0)),2)</f>
        <v>101127.37</v>
      </c>
      <c r="O144" s="147">
        <f>INDEX('Master Data'!$C$75:$O$299,MATCH(A144,'Master Data'!$B$75:$B$299,0),MATCH($O$1,'Master Data'!$C$74:$O$74,0))</f>
        <v>0.23</v>
      </c>
      <c r="P144" s="148">
        <f>ROUND(O144*INDEX('Master Data'!$F$4:$K$12,MATCH($O$1,'Master Data'!$E$4:$E$12,0),MATCH(C144,'Master Data'!$F$3:$K$3,0)),2)</f>
        <v>7176</v>
      </c>
      <c r="Q144" s="147">
        <f>INDEX('Master Data'!$C$75:$O$299,MATCH(A144,'Master Data'!$B$75:$B$299,0),MATCH($Q$1,'Master Data'!$C$74:$O$74,0))</f>
        <v>0.12</v>
      </c>
      <c r="R144" s="148">
        <f>ROUND(Q144*INDEX('Master Data'!$F$4:$K$12,MATCH($Q$1,'Master Data'!$E$4:$E$12,0),MATCH(C144,'Master Data'!$F$3:$K$3,0)),2)</f>
        <v>5621.09</v>
      </c>
      <c r="S144" s="147">
        <f>INDEX('Master Data'!$C$75:$O$299,MATCH(A144,'Master Data'!$B$75:$B$299,0),MATCH($S$1,'Master Data'!$C$74:$O$74,0))</f>
        <v>0</v>
      </c>
      <c r="T144" s="148">
        <f>ROUND(S144*INDEX('Master Data'!$F$4:$K$12,MATCH($S$1,'Master Data'!$E$4:$E$12,0),MATCH(C144,'Master Data'!$F$3:$K$3,0)),2)</f>
        <v>0</v>
      </c>
      <c r="U144" s="147">
        <f>INDEX('Master Data'!$C$75:$O$299,MATCH(A144,'Master Data'!$B$75:$B$299,0),MATCH($U$1,'Master Data'!$C$74:$O$74,0))</f>
        <v>0</v>
      </c>
      <c r="V144" s="148">
        <f>ROUND(U144*INDEX('Master Data'!$F$4:$K$12,MATCH($U$1,'Master Data'!$E$4:$E$12,0),MATCH(C144,'Master Data'!$F$3:$K$3,0)),2)</f>
        <v>0</v>
      </c>
      <c r="W144" s="149">
        <f t="shared" si="20"/>
        <v>894192.95</v>
      </c>
      <c r="X144" s="148">
        <f>ROUND(W144*('Master Data'!$B$54),2)</f>
        <v>223279.98</v>
      </c>
      <c r="Y144" s="149">
        <f t="shared" si="16"/>
        <v>1117472.93</v>
      </c>
      <c r="Z144" s="147">
        <f>52*INDEX('Master Data'!$C$75:$O$299,MATCH(A144,'Master Data'!$B$75:$B$299,0),MATCH($Z$1,'Master Data'!$C$74:$O$74,0))</f>
        <v>104</v>
      </c>
      <c r="AA144" s="148">
        <f>Z144*('Master Data'!$F$15)</f>
        <v>7841.6</v>
      </c>
      <c r="AB144" s="147">
        <f>52*INDEX('Master Data'!$C$75:$O$299,MATCH(A144,'Master Data'!$B$75:$B$299,0),MATCH($AB$1,'Master Data'!$C$74:$O$74,0))</f>
        <v>156</v>
      </c>
      <c r="AC144" s="148">
        <f>AB144*('Master Data'!$F$16)</f>
        <v>11281.919999999998</v>
      </c>
      <c r="AD144" s="149">
        <f t="shared" si="21"/>
        <v>19123.519999999997</v>
      </c>
      <c r="AE144" s="148">
        <f>INDEX('Master Data'!$D$58:$D$60,MATCH(D144,'Master Data'!$B$58:$B$60,0))</f>
        <v>24321.56</v>
      </c>
      <c r="AF144" s="148">
        <f>INDEX('Master Data'!$E$58:$E$60,MATCH(D144,'Master Data'!$B$58:$B$60,0))</f>
        <v>2233.8000000000002</v>
      </c>
      <c r="AG144" s="148">
        <f>INDEX('Master Data'!$F$58:$F$60,MATCH(D144,'Master Data'!$B$58:$B$60,0))</f>
        <v>6471.45</v>
      </c>
      <c r="AH144" s="149">
        <f t="shared" si="13"/>
        <v>1169623.26</v>
      </c>
      <c r="AI144" s="148">
        <f>ROUND(AH144*('Master Data'!$C$54),2)</f>
        <v>140354.79</v>
      </c>
      <c r="AJ144" s="148">
        <f>ROUND(SUM(AH144:AI144,AK144)*('Master Data'!$E$54),2)</f>
        <v>39245.69</v>
      </c>
      <c r="AK144" s="148">
        <f>ROUND(W144*('Master Data'!$F$54),2)</f>
        <v>0</v>
      </c>
      <c r="AL144" s="149">
        <f t="shared" si="14"/>
        <v>1349223.74</v>
      </c>
      <c r="AM144" s="140">
        <f t="shared" si="15"/>
        <v>3888.25</v>
      </c>
      <c r="AN144" s="121"/>
      <c r="AO144" s="121"/>
      <c r="AP144" s="121"/>
      <c r="AQ144" s="121"/>
      <c r="AR144" s="121"/>
      <c r="AS144" s="121"/>
    </row>
    <row r="145" spans="1:45">
      <c r="A145" s="121" t="s">
        <v>278</v>
      </c>
      <c r="B145" s="121" t="str">
        <f t="shared" si="8"/>
        <v xml:space="preserve"> </v>
      </c>
      <c r="C145" s="121" t="str">
        <f t="shared" si="19"/>
        <v xml:space="preserve">Intermediate  </v>
      </c>
      <c r="D145" s="121" t="str">
        <f>INDEX('Master Data'!$C$75:$C$299,MATCH(A145,'Master Data'!$B$75:$B$299,0))</f>
        <v>4+</v>
      </c>
      <c r="E145" s="147">
        <f>INDEX('Master Data'!$C$75:$O$299,MATCH(A145,'Master Data'!$B$75:$B$299,0),MATCH($E$1,'Master Data'!$C$74:$O$74,0))</f>
        <v>0.41</v>
      </c>
      <c r="F145" s="148">
        <f>ROUND(E145*INDEX('Master Data'!$F$4:$K$12,MATCH($E$1,'Master Data'!$E$4:$E$12,0),MATCH(C145,'Master Data'!$F$3:$K$3,0)),2)</f>
        <v>33409.629999999997</v>
      </c>
      <c r="G145" s="147">
        <f>INDEX('Master Data'!$C$75:$O$299,MATCH(A145,'Master Data'!$B$75:$B$299,0),MATCH($G$1,'Master Data'!$C$74:$O$74,0))</f>
        <v>1</v>
      </c>
      <c r="H145" s="148">
        <f>ROUND(G145*INDEX('Master Data'!$F$4:$K$12,MATCH($G$1,'Master Data'!$E$4:$E$12,0),MATCH(C145,'Master Data'!$F$3:$K$3,0)),2)</f>
        <v>56388.63</v>
      </c>
      <c r="I145" s="147">
        <f>INDEX('Master Data'!$C$75:$O$299,MATCH(A145,'Master Data'!$B$75:$B$299,0),MATCH($I$1,'Master Data'!$C$74:$O$74,0))</f>
        <v>13.6</v>
      </c>
      <c r="J145" s="148">
        <f>ROUND(I145*INDEX('Master Data'!$F$4:$K$12,MATCH($I$1,'Master Data'!$E$4:$E$12,0),MATCH(C145,'Master Data'!$F$3:$K$3,0)),2)</f>
        <v>648741.62</v>
      </c>
      <c r="K145" s="147">
        <f>INDEX('Master Data'!$C$75:$O$299,MATCH(A145,'Master Data'!$B$75:$B$299,0),MATCH($K$1,'Master Data'!$C$74:$O$74,0))</f>
        <v>1.4</v>
      </c>
      <c r="L145" s="148">
        <f>ROUND(K145*INDEX('Master Data'!$F$4:$K$12,MATCH($K$1,'Master Data'!$E$4:$E$12,0),MATCH(C145,'Master Data'!$F$3:$K$3,0)),2)</f>
        <v>65579.399999999994</v>
      </c>
      <c r="M145" s="147">
        <f>INDEX('Master Data'!$C$75:$O$299,MATCH(A145,'Master Data'!$B$75:$B$299,0),MATCH($M$1,'Master Data'!$C$74:$O$74,0))</f>
        <v>2.2000000000000002</v>
      </c>
      <c r="N145" s="148">
        <f>ROUND(M145*INDEX('Master Data'!$F$4:$K$12,MATCH($M$1,'Master Data'!$E$4:$E$12,0),MATCH(C145,'Master Data'!$F$3:$K$3,0)),2)</f>
        <v>104943.5</v>
      </c>
      <c r="O145" s="147">
        <f>INDEX('Master Data'!$C$75:$O$299,MATCH(A145,'Master Data'!$B$75:$B$299,0),MATCH($O$1,'Master Data'!$C$74:$O$74,0))</f>
        <v>0.23</v>
      </c>
      <c r="P145" s="148">
        <f>ROUND(O145*INDEX('Master Data'!$F$4:$K$12,MATCH($O$1,'Master Data'!$E$4:$E$12,0),MATCH(C145,'Master Data'!$F$3:$K$3,0)),2)</f>
        <v>7176</v>
      </c>
      <c r="Q145" s="147">
        <f>INDEX('Master Data'!$C$75:$O$299,MATCH(A145,'Master Data'!$B$75:$B$299,0),MATCH($Q$1,'Master Data'!$C$74:$O$74,0))</f>
        <v>0.12</v>
      </c>
      <c r="R145" s="148">
        <f>ROUND(Q145*INDEX('Master Data'!$F$4:$K$12,MATCH($Q$1,'Master Data'!$E$4:$E$12,0),MATCH(C145,'Master Data'!$F$3:$K$3,0)),2)</f>
        <v>5621.09</v>
      </c>
      <c r="S145" s="147">
        <f>INDEX('Master Data'!$C$75:$O$299,MATCH(A145,'Master Data'!$B$75:$B$299,0),MATCH($S$1,'Master Data'!$C$74:$O$74,0))</f>
        <v>0</v>
      </c>
      <c r="T145" s="148">
        <f>ROUND(S145*INDEX('Master Data'!$F$4:$K$12,MATCH($S$1,'Master Data'!$E$4:$E$12,0),MATCH(C145,'Master Data'!$F$3:$K$3,0)),2)</f>
        <v>0</v>
      </c>
      <c r="U145" s="147">
        <f>INDEX('Master Data'!$C$75:$O$299,MATCH(A145,'Master Data'!$B$75:$B$299,0),MATCH($U$1,'Master Data'!$C$74:$O$74,0))</f>
        <v>0</v>
      </c>
      <c r="V145" s="148">
        <f>ROUND(U145*INDEX('Master Data'!$F$4:$K$12,MATCH($U$1,'Master Data'!$E$4:$E$12,0),MATCH(C145,'Master Data'!$F$3:$K$3,0)),2)</f>
        <v>0</v>
      </c>
      <c r="W145" s="149">
        <f t="shared" si="20"/>
        <v>921859.87</v>
      </c>
      <c r="X145" s="148">
        <f>ROUND(W145*('Master Data'!$B$54),2)</f>
        <v>230188.41</v>
      </c>
      <c r="Y145" s="149">
        <f t="shared" si="16"/>
        <v>1152048.28</v>
      </c>
      <c r="Z145" s="147">
        <f>52*INDEX('Master Data'!$C$75:$O$299,MATCH(A145,'Master Data'!$B$75:$B$299,0),MATCH($Z$1,'Master Data'!$C$74:$O$74,0))</f>
        <v>104</v>
      </c>
      <c r="AA145" s="148">
        <f>Z145*('Master Data'!$F$15)</f>
        <v>7841.6</v>
      </c>
      <c r="AB145" s="147">
        <f>52*INDEX('Master Data'!$C$75:$O$299,MATCH(A145,'Master Data'!$B$75:$B$299,0),MATCH($AB$1,'Master Data'!$C$74:$O$74,0))</f>
        <v>156</v>
      </c>
      <c r="AC145" s="148">
        <f>AB145*('Master Data'!$F$16)</f>
        <v>11281.919999999998</v>
      </c>
      <c r="AD145" s="149">
        <f t="shared" si="21"/>
        <v>19123.519999999997</v>
      </c>
      <c r="AE145" s="148">
        <f>INDEX('Master Data'!$D$58:$D$60,MATCH(D145,'Master Data'!$B$58:$B$60,0))</f>
        <v>24321.56</v>
      </c>
      <c r="AF145" s="148">
        <f>INDEX('Master Data'!$E$58:$E$60,MATCH(D145,'Master Data'!$B$58:$B$60,0))</f>
        <v>2233.8000000000002</v>
      </c>
      <c r="AG145" s="148">
        <f>INDEX('Master Data'!$F$58:$F$60,MATCH(D145,'Master Data'!$B$58:$B$60,0))</f>
        <v>6471.45</v>
      </c>
      <c r="AH145" s="149">
        <f t="shared" si="13"/>
        <v>1204198.6100000001</v>
      </c>
      <c r="AI145" s="148">
        <f>ROUND(AH145*('Master Data'!$C$54),2)</f>
        <v>144503.82999999999</v>
      </c>
      <c r="AJ145" s="148">
        <f>ROUND(SUM(AH145:AI145,AK145)*('Master Data'!$E$54),2)</f>
        <v>40405.83</v>
      </c>
      <c r="AK145" s="148">
        <f>ROUND(W145*('Master Data'!$F$54),2)</f>
        <v>0</v>
      </c>
      <c r="AL145" s="149">
        <f t="shared" si="14"/>
        <v>1389108.2700000003</v>
      </c>
      <c r="AM145" s="140">
        <f t="shared" si="15"/>
        <v>4003.19</v>
      </c>
      <c r="AN145" s="121"/>
      <c r="AO145" s="121"/>
      <c r="AP145" s="121"/>
      <c r="AQ145" s="121"/>
      <c r="AR145" s="121"/>
      <c r="AS145" s="121"/>
    </row>
    <row r="146" spans="1:45">
      <c r="A146" s="121" t="s">
        <v>279</v>
      </c>
      <c r="B146" s="121" t="str">
        <f t="shared" ref="B146:B209" si="22">IF(LEFT(A146,1)="M",RIGHT(A146,1)," ")</f>
        <v xml:space="preserve"> </v>
      </c>
      <c r="C146" s="121" t="str">
        <f t="shared" si="19"/>
        <v xml:space="preserve">Intermediate  </v>
      </c>
      <c r="D146" s="121" t="str">
        <f>INDEX('Master Data'!$C$75:$C$299,MATCH(A146,'Master Data'!$B$75:$B$299,0))</f>
        <v>4+</v>
      </c>
      <c r="E146" s="147">
        <f>INDEX('Master Data'!$C$75:$O$299,MATCH(A146,'Master Data'!$B$75:$B$299,0),MATCH($E$1,'Master Data'!$C$74:$O$74,0))</f>
        <v>0.41</v>
      </c>
      <c r="F146" s="148">
        <f>ROUND(E146*INDEX('Master Data'!$F$4:$K$12,MATCH($E$1,'Master Data'!$E$4:$E$12,0),MATCH(C146,'Master Data'!$F$3:$K$3,0)),2)</f>
        <v>33409.629999999997</v>
      </c>
      <c r="G146" s="147">
        <f>INDEX('Master Data'!$C$75:$O$299,MATCH(A146,'Master Data'!$B$75:$B$299,0),MATCH($G$1,'Master Data'!$C$74:$O$74,0))</f>
        <v>1</v>
      </c>
      <c r="H146" s="148">
        <f>ROUND(G146*INDEX('Master Data'!$F$4:$K$12,MATCH($G$1,'Master Data'!$E$4:$E$12,0),MATCH(C146,'Master Data'!$F$3:$K$3,0)),2)</f>
        <v>56388.63</v>
      </c>
      <c r="I146" s="147">
        <f>INDEX('Master Data'!$C$75:$O$299,MATCH(A146,'Master Data'!$B$75:$B$299,0),MATCH($I$1,'Master Data'!$C$74:$O$74,0))</f>
        <v>14.1</v>
      </c>
      <c r="J146" s="148">
        <f>ROUND(I146*INDEX('Master Data'!$F$4:$K$12,MATCH($I$1,'Master Data'!$E$4:$E$12,0),MATCH(C146,'Master Data'!$F$3:$K$3,0)),2)</f>
        <v>672592.42</v>
      </c>
      <c r="K146" s="147">
        <f>INDEX('Master Data'!$C$75:$O$299,MATCH(A146,'Master Data'!$B$75:$B$299,0),MATCH($K$1,'Master Data'!$C$74:$O$74,0))</f>
        <v>1.4</v>
      </c>
      <c r="L146" s="148">
        <f>ROUND(K146*INDEX('Master Data'!$F$4:$K$12,MATCH($K$1,'Master Data'!$E$4:$E$12,0),MATCH(C146,'Master Data'!$F$3:$K$3,0)),2)</f>
        <v>65579.399999999994</v>
      </c>
      <c r="M146" s="147">
        <f>INDEX('Master Data'!$C$75:$O$299,MATCH(A146,'Master Data'!$B$75:$B$299,0),MATCH($M$1,'Master Data'!$C$74:$O$74,0))</f>
        <v>2.2799999999999998</v>
      </c>
      <c r="N146" s="148">
        <f>ROUND(M146*INDEX('Master Data'!$F$4:$K$12,MATCH($M$1,'Master Data'!$E$4:$E$12,0),MATCH(C146,'Master Data'!$F$3:$K$3,0)),2)</f>
        <v>108759.63</v>
      </c>
      <c r="O146" s="147">
        <f>INDEX('Master Data'!$C$75:$O$299,MATCH(A146,'Master Data'!$B$75:$B$299,0),MATCH($O$1,'Master Data'!$C$74:$O$74,0))</f>
        <v>0.23</v>
      </c>
      <c r="P146" s="148">
        <f>ROUND(O146*INDEX('Master Data'!$F$4:$K$12,MATCH($O$1,'Master Data'!$E$4:$E$12,0),MATCH(C146,'Master Data'!$F$3:$K$3,0)),2)</f>
        <v>7176</v>
      </c>
      <c r="Q146" s="147">
        <f>INDEX('Master Data'!$C$75:$O$299,MATCH(A146,'Master Data'!$B$75:$B$299,0),MATCH($Q$1,'Master Data'!$C$74:$O$74,0))</f>
        <v>0.12</v>
      </c>
      <c r="R146" s="148">
        <f>ROUND(Q146*INDEX('Master Data'!$F$4:$K$12,MATCH($Q$1,'Master Data'!$E$4:$E$12,0),MATCH(C146,'Master Data'!$F$3:$K$3,0)),2)</f>
        <v>5621.09</v>
      </c>
      <c r="S146" s="147">
        <f>INDEX('Master Data'!$C$75:$O$299,MATCH(A146,'Master Data'!$B$75:$B$299,0),MATCH($S$1,'Master Data'!$C$74:$O$74,0))</f>
        <v>0</v>
      </c>
      <c r="T146" s="148">
        <f>ROUND(S146*INDEX('Master Data'!$F$4:$K$12,MATCH($S$1,'Master Data'!$E$4:$E$12,0),MATCH(C146,'Master Data'!$F$3:$K$3,0)),2)</f>
        <v>0</v>
      </c>
      <c r="U146" s="147">
        <f>INDEX('Master Data'!$C$75:$O$299,MATCH(A146,'Master Data'!$B$75:$B$299,0),MATCH($U$1,'Master Data'!$C$74:$O$74,0))</f>
        <v>0</v>
      </c>
      <c r="V146" s="148">
        <f>ROUND(U146*INDEX('Master Data'!$F$4:$K$12,MATCH($U$1,'Master Data'!$E$4:$E$12,0),MATCH(C146,'Master Data'!$F$3:$K$3,0)),2)</f>
        <v>0</v>
      </c>
      <c r="W146" s="149">
        <f t="shared" si="20"/>
        <v>949526.8</v>
      </c>
      <c r="X146" s="148">
        <f>ROUND(W146*('Master Data'!$B$54),2)</f>
        <v>237096.84</v>
      </c>
      <c r="Y146" s="149">
        <f t="shared" si="16"/>
        <v>1186623.6400000001</v>
      </c>
      <c r="Z146" s="147">
        <f>52*INDEX('Master Data'!$C$75:$O$299,MATCH(A146,'Master Data'!$B$75:$B$299,0),MATCH($Z$1,'Master Data'!$C$74:$O$74,0))</f>
        <v>104</v>
      </c>
      <c r="AA146" s="148">
        <f>Z146*('Master Data'!$F$15)</f>
        <v>7841.6</v>
      </c>
      <c r="AB146" s="147">
        <f>52*INDEX('Master Data'!$C$75:$O$299,MATCH(A146,'Master Data'!$B$75:$B$299,0),MATCH($AB$1,'Master Data'!$C$74:$O$74,0))</f>
        <v>156</v>
      </c>
      <c r="AC146" s="148">
        <f>AB146*('Master Data'!$F$16)</f>
        <v>11281.919999999998</v>
      </c>
      <c r="AD146" s="149">
        <f t="shared" si="21"/>
        <v>19123.519999999997</v>
      </c>
      <c r="AE146" s="148">
        <f>INDEX('Master Data'!$D$58:$D$60,MATCH(D146,'Master Data'!$B$58:$B$60,0))</f>
        <v>24321.56</v>
      </c>
      <c r="AF146" s="148">
        <f>INDEX('Master Data'!$E$58:$E$60,MATCH(D146,'Master Data'!$B$58:$B$60,0))</f>
        <v>2233.8000000000002</v>
      </c>
      <c r="AG146" s="148">
        <f>INDEX('Master Data'!$F$58:$F$60,MATCH(D146,'Master Data'!$B$58:$B$60,0))</f>
        <v>6471.45</v>
      </c>
      <c r="AH146" s="149">
        <f t="shared" si="13"/>
        <v>1238773.9700000002</v>
      </c>
      <c r="AI146" s="148">
        <f>ROUND(AH146*('Master Data'!$C$54),2)</f>
        <v>148652.88</v>
      </c>
      <c r="AJ146" s="148">
        <f>ROUND(SUM(AH146:AI146,AK146)*('Master Data'!$E$54),2)</f>
        <v>41565.980000000003</v>
      </c>
      <c r="AK146" s="148">
        <f>ROUND(W146*('Master Data'!$F$54),2)</f>
        <v>0</v>
      </c>
      <c r="AL146" s="149">
        <f t="shared" si="14"/>
        <v>1428992.83</v>
      </c>
      <c r="AM146" s="140">
        <f t="shared" si="15"/>
        <v>4118.13</v>
      </c>
      <c r="AN146" s="121"/>
      <c r="AO146" s="121"/>
      <c r="AP146" s="121"/>
      <c r="AQ146" s="121"/>
      <c r="AR146" s="121"/>
      <c r="AS146" s="121"/>
    </row>
    <row r="147" spans="1:45">
      <c r="A147" s="121" t="s">
        <v>280</v>
      </c>
      <c r="B147" s="121" t="str">
        <f t="shared" si="22"/>
        <v>1</v>
      </c>
      <c r="C147" s="121" t="str">
        <f t="shared" si="19"/>
        <v>Medical 1</v>
      </c>
      <c r="D147" s="121" t="str">
        <f>INDEX('Master Data'!$C$75:$C$299,MATCH(A147,'Master Data'!$B$75:$B$299,0))</f>
        <v>4+</v>
      </c>
      <c r="E147" s="147">
        <f>INDEX('Master Data'!$C$75:$O$299,MATCH(A147,'Master Data'!$B$75:$B$299,0),MATCH($E$1,'Master Data'!$C$74:$O$74,0))</f>
        <v>0.41</v>
      </c>
      <c r="F147" s="148">
        <f>ROUND(E147*INDEX('Master Data'!$F$4:$K$12,MATCH($E$1,'Master Data'!$E$4:$E$12,0),MATCH(C147,'Master Data'!$F$3:$K$3,0)),2)</f>
        <v>33409.629999999997</v>
      </c>
      <c r="G147" s="147">
        <f>INDEX('Master Data'!$C$75:$O$299,MATCH(A147,'Master Data'!$B$75:$B$299,0),MATCH($G$1,'Master Data'!$C$74:$O$74,0))</f>
        <v>1</v>
      </c>
      <c r="H147" s="148">
        <f>ROUND(G147*INDEX('Master Data'!$F$4:$K$12,MATCH($G$1,'Master Data'!$E$4:$E$12,0),MATCH(C147,'Master Data'!$F$3:$K$3,0)),2)</f>
        <v>56388.63</v>
      </c>
      <c r="I147" s="147">
        <f>INDEX('Master Data'!$C$75:$O$299,MATCH(A147,'Master Data'!$B$75:$B$299,0),MATCH($I$1,'Master Data'!$C$74:$O$74,0))</f>
        <v>4.5999999999999996</v>
      </c>
      <c r="J147" s="148">
        <f>ROUND(I147*INDEX('Master Data'!$F$4:$K$12,MATCH($I$1,'Master Data'!$E$4:$E$12,0),MATCH(C147,'Master Data'!$F$3:$K$3,0)),2)</f>
        <v>261128.56</v>
      </c>
      <c r="K147" s="147">
        <f>INDEX('Master Data'!$C$75:$O$299,MATCH(A147,'Master Data'!$B$75:$B$299,0),MATCH($K$1,'Master Data'!$C$74:$O$74,0))</f>
        <v>1.4</v>
      </c>
      <c r="L147" s="148">
        <f>ROUND(K147*INDEX('Master Data'!$F$4:$K$12,MATCH($K$1,'Master Data'!$E$4:$E$12,0),MATCH(C147,'Master Data'!$F$3:$K$3,0)),2)</f>
        <v>65579.399999999994</v>
      </c>
      <c r="M147" s="147">
        <f>INDEX('Master Data'!$C$75:$O$299,MATCH(A147,'Master Data'!$B$75:$B$299,0),MATCH($M$1,'Master Data'!$C$74:$O$74,0))</f>
        <v>0.75</v>
      </c>
      <c r="N147" s="148">
        <f>ROUND(M147*INDEX('Master Data'!$F$4:$K$12,MATCH($M$1,'Master Data'!$E$4:$E$12,0),MATCH(C147,'Master Data'!$F$3:$K$3,0)),2)</f>
        <v>42575.31</v>
      </c>
      <c r="O147" s="147">
        <f>INDEX('Master Data'!$C$75:$O$299,MATCH(A147,'Master Data'!$B$75:$B$299,0),MATCH($O$1,'Master Data'!$C$74:$O$74,0))</f>
        <v>0.23</v>
      </c>
      <c r="P147" s="148">
        <f>ROUND(O147*INDEX('Master Data'!$F$4:$K$12,MATCH($O$1,'Master Data'!$E$4:$E$12,0),MATCH(C147,'Master Data'!$F$3:$K$3,0)),2)</f>
        <v>7176</v>
      </c>
      <c r="Q147" s="147">
        <f>INDEX('Master Data'!$C$75:$O$299,MATCH(A147,'Master Data'!$B$75:$B$299,0),MATCH($Q$1,'Master Data'!$C$74:$O$74,0))</f>
        <v>0.12</v>
      </c>
      <c r="R147" s="148">
        <f>ROUND(Q147*INDEX('Master Data'!$F$4:$K$12,MATCH($Q$1,'Master Data'!$E$4:$E$12,0),MATCH(C147,'Master Data'!$F$3:$K$3,0)),2)</f>
        <v>5621.09</v>
      </c>
      <c r="S147" s="147">
        <f>INDEX('Master Data'!$C$75:$O$299,MATCH(A147,'Master Data'!$B$75:$B$299,0),MATCH($S$1,'Master Data'!$C$74:$O$74,0))</f>
        <v>0</v>
      </c>
      <c r="T147" s="148">
        <f>ROUND(S147*INDEX('Master Data'!$F$4:$K$12,MATCH($S$1,'Master Data'!$E$4:$E$12,0),MATCH(C147,'Master Data'!$F$3:$K$3,0)),2)</f>
        <v>0</v>
      </c>
      <c r="U147" s="147">
        <f>INDEX('Master Data'!$C$75:$O$299,MATCH(A147,'Master Data'!$B$75:$B$299,0),MATCH($U$1,'Master Data'!$C$74:$O$74,0))</f>
        <v>0</v>
      </c>
      <c r="V147" s="148">
        <f>ROUND(U147*INDEX('Master Data'!$F$4:$K$12,MATCH($U$1,'Master Data'!$E$4:$E$12,0),MATCH(C147,'Master Data'!$F$3:$K$3,0)),2)</f>
        <v>0</v>
      </c>
      <c r="W147" s="149">
        <f t="shared" si="20"/>
        <v>471878.62</v>
      </c>
      <c r="X147" s="148">
        <f>ROUND(W147*('Master Data'!$B$54),2)</f>
        <v>117828.09</v>
      </c>
      <c r="Y147" s="149">
        <f t="shared" si="16"/>
        <v>589706.71</v>
      </c>
      <c r="Z147" s="147">
        <f>52*INDEX('Master Data'!$C$75:$O$299,MATCH(A147,'Master Data'!$B$75:$B$299,0),MATCH($Z$1,'Master Data'!$C$74:$O$74,0))</f>
        <v>104</v>
      </c>
      <c r="AA147" s="148">
        <f>Z147*('Master Data'!$F$15)</f>
        <v>7841.6</v>
      </c>
      <c r="AB147" s="147">
        <f>52*INDEX('Master Data'!$C$75:$O$299,MATCH(A147,'Master Data'!$B$75:$B$299,0),MATCH($AB$1,'Master Data'!$C$74:$O$74,0))</f>
        <v>156</v>
      </c>
      <c r="AC147" s="148">
        <f>AB147*('Master Data'!$F$16)</f>
        <v>11281.919999999998</v>
      </c>
      <c r="AD147" s="149">
        <f t="shared" si="21"/>
        <v>19123.519999999997</v>
      </c>
      <c r="AE147" s="148">
        <f>INDEX('Master Data'!$D$58:$D$60,MATCH(D147,'Master Data'!$B$58:$B$60,0))</f>
        <v>24321.56</v>
      </c>
      <c r="AF147" s="148">
        <f>INDEX('Master Data'!$E$58:$E$60,MATCH(D147,'Master Data'!$B$58:$B$60,0))</f>
        <v>2233.8000000000002</v>
      </c>
      <c r="AG147" s="148">
        <f>INDEX('Master Data'!$F$58:$F$60,MATCH(D147,'Master Data'!$B$58:$B$60,0))</f>
        <v>6471.45</v>
      </c>
      <c r="AH147" s="149">
        <f t="shared" ref="AH147:AH206" si="23">SUM(Y147,AD147:AG147)</f>
        <v>641857.04</v>
      </c>
      <c r="AI147" s="148">
        <f>ROUND(AH147*('Master Data'!$C$54),2)</f>
        <v>77022.84</v>
      </c>
      <c r="AJ147" s="148">
        <f>ROUND(SUM(AH147:AI147,AK147)*('Master Data'!$E$54),2)</f>
        <v>21536.95</v>
      </c>
      <c r="AK147" s="148">
        <f>ROUND(W147*('Master Data'!$F$54),2)</f>
        <v>0</v>
      </c>
      <c r="AL147" s="149">
        <f t="shared" ref="AL147:AL206" si="24">SUM(AH147:AK147)</f>
        <v>740416.83</v>
      </c>
      <c r="AM147" s="140">
        <f t="shared" ref="AM147:AM206" si="25">ROUND(AL147/347,2)</f>
        <v>2133.77</v>
      </c>
      <c r="AN147" s="121"/>
      <c r="AO147" s="121"/>
      <c r="AP147" s="121"/>
      <c r="AQ147" s="121"/>
      <c r="AR147" s="121"/>
      <c r="AS147" s="121"/>
    </row>
    <row r="148" spans="1:45">
      <c r="A148" s="121" t="s">
        <v>281</v>
      </c>
      <c r="B148" s="121" t="str">
        <f t="shared" si="22"/>
        <v>1</v>
      </c>
      <c r="C148" s="121" t="str">
        <f t="shared" si="19"/>
        <v>Medical 1</v>
      </c>
      <c r="D148" s="121" t="str">
        <f>INDEX('Master Data'!$C$75:$C$299,MATCH(A148,'Master Data'!$B$75:$B$299,0))</f>
        <v>4+</v>
      </c>
      <c r="E148" s="147">
        <f>INDEX('Master Data'!$C$75:$O$299,MATCH(A148,'Master Data'!$B$75:$B$299,0),MATCH($E$1,'Master Data'!$C$74:$O$74,0))</f>
        <v>0.41</v>
      </c>
      <c r="F148" s="148">
        <f>ROUND(E148*INDEX('Master Data'!$F$4:$K$12,MATCH($E$1,'Master Data'!$E$4:$E$12,0),MATCH(C148,'Master Data'!$F$3:$K$3,0)),2)</f>
        <v>33409.629999999997</v>
      </c>
      <c r="G148" s="147">
        <f>INDEX('Master Data'!$C$75:$O$299,MATCH(A148,'Master Data'!$B$75:$B$299,0),MATCH($G$1,'Master Data'!$C$74:$O$74,0))</f>
        <v>1</v>
      </c>
      <c r="H148" s="148">
        <f>ROUND(G148*INDEX('Master Data'!$F$4:$K$12,MATCH($G$1,'Master Data'!$E$4:$E$12,0),MATCH(C148,'Master Data'!$F$3:$K$3,0)),2)</f>
        <v>56388.63</v>
      </c>
      <c r="I148" s="147">
        <f>INDEX('Master Data'!$C$75:$O$299,MATCH(A148,'Master Data'!$B$75:$B$299,0),MATCH($I$1,'Master Data'!$C$74:$O$74,0))</f>
        <v>5.0999999999999996</v>
      </c>
      <c r="J148" s="148">
        <f>ROUND(I148*INDEX('Master Data'!$F$4:$K$12,MATCH($I$1,'Master Data'!$E$4:$E$12,0),MATCH(C148,'Master Data'!$F$3:$K$3,0)),2)</f>
        <v>289512.09999999998</v>
      </c>
      <c r="K148" s="147">
        <f>INDEX('Master Data'!$C$75:$O$299,MATCH(A148,'Master Data'!$B$75:$B$299,0),MATCH($K$1,'Master Data'!$C$74:$O$74,0))</f>
        <v>1.4</v>
      </c>
      <c r="L148" s="148">
        <f>ROUND(K148*INDEX('Master Data'!$F$4:$K$12,MATCH($K$1,'Master Data'!$E$4:$E$12,0),MATCH(C148,'Master Data'!$F$3:$K$3,0)),2)</f>
        <v>65579.399999999994</v>
      </c>
      <c r="M148" s="147">
        <f>INDEX('Master Data'!$C$75:$O$299,MATCH(A148,'Master Data'!$B$75:$B$299,0),MATCH($M$1,'Master Data'!$C$74:$O$74,0))</f>
        <v>0.83</v>
      </c>
      <c r="N148" s="148">
        <f>ROUND(M148*INDEX('Master Data'!$F$4:$K$12,MATCH($M$1,'Master Data'!$E$4:$E$12,0),MATCH(C148,'Master Data'!$F$3:$K$3,0)),2)</f>
        <v>47116.67</v>
      </c>
      <c r="O148" s="147">
        <f>INDEX('Master Data'!$C$75:$O$299,MATCH(A148,'Master Data'!$B$75:$B$299,0),MATCH($O$1,'Master Data'!$C$74:$O$74,0))</f>
        <v>0.23</v>
      </c>
      <c r="P148" s="148">
        <f>ROUND(O148*INDEX('Master Data'!$F$4:$K$12,MATCH($O$1,'Master Data'!$E$4:$E$12,0),MATCH(C148,'Master Data'!$F$3:$K$3,0)),2)</f>
        <v>7176</v>
      </c>
      <c r="Q148" s="147">
        <f>INDEX('Master Data'!$C$75:$O$299,MATCH(A148,'Master Data'!$B$75:$B$299,0),MATCH($Q$1,'Master Data'!$C$74:$O$74,0))</f>
        <v>0.12</v>
      </c>
      <c r="R148" s="148">
        <f>ROUND(Q148*INDEX('Master Data'!$F$4:$K$12,MATCH($Q$1,'Master Data'!$E$4:$E$12,0),MATCH(C148,'Master Data'!$F$3:$K$3,0)),2)</f>
        <v>5621.09</v>
      </c>
      <c r="S148" s="147">
        <f>INDEX('Master Data'!$C$75:$O$299,MATCH(A148,'Master Data'!$B$75:$B$299,0),MATCH($S$1,'Master Data'!$C$74:$O$74,0))</f>
        <v>0</v>
      </c>
      <c r="T148" s="148">
        <f>ROUND(S148*INDEX('Master Data'!$F$4:$K$12,MATCH($S$1,'Master Data'!$E$4:$E$12,0),MATCH(C148,'Master Data'!$F$3:$K$3,0)),2)</f>
        <v>0</v>
      </c>
      <c r="U148" s="147">
        <f>INDEX('Master Data'!$C$75:$O$299,MATCH(A148,'Master Data'!$B$75:$B$299,0),MATCH($U$1,'Master Data'!$C$74:$O$74,0))</f>
        <v>0</v>
      </c>
      <c r="V148" s="148">
        <f>ROUND(U148*INDEX('Master Data'!$F$4:$K$12,MATCH($U$1,'Master Data'!$E$4:$E$12,0),MATCH(C148,'Master Data'!$F$3:$K$3,0)),2)</f>
        <v>0</v>
      </c>
      <c r="W148" s="149">
        <f t="shared" si="20"/>
        <v>504803.52</v>
      </c>
      <c r="X148" s="148">
        <f>ROUND(W148*('Master Data'!$B$54),2)</f>
        <v>126049.44</v>
      </c>
      <c r="Y148" s="149">
        <f t="shared" si="16"/>
        <v>630852.96</v>
      </c>
      <c r="Z148" s="147">
        <f>52*INDEX('Master Data'!$C$75:$O$299,MATCH(A148,'Master Data'!$B$75:$B$299,0),MATCH($Z$1,'Master Data'!$C$74:$O$74,0))</f>
        <v>104</v>
      </c>
      <c r="AA148" s="148">
        <f>Z148*('Master Data'!$F$15)</f>
        <v>7841.6</v>
      </c>
      <c r="AB148" s="147">
        <f>52*INDEX('Master Data'!$C$75:$O$299,MATCH(A148,'Master Data'!$B$75:$B$299,0),MATCH($AB$1,'Master Data'!$C$74:$O$74,0))</f>
        <v>156</v>
      </c>
      <c r="AC148" s="148">
        <f>AB148*('Master Data'!$F$16)</f>
        <v>11281.919999999998</v>
      </c>
      <c r="AD148" s="149">
        <f t="shared" si="21"/>
        <v>19123.519999999997</v>
      </c>
      <c r="AE148" s="148">
        <f>INDEX('Master Data'!$D$58:$D$60,MATCH(D148,'Master Data'!$B$58:$B$60,0))</f>
        <v>24321.56</v>
      </c>
      <c r="AF148" s="148">
        <f>INDEX('Master Data'!$E$58:$E$60,MATCH(D148,'Master Data'!$B$58:$B$60,0))</f>
        <v>2233.8000000000002</v>
      </c>
      <c r="AG148" s="148">
        <f>INDEX('Master Data'!$F$58:$F$60,MATCH(D148,'Master Data'!$B$58:$B$60,0))</f>
        <v>6471.45</v>
      </c>
      <c r="AH148" s="149">
        <f t="shared" si="23"/>
        <v>683003.29</v>
      </c>
      <c r="AI148" s="148">
        <f>ROUND(AH148*('Master Data'!$C$54),2)</f>
        <v>81960.39</v>
      </c>
      <c r="AJ148" s="148">
        <f>ROUND(SUM(AH148:AI148,AK148)*('Master Data'!$E$54),2)</f>
        <v>22917.58</v>
      </c>
      <c r="AK148" s="148">
        <f>ROUND(W148*('Master Data'!$F$54),2)</f>
        <v>0</v>
      </c>
      <c r="AL148" s="149">
        <f t="shared" si="24"/>
        <v>787881.26</v>
      </c>
      <c r="AM148" s="140">
        <f t="shared" si="25"/>
        <v>2270.5500000000002</v>
      </c>
      <c r="AN148" s="121"/>
      <c r="AO148" s="121"/>
      <c r="AP148" s="121"/>
      <c r="AQ148" s="121"/>
      <c r="AR148" s="121"/>
      <c r="AS148" s="121"/>
    </row>
    <row r="149" spans="1:45">
      <c r="A149" s="121" t="s">
        <v>282</v>
      </c>
      <c r="B149" s="121" t="str">
        <f t="shared" si="22"/>
        <v>1</v>
      </c>
      <c r="C149" s="121" t="str">
        <f t="shared" si="19"/>
        <v>Medical 1</v>
      </c>
      <c r="D149" s="121" t="str">
        <f>INDEX('Master Data'!$C$75:$C$299,MATCH(A149,'Master Data'!$B$75:$B$299,0))</f>
        <v>4+</v>
      </c>
      <c r="E149" s="147">
        <f>INDEX('Master Data'!$C$75:$O$299,MATCH(A149,'Master Data'!$B$75:$B$299,0),MATCH($E$1,'Master Data'!$C$74:$O$74,0))</f>
        <v>0.41</v>
      </c>
      <c r="F149" s="148">
        <f>ROUND(E149*INDEX('Master Data'!$F$4:$K$12,MATCH($E$1,'Master Data'!$E$4:$E$12,0),MATCH(C149,'Master Data'!$F$3:$K$3,0)),2)</f>
        <v>33409.629999999997</v>
      </c>
      <c r="G149" s="147">
        <f>INDEX('Master Data'!$C$75:$O$299,MATCH(A149,'Master Data'!$B$75:$B$299,0),MATCH($G$1,'Master Data'!$C$74:$O$74,0))</f>
        <v>1</v>
      </c>
      <c r="H149" s="148">
        <f>ROUND(G149*INDEX('Master Data'!$F$4:$K$12,MATCH($G$1,'Master Data'!$E$4:$E$12,0),MATCH(C149,'Master Data'!$F$3:$K$3,0)),2)</f>
        <v>56388.63</v>
      </c>
      <c r="I149" s="147">
        <f>INDEX('Master Data'!$C$75:$O$299,MATCH(A149,'Master Data'!$B$75:$B$299,0),MATCH($I$1,'Master Data'!$C$74:$O$74,0))</f>
        <v>5.6</v>
      </c>
      <c r="J149" s="148">
        <f>ROUND(I149*INDEX('Master Data'!$F$4:$K$12,MATCH($I$1,'Master Data'!$E$4:$E$12,0),MATCH(C149,'Master Data'!$F$3:$K$3,0)),2)</f>
        <v>317895.64</v>
      </c>
      <c r="K149" s="147">
        <f>INDEX('Master Data'!$C$75:$O$299,MATCH(A149,'Master Data'!$B$75:$B$299,0),MATCH($K$1,'Master Data'!$C$74:$O$74,0))</f>
        <v>1.4</v>
      </c>
      <c r="L149" s="148">
        <f>ROUND(K149*INDEX('Master Data'!$F$4:$K$12,MATCH($K$1,'Master Data'!$E$4:$E$12,0),MATCH(C149,'Master Data'!$F$3:$K$3,0)),2)</f>
        <v>65579.399999999994</v>
      </c>
      <c r="M149" s="147">
        <f>INDEX('Master Data'!$C$75:$O$299,MATCH(A149,'Master Data'!$B$75:$B$299,0),MATCH($M$1,'Master Data'!$C$74:$O$74,0))</f>
        <v>0.91</v>
      </c>
      <c r="N149" s="148">
        <f>ROUND(M149*INDEX('Master Data'!$F$4:$K$12,MATCH($M$1,'Master Data'!$E$4:$E$12,0),MATCH(C149,'Master Data'!$F$3:$K$3,0)),2)</f>
        <v>51658.04</v>
      </c>
      <c r="O149" s="147">
        <f>INDEX('Master Data'!$C$75:$O$299,MATCH(A149,'Master Data'!$B$75:$B$299,0),MATCH($O$1,'Master Data'!$C$74:$O$74,0))</f>
        <v>0.23</v>
      </c>
      <c r="P149" s="148">
        <f>ROUND(O149*INDEX('Master Data'!$F$4:$K$12,MATCH($O$1,'Master Data'!$E$4:$E$12,0),MATCH(C149,'Master Data'!$F$3:$K$3,0)),2)</f>
        <v>7176</v>
      </c>
      <c r="Q149" s="147">
        <f>INDEX('Master Data'!$C$75:$O$299,MATCH(A149,'Master Data'!$B$75:$B$299,0),MATCH($Q$1,'Master Data'!$C$74:$O$74,0))</f>
        <v>0.12</v>
      </c>
      <c r="R149" s="148">
        <f>ROUND(Q149*INDEX('Master Data'!$F$4:$K$12,MATCH($Q$1,'Master Data'!$E$4:$E$12,0),MATCH(C149,'Master Data'!$F$3:$K$3,0)),2)</f>
        <v>5621.09</v>
      </c>
      <c r="S149" s="147">
        <f>INDEX('Master Data'!$C$75:$O$299,MATCH(A149,'Master Data'!$B$75:$B$299,0),MATCH($S$1,'Master Data'!$C$74:$O$74,0))</f>
        <v>0</v>
      </c>
      <c r="T149" s="148">
        <f>ROUND(S149*INDEX('Master Data'!$F$4:$K$12,MATCH($S$1,'Master Data'!$E$4:$E$12,0),MATCH(C149,'Master Data'!$F$3:$K$3,0)),2)</f>
        <v>0</v>
      </c>
      <c r="U149" s="147">
        <f>INDEX('Master Data'!$C$75:$O$299,MATCH(A149,'Master Data'!$B$75:$B$299,0),MATCH($U$1,'Master Data'!$C$74:$O$74,0))</f>
        <v>0</v>
      </c>
      <c r="V149" s="148">
        <f>ROUND(U149*INDEX('Master Data'!$F$4:$K$12,MATCH($U$1,'Master Data'!$E$4:$E$12,0),MATCH(C149,'Master Data'!$F$3:$K$3,0)),2)</f>
        <v>0</v>
      </c>
      <c r="W149" s="149">
        <f t="shared" si="20"/>
        <v>537728.43000000005</v>
      </c>
      <c r="X149" s="148">
        <f>ROUND(W149*('Master Data'!$B$54),2)</f>
        <v>134270.79</v>
      </c>
      <c r="Y149" s="149">
        <f t="shared" si="16"/>
        <v>671999.22000000009</v>
      </c>
      <c r="Z149" s="147">
        <f>52*INDEX('Master Data'!$C$75:$O$299,MATCH(A149,'Master Data'!$B$75:$B$299,0),MATCH($Z$1,'Master Data'!$C$74:$O$74,0))</f>
        <v>104</v>
      </c>
      <c r="AA149" s="148">
        <f>Z149*('Master Data'!$F$15)</f>
        <v>7841.6</v>
      </c>
      <c r="AB149" s="147">
        <f>52*INDEX('Master Data'!$C$75:$O$299,MATCH(A149,'Master Data'!$B$75:$B$299,0),MATCH($AB$1,'Master Data'!$C$74:$O$74,0))</f>
        <v>156</v>
      </c>
      <c r="AC149" s="148">
        <f>AB149*('Master Data'!$F$16)</f>
        <v>11281.919999999998</v>
      </c>
      <c r="AD149" s="149">
        <f t="shared" si="21"/>
        <v>19123.519999999997</v>
      </c>
      <c r="AE149" s="148">
        <f>INDEX('Master Data'!$D$58:$D$60,MATCH(D149,'Master Data'!$B$58:$B$60,0))</f>
        <v>24321.56</v>
      </c>
      <c r="AF149" s="148">
        <f>INDEX('Master Data'!$E$58:$E$60,MATCH(D149,'Master Data'!$B$58:$B$60,0))</f>
        <v>2233.8000000000002</v>
      </c>
      <c r="AG149" s="148">
        <f>INDEX('Master Data'!$F$58:$F$60,MATCH(D149,'Master Data'!$B$58:$B$60,0))</f>
        <v>6471.45</v>
      </c>
      <c r="AH149" s="149">
        <f t="shared" si="23"/>
        <v>724149.55000000016</v>
      </c>
      <c r="AI149" s="148">
        <f>ROUND(AH149*('Master Data'!$C$54),2)</f>
        <v>86897.95</v>
      </c>
      <c r="AJ149" s="148">
        <f>ROUND(SUM(AH149:AI149,AK149)*('Master Data'!$E$54),2)</f>
        <v>24298.21</v>
      </c>
      <c r="AK149" s="148">
        <f>ROUND(W149*('Master Data'!$F$54),2)</f>
        <v>0</v>
      </c>
      <c r="AL149" s="149">
        <f t="shared" si="24"/>
        <v>835345.71000000008</v>
      </c>
      <c r="AM149" s="140">
        <f t="shared" si="25"/>
        <v>2407.34</v>
      </c>
      <c r="AN149" s="121"/>
      <c r="AO149" s="121"/>
      <c r="AP149" s="121"/>
      <c r="AQ149" s="121"/>
      <c r="AR149" s="121"/>
      <c r="AS149" s="121"/>
    </row>
    <row r="150" spans="1:45">
      <c r="A150" s="121" t="s">
        <v>283</v>
      </c>
      <c r="B150" s="121" t="str">
        <f t="shared" si="22"/>
        <v>1</v>
      </c>
      <c r="C150" s="121" t="str">
        <f t="shared" si="19"/>
        <v>Medical 1</v>
      </c>
      <c r="D150" s="121" t="str">
        <f>INDEX('Master Data'!$C$75:$C$299,MATCH(A150,'Master Data'!$B$75:$B$299,0))</f>
        <v>4+</v>
      </c>
      <c r="E150" s="147">
        <f>INDEX('Master Data'!$C$75:$O$299,MATCH(A150,'Master Data'!$B$75:$B$299,0),MATCH($E$1,'Master Data'!$C$74:$O$74,0))</f>
        <v>0.41</v>
      </c>
      <c r="F150" s="148">
        <f>ROUND(E150*INDEX('Master Data'!$F$4:$K$12,MATCH($E$1,'Master Data'!$E$4:$E$12,0),MATCH(C150,'Master Data'!$F$3:$K$3,0)),2)</f>
        <v>33409.629999999997</v>
      </c>
      <c r="G150" s="147">
        <f>INDEX('Master Data'!$C$75:$O$299,MATCH(A150,'Master Data'!$B$75:$B$299,0),MATCH($G$1,'Master Data'!$C$74:$O$74,0))</f>
        <v>1</v>
      </c>
      <c r="H150" s="148">
        <f>ROUND(G150*INDEX('Master Data'!$F$4:$K$12,MATCH($G$1,'Master Data'!$E$4:$E$12,0),MATCH(C150,'Master Data'!$F$3:$K$3,0)),2)</f>
        <v>56388.63</v>
      </c>
      <c r="I150" s="147">
        <f>INDEX('Master Data'!$C$75:$O$299,MATCH(A150,'Master Data'!$B$75:$B$299,0),MATCH($I$1,'Master Data'!$C$74:$O$74,0))</f>
        <v>6.1</v>
      </c>
      <c r="J150" s="148">
        <f>ROUND(I150*INDEX('Master Data'!$F$4:$K$12,MATCH($I$1,'Master Data'!$E$4:$E$12,0),MATCH(C150,'Master Data'!$F$3:$K$3,0)),2)</f>
        <v>346279.18</v>
      </c>
      <c r="K150" s="147">
        <f>INDEX('Master Data'!$C$75:$O$299,MATCH(A150,'Master Data'!$B$75:$B$299,0),MATCH($K$1,'Master Data'!$C$74:$O$74,0))</f>
        <v>1.4</v>
      </c>
      <c r="L150" s="148">
        <f>ROUND(K150*INDEX('Master Data'!$F$4:$K$12,MATCH($K$1,'Master Data'!$E$4:$E$12,0),MATCH(C150,'Master Data'!$F$3:$K$3,0)),2)</f>
        <v>65579.399999999994</v>
      </c>
      <c r="M150" s="147">
        <f>INDEX('Master Data'!$C$75:$O$299,MATCH(A150,'Master Data'!$B$75:$B$299,0),MATCH($M$1,'Master Data'!$C$74:$O$74,0))</f>
        <v>0.99</v>
      </c>
      <c r="N150" s="148">
        <f>ROUND(M150*INDEX('Master Data'!$F$4:$K$12,MATCH($M$1,'Master Data'!$E$4:$E$12,0),MATCH(C150,'Master Data'!$F$3:$K$3,0)),2)</f>
        <v>56199.41</v>
      </c>
      <c r="O150" s="147">
        <f>INDEX('Master Data'!$C$75:$O$299,MATCH(A150,'Master Data'!$B$75:$B$299,0),MATCH($O$1,'Master Data'!$C$74:$O$74,0))</f>
        <v>0.23</v>
      </c>
      <c r="P150" s="148">
        <f>ROUND(O150*INDEX('Master Data'!$F$4:$K$12,MATCH($O$1,'Master Data'!$E$4:$E$12,0),MATCH(C150,'Master Data'!$F$3:$K$3,0)),2)</f>
        <v>7176</v>
      </c>
      <c r="Q150" s="147">
        <f>INDEX('Master Data'!$C$75:$O$299,MATCH(A150,'Master Data'!$B$75:$B$299,0),MATCH($Q$1,'Master Data'!$C$74:$O$74,0))</f>
        <v>0.12</v>
      </c>
      <c r="R150" s="148">
        <f>ROUND(Q150*INDEX('Master Data'!$F$4:$K$12,MATCH($Q$1,'Master Data'!$E$4:$E$12,0),MATCH(C150,'Master Data'!$F$3:$K$3,0)),2)</f>
        <v>5621.09</v>
      </c>
      <c r="S150" s="147">
        <f>INDEX('Master Data'!$C$75:$O$299,MATCH(A150,'Master Data'!$B$75:$B$299,0),MATCH($S$1,'Master Data'!$C$74:$O$74,0))</f>
        <v>0</v>
      </c>
      <c r="T150" s="148">
        <f>ROUND(S150*INDEX('Master Data'!$F$4:$K$12,MATCH($S$1,'Master Data'!$E$4:$E$12,0),MATCH(C150,'Master Data'!$F$3:$K$3,0)),2)</f>
        <v>0</v>
      </c>
      <c r="U150" s="147">
        <f>INDEX('Master Data'!$C$75:$O$299,MATCH(A150,'Master Data'!$B$75:$B$299,0),MATCH($U$1,'Master Data'!$C$74:$O$74,0))</f>
        <v>0</v>
      </c>
      <c r="V150" s="148">
        <f>ROUND(U150*INDEX('Master Data'!$F$4:$K$12,MATCH($U$1,'Master Data'!$E$4:$E$12,0),MATCH(C150,'Master Data'!$F$3:$K$3,0)),2)</f>
        <v>0</v>
      </c>
      <c r="W150" s="149">
        <f t="shared" si="20"/>
        <v>570653.34</v>
      </c>
      <c r="X150" s="148">
        <f>ROUND(W150*('Master Data'!$B$54),2)</f>
        <v>142492.14000000001</v>
      </c>
      <c r="Y150" s="149">
        <f t="shared" si="16"/>
        <v>713145.48</v>
      </c>
      <c r="Z150" s="147">
        <f>52*INDEX('Master Data'!$C$75:$O$299,MATCH(A150,'Master Data'!$B$75:$B$299,0),MATCH($Z$1,'Master Data'!$C$74:$O$74,0))</f>
        <v>104</v>
      </c>
      <c r="AA150" s="148">
        <f>Z150*('Master Data'!$F$15)</f>
        <v>7841.6</v>
      </c>
      <c r="AB150" s="147">
        <f>52*INDEX('Master Data'!$C$75:$O$299,MATCH(A150,'Master Data'!$B$75:$B$299,0),MATCH($AB$1,'Master Data'!$C$74:$O$74,0))</f>
        <v>156</v>
      </c>
      <c r="AC150" s="148">
        <f>AB150*('Master Data'!$F$16)</f>
        <v>11281.919999999998</v>
      </c>
      <c r="AD150" s="149">
        <f t="shared" si="21"/>
        <v>19123.519999999997</v>
      </c>
      <c r="AE150" s="148">
        <f>INDEX('Master Data'!$D$58:$D$60,MATCH(D150,'Master Data'!$B$58:$B$60,0))</f>
        <v>24321.56</v>
      </c>
      <c r="AF150" s="148">
        <f>INDEX('Master Data'!$E$58:$E$60,MATCH(D150,'Master Data'!$B$58:$B$60,0))</f>
        <v>2233.8000000000002</v>
      </c>
      <c r="AG150" s="148">
        <f>INDEX('Master Data'!$F$58:$F$60,MATCH(D150,'Master Data'!$B$58:$B$60,0))</f>
        <v>6471.45</v>
      </c>
      <c r="AH150" s="149">
        <f t="shared" si="23"/>
        <v>765295.81</v>
      </c>
      <c r="AI150" s="148">
        <f>ROUND(AH150*('Master Data'!$C$54),2)</f>
        <v>91835.5</v>
      </c>
      <c r="AJ150" s="148">
        <f>ROUND(SUM(AH150:AI150,AK150)*('Master Data'!$E$54),2)</f>
        <v>25678.83</v>
      </c>
      <c r="AK150" s="148">
        <f>ROUND(W150*('Master Data'!$F$54),2)</f>
        <v>0</v>
      </c>
      <c r="AL150" s="149">
        <f t="shared" si="24"/>
        <v>882810.14</v>
      </c>
      <c r="AM150" s="140">
        <f t="shared" si="25"/>
        <v>2544.12</v>
      </c>
      <c r="AN150" s="121"/>
      <c r="AO150" s="121"/>
      <c r="AP150" s="121"/>
      <c r="AQ150" s="121"/>
      <c r="AR150" s="121"/>
      <c r="AS150" s="121"/>
    </row>
    <row r="151" spans="1:45">
      <c r="A151" s="121" t="s">
        <v>284</v>
      </c>
      <c r="B151" s="121" t="str">
        <f t="shared" si="22"/>
        <v>1</v>
      </c>
      <c r="C151" s="121" t="str">
        <f t="shared" si="19"/>
        <v>Medical 1</v>
      </c>
      <c r="D151" s="121" t="str">
        <f>INDEX('Master Data'!$C$75:$C$299,MATCH(A151,'Master Data'!$B$75:$B$299,0))</f>
        <v>4+</v>
      </c>
      <c r="E151" s="147">
        <f>INDEX('Master Data'!$C$75:$O$299,MATCH(A151,'Master Data'!$B$75:$B$299,0),MATCH($E$1,'Master Data'!$C$74:$O$74,0))</f>
        <v>0.41</v>
      </c>
      <c r="F151" s="148">
        <f>ROUND(E151*INDEX('Master Data'!$F$4:$K$12,MATCH($E$1,'Master Data'!$E$4:$E$12,0),MATCH(C151,'Master Data'!$F$3:$K$3,0)),2)</f>
        <v>33409.629999999997</v>
      </c>
      <c r="G151" s="147">
        <f>INDEX('Master Data'!$C$75:$O$299,MATCH(A151,'Master Data'!$B$75:$B$299,0),MATCH($G$1,'Master Data'!$C$74:$O$74,0))</f>
        <v>1</v>
      </c>
      <c r="H151" s="148">
        <f>ROUND(G151*INDEX('Master Data'!$F$4:$K$12,MATCH($G$1,'Master Data'!$E$4:$E$12,0),MATCH(C151,'Master Data'!$F$3:$K$3,0)),2)</f>
        <v>56388.63</v>
      </c>
      <c r="I151" s="147">
        <f>INDEX('Master Data'!$C$75:$O$299,MATCH(A151,'Master Data'!$B$75:$B$299,0),MATCH($I$1,'Master Data'!$C$74:$O$74,0))</f>
        <v>6.6</v>
      </c>
      <c r="J151" s="148">
        <f>ROUND(I151*INDEX('Master Data'!$F$4:$K$12,MATCH($I$1,'Master Data'!$E$4:$E$12,0),MATCH(C151,'Master Data'!$F$3:$K$3,0)),2)</f>
        <v>374662.72</v>
      </c>
      <c r="K151" s="147">
        <f>INDEX('Master Data'!$C$75:$O$299,MATCH(A151,'Master Data'!$B$75:$B$299,0),MATCH($K$1,'Master Data'!$C$74:$O$74,0))</f>
        <v>1.4</v>
      </c>
      <c r="L151" s="148">
        <f>ROUND(K151*INDEX('Master Data'!$F$4:$K$12,MATCH($K$1,'Master Data'!$E$4:$E$12,0),MATCH(C151,'Master Data'!$F$3:$K$3,0)),2)</f>
        <v>65579.399999999994</v>
      </c>
      <c r="M151" s="147">
        <f>INDEX('Master Data'!$C$75:$O$299,MATCH(A151,'Master Data'!$B$75:$B$299,0),MATCH($M$1,'Master Data'!$C$74:$O$74,0))</f>
        <v>1.07</v>
      </c>
      <c r="N151" s="148">
        <f>ROUND(M151*INDEX('Master Data'!$F$4:$K$12,MATCH($M$1,'Master Data'!$E$4:$E$12,0),MATCH(C151,'Master Data'!$F$3:$K$3,0)),2)</f>
        <v>60740.77</v>
      </c>
      <c r="O151" s="147">
        <f>INDEX('Master Data'!$C$75:$O$299,MATCH(A151,'Master Data'!$B$75:$B$299,0),MATCH($O$1,'Master Data'!$C$74:$O$74,0))</f>
        <v>0.23</v>
      </c>
      <c r="P151" s="148">
        <f>ROUND(O151*INDEX('Master Data'!$F$4:$K$12,MATCH($O$1,'Master Data'!$E$4:$E$12,0),MATCH(C151,'Master Data'!$F$3:$K$3,0)),2)</f>
        <v>7176</v>
      </c>
      <c r="Q151" s="147">
        <f>INDEX('Master Data'!$C$75:$O$299,MATCH(A151,'Master Data'!$B$75:$B$299,0),MATCH($Q$1,'Master Data'!$C$74:$O$74,0))</f>
        <v>0.12</v>
      </c>
      <c r="R151" s="148">
        <f>ROUND(Q151*INDEX('Master Data'!$F$4:$K$12,MATCH($Q$1,'Master Data'!$E$4:$E$12,0),MATCH(C151,'Master Data'!$F$3:$K$3,0)),2)</f>
        <v>5621.09</v>
      </c>
      <c r="S151" s="147">
        <f>INDEX('Master Data'!$C$75:$O$299,MATCH(A151,'Master Data'!$B$75:$B$299,0),MATCH($S$1,'Master Data'!$C$74:$O$74,0))</f>
        <v>0</v>
      </c>
      <c r="T151" s="148">
        <f>ROUND(S151*INDEX('Master Data'!$F$4:$K$12,MATCH($S$1,'Master Data'!$E$4:$E$12,0),MATCH(C151,'Master Data'!$F$3:$K$3,0)),2)</f>
        <v>0</v>
      </c>
      <c r="U151" s="147">
        <f>INDEX('Master Data'!$C$75:$O$299,MATCH(A151,'Master Data'!$B$75:$B$299,0),MATCH($U$1,'Master Data'!$C$74:$O$74,0))</f>
        <v>0</v>
      </c>
      <c r="V151" s="148">
        <f>ROUND(U151*INDEX('Master Data'!$F$4:$K$12,MATCH($U$1,'Master Data'!$E$4:$E$12,0),MATCH(C151,'Master Data'!$F$3:$K$3,0)),2)</f>
        <v>0</v>
      </c>
      <c r="W151" s="149">
        <f t="shared" si="20"/>
        <v>603578.24</v>
      </c>
      <c r="X151" s="148">
        <f>ROUND(W151*('Master Data'!$B$54),2)</f>
        <v>150713.49</v>
      </c>
      <c r="Y151" s="149">
        <f t="shared" si="16"/>
        <v>754291.73</v>
      </c>
      <c r="Z151" s="147">
        <f>52*INDEX('Master Data'!$C$75:$O$299,MATCH(A151,'Master Data'!$B$75:$B$299,0),MATCH($Z$1,'Master Data'!$C$74:$O$74,0))</f>
        <v>104</v>
      </c>
      <c r="AA151" s="148">
        <f>Z151*('Master Data'!$F$15)</f>
        <v>7841.6</v>
      </c>
      <c r="AB151" s="147">
        <f>52*INDEX('Master Data'!$C$75:$O$299,MATCH(A151,'Master Data'!$B$75:$B$299,0),MATCH($AB$1,'Master Data'!$C$74:$O$74,0))</f>
        <v>156</v>
      </c>
      <c r="AC151" s="148">
        <f>AB151*('Master Data'!$F$16)</f>
        <v>11281.919999999998</v>
      </c>
      <c r="AD151" s="149">
        <f t="shared" si="21"/>
        <v>19123.519999999997</v>
      </c>
      <c r="AE151" s="148">
        <f>INDEX('Master Data'!$D$58:$D$60,MATCH(D151,'Master Data'!$B$58:$B$60,0))</f>
        <v>24321.56</v>
      </c>
      <c r="AF151" s="148">
        <f>INDEX('Master Data'!$E$58:$E$60,MATCH(D151,'Master Data'!$B$58:$B$60,0))</f>
        <v>2233.8000000000002</v>
      </c>
      <c r="AG151" s="148">
        <f>INDEX('Master Data'!$F$58:$F$60,MATCH(D151,'Master Data'!$B$58:$B$60,0))</f>
        <v>6471.45</v>
      </c>
      <c r="AH151" s="149">
        <f t="shared" si="23"/>
        <v>806442.06</v>
      </c>
      <c r="AI151" s="148">
        <f>ROUND(AH151*('Master Data'!$C$54),2)</f>
        <v>96773.05</v>
      </c>
      <c r="AJ151" s="148">
        <f>ROUND(SUM(AH151:AI151,AK151)*('Master Data'!$E$54),2)</f>
        <v>27059.46</v>
      </c>
      <c r="AK151" s="148">
        <f>ROUND(W151*('Master Data'!$F$54),2)</f>
        <v>0</v>
      </c>
      <c r="AL151" s="149">
        <f t="shared" si="24"/>
        <v>930274.57000000007</v>
      </c>
      <c r="AM151" s="140">
        <f t="shared" si="25"/>
        <v>2680.91</v>
      </c>
      <c r="AN151" s="121"/>
      <c r="AO151" s="121"/>
      <c r="AP151" s="121"/>
      <c r="AQ151" s="121"/>
      <c r="AR151" s="121"/>
      <c r="AS151" s="121"/>
    </row>
    <row r="152" spans="1:45">
      <c r="A152" s="121" t="s">
        <v>285</v>
      </c>
      <c r="B152" s="121" t="str">
        <f t="shared" si="22"/>
        <v>1</v>
      </c>
      <c r="C152" s="121" t="str">
        <f t="shared" si="19"/>
        <v>Medical 1</v>
      </c>
      <c r="D152" s="121" t="str">
        <f>INDEX('Master Data'!$C$75:$C$299,MATCH(A152,'Master Data'!$B$75:$B$299,0))</f>
        <v>4+</v>
      </c>
      <c r="E152" s="147">
        <f>INDEX('Master Data'!$C$75:$O$299,MATCH(A152,'Master Data'!$B$75:$B$299,0),MATCH($E$1,'Master Data'!$C$74:$O$74,0))</f>
        <v>0.41</v>
      </c>
      <c r="F152" s="148">
        <f>ROUND(E152*INDEX('Master Data'!$F$4:$K$12,MATCH($E$1,'Master Data'!$E$4:$E$12,0),MATCH(C152,'Master Data'!$F$3:$K$3,0)),2)</f>
        <v>33409.629999999997</v>
      </c>
      <c r="G152" s="147">
        <f>INDEX('Master Data'!$C$75:$O$299,MATCH(A152,'Master Data'!$B$75:$B$299,0),MATCH($G$1,'Master Data'!$C$74:$O$74,0))</f>
        <v>1</v>
      </c>
      <c r="H152" s="148">
        <f>ROUND(G152*INDEX('Master Data'!$F$4:$K$12,MATCH($G$1,'Master Data'!$E$4:$E$12,0),MATCH(C152,'Master Data'!$F$3:$K$3,0)),2)</f>
        <v>56388.63</v>
      </c>
      <c r="I152" s="147">
        <f>INDEX('Master Data'!$C$75:$O$299,MATCH(A152,'Master Data'!$B$75:$B$299,0),MATCH($I$1,'Master Data'!$C$74:$O$74,0))</f>
        <v>7.1</v>
      </c>
      <c r="J152" s="148">
        <f>ROUND(I152*INDEX('Master Data'!$F$4:$K$12,MATCH($I$1,'Master Data'!$E$4:$E$12,0),MATCH(C152,'Master Data'!$F$3:$K$3,0)),2)</f>
        <v>403046.26</v>
      </c>
      <c r="K152" s="147">
        <f>INDEX('Master Data'!$C$75:$O$299,MATCH(A152,'Master Data'!$B$75:$B$299,0),MATCH($K$1,'Master Data'!$C$74:$O$74,0))</f>
        <v>1.4</v>
      </c>
      <c r="L152" s="148">
        <f>ROUND(K152*INDEX('Master Data'!$F$4:$K$12,MATCH($K$1,'Master Data'!$E$4:$E$12,0),MATCH(C152,'Master Data'!$F$3:$K$3,0)),2)</f>
        <v>65579.399999999994</v>
      </c>
      <c r="M152" s="147">
        <f>INDEX('Master Data'!$C$75:$O$299,MATCH(A152,'Master Data'!$B$75:$B$299,0),MATCH($M$1,'Master Data'!$C$74:$O$74,0))</f>
        <v>1.1499999999999999</v>
      </c>
      <c r="N152" s="148">
        <f>ROUND(M152*INDEX('Master Data'!$F$4:$K$12,MATCH($M$1,'Master Data'!$E$4:$E$12,0),MATCH(C152,'Master Data'!$F$3:$K$3,0)),2)</f>
        <v>65282.14</v>
      </c>
      <c r="O152" s="147">
        <f>INDEX('Master Data'!$C$75:$O$299,MATCH(A152,'Master Data'!$B$75:$B$299,0),MATCH($O$1,'Master Data'!$C$74:$O$74,0))</f>
        <v>0.23</v>
      </c>
      <c r="P152" s="148">
        <f>ROUND(O152*INDEX('Master Data'!$F$4:$K$12,MATCH($O$1,'Master Data'!$E$4:$E$12,0),MATCH(C152,'Master Data'!$F$3:$K$3,0)),2)</f>
        <v>7176</v>
      </c>
      <c r="Q152" s="147">
        <f>INDEX('Master Data'!$C$75:$O$299,MATCH(A152,'Master Data'!$B$75:$B$299,0),MATCH($Q$1,'Master Data'!$C$74:$O$74,0))</f>
        <v>0.12</v>
      </c>
      <c r="R152" s="148">
        <f>ROUND(Q152*INDEX('Master Data'!$F$4:$K$12,MATCH($Q$1,'Master Data'!$E$4:$E$12,0),MATCH(C152,'Master Data'!$F$3:$K$3,0)),2)</f>
        <v>5621.09</v>
      </c>
      <c r="S152" s="147">
        <f>INDEX('Master Data'!$C$75:$O$299,MATCH(A152,'Master Data'!$B$75:$B$299,0),MATCH($S$1,'Master Data'!$C$74:$O$74,0))</f>
        <v>0</v>
      </c>
      <c r="T152" s="148">
        <f>ROUND(S152*INDEX('Master Data'!$F$4:$K$12,MATCH($S$1,'Master Data'!$E$4:$E$12,0),MATCH(C152,'Master Data'!$F$3:$K$3,0)),2)</f>
        <v>0</v>
      </c>
      <c r="U152" s="147">
        <f>INDEX('Master Data'!$C$75:$O$299,MATCH(A152,'Master Data'!$B$75:$B$299,0),MATCH($U$1,'Master Data'!$C$74:$O$74,0))</f>
        <v>0</v>
      </c>
      <c r="V152" s="148">
        <f>ROUND(U152*INDEX('Master Data'!$F$4:$K$12,MATCH($U$1,'Master Data'!$E$4:$E$12,0),MATCH(C152,'Master Data'!$F$3:$K$3,0)),2)</f>
        <v>0</v>
      </c>
      <c r="W152" s="149">
        <f t="shared" si="20"/>
        <v>636503.15</v>
      </c>
      <c r="X152" s="148">
        <f>ROUND(W152*('Master Data'!$B$54),2)</f>
        <v>158934.84</v>
      </c>
      <c r="Y152" s="149">
        <f t="shared" ref="Y152:Y206" si="26">SUM(W152:X152)</f>
        <v>795437.99</v>
      </c>
      <c r="Z152" s="147">
        <f>52*INDEX('Master Data'!$C$75:$O$299,MATCH(A152,'Master Data'!$B$75:$B$299,0),MATCH($Z$1,'Master Data'!$C$74:$O$74,0))</f>
        <v>104</v>
      </c>
      <c r="AA152" s="148">
        <f>Z152*('Master Data'!$F$15)</f>
        <v>7841.6</v>
      </c>
      <c r="AB152" s="147">
        <f>52*INDEX('Master Data'!$C$75:$O$299,MATCH(A152,'Master Data'!$B$75:$B$299,0),MATCH($AB$1,'Master Data'!$C$74:$O$74,0))</f>
        <v>156</v>
      </c>
      <c r="AC152" s="148">
        <f>AB152*('Master Data'!$F$16)</f>
        <v>11281.919999999998</v>
      </c>
      <c r="AD152" s="149">
        <f t="shared" si="21"/>
        <v>19123.519999999997</v>
      </c>
      <c r="AE152" s="148">
        <f>INDEX('Master Data'!$D$58:$D$60,MATCH(D152,'Master Data'!$B$58:$B$60,0))</f>
        <v>24321.56</v>
      </c>
      <c r="AF152" s="148">
        <f>INDEX('Master Data'!$E$58:$E$60,MATCH(D152,'Master Data'!$B$58:$B$60,0))</f>
        <v>2233.8000000000002</v>
      </c>
      <c r="AG152" s="148">
        <f>INDEX('Master Data'!$F$58:$F$60,MATCH(D152,'Master Data'!$B$58:$B$60,0))</f>
        <v>6471.45</v>
      </c>
      <c r="AH152" s="149">
        <f t="shared" si="23"/>
        <v>847588.32000000007</v>
      </c>
      <c r="AI152" s="148">
        <f>ROUND(AH152*('Master Data'!$C$54),2)</f>
        <v>101710.6</v>
      </c>
      <c r="AJ152" s="148">
        <f>ROUND(SUM(AH152:AI152,AK152)*('Master Data'!$E$54),2)</f>
        <v>28440.09</v>
      </c>
      <c r="AK152" s="148">
        <f>ROUND(W152*('Master Data'!$F$54),2)</f>
        <v>0</v>
      </c>
      <c r="AL152" s="149">
        <f t="shared" si="24"/>
        <v>977739.01</v>
      </c>
      <c r="AM152" s="140">
        <f t="shared" si="25"/>
        <v>2817.69</v>
      </c>
      <c r="AN152" s="121"/>
      <c r="AO152" s="121"/>
      <c r="AP152" s="121"/>
      <c r="AQ152" s="121"/>
      <c r="AR152" s="121"/>
      <c r="AS152" s="121"/>
    </row>
    <row r="153" spans="1:45">
      <c r="A153" s="121" t="s">
        <v>286</v>
      </c>
      <c r="B153" s="121" t="str">
        <f t="shared" si="22"/>
        <v>1</v>
      </c>
      <c r="C153" s="121" t="str">
        <f t="shared" ref="C153:C216" si="27">CONCATENATE(IF(LEFT(A153,1)="B","Basic",IF(LEFT(A153,1)="I","Intermediate",IF(LEFT(A153,1)="S","Specialty",IF(LEFT(A153,1)="M","Medical",0))))," ",B153)</f>
        <v>Medical 1</v>
      </c>
      <c r="D153" s="121" t="str">
        <f>INDEX('Master Data'!$C$75:$C$299,MATCH(A153,'Master Data'!$B$75:$B$299,0))</f>
        <v>4+</v>
      </c>
      <c r="E153" s="147">
        <f>INDEX('Master Data'!$C$75:$O$299,MATCH(A153,'Master Data'!$B$75:$B$299,0),MATCH($E$1,'Master Data'!$C$74:$O$74,0))</f>
        <v>0.41</v>
      </c>
      <c r="F153" s="148">
        <f>ROUND(E153*INDEX('Master Data'!$F$4:$K$12,MATCH($E$1,'Master Data'!$E$4:$E$12,0),MATCH(C153,'Master Data'!$F$3:$K$3,0)),2)</f>
        <v>33409.629999999997</v>
      </c>
      <c r="G153" s="147">
        <f>INDEX('Master Data'!$C$75:$O$299,MATCH(A153,'Master Data'!$B$75:$B$299,0),MATCH($G$1,'Master Data'!$C$74:$O$74,0))</f>
        <v>1</v>
      </c>
      <c r="H153" s="148">
        <f>ROUND(G153*INDEX('Master Data'!$F$4:$K$12,MATCH($G$1,'Master Data'!$E$4:$E$12,0),MATCH(C153,'Master Data'!$F$3:$K$3,0)),2)</f>
        <v>56388.63</v>
      </c>
      <c r="I153" s="147">
        <f>INDEX('Master Data'!$C$75:$O$299,MATCH(A153,'Master Data'!$B$75:$B$299,0),MATCH($I$1,'Master Data'!$C$74:$O$74,0))</f>
        <v>7.6</v>
      </c>
      <c r="J153" s="148">
        <f>ROUND(I153*INDEX('Master Data'!$F$4:$K$12,MATCH($I$1,'Master Data'!$E$4:$E$12,0),MATCH(C153,'Master Data'!$F$3:$K$3,0)),2)</f>
        <v>431429.79</v>
      </c>
      <c r="K153" s="147">
        <f>INDEX('Master Data'!$C$75:$O$299,MATCH(A153,'Master Data'!$B$75:$B$299,0),MATCH($K$1,'Master Data'!$C$74:$O$74,0))</f>
        <v>1.4</v>
      </c>
      <c r="L153" s="148">
        <f>ROUND(K153*INDEX('Master Data'!$F$4:$K$12,MATCH($K$1,'Master Data'!$E$4:$E$12,0),MATCH(C153,'Master Data'!$F$3:$K$3,0)),2)</f>
        <v>65579.399999999994</v>
      </c>
      <c r="M153" s="147">
        <f>INDEX('Master Data'!$C$75:$O$299,MATCH(A153,'Master Data'!$B$75:$B$299,0),MATCH($M$1,'Master Data'!$C$74:$O$74,0))</f>
        <v>1.23</v>
      </c>
      <c r="N153" s="148">
        <f>ROUND(M153*INDEX('Master Data'!$F$4:$K$12,MATCH($M$1,'Master Data'!$E$4:$E$12,0),MATCH(C153,'Master Data'!$F$3:$K$3,0)),2)</f>
        <v>69823.509999999995</v>
      </c>
      <c r="O153" s="147">
        <f>INDEX('Master Data'!$C$75:$O$299,MATCH(A153,'Master Data'!$B$75:$B$299,0),MATCH($O$1,'Master Data'!$C$74:$O$74,0))</f>
        <v>0.23</v>
      </c>
      <c r="P153" s="148">
        <f>ROUND(O153*INDEX('Master Data'!$F$4:$K$12,MATCH($O$1,'Master Data'!$E$4:$E$12,0),MATCH(C153,'Master Data'!$F$3:$K$3,0)),2)</f>
        <v>7176</v>
      </c>
      <c r="Q153" s="147">
        <f>INDEX('Master Data'!$C$75:$O$299,MATCH(A153,'Master Data'!$B$75:$B$299,0),MATCH($Q$1,'Master Data'!$C$74:$O$74,0))</f>
        <v>0.12</v>
      </c>
      <c r="R153" s="148">
        <f>ROUND(Q153*INDEX('Master Data'!$F$4:$K$12,MATCH($Q$1,'Master Data'!$E$4:$E$12,0),MATCH(C153,'Master Data'!$F$3:$K$3,0)),2)</f>
        <v>5621.09</v>
      </c>
      <c r="S153" s="147">
        <f>INDEX('Master Data'!$C$75:$O$299,MATCH(A153,'Master Data'!$B$75:$B$299,0),MATCH($S$1,'Master Data'!$C$74:$O$74,0))</f>
        <v>0</v>
      </c>
      <c r="T153" s="148">
        <f>ROUND(S153*INDEX('Master Data'!$F$4:$K$12,MATCH($S$1,'Master Data'!$E$4:$E$12,0),MATCH(C153,'Master Data'!$F$3:$K$3,0)),2)</f>
        <v>0</v>
      </c>
      <c r="U153" s="147">
        <f>INDEX('Master Data'!$C$75:$O$299,MATCH(A153,'Master Data'!$B$75:$B$299,0),MATCH($U$1,'Master Data'!$C$74:$O$74,0))</f>
        <v>0</v>
      </c>
      <c r="V153" s="148">
        <f>ROUND(U153*INDEX('Master Data'!$F$4:$K$12,MATCH($U$1,'Master Data'!$E$4:$E$12,0),MATCH(C153,'Master Data'!$F$3:$K$3,0)),2)</f>
        <v>0</v>
      </c>
      <c r="W153" s="149">
        <f t="shared" si="20"/>
        <v>669428.04999999993</v>
      </c>
      <c r="X153" s="148">
        <f>ROUND(W153*('Master Data'!$B$54),2)</f>
        <v>167156.18</v>
      </c>
      <c r="Y153" s="149">
        <f t="shared" si="26"/>
        <v>836584.23</v>
      </c>
      <c r="Z153" s="147">
        <f>52*INDEX('Master Data'!$C$75:$O$299,MATCH(A153,'Master Data'!$B$75:$B$299,0),MATCH($Z$1,'Master Data'!$C$74:$O$74,0))</f>
        <v>104</v>
      </c>
      <c r="AA153" s="148">
        <f>Z153*('Master Data'!$F$15)</f>
        <v>7841.6</v>
      </c>
      <c r="AB153" s="147">
        <f>52*INDEX('Master Data'!$C$75:$O$299,MATCH(A153,'Master Data'!$B$75:$B$299,0),MATCH($AB$1,'Master Data'!$C$74:$O$74,0))</f>
        <v>156</v>
      </c>
      <c r="AC153" s="148">
        <f>AB153*('Master Data'!$F$16)</f>
        <v>11281.919999999998</v>
      </c>
      <c r="AD153" s="149">
        <f t="shared" si="21"/>
        <v>19123.519999999997</v>
      </c>
      <c r="AE153" s="148">
        <f>INDEX('Master Data'!$D$58:$D$60,MATCH(D153,'Master Data'!$B$58:$B$60,0))</f>
        <v>24321.56</v>
      </c>
      <c r="AF153" s="148">
        <f>INDEX('Master Data'!$E$58:$E$60,MATCH(D153,'Master Data'!$B$58:$B$60,0))</f>
        <v>2233.8000000000002</v>
      </c>
      <c r="AG153" s="148">
        <f>INDEX('Master Data'!$F$58:$F$60,MATCH(D153,'Master Data'!$B$58:$B$60,0))</f>
        <v>6471.45</v>
      </c>
      <c r="AH153" s="149">
        <f t="shared" si="23"/>
        <v>888734.56</v>
      </c>
      <c r="AI153" s="148">
        <f>ROUND(AH153*('Master Data'!$C$54),2)</f>
        <v>106648.15</v>
      </c>
      <c r="AJ153" s="148">
        <f>ROUND(SUM(AH153:AI153,AK153)*('Master Data'!$E$54),2)</f>
        <v>29820.71</v>
      </c>
      <c r="AK153" s="148">
        <f>ROUND(W153*('Master Data'!$F$54),2)</f>
        <v>0</v>
      </c>
      <c r="AL153" s="149">
        <f t="shared" si="24"/>
        <v>1025203.42</v>
      </c>
      <c r="AM153" s="140">
        <f t="shared" si="25"/>
        <v>2954.48</v>
      </c>
      <c r="AN153" s="121"/>
      <c r="AO153" s="121"/>
      <c r="AP153" s="121"/>
      <c r="AQ153" s="121"/>
      <c r="AR153" s="121"/>
      <c r="AS153" s="121"/>
    </row>
    <row r="154" spans="1:45">
      <c r="A154" s="121" t="s">
        <v>287</v>
      </c>
      <c r="B154" s="121" t="str">
        <f t="shared" si="22"/>
        <v>1</v>
      </c>
      <c r="C154" s="121" t="str">
        <f t="shared" si="27"/>
        <v>Medical 1</v>
      </c>
      <c r="D154" s="121" t="str">
        <f>INDEX('Master Data'!$C$75:$C$299,MATCH(A154,'Master Data'!$B$75:$B$299,0))</f>
        <v>4+</v>
      </c>
      <c r="E154" s="147">
        <f>INDEX('Master Data'!$C$75:$O$299,MATCH(A154,'Master Data'!$B$75:$B$299,0),MATCH($E$1,'Master Data'!$C$74:$O$74,0))</f>
        <v>0.41</v>
      </c>
      <c r="F154" s="148">
        <f>ROUND(E154*INDEX('Master Data'!$F$4:$K$12,MATCH($E$1,'Master Data'!$E$4:$E$12,0),MATCH(C154,'Master Data'!$F$3:$K$3,0)),2)</f>
        <v>33409.629999999997</v>
      </c>
      <c r="G154" s="147">
        <f>INDEX('Master Data'!$C$75:$O$299,MATCH(A154,'Master Data'!$B$75:$B$299,0),MATCH($G$1,'Master Data'!$C$74:$O$74,0))</f>
        <v>1</v>
      </c>
      <c r="H154" s="148">
        <f>ROUND(G154*INDEX('Master Data'!$F$4:$K$12,MATCH($G$1,'Master Data'!$E$4:$E$12,0),MATCH(C154,'Master Data'!$F$3:$K$3,0)),2)</f>
        <v>56388.63</v>
      </c>
      <c r="I154" s="147">
        <f>INDEX('Master Data'!$C$75:$O$299,MATCH(A154,'Master Data'!$B$75:$B$299,0),MATCH($I$1,'Master Data'!$C$74:$O$74,0))</f>
        <v>8.1</v>
      </c>
      <c r="J154" s="148">
        <f>ROUND(I154*INDEX('Master Data'!$F$4:$K$12,MATCH($I$1,'Master Data'!$E$4:$E$12,0),MATCH(C154,'Master Data'!$F$3:$K$3,0)),2)</f>
        <v>459813.33</v>
      </c>
      <c r="K154" s="147">
        <f>INDEX('Master Data'!$C$75:$O$299,MATCH(A154,'Master Data'!$B$75:$B$299,0),MATCH($K$1,'Master Data'!$C$74:$O$74,0))</f>
        <v>1.4</v>
      </c>
      <c r="L154" s="148">
        <f>ROUND(K154*INDEX('Master Data'!$F$4:$K$12,MATCH($K$1,'Master Data'!$E$4:$E$12,0),MATCH(C154,'Master Data'!$F$3:$K$3,0)),2)</f>
        <v>65579.399999999994</v>
      </c>
      <c r="M154" s="147">
        <f>INDEX('Master Data'!$C$75:$O$299,MATCH(A154,'Master Data'!$B$75:$B$299,0),MATCH($M$1,'Master Data'!$C$74:$O$74,0))</f>
        <v>1.31</v>
      </c>
      <c r="N154" s="148">
        <f>ROUND(M154*INDEX('Master Data'!$F$4:$K$12,MATCH($M$1,'Master Data'!$E$4:$E$12,0),MATCH(C154,'Master Data'!$F$3:$K$3,0)),2)</f>
        <v>74364.87</v>
      </c>
      <c r="O154" s="147">
        <f>INDEX('Master Data'!$C$75:$O$299,MATCH(A154,'Master Data'!$B$75:$B$299,0),MATCH($O$1,'Master Data'!$C$74:$O$74,0))</f>
        <v>0.23</v>
      </c>
      <c r="P154" s="148">
        <f>ROUND(O154*INDEX('Master Data'!$F$4:$K$12,MATCH($O$1,'Master Data'!$E$4:$E$12,0),MATCH(C154,'Master Data'!$F$3:$K$3,0)),2)</f>
        <v>7176</v>
      </c>
      <c r="Q154" s="147">
        <f>INDEX('Master Data'!$C$75:$O$299,MATCH(A154,'Master Data'!$B$75:$B$299,0),MATCH($Q$1,'Master Data'!$C$74:$O$74,0))</f>
        <v>0.12</v>
      </c>
      <c r="R154" s="148">
        <f>ROUND(Q154*INDEX('Master Data'!$F$4:$K$12,MATCH($Q$1,'Master Data'!$E$4:$E$12,0),MATCH(C154,'Master Data'!$F$3:$K$3,0)),2)</f>
        <v>5621.09</v>
      </c>
      <c r="S154" s="147">
        <f>INDEX('Master Data'!$C$75:$O$299,MATCH(A154,'Master Data'!$B$75:$B$299,0),MATCH($S$1,'Master Data'!$C$74:$O$74,0))</f>
        <v>0</v>
      </c>
      <c r="T154" s="148">
        <f>ROUND(S154*INDEX('Master Data'!$F$4:$K$12,MATCH($S$1,'Master Data'!$E$4:$E$12,0),MATCH(C154,'Master Data'!$F$3:$K$3,0)),2)</f>
        <v>0</v>
      </c>
      <c r="U154" s="147">
        <f>INDEX('Master Data'!$C$75:$O$299,MATCH(A154,'Master Data'!$B$75:$B$299,0),MATCH($U$1,'Master Data'!$C$74:$O$74,0))</f>
        <v>0</v>
      </c>
      <c r="V154" s="148">
        <f>ROUND(U154*INDEX('Master Data'!$F$4:$K$12,MATCH($U$1,'Master Data'!$E$4:$E$12,0),MATCH(C154,'Master Data'!$F$3:$K$3,0)),2)</f>
        <v>0</v>
      </c>
      <c r="W154" s="149">
        <f t="shared" si="20"/>
        <v>702352.95</v>
      </c>
      <c r="X154" s="148">
        <f>ROUND(W154*('Master Data'!$B$54),2)</f>
        <v>175377.53</v>
      </c>
      <c r="Y154" s="149">
        <f t="shared" si="26"/>
        <v>877730.48</v>
      </c>
      <c r="Z154" s="147">
        <f>52*INDEX('Master Data'!$C$75:$O$299,MATCH(A154,'Master Data'!$B$75:$B$299,0),MATCH($Z$1,'Master Data'!$C$74:$O$74,0))</f>
        <v>104</v>
      </c>
      <c r="AA154" s="148">
        <f>Z154*('Master Data'!$F$15)</f>
        <v>7841.6</v>
      </c>
      <c r="AB154" s="147">
        <f>52*INDEX('Master Data'!$C$75:$O$299,MATCH(A154,'Master Data'!$B$75:$B$299,0),MATCH($AB$1,'Master Data'!$C$74:$O$74,0))</f>
        <v>156</v>
      </c>
      <c r="AC154" s="148">
        <f>AB154*('Master Data'!$F$16)</f>
        <v>11281.919999999998</v>
      </c>
      <c r="AD154" s="149">
        <f t="shared" si="21"/>
        <v>19123.519999999997</v>
      </c>
      <c r="AE154" s="148">
        <f>INDEX('Master Data'!$D$58:$D$60,MATCH(D154,'Master Data'!$B$58:$B$60,0))</f>
        <v>24321.56</v>
      </c>
      <c r="AF154" s="148">
        <f>INDEX('Master Data'!$E$58:$E$60,MATCH(D154,'Master Data'!$B$58:$B$60,0))</f>
        <v>2233.8000000000002</v>
      </c>
      <c r="AG154" s="148">
        <f>INDEX('Master Data'!$F$58:$F$60,MATCH(D154,'Master Data'!$B$58:$B$60,0))</f>
        <v>6471.45</v>
      </c>
      <c r="AH154" s="149">
        <f t="shared" si="23"/>
        <v>929880.81</v>
      </c>
      <c r="AI154" s="148">
        <f>ROUND(AH154*('Master Data'!$C$54),2)</f>
        <v>111585.7</v>
      </c>
      <c r="AJ154" s="148">
        <f>ROUND(SUM(AH154:AI154,AK154)*('Master Data'!$E$54),2)</f>
        <v>31201.34</v>
      </c>
      <c r="AK154" s="148">
        <f>ROUND(W154*('Master Data'!$F$54),2)</f>
        <v>0</v>
      </c>
      <c r="AL154" s="149">
        <f t="shared" si="24"/>
        <v>1072667.8500000001</v>
      </c>
      <c r="AM154" s="140">
        <f t="shared" si="25"/>
        <v>3091.26</v>
      </c>
      <c r="AN154" s="121"/>
      <c r="AO154" s="121"/>
      <c r="AP154" s="121"/>
      <c r="AQ154" s="121"/>
      <c r="AR154" s="121"/>
      <c r="AS154" s="121"/>
    </row>
    <row r="155" spans="1:45">
      <c r="A155" s="121" t="s">
        <v>288</v>
      </c>
      <c r="B155" s="121" t="str">
        <f t="shared" si="22"/>
        <v>1</v>
      </c>
      <c r="C155" s="121" t="str">
        <f t="shared" si="27"/>
        <v>Medical 1</v>
      </c>
      <c r="D155" s="121" t="str">
        <f>INDEX('Master Data'!$C$75:$C$299,MATCH(A155,'Master Data'!$B$75:$B$299,0))</f>
        <v>4+</v>
      </c>
      <c r="E155" s="147">
        <f>INDEX('Master Data'!$C$75:$O$299,MATCH(A155,'Master Data'!$B$75:$B$299,0),MATCH($E$1,'Master Data'!$C$74:$O$74,0))</f>
        <v>0.41</v>
      </c>
      <c r="F155" s="148">
        <f>ROUND(E155*INDEX('Master Data'!$F$4:$K$12,MATCH($E$1,'Master Data'!$E$4:$E$12,0),MATCH(C155,'Master Data'!$F$3:$K$3,0)),2)</f>
        <v>33409.629999999997</v>
      </c>
      <c r="G155" s="147">
        <f>INDEX('Master Data'!$C$75:$O$299,MATCH(A155,'Master Data'!$B$75:$B$299,0),MATCH($G$1,'Master Data'!$C$74:$O$74,0))</f>
        <v>1</v>
      </c>
      <c r="H155" s="148">
        <f>ROUND(G155*INDEX('Master Data'!$F$4:$K$12,MATCH($G$1,'Master Data'!$E$4:$E$12,0),MATCH(C155,'Master Data'!$F$3:$K$3,0)),2)</f>
        <v>56388.63</v>
      </c>
      <c r="I155" s="147">
        <f>INDEX('Master Data'!$C$75:$O$299,MATCH(A155,'Master Data'!$B$75:$B$299,0),MATCH($I$1,'Master Data'!$C$74:$O$74,0))</f>
        <v>8.6</v>
      </c>
      <c r="J155" s="148">
        <f>ROUND(I155*INDEX('Master Data'!$F$4:$K$12,MATCH($I$1,'Master Data'!$E$4:$E$12,0),MATCH(C155,'Master Data'!$F$3:$K$3,0)),2)</f>
        <v>488196.87</v>
      </c>
      <c r="K155" s="147">
        <f>INDEX('Master Data'!$C$75:$O$299,MATCH(A155,'Master Data'!$B$75:$B$299,0),MATCH($K$1,'Master Data'!$C$74:$O$74,0))</f>
        <v>1.4</v>
      </c>
      <c r="L155" s="148">
        <f>ROUND(K155*INDEX('Master Data'!$F$4:$K$12,MATCH($K$1,'Master Data'!$E$4:$E$12,0),MATCH(C155,'Master Data'!$F$3:$K$3,0)),2)</f>
        <v>65579.399999999994</v>
      </c>
      <c r="M155" s="147">
        <f>INDEX('Master Data'!$C$75:$O$299,MATCH(A155,'Master Data'!$B$75:$B$299,0),MATCH($M$1,'Master Data'!$C$74:$O$74,0))</f>
        <v>1.39</v>
      </c>
      <c r="N155" s="148">
        <f>ROUND(M155*INDEX('Master Data'!$F$4:$K$12,MATCH($M$1,'Master Data'!$E$4:$E$12,0),MATCH(C155,'Master Data'!$F$3:$K$3,0)),2)</f>
        <v>78906.240000000005</v>
      </c>
      <c r="O155" s="147">
        <f>INDEX('Master Data'!$C$75:$O$299,MATCH(A155,'Master Data'!$B$75:$B$299,0),MATCH($O$1,'Master Data'!$C$74:$O$74,0))</f>
        <v>0.23</v>
      </c>
      <c r="P155" s="148">
        <f>ROUND(O155*INDEX('Master Data'!$F$4:$K$12,MATCH($O$1,'Master Data'!$E$4:$E$12,0),MATCH(C155,'Master Data'!$F$3:$K$3,0)),2)</f>
        <v>7176</v>
      </c>
      <c r="Q155" s="147">
        <f>INDEX('Master Data'!$C$75:$O$299,MATCH(A155,'Master Data'!$B$75:$B$299,0),MATCH($Q$1,'Master Data'!$C$74:$O$74,0))</f>
        <v>0.12</v>
      </c>
      <c r="R155" s="148">
        <f>ROUND(Q155*INDEX('Master Data'!$F$4:$K$12,MATCH($Q$1,'Master Data'!$E$4:$E$12,0),MATCH(C155,'Master Data'!$F$3:$K$3,0)),2)</f>
        <v>5621.09</v>
      </c>
      <c r="S155" s="147">
        <f>INDEX('Master Data'!$C$75:$O$299,MATCH(A155,'Master Data'!$B$75:$B$299,0),MATCH($S$1,'Master Data'!$C$74:$O$74,0))</f>
        <v>0</v>
      </c>
      <c r="T155" s="148">
        <f>ROUND(S155*INDEX('Master Data'!$F$4:$K$12,MATCH($S$1,'Master Data'!$E$4:$E$12,0),MATCH(C155,'Master Data'!$F$3:$K$3,0)),2)</f>
        <v>0</v>
      </c>
      <c r="U155" s="147">
        <f>INDEX('Master Data'!$C$75:$O$299,MATCH(A155,'Master Data'!$B$75:$B$299,0),MATCH($U$1,'Master Data'!$C$74:$O$74,0))</f>
        <v>0</v>
      </c>
      <c r="V155" s="148">
        <f>ROUND(U155*INDEX('Master Data'!$F$4:$K$12,MATCH($U$1,'Master Data'!$E$4:$E$12,0),MATCH(C155,'Master Data'!$F$3:$K$3,0)),2)</f>
        <v>0</v>
      </c>
      <c r="W155" s="149">
        <f t="shared" si="20"/>
        <v>735277.86</v>
      </c>
      <c r="X155" s="148">
        <f>ROUND(W155*('Master Data'!$B$54),2)</f>
        <v>183598.88</v>
      </c>
      <c r="Y155" s="149">
        <f t="shared" si="26"/>
        <v>918876.74</v>
      </c>
      <c r="Z155" s="147">
        <f>52*INDEX('Master Data'!$C$75:$O$299,MATCH(A155,'Master Data'!$B$75:$B$299,0),MATCH($Z$1,'Master Data'!$C$74:$O$74,0))</f>
        <v>104</v>
      </c>
      <c r="AA155" s="148">
        <f>Z155*('Master Data'!$F$15)</f>
        <v>7841.6</v>
      </c>
      <c r="AB155" s="147">
        <f>52*INDEX('Master Data'!$C$75:$O$299,MATCH(A155,'Master Data'!$B$75:$B$299,0),MATCH($AB$1,'Master Data'!$C$74:$O$74,0))</f>
        <v>156</v>
      </c>
      <c r="AC155" s="148">
        <f>AB155*('Master Data'!$F$16)</f>
        <v>11281.919999999998</v>
      </c>
      <c r="AD155" s="149">
        <f t="shared" si="21"/>
        <v>19123.519999999997</v>
      </c>
      <c r="AE155" s="148">
        <f>INDEX('Master Data'!$D$58:$D$60,MATCH(D155,'Master Data'!$B$58:$B$60,0))</f>
        <v>24321.56</v>
      </c>
      <c r="AF155" s="148">
        <f>INDEX('Master Data'!$E$58:$E$60,MATCH(D155,'Master Data'!$B$58:$B$60,0))</f>
        <v>2233.8000000000002</v>
      </c>
      <c r="AG155" s="148">
        <f>INDEX('Master Data'!$F$58:$F$60,MATCH(D155,'Master Data'!$B$58:$B$60,0))</f>
        <v>6471.45</v>
      </c>
      <c r="AH155" s="149">
        <f t="shared" si="23"/>
        <v>971027.07000000007</v>
      </c>
      <c r="AI155" s="148">
        <f>ROUND(AH155*('Master Data'!$C$54),2)</f>
        <v>116523.25</v>
      </c>
      <c r="AJ155" s="148">
        <f>ROUND(SUM(AH155:AI155,AK155)*('Master Data'!$E$54),2)</f>
        <v>32581.97</v>
      </c>
      <c r="AK155" s="148">
        <f>ROUND(W155*('Master Data'!$F$54),2)</f>
        <v>0</v>
      </c>
      <c r="AL155" s="149">
        <f t="shared" si="24"/>
        <v>1120132.29</v>
      </c>
      <c r="AM155" s="140">
        <f t="shared" si="25"/>
        <v>3228.05</v>
      </c>
      <c r="AN155" s="121"/>
      <c r="AO155" s="121"/>
      <c r="AP155" s="121"/>
      <c r="AQ155" s="121"/>
      <c r="AR155" s="121"/>
      <c r="AS155" s="121"/>
    </row>
    <row r="156" spans="1:45">
      <c r="A156" s="121" t="s">
        <v>289</v>
      </c>
      <c r="B156" s="121" t="str">
        <f t="shared" si="22"/>
        <v>1</v>
      </c>
      <c r="C156" s="121" t="str">
        <f t="shared" si="27"/>
        <v>Medical 1</v>
      </c>
      <c r="D156" s="121" t="str">
        <f>INDEX('Master Data'!$C$75:$C$299,MATCH(A156,'Master Data'!$B$75:$B$299,0))</f>
        <v>4+</v>
      </c>
      <c r="E156" s="147">
        <f>INDEX('Master Data'!$C$75:$O$299,MATCH(A156,'Master Data'!$B$75:$B$299,0),MATCH($E$1,'Master Data'!$C$74:$O$74,0))</f>
        <v>0.41</v>
      </c>
      <c r="F156" s="148">
        <f>ROUND(E156*INDEX('Master Data'!$F$4:$K$12,MATCH($E$1,'Master Data'!$E$4:$E$12,0),MATCH(C156,'Master Data'!$F$3:$K$3,0)),2)</f>
        <v>33409.629999999997</v>
      </c>
      <c r="G156" s="147">
        <f>INDEX('Master Data'!$C$75:$O$299,MATCH(A156,'Master Data'!$B$75:$B$299,0),MATCH($G$1,'Master Data'!$C$74:$O$74,0))</f>
        <v>1</v>
      </c>
      <c r="H156" s="148">
        <f>ROUND(G156*INDEX('Master Data'!$F$4:$K$12,MATCH($G$1,'Master Data'!$E$4:$E$12,0),MATCH(C156,'Master Data'!$F$3:$K$3,0)),2)</f>
        <v>56388.63</v>
      </c>
      <c r="I156" s="147">
        <f>INDEX('Master Data'!$C$75:$O$299,MATCH(A156,'Master Data'!$B$75:$B$299,0),MATCH($I$1,'Master Data'!$C$74:$O$74,0))</f>
        <v>9.1</v>
      </c>
      <c r="J156" s="148">
        <f>ROUND(I156*INDEX('Master Data'!$F$4:$K$12,MATCH($I$1,'Master Data'!$E$4:$E$12,0),MATCH(C156,'Master Data'!$F$3:$K$3,0)),2)</f>
        <v>516580.41</v>
      </c>
      <c r="K156" s="147">
        <f>INDEX('Master Data'!$C$75:$O$299,MATCH(A156,'Master Data'!$B$75:$B$299,0),MATCH($K$1,'Master Data'!$C$74:$O$74,0))</f>
        <v>1.4</v>
      </c>
      <c r="L156" s="148">
        <f>ROUND(K156*INDEX('Master Data'!$F$4:$K$12,MATCH($K$1,'Master Data'!$E$4:$E$12,0),MATCH(C156,'Master Data'!$F$3:$K$3,0)),2)</f>
        <v>65579.399999999994</v>
      </c>
      <c r="M156" s="147">
        <f>INDEX('Master Data'!$C$75:$O$299,MATCH(A156,'Master Data'!$B$75:$B$299,0),MATCH($M$1,'Master Data'!$C$74:$O$74,0))</f>
        <v>1.47</v>
      </c>
      <c r="N156" s="148">
        <f>ROUND(M156*INDEX('Master Data'!$F$4:$K$12,MATCH($M$1,'Master Data'!$E$4:$E$12,0),MATCH(C156,'Master Data'!$F$3:$K$3,0)),2)</f>
        <v>83447.61</v>
      </c>
      <c r="O156" s="147">
        <f>INDEX('Master Data'!$C$75:$O$299,MATCH(A156,'Master Data'!$B$75:$B$299,0),MATCH($O$1,'Master Data'!$C$74:$O$74,0))</f>
        <v>0.23</v>
      </c>
      <c r="P156" s="148">
        <f>ROUND(O156*INDEX('Master Data'!$F$4:$K$12,MATCH($O$1,'Master Data'!$E$4:$E$12,0),MATCH(C156,'Master Data'!$F$3:$K$3,0)),2)</f>
        <v>7176</v>
      </c>
      <c r="Q156" s="147">
        <f>INDEX('Master Data'!$C$75:$O$299,MATCH(A156,'Master Data'!$B$75:$B$299,0),MATCH($Q$1,'Master Data'!$C$74:$O$74,0))</f>
        <v>0.12</v>
      </c>
      <c r="R156" s="148">
        <f>ROUND(Q156*INDEX('Master Data'!$F$4:$K$12,MATCH($Q$1,'Master Data'!$E$4:$E$12,0),MATCH(C156,'Master Data'!$F$3:$K$3,0)),2)</f>
        <v>5621.09</v>
      </c>
      <c r="S156" s="147">
        <f>INDEX('Master Data'!$C$75:$O$299,MATCH(A156,'Master Data'!$B$75:$B$299,0),MATCH($S$1,'Master Data'!$C$74:$O$74,0))</f>
        <v>0</v>
      </c>
      <c r="T156" s="148">
        <f>ROUND(S156*INDEX('Master Data'!$F$4:$K$12,MATCH($S$1,'Master Data'!$E$4:$E$12,0),MATCH(C156,'Master Data'!$F$3:$K$3,0)),2)</f>
        <v>0</v>
      </c>
      <c r="U156" s="147">
        <f>INDEX('Master Data'!$C$75:$O$299,MATCH(A156,'Master Data'!$B$75:$B$299,0),MATCH($U$1,'Master Data'!$C$74:$O$74,0))</f>
        <v>0</v>
      </c>
      <c r="V156" s="148">
        <f>ROUND(U156*INDEX('Master Data'!$F$4:$K$12,MATCH($U$1,'Master Data'!$E$4:$E$12,0),MATCH(C156,'Master Data'!$F$3:$K$3,0)),2)</f>
        <v>0</v>
      </c>
      <c r="W156" s="149">
        <f t="shared" si="20"/>
        <v>768202.7699999999</v>
      </c>
      <c r="X156" s="148">
        <f>ROUND(W156*('Master Data'!$B$54),2)</f>
        <v>191820.23</v>
      </c>
      <c r="Y156" s="149">
        <f t="shared" si="26"/>
        <v>960022.99999999988</v>
      </c>
      <c r="Z156" s="147">
        <f>52*INDEX('Master Data'!$C$75:$O$299,MATCH(A156,'Master Data'!$B$75:$B$299,0),MATCH($Z$1,'Master Data'!$C$74:$O$74,0))</f>
        <v>104</v>
      </c>
      <c r="AA156" s="148">
        <f>Z156*('Master Data'!$F$15)</f>
        <v>7841.6</v>
      </c>
      <c r="AB156" s="147">
        <f>52*INDEX('Master Data'!$C$75:$O$299,MATCH(A156,'Master Data'!$B$75:$B$299,0),MATCH($AB$1,'Master Data'!$C$74:$O$74,0))</f>
        <v>156</v>
      </c>
      <c r="AC156" s="148">
        <f>AB156*('Master Data'!$F$16)</f>
        <v>11281.919999999998</v>
      </c>
      <c r="AD156" s="149">
        <f t="shared" si="21"/>
        <v>19123.519999999997</v>
      </c>
      <c r="AE156" s="148">
        <f>INDEX('Master Data'!$D$58:$D$60,MATCH(D156,'Master Data'!$B$58:$B$60,0))</f>
        <v>24321.56</v>
      </c>
      <c r="AF156" s="148">
        <f>INDEX('Master Data'!$E$58:$E$60,MATCH(D156,'Master Data'!$B$58:$B$60,0))</f>
        <v>2233.8000000000002</v>
      </c>
      <c r="AG156" s="148">
        <f>INDEX('Master Data'!$F$58:$F$60,MATCH(D156,'Master Data'!$B$58:$B$60,0))</f>
        <v>6471.45</v>
      </c>
      <c r="AH156" s="149">
        <f t="shared" si="23"/>
        <v>1012173.33</v>
      </c>
      <c r="AI156" s="148">
        <f>ROUND(AH156*('Master Data'!$C$54),2)</f>
        <v>121460.8</v>
      </c>
      <c r="AJ156" s="148">
        <f>ROUND(SUM(AH156:AI156,AK156)*('Master Data'!$E$54),2)</f>
        <v>33962.589999999997</v>
      </c>
      <c r="AK156" s="148">
        <f>ROUND(W156*('Master Data'!$F$54),2)</f>
        <v>0</v>
      </c>
      <c r="AL156" s="149">
        <f t="shared" si="24"/>
        <v>1167596.72</v>
      </c>
      <c r="AM156" s="140">
        <f t="shared" si="25"/>
        <v>3364.83</v>
      </c>
      <c r="AN156" s="121"/>
      <c r="AO156" s="121"/>
      <c r="AP156" s="121"/>
      <c r="AQ156" s="121"/>
      <c r="AR156" s="121"/>
      <c r="AS156" s="121"/>
    </row>
    <row r="157" spans="1:45">
      <c r="A157" s="121" t="s">
        <v>290</v>
      </c>
      <c r="B157" s="121" t="str">
        <f t="shared" si="22"/>
        <v>1</v>
      </c>
      <c r="C157" s="121" t="str">
        <f t="shared" si="27"/>
        <v>Medical 1</v>
      </c>
      <c r="D157" s="121" t="str">
        <f>INDEX('Master Data'!$C$75:$C$299,MATCH(A157,'Master Data'!$B$75:$B$299,0))</f>
        <v>4+</v>
      </c>
      <c r="E157" s="147">
        <f>INDEX('Master Data'!$C$75:$O$299,MATCH(A157,'Master Data'!$B$75:$B$299,0),MATCH($E$1,'Master Data'!$C$74:$O$74,0))</f>
        <v>0.41</v>
      </c>
      <c r="F157" s="148">
        <f>ROUND(E157*INDEX('Master Data'!$F$4:$K$12,MATCH($E$1,'Master Data'!$E$4:$E$12,0),MATCH(C157,'Master Data'!$F$3:$K$3,0)),2)</f>
        <v>33409.629999999997</v>
      </c>
      <c r="G157" s="147">
        <f>INDEX('Master Data'!$C$75:$O$299,MATCH(A157,'Master Data'!$B$75:$B$299,0),MATCH($G$1,'Master Data'!$C$74:$O$74,0))</f>
        <v>1</v>
      </c>
      <c r="H157" s="148">
        <f>ROUND(G157*INDEX('Master Data'!$F$4:$K$12,MATCH($G$1,'Master Data'!$E$4:$E$12,0),MATCH(C157,'Master Data'!$F$3:$K$3,0)),2)</f>
        <v>56388.63</v>
      </c>
      <c r="I157" s="147">
        <f>INDEX('Master Data'!$C$75:$O$299,MATCH(A157,'Master Data'!$B$75:$B$299,0),MATCH($I$1,'Master Data'!$C$74:$O$74,0))</f>
        <v>9.6</v>
      </c>
      <c r="J157" s="148">
        <f>ROUND(I157*INDEX('Master Data'!$F$4:$K$12,MATCH($I$1,'Master Data'!$E$4:$E$12,0),MATCH(C157,'Master Data'!$F$3:$K$3,0)),2)</f>
        <v>544963.94999999995</v>
      </c>
      <c r="K157" s="147">
        <f>INDEX('Master Data'!$C$75:$O$299,MATCH(A157,'Master Data'!$B$75:$B$299,0),MATCH($K$1,'Master Data'!$C$74:$O$74,0))</f>
        <v>1.4</v>
      </c>
      <c r="L157" s="148">
        <f>ROUND(K157*INDEX('Master Data'!$F$4:$K$12,MATCH($K$1,'Master Data'!$E$4:$E$12,0),MATCH(C157,'Master Data'!$F$3:$K$3,0)),2)</f>
        <v>65579.399999999994</v>
      </c>
      <c r="M157" s="147">
        <f>INDEX('Master Data'!$C$75:$O$299,MATCH(A157,'Master Data'!$B$75:$B$299,0),MATCH($M$1,'Master Data'!$C$74:$O$74,0))</f>
        <v>1.56</v>
      </c>
      <c r="N157" s="148">
        <f>ROUND(M157*INDEX('Master Data'!$F$4:$K$12,MATCH($M$1,'Master Data'!$E$4:$E$12,0),MATCH(C157,'Master Data'!$F$3:$K$3,0)),2)</f>
        <v>88556.64</v>
      </c>
      <c r="O157" s="147">
        <f>INDEX('Master Data'!$C$75:$O$299,MATCH(A157,'Master Data'!$B$75:$B$299,0),MATCH($O$1,'Master Data'!$C$74:$O$74,0))</f>
        <v>0.23</v>
      </c>
      <c r="P157" s="148">
        <f>ROUND(O157*INDEX('Master Data'!$F$4:$K$12,MATCH($O$1,'Master Data'!$E$4:$E$12,0),MATCH(C157,'Master Data'!$F$3:$K$3,0)),2)</f>
        <v>7176</v>
      </c>
      <c r="Q157" s="147">
        <f>INDEX('Master Data'!$C$75:$O$299,MATCH(A157,'Master Data'!$B$75:$B$299,0),MATCH($Q$1,'Master Data'!$C$74:$O$74,0))</f>
        <v>0.12</v>
      </c>
      <c r="R157" s="148">
        <f>ROUND(Q157*INDEX('Master Data'!$F$4:$K$12,MATCH($Q$1,'Master Data'!$E$4:$E$12,0),MATCH(C157,'Master Data'!$F$3:$K$3,0)),2)</f>
        <v>5621.09</v>
      </c>
      <c r="S157" s="147">
        <f>INDEX('Master Data'!$C$75:$O$299,MATCH(A157,'Master Data'!$B$75:$B$299,0),MATCH($S$1,'Master Data'!$C$74:$O$74,0))</f>
        <v>0</v>
      </c>
      <c r="T157" s="148">
        <f>ROUND(S157*INDEX('Master Data'!$F$4:$K$12,MATCH($S$1,'Master Data'!$E$4:$E$12,0),MATCH(C157,'Master Data'!$F$3:$K$3,0)),2)</f>
        <v>0</v>
      </c>
      <c r="U157" s="147">
        <f>INDEX('Master Data'!$C$75:$O$299,MATCH(A157,'Master Data'!$B$75:$B$299,0),MATCH($U$1,'Master Data'!$C$74:$O$74,0))</f>
        <v>0</v>
      </c>
      <c r="V157" s="148">
        <f>ROUND(U157*INDEX('Master Data'!$F$4:$K$12,MATCH($U$1,'Master Data'!$E$4:$E$12,0),MATCH(C157,'Master Data'!$F$3:$K$3,0)),2)</f>
        <v>0</v>
      </c>
      <c r="W157" s="149">
        <f t="shared" si="20"/>
        <v>801695.34</v>
      </c>
      <c r="X157" s="148">
        <f>ROUND(W157*('Master Data'!$B$54),2)</f>
        <v>200183.33</v>
      </c>
      <c r="Y157" s="149">
        <f t="shared" si="26"/>
        <v>1001878.6699999999</v>
      </c>
      <c r="Z157" s="147">
        <f>52*INDEX('Master Data'!$C$75:$O$299,MATCH(A157,'Master Data'!$B$75:$B$299,0),MATCH($Z$1,'Master Data'!$C$74:$O$74,0))</f>
        <v>104</v>
      </c>
      <c r="AA157" s="148">
        <f>Z157*('Master Data'!$F$15)</f>
        <v>7841.6</v>
      </c>
      <c r="AB157" s="147">
        <f>52*INDEX('Master Data'!$C$75:$O$299,MATCH(A157,'Master Data'!$B$75:$B$299,0),MATCH($AB$1,'Master Data'!$C$74:$O$74,0))</f>
        <v>156</v>
      </c>
      <c r="AC157" s="148">
        <f>AB157*('Master Data'!$F$16)</f>
        <v>11281.919999999998</v>
      </c>
      <c r="AD157" s="149">
        <f t="shared" si="21"/>
        <v>19123.519999999997</v>
      </c>
      <c r="AE157" s="148">
        <f>INDEX('Master Data'!$D$58:$D$60,MATCH(D157,'Master Data'!$B$58:$B$60,0))</f>
        <v>24321.56</v>
      </c>
      <c r="AF157" s="148">
        <f>INDEX('Master Data'!$E$58:$E$60,MATCH(D157,'Master Data'!$B$58:$B$60,0))</f>
        <v>2233.8000000000002</v>
      </c>
      <c r="AG157" s="148">
        <f>INDEX('Master Data'!$F$58:$F$60,MATCH(D157,'Master Data'!$B$58:$B$60,0))</f>
        <v>6471.45</v>
      </c>
      <c r="AH157" s="149">
        <f t="shared" si="23"/>
        <v>1054029</v>
      </c>
      <c r="AI157" s="148">
        <f>ROUND(AH157*('Master Data'!$C$54),2)</f>
        <v>126483.48</v>
      </c>
      <c r="AJ157" s="148">
        <f>ROUND(SUM(AH157:AI157,AK157)*('Master Data'!$E$54),2)</f>
        <v>35367.019999999997</v>
      </c>
      <c r="AK157" s="148">
        <f>ROUND(W157*('Master Data'!$F$54),2)</f>
        <v>0</v>
      </c>
      <c r="AL157" s="149">
        <f t="shared" si="24"/>
        <v>1215879.5</v>
      </c>
      <c r="AM157" s="140">
        <f t="shared" si="25"/>
        <v>3503.98</v>
      </c>
      <c r="AN157" s="121"/>
      <c r="AO157" s="121"/>
      <c r="AP157" s="121"/>
      <c r="AQ157" s="121"/>
      <c r="AR157" s="121"/>
      <c r="AS157" s="121"/>
    </row>
    <row r="158" spans="1:45">
      <c r="A158" s="121" t="s">
        <v>291</v>
      </c>
      <c r="B158" s="121" t="str">
        <f t="shared" si="22"/>
        <v>1</v>
      </c>
      <c r="C158" s="121" t="str">
        <f t="shared" si="27"/>
        <v>Medical 1</v>
      </c>
      <c r="D158" s="121" t="str">
        <f>INDEX('Master Data'!$C$75:$C$299,MATCH(A158,'Master Data'!$B$75:$B$299,0))</f>
        <v>4+</v>
      </c>
      <c r="E158" s="147">
        <f>INDEX('Master Data'!$C$75:$O$299,MATCH(A158,'Master Data'!$B$75:$B$299,0),MATCH($E$1,'Master Data'!$C$74:$O$74,0))</f>
        <v>0.41</v>
      </c>
      <c r="F158" s="148">
        <f>ROUND(E158*INDEX('Master Data'!$F$4:$K$12,MATCH($E$1,'Master Data'!$E$4:$E$12,0),MATCH(C158,'Master Data'!$F$3:$K$3,0)),2)</f>
        <v>33409.629999999997</v>
      </c>
      <c r="G158" s="147">
        <f>INDEX('Master Data'!$C$75:$O$299,MATCH(A158,'Master Data'!$B$75:$B$299,0),MATCH($G$1,'Master Data'!$C$74:$O$74,0))</f>
        <v>1</v>
      </c>
      <c r="H158" s="148">
        <f>ROUND(G158*INDEX('Master Data'!$F$4:$K$12,MATCH($G$1,'Master Data'!$E$4:$E$12,0),MATCH(C158,'Master Data'!$F$3:$K$3,0)),2)</f>
        <v>56388.63</v>
      </c>
      <c r="I158" s="147">
        <f>INDEX('Master Data'!$C$75:$O$299,MATCH(A158,'Master Data'!$B$75:$B$299,0),MATCH($I$1,'Master Data'!$C$74:$O$74,0))</f>
        <v>10.1</v>
      </c>
      <c r="J158" s="148">
        <f>ROUND(I158*INDEX('Master Data'!$F$4:$K$12,MATCH($I$1,'Master Data'!$E$4:$E$12,0),MATCH(C158,'Master Data'!$F$3:$K$3,0)),2)</f>
        <v>573347.49</v>
      </c>
      <c r="K158" s="147">
        <f>INDEX('Master Data'!$C$75:$O$299,MATCH(A158,'Master Data'!$B$75:$B$299,0),MATCH($K$1,'Master Data'!$C$74:$O$74,0))</f>
        <v>1.4</v>
      </c>
      <c r="L158" s="148">
        <f>ROUND(K158*INDEX('Master Data'!$F$4:$K$12,MATCH($K$1,'Master Data'!$E$4:$E$12,0),MATCH(C158,'Master Data'!$F$3:$K$3,0)),2)</f>
        <v>65579.399999999994</v>
      </c>
      <c r="M158" s="147">
        <f>INDEX('Master Data'!$C$75:$O$299,MATCH(A158,'Master Data'!$B$75:$B$299,0),MATCH($M$1,'Master Data'!$C$74:$O$74,0))</f>
        <v>1.64</v>
      </c>
      <c r="N158" s="148">
        <f>ROUND(M158*INDEX('Master Data'!$F$4:$K$12,MATCH($M$1,'Master Data'!$E$4:$E$12,0),MATCH(C158,'Master Data'!$F$3:$K$3,0)),2)</f>
        <v>93098.01</v>
      </c>
      <c r="O158" s="147">
        <f>INDEX('Master Data'!$C$75:$O$299,MATCH(A158,'Master Data'!$B$75:$B$299,0),MATCH($O$1,'Master Data'!$C$74:$O$74,0))</f>
        <v>0.23</v>
      </c>
      <c r="P158" s="148">
        <f>ROUND(O158*INDEX('Master Data'!$F$4:$K$12,MATCH($O$1,'Master Data'!$E$4:$E$12,0),MATCH(C158,'Master Data'!$F$3:$K$3,0)),2)</f>
        <v>7176</v>
      </c>
      <c r="Q158" s="147">
        <f>INDEX('Master Data'!$C$75:$O$299,MATCH(A158,'Master Data'!$B$75:$B$299,0),MATCH($Q$1,'Master Data'!$C$74:$O$74,0))</f>
        <v>0.12</v>
      </c>
      <c r="R158" s="148">
        <f>ROUND(Q158*INDEX('Master Data'!$F$4:$K$12,MATCH($Q$1,'Master Data'!$E$4:$E$12,0),MATCH(C158,'Master Data'!$F$3:$K$3,0)),2)</f>
        <v>5621.09</v>
      </c>
      <c r="S158" s="147">
        <f>INDEX('Master Data'!$C$75:$O$299,MATCH(A158,'Master Data'!$B$75:$B$299,0),MATCH($S$1,'Master Data'!$C$74:$O$74,0))</f>
        <v>0</v>
      </c>
      <c r="T158" s="148">
        <f>ROUND(S158*INDEX('Master Data'!$F$4:$K$12,MATCH($S$1,'Master Data'!$E$4:$E$12,0),MATCH(C158,'Master Data'!$F$3:$K$3,0)),2)</f>
        <v>0</v>
      </c>
      <c r="U158" s="147">
        <f>INDEX('Master Data'!$C$75:$O$299,MATCH(A158,'Master Data'!$B$75:$B$299,0),MATCH($U$1,'Master Data'!$C$74:$O$74,0))</f>
        <v>0</v>
      </c>
      <c r="V158" s="148">
        <f>ROUND(U158*INDEX('Master Data'!$F$4:$K$12,MATCH($U$1,'Master Data'!$E$4:$E$12,0),MATCH(C158,'Master Data'!$F$3:$K$3,0)),2)</f>
        <v>0</v>
      </c>
      <c r="W158" s="149">
        <f t="shared" si="20"/>
        <v>834620.25</v>
      </c>
      <c r="X158" s="148">
        <f>ROUND(W158*('Master Data'!$B$54),2)</f>
        <v>208404.68</v>
      </c>
      <c r="Y158" s="149">
        <f t="shared" si="26"/>
        <v>1043024.9299999999</v>
      </c>
      <c r="Z158" s="147">
        <f>52*INDEX('Master Data'!$C$75:$O$299,MATCH(A158,'Master Data'!$B$75:$B$299,0),MATCH($Z$1,'Master Data'!$C$74:$O$74,0))</f>
        <v>104</v>
      </c>
      <c r="AA158" s="148">
        <f>Z158*('Master Data'!$F$15)</f>
        <v>7841.6</v>
      </c>
      <c r="AB158" s="147">
        <f>52*INDEX('Master Data'!$C$75:$O$299,MATCH(A158,'Master Data'!$B$75:$B$299,0),MATCH($AB$1,'Master Data'!$C$74:$O$74,0))</f>
        <v>156</v>
      </c>
      <c r="AC158" s="148">
        <f>AB158*('Master Data'!$F$16)</f>
        <v>11281.919999999998</v>
      </c>
      <c r="AD158" s="149">
        <f t="shared" si="21"/>
        <v>19123.519999999997</v>
      </c>
      <c r="AE158" s="148">
        <f>INDEX('Master Data'!$D$58:$D$60,MATCH(D158,'Master Data'!$B$58:$B$60,0))</f>
        <v>24321.56</v>
      </c>
      <c r="AF158" s="148">
        <f>INDEX('Master Data'!$E$58:$E$60,MATCH(D158,'Master Data'!$B$58:$B$60,0))</f>
        <v>2233.8000000000002</v>
      </c>
      <c r="AG158" s="148">
        <f>INDEX('Master Data'!$F$58:$F$60,MATCH(D158,'Master Data'!$B$58:$B$60,0))</f>
        <v>6471.45</v>
      </c>
      <c r="AH158" s="149">
        <f t="shared" si="23"/>
        <v>1095175.26</v>
      </c>
      <c r="AI158" s="148">
        <f>ROUND(AH158*('Master Data'!$C$54),2)</f>
        <v>131421.03</v>
      </c>
      <c r="AJ158" s="148">
        <f>ROUND(SUM(AH158:AI158,AK158)*('Master Data'!$E$54),2)</f>
        <v>36747.65</v>
      </c>
      <c r="AK158" s="148">
        <f>ROUND(W158*('Master Data'!$F$54),2)</f>
        <v>0</v>
      </c>
      <c r="AL158" s="149">
        <f t="shared" si="24"/>
        <v>1263343.94</v>
      </c>
      <c r="AM158" s="140">
        <f t="shared" si="25"/>
        <v>3640.76</v>
      </c>
      <c r="AN158" s="121"/>
      <c r="AO158" s="121"/>
      <c r="AP158" s="121"/>
      <c r="AQ158" s="121"/>
      <c r="AR158" s="121"/>
      <c r="AS158" s="121"/>
    </row>
    <row r="159" spans="1:45">
      <c r="A159" s="121" t="s">
        <v>292</v>
      </c>
      <c r="B159" s="121" t="str">
        <f t="shared" si="22"/>
        <v>1</v>
      </c>
      <c r="C159" s="121" t="str">
        <f t="shared" si="27"/>
        <v>Medical 1</v>
      </c>
      <c r="D159" s="121" t="str">
        <f>INDEX('Master Data'!$C$75:$C$299,MATCH(A159,'Master Data'!$B$75:$B$299,0))</f>
        <v>4+</v>
      </c>
      <c r="E159" s="147">
        <f>INDEX('Master Data'!$C$75:$O$299,MATCH(A159,'Master Data'!$B$75:$B$299,0),MATCH($E$1,'Master Data'!$C$74:$O$74,0))</f>
        <v>0.41</v>
      </c>
      <c r="F159" s="148">
        <f>ROUND(E159*INDEX('Master Data'!$F$4:$K$12,MATCH($E$1,'Master Data'!$E$4:$E$12,0),MATCH(C159,'Master Data'!$F$3:$K$3,0)),2)</f>
        <v>33409.629999999997</v>
      </c>
      <c r="G159" s="147">
        <f>INDEX('Master Data'!$C$75:$O$299,MATCH(A159,'Master Data'!$B$75:$B$299,0),MATCH($G$1,'Master Data'!$C$74:$O$74,0))</f>
        <v>1</v>
      </c>
      <c r="H159" s="148">
        <f>ROUND(G159*INDEX('Master Data'!$F$4:$K$12,MATCH($G$1,'Master Data'!$E$4:$E$12,0),MATCH(C159,'Master Data'!$F$3:$K$3,0)),2)</f>
        <v>56388.63</v>
      </c>
      <c r="I159" s="147">
        <f>INDEX('Master Data'!$C$75:$O$299,MATCH(A159,'Master Data'!$B$75:$B$299,0),MATCH($I$1,'Master Data'!$C$74:$O$74,0))</f>
        <v>10.6</v>
      </c>
      <c r="J159" s="148">
        <f>ROUND(I159*INDEX('Master Data'!$F$4:$K$12,MATCH($I$1,'Master Data'!$E$4:$E$12,0),MATCH(C159,'Master Data'!$F$3:$K$3,0)),2)</f>
        <v>601731.03</v>
      </c>
      <c r="K159" s="147">
        <f>INDEX('Master Data'!$C$75:$O$299,MATCH(A159,'Master Data'!$B$75:$B$299,0),MATCH($K$1,'Master Data'!$C$74:$O$74,0))</f>
        <v>1.4</v>
      </c>
      <c r="L159" s="148">
        <f>ROUND(K159*INDEX('Master Data'!$F$4:$K$12,MATCH($K$1,'Master Data'!$E$4:$E$12,0),MATCH(C159,'Master Data'!$F$3:$K$3,0)),2)</f>
        <v>65579.399999999994</v>
      </c>
      <c r="M159" s="147">
        <f>INDEX('Master Data'!$C$75:$O$299,MATCH(A159,'Master Data'!$B$75:$B$299,0),MATCH($M$1,'Master Data'!$C$74:$O$74,0))</f>
        <v>1.72</v>
      </c>
      <c r="N159" s="148">
        <f>ROUND(M159*INDEX('Master Data'!$F$4:$K$12,MATCH($M$1,'Master Data'!$E$4:$E$12,0),MATCH(C159,'Master Data'!$F$3:$K$3,0)),2)</f>
        <v>97639.37</v>
      </c>
      <c r="O159" s="147">
        <f>INDEX('Master Data'!$C$75:$O$299,MATCH(A159,'Master Data'!$B$75:$B$299,0),MATCH($O$1,'Master Data'!$C$74:$O$74,0))</f>
        <v>0.23</v>
      </c>
      <c r="P159" s="148">
        <f>ROUND(O159*INDEX('Master Data'!$F$4:$K$12,MATCH($O$1,'Master Data'!$E$4:$E$12,0),MATCH(C159,'Master Data'!$F$3:$K$3,0)),2)</f>
        <v>7176</v>
      </c>
      <c r="Q159" s="147">
        <f>INDEX('Master Data'!$C$75:$O$299,MATCH(A159,'Master Data'!$B$75:$B$299,0),MATCH($Q$1,'Master Data'!$C$74:$O$74,0))</f>
        <v>0.12</v>
      </c>
      <c r="R159" s="148">
        <f>ROUND(Q159*INDEX('Master Data'!$F$4:$K$12,MATCH($Q$1,'Master Data'!$E$4:$E$12,0),MATCH(C159,'Master Data'!$F$3:$K$3,0)),2)</f>
        <v>5621.09</v>
      </c>
      <c r="S159" s="147">
        <f>INDEX('Master Data'!$C$75:$O$299,MATCH(A159,'Master Data'!$B$75:$B$299,0),MATCH($S$1,'Master Data'!$C$74:$O$74,0))</f>
        <v>0</v>
      </c>
      <c r="T159" s="148">
        <f>ROUND(S159*INDEX('Master Data'!$F$4:$K$12,MATCH($S$1,'Master Data'!$E$4:$E$12,0),MATCH(C159,'Master Data'!$F$3:$K$3,0)),2)</f>
        <v>0</v>
      </c>
      <c r="U159" s="147">
        <f>INDEX('Master Data'!$C$75:$O$299,MATCH(A159,'Master Data'!$B$75:$B$299,0),MATCH($U$1,'Master Data'!$C$74:$O$74,0))</f>
        <v>0</v>
      </c>
      <c r="V159" s="148">
        <f>ROUND(U159*INDEX('Master Data'!$F$4:$K$12,MATCH($U$1,'Master Data'!$E$4:$E$12,0),MATCH(C159,'Master Data'!$F$3:$K$3,0)),2)</f>
        <v>0</v>
      </c>
      <c r="W159" s="149">
        <f t="shared" si="20"/>
        <v>867545.15</v>
      </c>
      <c r="X159" s="148">
        <f>ROUND(W159*('Master Data'!$B$54),2)</f>
        <v>216626.02</v>
      </c>
      <c r="Y159" s="149">
        <f t="shared" si="26"/>
        <v>1084171.17</v>
      </c>
      <c r="Z159" s="147">
        <f>52*INDEX('Master Data'!$C$75:$O$299,MATCH(A159,'Master Data'!$B$75:$B$299,0),MATCH($Z$1,'Master Data'!$C$74:$O$74,0))</f>
        <v>104</v>
      </c>
      <c r="AA159" s="148">
        <f>Z159*('Master Data'!$F$15)</f>
        <v>7841.6</v>
      </c>
      <c r="AB159" s="147">
        <f>52*INDEX('Master Data'!$C$75:$O$299,MATCH(A159,'Master Data'!$B$75:$B$299,0),MATCH($AB$1,'Master Data'!$C$74:$O$74,0))</f>
        <v>156</v>
      </c>
      <c r="AC159" s="148">
        <f>AB159*('Master Data'!$F$16)</f>
        <v>11281.919999999998</v>
      </c>
      <c r="AD159" s="149">
        <f t="shared" si="21"/>
        <v>19123.519999999997</v>
      </c>
      <c r="AE159" s="148">
        <f>INDEX('Master Data'!$D$58:$D$60,MATCH(D159,'Master Data'!$B$58:$B$60,0))</f>
        <v>24321.56</v>
      </c>
      <c r="AF159" s="148">
        <f>INDEX('Master Data'!$E$58:$E$60,MATCH(D159,'Master Data'!$B$58:$B$60,0))</f>
        <v>2233.8000000000002</v>
      </c>
      <c r="AG159" s="148">
        <f>INDEX('Master Data'!$F$58:$F$60,MATCH(D159,'Master Data'!$B$58:$B$60,0))</f>
        <v>6471.45</v>
      </c>
      <c r="AH159" s="149">
        <f t="shared" si="23"/>
        <v>1136321.5</v>
      </c>
      <c r="AI159" s="148">
        <f>ROUND(AH159*('Master Data'!$C$54),2)</f>
        <v>136358.57999999999</v>
      </c>
      <c r="AJ159" s="148">
        <f>ROUND(SUM(AH159:AI159,AK159)*('Master Data'!$E$54),2)</f>
        <v>38128.28</v>
      </c>
      <c r="AK159" s="148">
        <f>ROUND(W159*('Master Data'!$F$54),2)</f>
        <v>0</v>
      </c>
      <c r="AL159" s="149">
        <f t="shared" si="24"/>
        <v>1310808.3600000001</v>
      </c>
      <c r="AM159" s="140">
        <f t="shared" si="25"/>
        <v>3777.55</v>
      </c>
      <c r="AN159" s="121"/>
      <c r="AO159" s="121"/>
      <c r="AP159" s="121"/>
      <c r="AQ159" s="121"/>
      <c r="AR159" s="121"/>
      <c r="AS159" s="121"/>
    </row>
    <row r="160" spans="1:45">
      <c r="A160" s="121" t="s">
        <v>293</v>
      </c>
      <c r="B160" s="121" t="str">
        <f t="shared" si="22"/>
        <v>1</v>
      </c>
      <c r="C160" s="121" t="str">
        <f t="shared" si="27"/>
        <v>Medical 1</v>
      </c>
      <c r="D160" s="121" t="str">
        <f>INDEX('Master Data'!$C$75:$C$299,MATCH(A160,'Master Data'!$B$75:$B$299,0))</f>
        <v>4+</v>
      </c>
      <c r="E160" s="147">
        <f>INDEX('Master Data'!$C$75:$O$299,MATCH(A160,'Master Data'!$B$75:$B$299,0),MATCH($E$1,'Master Data'!$C$74:$O$74,0))</f>
        <v>0.41</v>
      </c>
      <c r="F160" s="148">
        <f>ROUND(E160*INDEX('Master Data'!$F$4:$K$12,MATCH($E$1,'Master Data'!$E$4:$E$12,0),MATCH(C160,'Master Data'!$F$3:$K$3,0)),2)</f>
        <v>33409.629999999997</v>
      </c>
      <c r="G160" s="147">
        <f>INDEX('Master Data'!$C$75:$O$299,MATCH(A160,'Master Data'!$B$75:$B$299,0),MATCH($G$1,'Master Data'!$C$74:$O$74,0))</f>
        <v>1</v>
      </c>
      <c r="H160" s="148">
        <f>ROUND(G160*INDEX('Master Data'!$F$4:$K$12,MATCH($G$1,'Master Data'!$E$4:$E$12,0),MATCH(C160,'Master Data'!$F$3:$K$3,0)),2)</f>
        <v>56388.63</v>
      </c>
      <c r="I160" s="147">
        <f>INDEX('Master Data'!$C$75:$O$299,MATCH(A160,'Master Data'!$B$75:$B$299,0),MATCH($I$1,'Master Data'!$C$74:$O$74,0))</f>
        <v>11.1</v>
      </c>
      <c r="J160" s="148">
        <f>ROUND(I160*INDEX('Master Data'!$F$4:$K$12,MATCH($I$1,'Master Data'!$E$4:$E$12,0),MATCH(C160,'Master Data'!$F$3:$K$3,0)),2)</f>
        <v>630114.56999999995</v>
      </c>
      <c r="K160" s="147">
        <f>INDEX('Master Data'!$C$75:$O$299,MATCH(A160,'Master Data'!$B$75:$B$299,0),MATCH($K$1,'Master Data'!$C$74:$O$74,0))</f>
        <v>1.4</v>
      </c>
      <c r="L160" s="148">
        <f>ROUND(K160*INDEX('Master Data'!$F$4:$K$12,MATCH($K$1,'Master Data'!$E$4:$E$12,0),MATCH(C160,'Master Data'!$F$3:$K$3,0)),2)</f>
        <v>65579.399999999994</v>
      </c>
      <c r="M160" s="147">
        <f>INDEX('Master Data'!$C$75:$O$299,MATCH(A160,'Master Data'!$B$75:$B$299,0),MATCH($M$1,'Master Data'!$C$74:$O$74,0))</f>
        <v>1.8</v>
      </c>
      <c r="N160" s="148">
        <f>ROUND(M160*INDEX('Master Data'!$F$4:$K$12,MATCH($M$1,'Master Data'!$E$4:$E$12,0),MATCH(C160,'Master Data'!$F$3:$K$3,0)),2)</f>
        <v>102180.74</v>
      </c>
      <c r="O160" s="147">
        <f>INDEX('Master Data'!$C$75:$O$299,MATCH(A160,'Master Data'!$B$75:$B$299,0),MATCH($O$1,'Master Data'!$C$74:$O$74,0))</f>
        <v>0.23</v>
      </c>
      <c r="P160" s="148">
        <f>ROUND(O160*INDEX('Master Data'!$F$4:$K$12,MATCH($O$1,'Master Data'!$E$4:$E$12,0),MATCH(C160,'Master Data'!$F$3:$K$3,0)),2)</f>
        <v>7176</v>
      </c>
      <c r="Q160" s="147">
        <f>INDEX('Master Data'!$C$75:$O$299,MATCH(A160,'Master Data'!$B$75:$B$299,0),MATCH($Q$1,'Master Data'!$C$74:$O$74,0))</f>
        <v>0.12</v>
      </c>
      <c r="R160" s="148">
        <f>ROUND(Q160*INDEX('Master Data'!$F$4:$K$12,MATCH($Q$1,'Master Data'!$E$4:$E$12,0),MATCH(C160,'Master Data'!$F$3:$K$3,0)),2)</f>
        <v>5621.09</v>
      </c>
      <c r="S160" s="147">
        <f>INDEX('Master Data'!$C$75:$O$299,MATCH(A160,'Master Data'!$B$75:$B$299,0),MATCH($S$1,'Master Data'!$C$74:$O$74,0))</f>
        <v>0</v>
      </c>
      <c r="T160" s="148">
        <f>ROUND(S160*INDEX('Master Data'!$F$4:$K$12,MATCH($S$1,'Master Data'!$E$4:$E$12,0),MATCH(C160,'Master Data'!$F$3:$K$3,0)),2)</f>
        <v>0</v>
      </c>
      <c r="U160" s="147">
        <f>INDEX('Master Data'!$C$75:$O$299,MATCH(A160,'Master Data'!$B$75:$B$299,0),MATCH($U$1,'Master Data'!$C$74:$O$74,0))</f>
        <v>0</v>
      </c>
      <c r="V160" s="148">
        <f>ROUND(U160*INDEX('Master Data'!$F$4:$K$12,MATCH($U$1,'Master Data'!$E$4:$E$12,0),MATCH(C160,'Master Data'!$F$3:$K$3,0)),2)</f>
        <v>0</v>
      </c>
      <c r="W160" s="149">
        <f t="shared" si="20"/>
        <v>900470.05999999994</v>
      </c>
      <c r="X160" s="148">
        <f>ROUND(W160*('Master Data'!$B$54),2)</f>
        <v>224847.37</v>
      </c>
      <c r="Y160" s="149">
        <f t="shared" si="26"/>
        <v>1125317.43</v>
      </c>
      <c r="Z160" s="147">
        <f>52*INDEX('Master Data'!$C$75:$O$299,MATCH(A160,'Master Data'!$B$75:$B$299,0),MATCH($Z$1,'Master Data'!$C$74:$O$74,0))</f>
        <v>104</v>
      </c>
      <c r="AA160" s="148">
        <f>Z160*('Master Data'!$F$15)</f>
        <v>7841.6</v>
      </c>
      <c r="AB160" s="147">
        <f>52*INDEX('Master Data'!$C$75:$O$299,MATCH(A160,'Master Data'!$B$75:$B$299,0),MATCH($AB$1,'Master Data'!$C$74:$O$74,0))</f>
        <v>156</v>
      </c>
      <c r="AC160" s="148">
        <f>AB160*('Master Data'!$F$16)</f>
        <v>11281.919999999998</v>
      </c>
      <c r="AD160" s="149">
        <f t="shared" si="21"/>
        <v>19123.519999999997</v>
      </c>
      <c r="AE160" s="148">
        <f>INDEX('Master Data'!$D$58:$D$60,MATCH(D160,'Master Data'!$B$58:$B$60,0))</f>
        <v>24321.56</v>
      </c>
      <c r="AF160" s="148">
        <f>INDEX('Master Data'!$E$58:$E$60,MATCH(D160,'Master Data'!$B$58:$B$60,0))</f>
        <v>2233.8000000000002</v>
      </c>
      <c r="AG160" s="148">
        <f>INDEX('Master Data'!$F$58:$F$60,MATCH(D160,'Master Data'!$B$58:$B$60,0))</f>
        <v>6471.45</v>
      </c>
      <c r="AH160" s="149">
        <f t="shared" si="23"/>
        <v>1177467.76</v>
      </c>
      <c r="AI160" s="148">
        <f>ROUND(AH160*('Master Data'!$C$54),2)</f>
        <v>141296.13</v>
      </c>
      <c r="AJ160" s="148">
        <f>ROUND(SUM(AH160:AI160,AK160)*('Master Data'!$E$54),2)</f>
        <v>39508.9</v>
      </c>
      <c r="AK160" s="148">
        <f>ROUND(W160*('Master Data'!$F$54),2)</f>
        <v>0</v>
      </c>
      <c r="AL160" s="149">
        <f t="shared" si="24"/>
        <v>1358272.79</v>
      </c>
      <c r="AM160" s="140">
        <f t="shared" si="25"/>
        <v>3914.33</v>
      </c>
      <c r="AN160" s="121"/>
      <c r="AO160" s="121"/>
      <c r="AP160" s="121"/>
      <c r="AQ160" s="121"/>
      <c r="AR160" s="121"/>
      <c r="AS160" s="121"/>
    </row>
    <row r="161" spans="1:45">
      <c r="A161" s="121" t="s">
        <v>294</v>
      </c>
      <c r="B161" s="121" t="str">
        <f t="shared" si="22"/>
        <v>1</v>
      </c>
      <c r="C161" s="121" t="str">
        <f t="shared" si="27"/>
        <v>Medical 1</v>
      </c>
      <c r="D161" s="121" t="str">
        <f>INDEX('Master Data'!$C$75:$C$299,MATCH(A161,'Master Data'!$B$75:$B$299,0))</f>
        <v>4+</v>
      </c>
      <c r="E161" s="147">
        <f>INDEX('Master Data'!$C$75:$O$299,MATCH(A161,'Master Data'!$B$75:$B$299,0),MATCH($E$1,'Master Data'!$C$74:$O$74,0))</f>
        <v>0.41</v>
      </c>
      <c r="F161" s="148">
        <f>ROUND(E161*INDEX('Master Data'!$F$4:$K$12,MATCH($E$1,'Master Data'!$E$4:$E$12,0),MATCH(C161,'Master Data'!$F$3:$K$3,0)),2)</f>
        <v>33409.629999999997</v>
      </c>
      <c r="G161" s="147">
        <f>INDEX('Master Data'!$C$75:$O$299,MATCH(A161,'Master Data'!$B$75:$B$299,0),MATCH($G$1,'Master Data'!$C$74:$O$74,0))</f>
        <v>1</v>
      </c>
      <c r="H161" s="148">
        <f>ROUND(G161*INDEX('Master Data'!$F$4:$K$12,MATCH($G$1,'Master Data'!$E$4:$E$12,0),MATCH(C161,'Master Data'!$F$3:$K$3,0)),2)</f>
        <v>56388.63</v>
      </c>
      <c r="I161" s="147">
        <f>INDEX('Master Data'!$C$75:$O$299,MATCH(A161,'Master Data'!$B$75:$B$299,0),MATCH($I$1,'Master Data'!$C$74:$O$74,0))</f>
        <v>11.6</v>
      </c>
      <c r="J161" s="148">
        <f>ROUND(I161*INDEX('Master Data'!$F$4:$K$12,MATCH($I$1,'Master Data'!$E$4:$E$12,0),MATCH(C161,'Master Data'!$F$3:$K$3,0)),2)</f>
        <v>658498.11</v>
      </c>
      <c r="K161" s="147">
        <f>INDEX('Master Data'!$C$75:$O$299,MATCH(A161,'Master Data'!$B$75:$B$299,0),MATCH($K$1,'Master Data'!$C$74:$O$74,0))</f>
        <v>1.4</v>
      </c>
      <c r="L161" s="148">
        <f>ROUND(K161*INDEX('Master Data'!$F$4:$K$12,MATCH($K$1,'Master Data'!$E$4:$E$12,0),MATCH(C161,'Master Data'!$F$3:$K$3,0)),2)</f>
        <v>65579.399999999994</v>
      </c>
      <c r="M161" s="147">
        <f>INDEX('Master Data'!$C$75:$O$299,MATCH(A161,'Master Data'!$B$75:$B$299,0),MATCH($M$1,'Master Data'!$C$74:$O$74,0))</f>
        <v>1.88</v>
      </c>
      <c r="N161" s="148">
        <f>ROUND(M161*INDEX('Master Data'!$F$4:$K$12,MATCH($M$1,'Master Data'!$E$4:$E$12,0),MATCH(C161,'Master Data'!$F$3:$K$3,0)),2)</f>
        <v>106722.11</v>
      </c>
      <c r="O161" s="147">
        <f>INDEX('Master Data'!$C$75:$O$299,MATCH(A161,'Master Data'!$B$75:$B$299,0),MATCH($O$1,'Master Data'!$C$74:$O$74,0))</f>
        <v>0.23</v>
      </c>
      <c r="P161" s="148">
        <f>ROUND(O161*INDEX('Master Data'!$F$4:$K$12,MATCH($O$1,'Master Data'!$E$4:$E$12,0),MATCH(C161,'Master Data'!$F$3:$K$3,0)),2)</f>
        <v>7176</v>
      </c>
      <c r="Q161" s="147">
        <f>INDEX('Master Data'!$C$75:$O$299,MATCH(A161,'Master Data'!$B$75:$B$299,0),MATCH($Q$1,'Master Data'!$C$74:$O$74,0))</f>
        <v>0.12</v>
      </c>
      <c r="R161" s="148">
        <f>ROUND(Q161*INDEX('Master Data'!$F$4:$K$12,MATCH($Q$1,'Master Data'!$E$4:$E$12,0),MATCH(C161,'Master Data'!$F$3:$K$3,0)),2)</f>
        <v>5621.09</v>
      </c>
      <c r="S161" s="147">
        <f>INDEX('Master Data'!$C$75:$O$299,MATCH(A161,'Master Data'!$B$75:$B$299,0),MATCH($S$1,'Master Data'!$C$74:$O$74,0))</f>
        <v>0</v>
      </c>
      <c r="T161" s="148">
        <f>ROUND(S161*INDEX('Master Data'!$F$4:$K$12,MATCH($S$1,'Master Data'!$E$4:$E$12,0),MATCH(C161,'Master Data'!$F$3:$K$3,0)),2)</f>
        <v>0</v>
      </c>
      <c r="U161" s="147">
        <f>INDEX('Master Data'!$C$75:$O$299,MATCH(A161,'Master Data'!$B$75:$B$299,0),MATCH($U$1,'Master Data'!$C$74:$O$74,0))</f>
        <v>0</v>
      </c>
      <c r="V161" s="148">
        <f>ROUND(U161*INDEX('Master Data'!$F$4:$K$12,MATCH($U$1,'Master Data'!$E$4:$E$12,0),MATCH(C161,'Master Data'!$F$3:$K$3,0)),2)</f>
        <v>0</v>
      </c>
      <c r="W161" s="149">
        <f t="shared" si="20"/>
        <v>933394.97</v>
      </c>
      <c r="X161" s="148">
        <f>ROUND(W161*('Master Data'!$B$54),2)</f>
        <v>233068.72</v>
      </c>
      <c r="Y161" s="149">
        <f t="shared" si="26"/>
        <v>1166463.69</v>
      </c>
      <c r="Z161" s="147">
        <f>52*INDEX('Master Data'!$C$75:$O$299,MATCH(A161,'Master Data'!$B$75:$B$299,0),MATCH($Z$1,'Master Data'!$C$74:$O$74,0))</f>
        <v>104</v>
      </c>
      <c r="AA161" s="148">
        <f>Z161*('Master Data'!$F$15)</f>
        <v>7841.6</v>
      </c>
      <c r="AB161" s="147">
        <f>52*INDEX('Master Data'!$C$75:$O$299,MATCH(A161,'Master Data'!$B$75:$B$299,0),MATCH($AB$1,'Master Data'!$C$74:$O$74,0))</f>
        <v>156</v>
      </c>
      <c r="AC161" s="148">
        <f>AB161*('Master Data'!$F$16)</f>
        <v>11281.919999999998</v>
      </c>
      <c r="AD161" s="149">
        <f t="shared" si="21"/>
        <v>19123.519999999997</v>
      </c>
      <c r="AE161" s="148">
        <f>INDEX('Master Data'!$D$58:$D$60,MATCH(D161,'Master Data'!$B$58:$B$60,0))</f>
        <v>24321.56</v>
      </c>
      <c r="AF161" s="148">
        <f>INDEX('Master Data'!$E$58:$E$60,MATCH(D161,'Master Data'!$B$58:$B$60,0))</f>
        <v>2233.8000000000002</v>
      </c>
      <c r="AG161" s="148">
        <f>INDEX('Master Data'!$F$58:$F$60,MATCH(D161,'Master Data'!$B$58:$B$60,0))</f>
        <v>6471.45</v>
      </c>
      <c r="AH161" s="149">
        <f t="shared" si="23"/>
        <v>1218614.02</v>
      </c>
      <c r="AI161" s="148">
        <f>ROUND(AH161*('Master Data'!$C$54),2)</f>
        <v>146233.68</v>
      </c>
      <c r="AJ161" s="148">
        <f>ROUND(SUM(AH161:AI161,AK161)*('Master Data'!$E$54),2)</f>
        <v>40889.53</v>
      </c>
      <c r="AK161" s="148">
        <f>ROUND(W161*('Master Data'!$F$54),2)</f>
        <v>0</v>
      </c>
      <c r="AL161" s="149">
        <f t="shared" si="24"/>
        <v>1405737.23</v>
      </c>
      <c r="AM161" s="140">
        <f t="shared" si="25"/>
        <v>4051.12</v>
      </c>
      <c r="AN161" s="121"/>
      <c r="AO161" s="121"/>
      <c r="AP161" s="121"/>
      <c r="AQ161" s="121"/>
      <c r="AR161" s="121"/>
      <c r="AS161" s="121"/>
    </row>
    <row r="162" spans="1:45">
      <c r="A162" s="121" t="s">
        <v>295</v>
      </c>
      <c r="B162" s="121" t="str">
        <f t="shared" si="22"/>
        <v>1</v>
      </c>
      <c r="C162" s="121" t="str">
        <f t="shared" si="27"/>
        <v>Medical 1</v>
      </c>
      <c r="D162" s="121" t="str">
        <f>INDEX('Master Data'!$C$75:$C$299,MATCH(A162,'Master Data'!$B$75:$B$299,0))</f>
        <v>4+</v>
      </c>
      <c r="E162" s="147">
        <f>INDEX('Master Data'!$C$75:$O$299,MATCH(A162,'Master Data'!$B$75:$B$299,0),MATCH($E$1,'Master Data'!$C$74:$O$74,0))</f>
        <v>0.41</v>
      </c>
      <c r="F162" s="148">
        <f>ROUND(E162*INDEX('Master Data'!$F$4:$K$12,MATCH($E$1,'Master Data'!$E$4:$E$12,0),MATCH(C162,'Master Data'!$F$3:$K$3,0)),2)</f>
        <v>33409.629999999997</v>
      </c>
      <c r="G162" s="147">
        <f>INDEX('Master Data'!$C$75:$O$299,MATCH(A162,'Master Data'!$B$75:$B$299,0),MATCH($G$1,'Master Data'!$C$74:$O$74,0))</f>
        <v>1</v>
      </c>
      <c r="H162" s="148">
        <f>ROUND(G162*INDEX('Master Data'!$F$4:$K$12,MATCH($G$1,'Master Data'!$E$4:$E$12,0),MATCH(C162,'Master Data'!$F$3:$K$3,0)),2)</f>
        <v>56388.63</v>
      </c>
      <c r="I162" s="147">
        <f>INDEX('Master Data'!$C$75:$O$299,MATCH(A162,'Master Data'!$B$75:$B$299,0),MATCH($I$1,'Master Data'!$C$74:$O$74,0))</f>
        <v>12.1</v>
      </c>
      <c r="J162" s="148">
        <f>ROUND(I162*INDEX('Master Data'!$F$4:$K$12,MATCH($I$1,'Master Data'!$E$4:$E$12,0),MATCH(C162,'Master Data'!$F$3:$K$3,0)),2)</f>
        <v>686881.65</v>
      </c>
      <c r="K162" s="147">
        <f>INDEX('Master Data'!$C$75:$O$299,MATCH(A162,'Master Data'!$B$75:$B$299,0),MATCH($K$1,'Master Data'!$C$74:$O$74,0))</f>
        <v>1.4</v>
      </c>
      <c r="L162" s="148">
        <f>ROUND(K162*INDEX('Master Data'!$F$4:$K$12,MATCH($K$1,'Master Data'!$E$4:$E$12,0),MATCH(C162,'Master Data'!$F$3:$K$3,0)),2)</f>
        <v>65579.399999999994</v>
      </c>
      <c r="M162" s="147">
        <f>INDEX('Master Data'!$C$75:$O$299,MATCH(A162,'Master Data'!$B$75:$B$299,0),MATCH($M$1,'Master Data'!$C$74:$O$74,0))</f>
        <v>1.96</v>
      </c>
      <c r="N162" s="148">
        <f>ROUND(M162*INDEX('Master Data'!$F$4:$K$12,MATCH($M$1,'Master Data'!$E$4:$E$12,0),MATCH(C162,'Master Data'!$F$3:$K$3,0)),2)</f>
        <v>111263.47</v>
      </c>
      <c r="O162" s="147">
        <f>INDEX('Master Data'!$C$75:$O$299,MATCH(A162,'Master Data'!$B$75:$B$299,0),MATCH($O$1,'Master Data'!$C$74:$O$74,0))</f>
        <v>0.23</v>
      </c>
      <c r="P162" s="148">
        <f>ROUND(O162*INDEX('Master Data'!$F$4:$K$12,MATCH($O$1,'Master Data'!$E$4:$E$12,0),MATCH(C162,'Master Data'!$F$3:$K$3,0)),2)</f>
        <v>7176</v>
      </c>
      <c r="Q162" s="147">
        <f>INDEX('Master Data'!$C$75:$O$299,MATCH(A162,'Master Data'!$B$75:$B$299,0),MATCH($Q$1,'Master Data'!$C$74:$O$74,0))</f>
        <v>0.12</v>
      </c>
      <c r="R162" s="148">
        <f>ROUND(Q162*INDEX('Master Data'!$F$4:$K$12,MATCH($Q$1,'Master Data'!$E$4:$E$12,0),MATCH(C162,'Master Data'!$F$3:$K$3,0)),2)</f>
        <v>5621.09</v>
      </c>
      <c r="S162" s="147">
        <f>INDEX('Master Data'!$C$75:$O$299,MATCH(A162,'Master Data'!$B$75:$B$299,0),MATCH($S$1,'Master Data'!$C$74:$O$74,0))</f>
        <v>0</v>
      </c>
      <c r="T162" s="148">
        <f>ROUND(S162*INDEX('Master Data'!$F$4:$K$12,MATCH($S$1,'Master Data'!$E$4:$E$12,0),MATCH(C162,'Master Data'!$F$3:$K$3,0)),2)</f>
        <v>0</v>
      </c>
      <c r="U162" s="147">
        <f>INDEX('Master Data'!$C$75:$O$299,MATCH(A162,'Master Data'!$B$75:$B$299,0),MATCH($U$1,'Master Data'!$C$74:$O$74,0))</f>
        <v>0</v>
      </c>
      <c r="V162" s="148">
        <f>ROUND(U162*INDEX('Master Data'!$F$4:$K$12,MATCH($U$1,'Master Data'!$E$4:$E$12,0),MATCH(C162,'Master Data'!$F$3:$K$3,0)),2)</f>
        <v>0</v>
      </c>
      <c r="W162" s="149">
        <f t="shared" si="20"/>
        <v>966319.87</v>
      </c>
      <c r="X162" s="148">
        <f>ROUND(W162*('Master Data'!$B$54),2)</f>
        <v>241290.07</v>
      </c>
      <c r="Y162" s="149">
        <f t="shared" si="26"/>
        <v>1207609.94</v>
      </c>
      <c r="Z162" s="147">
        <f>52*INDEX('Master Data'!$C$75:$O$299,MATCH(A162,'Master Data'!$B$75:$B$299,0),MATCH($Z$1,'Master Data'!$C$74:$O$74,0))</f>
        <v>104</v>
      </c>
      <c r="AA162" s="148">
        <f>Z162*('Master Data'!$F$15)</f>
        <v>7841.6</v>
      </c>
      <c r="AB162" s="147">
        <f>52*INDEX('Master Data'!$C$75:$O$299,MATCH(A162,'Master Data'!$B$75:$B$299,0),MATCH($AB$1,'Master Data'!$C$74:$O$74,0))</f>
        <v>156</v>
      </c>
      <c r="AC162" s="148">
        <f>AB162*('Master Data'!$F$16)</f>
        <v>11281.919999999998</v>
      </c>
      <c r="AD162" s="149">
        <f t="shared" si="21"/>
        <v>19123.519999999997</v>
      </c>
      <c r="AE162" s="148">
        <f>INDEX('Master Data'!$D$58:$D$60,MATCH(D162,'Master Data'!$B$58:$B$60,0))</f>
        <v>24321.56</v>
      </c>
      <c r="AF162" s="148">
        <f>INDEX('Master Data'!$E$58:$E$60,MATCH(D162,'Master Data'!$B$58:$B$60,0))</f>
        <v>2233.8000000000002</v>
      </c>
      <c r="AG162" s="148">
        <f>INDEX('Master Data'!$F$58:$F$60,MATCH(D162,'Master Data'!$B$58:$B$60,0))</f>
        <v>6471.45</v>
      </c>
      <c r="AH162" s="149">
        <f t="shared" si="23"/>
        <v>1259760.27</v>
      </c>
      <c r="AI162" s="148">
        <f>ROUND(AH162*('Master Data'!$C$54),2)</f>
        <v>151171.23000000001</v>
      </c>
      <c r="AJ162" s="148">
        <f>ROUND(SUM(AH162:AI162,AK162)*('Master Data'!$E$54),2)</f>
        <v>42270.16</v>
      </c>
      <c r="AK162" s="148">
        <f>ROUND(W162*('Master Data'!$F$54),2)</f>
        <v>0</v>
      </c>
      <c r="AL162" s="149">
        <f t="shared" si="24"/>
        <v>1453201.66</v>
      </c>
      <c r="AM162" s="140">
        <f t="shared" si="25"/>
        <v>4187.8999999999996</v>
      </c>
      <c r="AN162" s="121"/>
      <c r="AO162" s="121"/>
      <c r="AP162" s="121"/>
      <c r="AQ162" s="121"/>
      <c r="AR162" s="121"/>
      <c r="AS162" s="121"/>
    </row>
    <row r="163" spans="1:45">
      <c r="A163" s="121" t="s">
        <v>296</v>
      </c>
      <c r="B163" s="121" t="str">
        <f t="shared" si="22"/>
        <v>1</v>
      </c>
      <c r="C163" s="121" t="str">
        <f t="shared" si="27"/>
        <v>Medical 1</v>
      </c>
      <c r="D163" s="121" t="str">
        <f>INDEX('Master Data'!$C$75:$C$299,MATCH(A163,'Master Data'!$B$75:$B$299,0))</f>
        <v>4+</v>
      </c>
      <c r="E163" s="147">
        <f>INDEX('Master Data'!$C$75:$O$299,MATCH(A163,'Master Data'!$B$75:$B$299,0),MATCH($E$1,'Master Data'!$C$74:$O$74,0))</f>
        <v>0.41</v>
      </c>
      <c r="F163" s="148">
        <f>ROUND(E163*INDEX('Master Data'!$F$4:$K$12,MATCH($E$1,'Master Data'!$E$4:$E$12,0),MATCH(C163,'Master Data'!$F$3:$K$3,0)),2)</f>
        <v>33409.629999999997</v>
      </c>
      <c r="G163" s="147">
        <f>INDEX('Master Data'!$C$75:$O$299,MATCH(A163,'Master Data'!$B$75:$B$299,0),MATCH($G$1,'Master Data'!$C$74:$O$74,0))</f>
        <v>1</v>
      </c>
      <c r="H163" s="148">
        <f>ROUND(G163*INDEX('Master Data'!$F$4:$K$12,MATCH($G$1,'Master Data'!$E$4:$E$12,0),MATCH(C163,'Master Data'!$F$3:$K$3,0)),2)</f>
        <v>56388.63</v>
      </c>
      <c r="I163" s="147">
        <f>INDEX('Master Data'!$C$75:$O$299,MATCH(A163,'Master Data'!$B$75:$B$299,0),MATCH($I$1,'Master Data'!$C$74:$O$74,0))</f>
        <v>12.6</v>
      </c>
      <c r="J163" s="148">
        <f>ROUND(I163*INDEX('Master Data'!$F$4:$K$12,MATCH($I$1,'Master Data'!$E$4:$E$12,0),MATCH(C163,'Master Data'!$F$3:$K$3,0)),2)</f>
        <v>715265.19</v>
      </c>
      <c r="K163" s="147">
        <f>INDEX('Master Data'!$C$75:$O$299,MATCH(A163,'Master Data'!$B$75:$B$299,0),MATCH($K$1,'Master Data'!$C$74:$O$74,0))</f>
        <v>1.4</v>
      </c>
      <c r="L163" s="148">
        <f>ROUND(K163*INDEX('Master Data'!$F$4:$K$12,MATCH($K$1,'Master Data'!$E$4:$E$12,0),MATCH(C163,'Master Data'!$F$3:$K$3,0)),2)</f>
        <v>65579.399999999994</v>
      </c>
      <c r="M163" s="147">
        <f>INDEX('Master Data'!$C$75:$O$299,MATCH(A163,'Master Data'!$B$75:$B$299,0),MATCH($M$1,'Master Data'!$C$74:$O$74,0))</f>
        <v>2.04</v>
      </c>
      <c r="N163" s="148">
        <f>ROUND(M163*INDEX('Master Data'!$F$4:$K$12,MATCH($M$1,'Master Data'!$E$4:$E$12,0),MATCH(C163,'Master Data'!$F$3:$K$3,0)),2)</f>
        <v>115804.84</v>
      </c>
      <c r="O163" s="147">
        <f>INDEX('Master Data'!$C$75:$O$299,MATCH(A163,'Master Data'!$B$75:$B$299,0),MATCH($O$1,'Master Data'!$C$74:$O$74,0))</f>
        <v>0.23</v>
      </c>
      <c r="P163" s="148">
        <f>ROUND(O163*INDEX('Master Data'!$F$4:$K$12,MATCH($O$1,'Master Data'!$E$4:$E$12,0),MATCH(C163,'Master Data'!$F$3:$K$3,0)),2)</f>
        <v>7176</v>
      </c>
      <c r="Q163" s="147">
        <f>INDEX('Master Data'!$C$75:$O$299,MATCH(A163,'Master Data'!$B$75:$B$299,0),MATCH($Q$1,'Master Data'!$C$74:$O$74,0))</f>
        <v>0.12</v>
      </c>
      <c r="R163" s="148">
        <f>ROUND(Q163*INDEX('Master Data'!$F$4:$K$12,MATCH($Q$1,'Master Data'!$E$4:$E$12,0),MATCH(C163,'Master Data'!$F$3:$K$3,0)),2)</f>
        <v>5621.09</v>
      </c>
      <c r="S163" s="147">
        <f>INDEX('Master Data'!$C$75:$O$299,MATCH(A163,'Master Data'!$B$75:$B$299,0),MATCH($S$1,'Master Data'!$C$74:$O$74,0))</f>
        <v>0</v>
      </c>
      <c r="T163" s="148">
        <f>ROUND(S163*INDEX('Master Data'!$F$4:$K$12,MATCH($S$1,'Master Data'!$E$4:$E$12,0),MATCH(C163,'Master Data'!$F$3:$K$3,0)),2)</f>
        <v>0</v>
      </c>
      <c r="U163" s="147">
        <f>INDEX('Master Data'!$C$75:$O$299,MATCH(A163,'Master Data'!$B$75:$B$299,0),MATCH($U$1,'Master Data'!$C$74:$O$74,0))</f>
        <v>0</v>
      </c>
      <c r="V163" s="148">
        <f>ROUND(U163*INDEX('Master Data'!$F$4:$K$12,MATCH($U$1,'Master Data'!$E$4:$E$12,0),MATCH(C163,'Master Data'!$F$3:$K$3,0)),2)</f>
        <v>0</v>
      </c>
      <c r="W163" s="149">
        <f t="shared" si="20"/>
        <v>999244.77999999991</v>
      </c>
      <c r="X163" s="148">
        <f>ROUND(W163*('Master Data'!$B$54),2)</f>
        <v>249511.42</v>
      </c>
      <c r="Y163" s="149">
        <f t="shared" si="26"/>
        <v>1248756.2</v>
      </c>
      <c r="Z163" s="147">
        <f>52*INDEX('Master Data'!$C$75:$O$299,MATCH(A163,'Master Data'!$B$75:$B$299,0),MATCH($Z$1,'Master Data'!$C$74:$O$74,0))</f>
        <v>104</v>
      </c>
      <c r="AA163" s="148">
        <f>Z163*('Master Data'!$F$15)</f>
        <v>7841.6</v>
      </c>
      <c r="AB163" s="147">
        <f>52*INDEX('Master Data'!$C$75:$O$299,MATCH(A163,'Master Data'!$B$75:$B$299,0),MATCH($AB$1,'Master Data'!$C$74:$O$74,0))</f>
        <v>156</v>
      </c>
      <c r="AC163" s="148">
        <f>AB163*('Master Data'!$F$16)</f>
        <v>11281.919999999998</v>
      </c>
      <c r="AD163" s="149">
        <f t="shared" si="21"/>
        <v>19123.519999999997</v>
      </c>
      <c r="AE163" s="148">
        <f>INDEX('Master Data'!$D$58:$D$60,MATCH(D163,'Master Data'!$B$58:$B$60,0))</f>
        <v>24321.56</v>
      </c>
      <c r="AF163" s="148">
        <f>INDEX('Master Data'!$E$58:$E$60,MATCH(D163,'Master Data'!$B$58:$B$60,0))</f>
        <v>2233.8000000000002</v>
      </c>
      <c r="AG163" s="148">
        <f>INDEX('Master Data'!$F$58:$F$60,MATCH(D163,'Master Data'!$B$58:$B$60,0))</f>
        <v>6471.45</v>
      </c>
      <c r="AH163" s="149">
        <f t="shared" si="23"/>
        <v>1300906.53</v>
      </c>
      <c r="AI163" s="148">
        <f>ROUND(AH163*('Master Data'!$C$54),2)</f>
        <v>156108.78</v>
      </c>
      <c r="AJ163" s="148">
        <f>ROUND(SUM(AH163:AI163,AK163)*('Master Data'!$E$54),2)</f>
        <v>43650.78</v>
      </c>
      <c r="AK163" s="148">
        <f>ROUND(W163*('Master Data'!$F$54),2)</f>
        <v>0</v>
      </c>
      <c r="AL163" s="149">
        <f t="shared" si="24"/>
        <v>1500666.09</v>
      </c>
      <c r="AM163" s="140">
        <f t="shared" si="25"/>
        <v>4324.6899999999996</v>
      </c>
      <c r="AN163" s="121"/>
      <c r="AO163" s="121"/>
      <c r="AP163" s="121"/>
      <c r="AQ163" s="121"/>
      <c r="AR163" s="121"/>
      <c r="AS163" s="121"/>
    </row>
    <row r="164" spans="1:45">
      <c r="A164" s="121" t="s">
        <v>297</v>
      </c>
      <c r="B164" s="121" t="str">
        <f t="shared" si="22"/>
        <v>1</v>
      </c>
      <c r="C164" s="121" t="str">
        <f t="shared" si="27"/>
        <v>Medical 1</v>
      </c>
      <c r="D164" s="121" t="str">
        <f>INDEX('Master Data'!$C$75:$C$299,MATCH(A164,'Master Data'!$B$75:$B$299,0))</f>
        <v>4+</v>
      </c>
      <c r="E164" s="147">
        <f>INDEX('Master Data'!$C$75:$O$299,MATCH(A164,'Master Data'!$B$75:$B$299,0),MATCH($E$1,'Master Data'!$C$74:$O$74,0))</f>
        <v>0.41</v>
      </c>
      <c r="F164" s="148">
        <f>ROUND(E164*INDEX('Master Data'!$F$4:$K$12,MATCH($E$1,'Master Data'!$E$4:$E$12,0),MATCH(C164,'Master Data'!$F$3:$K$3,0)),2)</f>
        <v>33409.629999999997</v>
      </c>
      <c r="G164" s="147">
        <f>INDEX('Master Data'!$C$75:$O$299,MATCH(A164,'Master Data'!$B$75:$B$299,0),MATCH($G$1,'Master Data'!$C$74:$O$74,0))</f>
        <v>1</v>
      </c>
      <c r="H164" s="148">
        <f>ROUND(G164*INDEX('Master Data'!$F$4:$K$12,MATCH($G$1,'Master Data'!$E$4:$E$12,0),MATCH(C164,'Master Data'!$F$3:$K$3,0)),2)</f>
        <v>56388.63</v>
      </c>
      <c r="I164" s="147">
        <f>INDEX('Master Data'!$C$75:$O$299,MATCH(A164,'Master Data'!$B$75:$B$299,0),MATCH($I$1,'Master Data'!$C$74:$O$74,0))</f>
        <v>13.1</v>
      </c>
      <c r="J164" s="148">
        <f>ROUND(I164*INDEX('Master Data'!$F$4:$K$12,MATCH($I$1,'Master Data'!$E$4:$E$12,0),MATCH(C164,'Master Data'!$F$3:$K$3,0)),2)</f>
        <v>743648.73</v>
      </c>
      <c r="K164" s="147">
        <f>INDEX('Master Data'!$C$75:$O$299,MATCH(A164,'Master Data'!$B$75:$B$299,0),MATCH($K$1,'Master Data'!$C$74:$O$74,0))</f>
        <v>1.4</v>
      </c>
      <c r="L164" s="148">
        <f>ROUND(K164*INDEX('Master Data'!$F$4:$K$12,MATCH($K$1,'Master Data'!$E$4:$E$12,0),MATCH(C164,'Master Data'!$F$3:$K$3,0)),2)</f>
        <v>65579.399999999994</v>
      </c>
      <c r="M164" s="147">
        <f>INDEX('Master Data'!$C$75:$O$299,MATCH(A164,'Master Data'!$B$75:$B$299,0),MATCH($M$1,'Master Data'!$C$74:$O$74,0))</f>
        <v>2.12</v>
      </c>
      <c r="N164" s="148">
        <f>ROUND(M164*INDEX('Master Data'!$F$4:$K$12,MATCH($M$1,'Master Data'!$E$4:$E$12,0),MATCH(C164,'Master Data'!$F$3:$K$3,0)),2)</f>
        <v>120346.21</v>
      </c>
      <c r="O164" s="147">
        <f>INDEX('Master Data'!$C$75:$O$299,MATCH(A164,'Master Data'!$B$75:$B$299,0),MATCH($O$1,'Master Data'!$C$74:$O$74,0))</f>
        <v>0.23</v>
      </c>
      <c r="P164" s="148">
        <f>ROUND(O164*INDEX('Master Data'!$F$4:$K$12,MATCH($O$1,'Master Data'!$E$4:$E$12,0),MATCH(C164,'Master Data'!$F$3:$K$3,0)),2)</f>
        <v>7176</v>
      </c>
      <c r="Q164" s="147">
        <f>INDEX('Master Data'!$C$75:$O$299,MATCH(A164,'Master Data'!$B$75:$B$299,0),MATCH($Q$1,'Master Data'!$C$74:$O$74,0))</f>
        <v>0.12</v>
      </c>
      <c r="R164" s="148">
        <f>ROUND(Q164*INDEX('Master Data'!$F$4:$K$12,MATCH($Q$1,'Master Data'!$E$4:$E$12,0),MATCH(C164,'Master Data'!$F$3:$K$3,0)),2)</f>
        <v>5621.09</v>
      </c>
      <c r="S164" s="147">
        <f>INDEX('Master Data'!$C$75:$O$299,MATCH(A164,'Master Data'!$B$75:$B$299,0),MATCH($S$1,'Master Data'!$C$74:$O$74,0))</f>
        <v>0</v>
      </c>
      <c r="T164" s="148">
        <f>ROUND(S164*INDEX('Master Data'!$F$4:$K$12,MATCH($S$1,'Master Data'!$E$4:$E$12,0),MATCH(C164,'Master Data'!$F$3:$K$3,0)),2)</f>
        <v>0</v>
      </c>
      <c r="U164" s="147">
        <f>INDEX('Master Data'!$C$75:$O$299,MATCH(A164,'Master Data'!$B$75:$B$299,0),MATCH($U$1,'Master Data'!$C$74:$O$74,0))</f>
        <v>0</v>
      </c>
      <c r="V164" s="148">
        <f>ROUND(U164*INDEX('Master Data'!$F$4:$K$12,MATCH($U$1,'Master Data'!$E$4:$E$12,0),MATCH(C164,'Master Data'!$F$3:$K$3,0)),2)</f>
        <v>0</v>
      </c>
      <c r="W164" s="149">
        <f t="shared" si="20"/>
        <v>1032169.69</v>
      </c>
      <c r="X164" s="148">
        <f>ROUND(W164*('Master Data'!$B$54),2)</f>
        <v>257732.77</v>
      </c>
      <c r="Y164" s="149">
        <f t="shared" si="26"/>
        <v>1289902.46</v>
      </c>
      <c r="Z164" s="147">
        <f>52*INDEX('Master Data'!$C$75:$O$299,MATCH(A164,'Master Data'!$B$75:$B$299,0),MATCH($Z$1,'Master Data'!$C$74:$O$74,0))</f>
        <v>104</v>
      </c>
      <c r="AA164" s="148">
        <f>Z164*('Master Data'!$F$15)</f>
        <v>7841.6</v>
      </c>
      <c r="AB164" s="147">
        <f>52*INDEX('Master Data'!$C$75:$O$299,MATCH(A164,'Master Data'!$B$75:$B$299,0),MATCH($AB$1,'Master Data'!$C$74:$O$74,0))</f>
        <v>156</v>
      </c>
      <c r="AC164" s="148">
        <f>AB164*('Master Data'!$F$16)</f>
        <v>11281.919999999998</v>
      </c>
      <c r="AD164" s="149">
        <f t="shared" si="21"/>
        <v>19123.519999999997</v>
      </c>
      <c r="AE164" s="148">
        <f>INDEX('Master Data'!$D$58:$D$60,MATCH(D164,'Master Data'!$B$58:$B$60,0))</f>
        <v>24321.56</v>
      </c>
      <c r="AF164" s="148">
        <f>INDEX('Master Data'!$E$58:$E$60,MATCH(D164,'Master Data'!$B$58:$B$60,0))</f>
        <v>2233.8000000000002</v>
      </c>
      <c r="AG164" s="148">
        <f>INDEX('Master Data'!$F$58:$F$60,MATCH(D164,'Master Data'!$B$58:$B$60,0))</f>
        <v>6471.45</v>
      </c>
      <c r="AH164" s="149">
        <f t="shared" si="23"/>
        <v>1342052.79</v>
      </c>
      <c r="AI164" s="148">
        <f>ROUND(AH164*('Master Data'!$C$54),2)</f>
        <v>161046.32999999999</v>
      </c>
      <c r="AJ164" s="148">
        <f>ROUND(SUM(AH164:AI164,AK164)*('Master Data'!$E$54),2)</f>
        <v>45031.41</v>
      </c>
      <c r="AK164" s="148">
        <f>ROUND(W164*('Master Data'!$F$54),2)</f>
        <v>0</v>
      </c>
      <c r="AL164" s="149">
        <f t="shared" si="24"/>
        <v>1548130.53</v>
      </c>
      <c r="AM164" s="140">
        <f t="shared" si="25"/>
        <v>4461.47</v>
      </c>
      <c r="AN164" s="121"/>
      <c r="AO164" s="121"/>
      <c r="AP164" s="121"/>
      <c r="AQ164" s="121"/>
      <c r="AR164" s="121"/>
      <c r="AS164" s="121"/>
    </row>
    <row r="165" spans="1:45">
      <c r="A165" s="121" t="s">
        <v>298</v>
      </c>
      <c r="B165" s="121" t="str">
        <f t="shared" si="22"/>
        <v>1</v>
      </c>
      <c r="C165" s="121" t="str">
        <f t="shared" si="27"/>
        <v>Medical 1</v>
      </c>
      <c r="D165" s="121" t="str">
        <f>INDEX('Master Data'!$C$75:$C$299,MATCH(A165,'Master Data'!$B$75:$B$299,0))</f>
        <v>4+</v>
      </c>
      <c r="E165" s="147">
        <f>INDEX('Master Data'!$C$75:$O$299,MATCH(A165,'Master Data'!$B$75:$B$299,0),MATCH($E$1,'Master Data'!$C$74:$O$74,0))</f>
        <v>0.41</v>
      </c>
      <c r="F165" s="148">
        <f>ROUND(E165*INDEX('Master Data'!$F$4:$K$12,MATCH($E$1,'Master Data'!$E$4:$E$12,0),MATCH(C165,'Master Data'!$F$3:$K$3,0)),2)</f>
        <v>33409.629999999997</v>
      </c>
      <c r="G165" s="147">
        <f>INDEX('Master Data'!$C$75:$O$299,MATCH(A165,'Master Data'!$B$75:$B$299,0),MATCH($G$1,'Master Data'!$C$74:$O$74,0))</f>
        <v>1</v>
      </c>
      <c r="H165" s="148">
        <f>ROUND(G165*INDEX('Master Data'!$F$4:$K$12,MATCH($G$1,'Master Data'!$E$4:$E$12,0),MATCH(C165,'Master Data'!$F$3:$K$3,0)),2)</f>
        <v>56388.63</v>
      </c>
      <c r="I165" s="147">
        <f>INDEX('Master Data'!$C$75:$O$299,MATCH(A165,'Master Data'!$B$75:$B$299,0),MATCH($I$1,'Master Data'!$C$74:$O$74,0))</f>
        <v>13.6</v>
      </c>
      <c r="J165" s="148">
        <f>ROUND(I165*INDEX('Master Data'!$F$4:$K$12,MATCH($I$1,'Master Data'!$E$4:$E$12,0),MATCH(C165,'Master Data'!$F$3:$K$3,0)),2)</f>
        <v>772032.26</v>
      </c>
      <c r="K165" s="147">
        <f>INDEX('Master Data'!$C$75:$O$299,MATCH(A165,'Master Data'!$B$75:$B$299,0),MATCH($K$1,'Master Data'!$C$74:$O$74,0))</f>
        <v>1.4</v>
      </c>
      <c r="L165" s="148">
        <f>ROUND(K165*INDEX('Master Data'!$F$4:$K$12,MATCH($K$1,'Master Data'!$E$4:$E$12,0),MATCH(C165,'Master Data'!$F$3:$K$3,0)),2)</f>
        <v>65579.399999999994</v>
      </c>
      <c r="M165" s="147">
        <f>INDEX('Master Data'!$C$75:$O$299,MATCH(A165,'Master Data'!$B$75:$B$299,0),MATCH($M$1,'Master Data'!$C$74:$O$74,0))</f>
        <v>2.2000000000000002</v>
      </c>
      <c r="N165" s="148">
        <f>ROUND(M165*INDEX('Master Data'!$F$4:$K$12,MATCH($M$1,'Master Data'!$E$4:$E$12,0),MATCH(C165,'Master Data'!$F$3:$K$3,0)),2)</f>
        <v>124887.57</v>
      </c>
      <c r="O165" s="147">
        <f>INDEX('Master Data'!$C$75:$O$299,MATCH(A165,'Master Data'!$B$75:$B$299,0),MATCH($O$1,'Master Data'!$C$74:$O$74,0))</f>
        <v>0.23</v>
      </c>
      <c r="P165" s="148">
        <f>ROUND(O165*INDEX('Master Data'!$F$4:$K$12,MATCH($O$1,'Master Data'!$E$4:$E$12,0),MATCH(C165,'Master Data'!$F$3:$K$3,0)),2)</f>
        <v>7176</v>
      </c>
      <c r="Q165" s="147">
        <f>INDEX('Master Data'!$C$75:$O$299,MATCH(A165,'Master Data'!$B$75:$B$299,0),MATCH($Q$1,'Master Data'!$C$74:$O$74,0))</f>
        <v>0.12</v>
      </c>
      <c r="R165" s="148">
        <f>ROUND(Q165*INDEX('Master Data'!$F$4:$K$12,MATCH($Q$1,'Master Data'!$E$4:$E$12,0),MATCH(C165,'Master Data'!$F$3:$K$3,0)),2)</f>
        <v>5621.09</v>
      </c>
      <c r="S165" s="147">
        <f>INDEX('Master Data'!$C$75:$O$299,MATCH(A165,'Master Data'!$B$75:$B$299,0),MATCH($S$1,'Master Data'!$C$74:$O$74,0))</f>
        <v>0</v>
      </c>
      <c r="T165" s="148">
        <f>ROUND(S165*INDEX('Master Data'!$F$4:$K$12,MATCH($S$1,'Master Data'!$E$4:$E$12,0),MATCH(C165,'Master Data'!$F$3:$K$3,0)),2)</f>
        <v>0</v>
      </c>
      <c r="U165" s="147">
        <f>INDEX('Master Data'!$C$75:$O$299,MATCH(A165,'Master Data'!$B$75:$B$299,0),MATCH($U$1,'Master Data'!$C$74:$O$74,0))</f>
        <v>0</v>
      </c>
      <c r="V165" s="148">
        <f>ROUND(U165*INDEX('Master Data'!$F$4:$K$12,MATCH($U$1,'Master Data'!$E$4:$E$12,0),MATCH(C165,'Master Data'!$F$3:$K$3,0)),2)</f>
        <v>0</v>
      </c>
      <c r="W165" s="149">
        <f t="shared" si="20"/>
        <v>1065094.58</v>
      </c>
      <c r="X165" s="148">
        <f>ROUND(W165*('Master Data'!$B$54),2)</f>
        <v>265954.12</v>
      </c>
      <c r="Y165" s="149">
        <f t="shared" si="26"/>
        <v>1331048.7000000002</v>
      </c>
      <c r="Z165" s="147">
        <f>52*INDEX('Master Data'!$C$75:$O$299,MATCH(A165,'Master Data'!$B$75:$B$299,0),MATCH($Z$1,'Master Data'!$C$74:$O$74,0))</f>
        <v>104</v>
      </c>
      <c r="AA165" s="148">
        <f>Z165*('Master Data'!$F$15)</f>
        <v>7841.6</v>
      </c>
      <c r="AB165" s="147">
        <f>52*INDEX('Master Data'!$C$75:$O$299,MATCH(A165,'Master Data'!$B$75:$B$299,0),MATCH($AB$1,'Master Data'!$C$74:$O$74,0))</f>
        <v>156</v>
      </c>
      <c r="AC165" s="148">
        <f>AB165*('Master Data'!$F$16)</f>
        <v>11281.919999999998</v>
      </c>
      <c r="AD165" s="149">
        <f t="shared" si="21"/>
        <v>19123.519999999997</v>
      </c>
      <c r="AE165" s="148">
        <f>INDEX('Master Data'!$D$58:$D$60,MATCH(D165,'Master Data'!$B$58:$B$60,0))</f>
        <v>24321.56</v>
      </c>
      <c r="AF165" s="148">
        <f>INDEX('Master Data'!$E$58:$E$60,MATCH(D165,'Master Data'!$B$58:$B$60,0))</f>
        <v>2233.8000000000002</v>
      </c>
      <c r="AG165" s="148">
        <f>INDEX('Master Data'!$F$58:$F$60,MATCH(D165,'Master Data'!$B$58:$B$60,0))</f>
        <v>6471.45</v>
      </c>
      <c r="AH165" s="149">
        <f t="shared" si="23"/>
        <v>1383199.0300000003</v>
      </c>
      <c r="AI165" s="148">
        <f>ROUND(AH165*('Master Data'!$C$54),2)</f>
        <v>165983.88</v>
      </c>
      <c r="AJ165" s="148">
        <f>ROUND(SUM(AH165:AI165,AK165)*('Master Data'!$E$54),2)</f>
        <v>46412.03</v>
      </c>
      <c r="AK165" s="148">
        <f>ROUND(W165*('Master Data'!$F$54),2)</f>
        <v>0</v>
      </c>
      <c r="AL165" s="149">
        <f t="shared" si="24"/>
        <v>1595594.9400000002</v>
      </c>
      <c r="AM165" s="140">
        <f t="shared" si="25"/>
        <v>4598.26</v>
      </c>
      <c r="AN165" s="121"/>
      <c r="AO165" s="121"/>
      <c r="AP165" s="121"/>
      <c r="AQ165" s="121"/>
      <c r="AR165" s="121"/>
      <c r="AS165" s="121"/>
    </row>
    <row r="166" spans="1:45">
      <c r="A166" s="121" t="s">
        <v>299</v>
      </c>
      <c r="B166" s="121" t="str">
        <f t="shared" si="22"/>
        <v>1</v>
      </c>
      <c r="C166" s="121" t="str">
        <f t="shared" si="27"/>
        <v>Medical 1</v>
      </c>
      <c r="D166" s="121" t="str">
        <f>INDEX('Master Data'!$C$75:$C$299,MATCH(A166,'Master Data'!$B$75:$B$299,0))</f>
        <v>4+</v>
      </c>
      <c r="E166" s="147">
        <f>INDEX('Master Data'!$C$75:$O$299,MATCH(A166,'Master Data'!$B$75:$B$299,0),MATCH($E$1,'Master Data'!$C$74:$O$74,0))</f>
        <v>0.41</v>
      </c>
      <c r="F166" s="148">
        <f>ROUND(E166*INDEX('Master Data'!$F$4:$K$12,MATCH($E$1,'Master Data'!$E$4:$E$12,0),MATCH(C166,'Master Data'!$F$3:$K$3,0)),2)</f>
        <v>33409.629999999997</v>
      </c>
      <c r="G166" s="147">
        <f>INDEX('Master Data'!$C$75:$O$299,MATCH(A166,'Master Data'!$B$75:$B$299,0),MATCH($G$1,'Master Data'!$C$74:$O$74,0))</f>
        <v>1</v>
      </c>
      <c r="H166" s="148">
        <f>ROUND(G166*INDEX('Master Data'!$F$4:$K$12,MATCH($G$1,'Master Data'!$E$4:$E$12,0),MATCH(C166,'Master Data'!$F$3:$K$3,0)),2)</f>
        <v>56388.63</v>
      </c>
      <c r="I166" s="147">
        <f>INDEX('Master Data'!$C$75:$O$299,MATCH(A166,'Master Data'!$B$75:$B$299,0),MATCH($I$1,'Master Data'!$C$74:$O$74,0))</f>
        <v>14.1</v>
      </c>
      <c r="J166" s="148">
        <f>ROUND(I166*INDEX('Master Data'!$F$4:$K$12,MATCH($I$1,'Master Data'!$E$4:$E$12,0),MATCH(C166,'Master Data'!$F$3:$K$3,0)),2)</f>
        <v>800415.8</v>
      </c>
      <c r="K166" s="147">
        <f>INDEX('Master Data'!$C$75:$O$299,MATCH(A166,'Master Data'!$B$75:$B$299,0),MATCH($K$1,'Master Data'!$C$74:$O$74,0))</f>
        <v>1.4</v>
      </c>
      <c r="L166" s="148">
        <f>ROUND(K166*INDEX('Master Data'!$F$4:$K$12,MATCH($K$1,'Master Data'!$E$4:$E$12,0),MATCH(C166,'Master Data'!$F$3:$K$3,0)),2)</f>
        <v>65579.399999999994</v>
      </c>
      <c r="M166" s="147">
        <f>INDEX('Master Data'!$C$75:$O$299,MATCH(A166,'Master Data'!$B$75:$B$299,0),MATCH($M$1,'Master Data'!$C$74:$O$74,0))</f>
        <v>2.2799999999999998</v>
      </c>
      <c r="N166" s="148">
        <f>ROUND(M166*INDEX('Master Data'!$F$4:$K$12,MATCH($M$1,'Master Data'!$E$4:$E$12,0),MATCH(C166,'Master Data'!$F$3:$K$3,0)),2)</f>
        <v>129428.94</v>
      </c>
      <c r="O166" s="147">
        <f>INDEX('Master Data'!$C$75:$O$299,MATCH(A166,'Master Data'!$B$75:$B$299,0),MATCH($O$1,'Master Data'!$C$74:$O$74,0))</f>
        <v>0.23</v>
      </c>
      <c r="P166" s="148">
        <f>ROUND(O166*INDEX('Master Data'!$F$4:$K$12,MATCH($O$1,'Master Data'!$E$4:$E$12,0),MATCH(C166,'Master Data'!$F$3:$K$3,0)),2)</f>
        <v>7176</v>
      </c>
      <c r="Q166" s="147">
        <f>INDEX('Master Data'!$C$75:$O$299,MATCH(A166,'Master Data'!$B$75:$B$299,0),MATCH($Q$1,'Master Data'!$C$74:$O$74,0))</f>
        <v>0.12</v>
      </c>
      <c r="R166" s="148">
        <f>ROUND(Q166*INDEX('Master Data'!$F$4:$K$12,MATCH($Q$1,'Master Data'!$E$4:$E$12,0),MATCH(C166,'Master Data'!$F$3:$K$3,0)),2)</f>
        <v>5621.09</v>
      </c>
      <c r="S166" s="147">
        <f>INDEX('Master Data'!$C$75:$O$299,MATCH(A166,'Master Data'!$B$75:$B$299,0),MATCH($S$1,'Master Data'!$C$74:$O$74,0))</f>
        <v>0</v>
      </c>
      <c r="T166" s="148">
        <f>ROUND(S166*INDEX('Master Data'!$F$4:$K$12,MATCH($S$1,'Master Data'!$E$4:$E$12,0),MATCH(C166,'Master Data'!$F$3:$K$3,0)),2)</f>
        <v>0</v>
      </c>
      <c r="U166" s="147">
        <f>INDEX('Master Data'!$C$75:$O$299,MATCH(A166,'Master Data'!$B$75:$B$299,0),MATCH($U$1,'Master Data'!$C$74:$O$74,0))</f>
        <v>0</v>
      </c>
      <c r="V166" s="148">
        <f>ROUND(U166*INDEX('Master Data'!$F$4:$K$12,MATCH($U$1,'Master Data'!$E$4:$E$12,0),MATCH(C166,'Master Data'!$F$3:$K$3,0)),2)</f>
        <v>0</v>
      </c>
      <c r="W166" s="149">
        <f t="shared" si="20"/>
        <v>1098019.4900000002</v>
      </c>
      <c r="X166" s="148">
        <f>ROUND(W166*('Master Data'!$B$54),2)</f>
        <v>274175.46999999997</v>
      </c>
      <c r="Y166" s="149">
        <f t="shared" si="26"/>
        <v>1372194.9600000002</v>
      </c>
      <c r="Z166" s="147">
        <f>52*INDEX('Master Data'!$C$75:$O$299,MATCH(A166,'Master Data'!$B$75:$B$299,0),MATCH($Z$1,'Master Data'!$C$74:$O$74,0))</f>
        <v>104</v>
      </c>
      <c r="AA166" s="148">
        <f>Z166*('Master Data'!$F$15)</f>
        <v>7841.6</v>
      </c>
      <c r="AB166" s="147">
        <f>52*INDEX('Master Data'!$C$75:$O$299,MATCH(A166,'Master Data'!$B$75:$B$299,0),MATCH($AB$1,'Master Data'!$C$74:$O$74,0))</f>
        <v>156</v>
      </c>
      <c r="AC166" s="148">
        <f>AB166*('Master Data'!$F$16)</f>
        <v>11281.919999999998</v>
      </c>
      <c r="AD166" s="149">
        <f t="shared" si="21"/>
        <v>19123.519999999997</v>
      </c>
      <c r="AE166" s="148">
        <f>INDEX('Master Data'!$D$58:$D$60,MATCH(D166,'Master Data'!$B$58:$B$60,0))</f>
        <v>24321.56</v>
      </c>
      <c r="AF166" s="148">
        <f>INDEX('Master Data'!$E$58:$E$60,MATCH(D166,'Master Data'!$B$58:$B$60,0))</f>
        <v>2233.8000000000002</v>
      </c>
      <c r="AG166" s="148">
        <f>INDEX('Master Data'!$F$58:$F$60,MATCH(D166,'Master Data'!$B$58:$B$60,0))</f>
        <v>6471.45</v>
      </c>
      <c r="AH166" s="149">
        <f t="shared" si="23"/>
        <v>1424345.2900000003</v>
      </c>
      <c r="AI166" s="148">
        <f>ROUND(AH166*('Master Data'!$C$54),2)</f>
        <v>170921.43</v>
      </c>
      <c r="AJ166" s="148">
        <f>ROUND(SUM(AH166:AI166,AK166)*('Master Data'!$E$54),2)</f>
        <v>47792.66</v>
      </c>
      <c r="AK166" s="148">
        <f>ROUND(W166*('Master Data'!$F$54),2)</f>
        <v>0</v>
      </c>
      <c r="AL166" s="149">
        <f t="shared" si="24"/>
        <v>1643059.3800000001</v>
      </c>
      <c r="AM166" s="140">
        <f t="shared" si="25"/>
        <v>4735.04</v>
      </c>
      <c r="AN166" s="121"/>
      <c r="AO166" s="121"/>
      <c r="AP166" s="121"/>
      <c r="AQ166" s="121"/>
      <c r="AR166" s="121"/>
      <c r="AS166" s="121"/>
    </row>
    <row r="167" spans="1:45">
      <c r="A167" s="121" t="s">
        <v>300</v>
      </c>
      <c r="B167" s="121" t="str">
        <f t="shared" si="22"/>
        <v>2</v>
      </c>
      <c r="C167" s="121" t="str">
        <f t="shared" si="27"/>
        <v>Medical 2</v>
      </c>
      <c r="D167" s="121" t="str">
        <f>INDEX('Master Data'!$C$75:$C$299,MATCH(A167,'Master Data'!$B$75:$B$299,0))</f>
        <v>4+</v>
      </c>
      <c r="E167" s="147">
        <f>INDEX('Master Data'!$C$75:$O$299,MATCH(A167,'Master Data'!$B$75:$B$299,0),MATCH($E$1,'Master Data'!$C$74:$O$74,0))</f>
        <v>0.41</v>
      </c>
      <c r="F167" s="148">
        <f>ROUND(E167*INDEX('Master Data'!$F$4:$K$12,MATCH($E$1,'Master Data'!$E$4:$E$12,0),MATCH(C167,'Master Data'!$F$3:$K$3,0)),2)</f>
        <v>33409.629999999997</v>
      </c>
      <c r="G167" s="147">
        <f>INDEX('Master Data'!$C$75:$O$299,MATCH(A167,'Master Data'!$B$75:$B$299,0),MATCH($G$1,'Master Data'!$C$74:$O$74,0))</f>
        <v>1</v>
      </c>
      <c r="H167" s="148">
        <f>ROUND(G167*INDEX('Master Data'!$F$4:$K$12,MATCH($G$1,'Master Data'!$E$4:$E$12,0),MATCH(C167,'Master Data'!$F$3:$K$3,0)),2)</f>
        <v>56388.63</v>
      </c>
      <c r="I167" s="147">
        <f>INDEX('Master Data'!$C$75:$O$299,MATCH(A167,'Master Data'!$B$75:$B$299,0),MATCH($I$1,'Master Data'!$C$74:$O$74,0))</f>
        <v>4.5999999999999996</v>
      </c>
      <c r="J167" s="148">
        <f>ROUND(I167*INDEX('Master Data'!$F$4:$K$12,MATCH($I$1,'Master Data'!$E$4:$E$12,0),MATCH(C167,'Master Data'!$F$3:$K$3,0)),2)</f>
        <v>277663.98</v>
      </c>
      <c r="K167" s="147">
        <f>INDEX('Master Data'!$C$75:$O$299,MATCH(A167,'Master Data'!$B$75:$B$299,0),MATCH($K$1,'Master Data'!$C$74:$O$74,0))</f>
        <v>1.4</v>
      </c>
      <c r="L167" s="148">
        <f>ROUND(K167*INDEX('Master Data'!$F$4:$K$12,MATCH($K$1,'Master Data'!$E$4:$E$12,0),MATCH(C167,'Master Data'!$F$3:$K$3,0)),2)</f>
        <v>65579.399999999994</v>
      </c>
      <c r="M167" s="147">
        <f>INDEX('Master Data'!$C$75:$O$299,MATCH(A167,'Master Data'!$B$75:$B$299,0),MATCH($M$1,'Master Data'!$C$74:$O$74,0))</f>
        <v>0.75</v>
      </c>
      <c r="N167" s="148">
        <f>ROUND(M167*INDEX('Master Data'!$F$4:$K$12,MATCH($M$1,'Master Data'!$E$4:$E$12,0),MATCH(C167,'Master Data'!$F$3:$K$3,0)),2)</f>
        <v>45271.3</v>
      </c>
      <c r="O167" s="147">
        <f>INDEX('Master Data'!$C$75:$O$299,MATCH(A167,'Master Data'!$B$75:$B$299,0),MATCH($O$1,'Master Data'!$C$74:$O$74,0))</f>
        <v>0.23</v>
      </c>
      <c r="P167" s="148">
        <f>ROUND(O167*INDEX('Master Data'!$F$4:$K$12,MATCH($O$1,'Master Data'!$E$4:$E$12,0),MATCH(C167,'Master Data'!$F$3:$K$3,0)),2)</f>
        <v>7176</v>
      </c>
      <c r="Q167" s="147">
        <f>INDEX('Master Data'!$C$75:$O$299,MATCH(A167,'Master Data'!$B$75:$B$299,0),MATCH($Q$1,'Master Data'!$C$74:$O$74,0))</f>
        <v>0.12</v>
      </c>
      <c r="R167" s="148">
        <f>ROUND(Q167*INDEX('Master Data'!$F$4:$K$12,MATCH($Q$1,'Master Data'!$E$4:$E$12,0),MATCH(C167,'Master Data'!$F$3:$K$3,0)),2)</f>
        <v>5621.09</v>
      </c>
      <c r="S167" s="147">
        <f>INDEX('Master Data'!$C$75:$O$299,MATCH(A167,'Master Data'!$B$75:$B$299,0),MATCH($S$1,'Master Data'!$C$74:$O$74,0))</f>
        <v>0</v>
      </c>
      <c r="T167" s="148">
        <f>ROUND(S167*INDEX('Master Data'!$F$4:$K$12,MATCH($S$1,'Master Data'!$E$4:$E$12,0),MATCH(C167,'Master Data'!$F$3:$K$3,0)),2)</f>
        <v>0</v>
      </c>
      <c r="U167" s="147">
        <f>INDEX('Master Data'!$C$75:$O$299,MATCH(A167,'Master Data'!$B$75:$B$299,0),MATCH($U$1,'Master Data'!$C$74:$O$74,0))</f>
        <v>0</v>
      </c>
      <c r="V167" s="148">
        <f>ROUND(U167*INDEX('Master Data'!$F$4:$K$12,MATCH($U$1,'Master Data'!$E$4:$E$12,0),MATCH(C167,'Master Data'!$F$3:$K$3,0)),2)</f>
        <v>0</v>
      </c>
      <c r="W167" s="149">
        <f t="shared" si="20"/>
        <v>491110.03</v>
      </c>
      <c r="X167" s="148">
        <f>ROUND(W167*('Master Data'!$B$54),2)</f>
        <v>122630.17</v>
      </c>
      <c r="Y167" s="149">
        <f t="shared" si="26"/>
        <v>613740.20000000007</v>
      </c>
      <c r="Z167" s="147">
        <f>52*INDEX('Master Data'!$C$75:$O$299,MATCH(A167,'Master Data'!$B$75:$B$299,0),MATCH($Z$1,'Master Data'!$C$74:$O$74,0))</f>
        <v>104</v>
      </c>
      <c r="AA167" s="148">
        <f>Z167*('Master Data'!$F$15)</f>
        <v>7841.6</v>
      </c>
      <c r="AB167" s="147">
        <f>52*INDEX('Master Data'!$C$75:$O$299,MATCH(A167,'Master Data'!$B$75:$B$299,0),MATCH($AB$1,'Master Data'!$C$74:$O$74,0))</f>
        <v>156</v>
      </c>
      <c r="AC167" s="148">
        <f>AB167*('Master Data'!$F$16)</f>
        <v>11281.919999999998</v>
      </c>
      <c r="AD167" s="149">
        <f t="shared" si="21"/>
        <v>19123.519999999997</v>
      </c>
      <c r="AE167" s="148">
        <f>INDEX('Master Data'!$D$58:$D$60,MATCH(D167,'Master Data'!$B$58:$B$60,0))</f>
        <v>24321.56</v>
      </c>
      <c r="AF167" s="148">
        <f>INDEX('Master Data'!$E$58:$E$60,MATCH(D167,'Master Data'!$B$58:$B$60,0))</f>
        <v>2233.8000000000002</v>
      </c>
      <c r="AG167" s="148">
        <f>INDEX('Master Data'!$F$58:$F$60,MATCH(D167,'Master Data'!$B$58:$B$60,0))</f>
        <v>6471.45</v>
      </c>
      <c r="AH167" s="149">
        <f t="shared" si="23"/>
        <v>665890.53000000014</v>
      </c>
      <c r="AI167" s="148">
        <f>ROUND(AH167*('Master Data'!$C$54),2)</f>
        <v>79906.86</v>
      </c>
      <c r="AJ167" s="148">
        <f>ROUND(SUM(AH167:AI167,AK167)*('Master Data'!$E$54),2)</f>
        <v>22343.37</v>
      </c>
      <c r="AK167" s="148">
        <f>ROUND(W167*('Master Data'!$F$54),2)</f>
        <v>0</v>
      </c>
      <c r="AL167" s="149">
        <f t="shared" si="24"/>
        <v>768140.76000000013</v>
      </c>
      <c r="AM167" s="140">
        <f t="shared" si="25"/>
        <v>2213.66</v>
      </c>
      <c r="AN167" s="121"/>
      <c r="AO167" s="121"/>
      <c r="AP167" s="121"/>
      <c r="AQ167" s="121"/>
      <c r="AR167" s="121"/>
      <c r="AS167" s="121"/>
    </row>
    <row r="168" spans="1:45">
      <c r="A168" s="121" t="s">
        <v>301</v>
      </c>
      <c r="B168" s="121" t="str">
        <f t="shared" si="22"/>
        <v>2</v>
      </c>
      <c r="C168" s="121" t="str">
        <f t="shared" si="27"/>
        <v>Medical 2</v>
      </c>
      <c r="D168" s="121" t="str">
        <f>INDEX('Master Data'!$C$75:$C$299,MATCH(A168,'Master Data'!$B$75:$B$299,0))</f>
        <v>4+</v>
      </c>
      <c r="E168" s="147">
        <f>INDEX('Master Data'!$C$75:$O$299,MATCH(A168,'Master Data'!$B$75:$B$299,0),MATCH($E$1,'Master Data'!$C$74:$O$74,0))</f>
        <v>0.41</v>
      </c>
      <c r="F168" s="148">
        <f>ROUND(E168*INDEX('Master Data'!$F$4:$K$12,MATCH($E$1,'Master Data'!$E$4:$E$12,0),MATCH(C168,'Master Data'!$F$3:$K$3,0)),2)</f>
        <v>33409.629999999997</v>
      </c>
      <c r="G168" s="147">
        <f>INDEX('Master Data'!$C$75:$O$299,MATCH(A168,'Master Data'!$B$75:$B$299,0),MATCH($G$1,'Master Data'!$C$74:$O$74,0))</f>
        <v>1</v>
      </c>
      <c r="H168" s="148">
        <f>ROUND(G168*INDEX('Master Data'!$F$4:$K$12,MATCH($G$1,'Master Data'!$E$4:$E$12,0),MATCH(C168,'Master Data'!$F$3:$K$3,0)),2)</f>
        <v>56388.63</v>
      </c>
      <c r="I168" s="147">
        <f>INDEX('Master Data'!$C$75:$O$299,MATCH(A168,'Master Data'!$B$75:$B$299,0),MATCH($I$1,'Master Data'!$C$74:$O$74,0))</f>
        <v>5.0999999999999996</v>
      </c>
      <c r="J168" s="148">
        <f>ROUND(I168*INDEX('Master Data'!$F$4:$K$12,MATCH($I$1,'Master Data'!$E$4:$E$12,0),MATCH(C168,'Master Data'!$F$3:$K$3,0)),2)</f>
        <v>307844.84999999998</v>
      </c>
      <c r="K168" s="147">
        <f>INDEX('Master Data'!$C$75:$O$299,MATCH(A168,'Master Data'!$B$75:$B$299,0),MATCH($K$1,'Master Data'!$C$74:$O$74,0))</f>
        <v>1.4</v>
      </c>
      <c r="L168" s="148">
        <f>ROUND(K168*INDEX('Master Data'!$F$4:$K$12,MATCH($K$1,'Master Data'!$E$4:$E$12,0),MATCH(C168,'Master Data'!$F$3:$K$3,0)),2)</f>
        <v>65579.399999999994</v>
      </c>
      <c r="M168" s="147">
        <f>INDEX('Master Data'!$C$75:$O$299,MATCH(A168,'Master Data'!$B$75:$B$299,0),MATCH($M$1,'Master Data'!$C$74:$O$74,0))</f>
        <v>0.83</v>
      </c>
      <c r="N168" s="148">
        <f>ROUND(M168*INDEX('Master Data'!$F$4:$K$12,MATCH($M$1,'Master Data'!$E$4:$E$12,0),MATCH(C168,'Master Data'!$F$3:$K$3,0)),2)</f>
        <v>50100.24</v>
      </c>
      <c r="O168" s="147">
        <f>INDEX('Master Data'!$C$75:$O$299,MATCH(A168,'Master Data'!$B$75:$B$299,0),MATCH($O$1,'Master Data'!$C$74:$O$74,0))</f>
        <v>0.23</v>
      </c>
      <c r="P168" s="148">
        <f>ROUND(O168*INDEX('Master Data'!$F$4:$K$12,MATCH($O$1,'Master Data'!$E$4:$E$12,0),MATCH(C168,'Master Data'!$F$3:$K$3,0)),2)</f>
        <v>7176</v>
      </c>
      <c r="Q168" s="147">
        <f>INDEX('Master Data'!$C$75:$O$299,MATCH(A168,'Master Data'!$B$75:$B$299,0),MATCH($Q$1,'Master Data'!$C$74:$O$74,0))</f>
        <v>0.12</v>
      </c>
      <c r="R168" s="148">
        <f>ROUND(Q168*INDEX('Master Data'!$F$4:$K$12,MATCH($Q$1,'Master Data'!$E$4:$E$12,0),MATCH(C168,'Master Data'!$F$3:$K$3,0)),2)</f>
        <v>5621.09</v>
      </c>
      <c r="S168" s="147">
        <f>INDEX('Master Data'!$C$75:$O$299,MATCH(A168,'Master Data'!$B$75:$B$299,0),MATCH($S$1,'Master Data'!$C$74:$O$74,0))</f>
        <v>0</v>
      </c>
      <c r="T168" s="148">
        <f>ROUND(S168*INDEX('Master Data'!$F$4:$K$12,MATCH($S$1,'Master Data'!$E$4:$E$12,0),MATCH(C168,'Master Data'!$F$3:$K$3,0)),2)</f>
        <v>0</v>
      </c>
      <c r="U168" s="147">
        <f>INDEX('Master Data'!$C$75:$O$299,MATCH(A168,'Master Data'!$B$75:$B$299,0),MATCH($U$1,'Master Data'!$C$74:$O$74,0))</f>
        <v>0</v>
      </c>
      <c r="V168" s="148">
        <f>ROUND(U168*INDEX('Master Data'!$F$4:$K$12,MATCH($U$1,'Master Data'!$E$4:$E$12,0),MATCH(C168,'Master Data'!$F$3:$K$3,0)),2)</f>
        <v>0</v>
      </c>
      <c r="W168" s="149">
        <f t="shared" si="20"/>
        <v>526119.84</v>
      </c>
      <c r="X168" s="148">
        <f>ROUND(W168*('Master Data'!$B$54),2)</f>
        <v>131372.12</v>
      </c>
      <c r="Y168" s="149">
        <f t="shared" si="26"/>
        <v>657491.96</v>
      </c>
      <c r="Z168" s="147">
        <f>52*INDEX('Master Data'!$C$75:$O$299,MATCH(A168,'Master Data'!$B$75:$B$299,0),MATCH($Z$1,'Master Data'!$C$74:$O$74,0))</f>
        <v>104</v>
      </c>
      <c r="AA168" s="148">
        <f>Z168*('Master Data'!$F$15)</f>
        <v>7841.6</v>
      </c>
      <c r="AB168" s="147">
        <f>52*INDEX('Master Data'!$C$75:$O$299,MATCH(A168,'Master Data'!$B$75:$B$299,0),MATCH($AB$1,'Master Data'!$C$74:$O$74,0))</f>
        <v>156</v>
      </c>
      <c r="AC168" s="148">
        <f>AB168*('Master Data'!$F$16)</f>
        <v>11281.919999999998</v>
      </c>
      <c r="AD168" s="149">
        <f t="shared" si="21"/>
        <v>19123.519999999997</v>
      </c>
      <c r="AE168" s="148">
        <f>INDEX('Master Data'!$D$58:$D$60,MATCH(D168,'Master Data'!$B$58:$B$60,0))</f>
        <v>24321.56</v>
      </c>
      <c r="AF168" s="148">
        <f>INDEX('Master Data'!$E$58:$E$60,MATCH(D168,'Master Data'!$B$58:$B$60,0))</f>
        <v>2233.8000000000002</v>
      </c>
      <c r="AG168" s="148">
        <f>INDEX('Master Data'!$F$58:$F$60,MATCH(D168,'Master Data'!$B$58:$B$60,0))</f>
        <v>6471.45</v>
      </c>
      <c r="AH168" s="149">
        <f t="shared" si="23"/>
        <v>709642.29</v>
      </c>
      <c r="AI168" s="148">
        <f>ROUND(AH168*('Master Data'!$C$54),2)</f>
        <v>85157.07</v>
      </c>
      <c r="AJ168" s="148">
        <f>ROUND(SUM(AH168:AI168,AK168)*('Master Data'!$E$54),2)</f>
        <v>23811.43</v>
      </c>
      <c r="AK168" s="148">
        <f>ROUND(W168*('Master Data'!$F$54),2)</f>
        <v>0</v>
      </c>
      <c r="AL168" s="149">
        <f t="shared" si="24"/>
        <v>818610.79000000015</v>
      </c>
      <c r="AM168" s="140">
        <f t="shared" si="25"/>
        <v>2359.11</v>
      </c>
      <c r="AN168" s="121"/>
      <c r="AO168" s="121"/>
      <c r="AP168" s="121"/>
      <c r="AQ168" s="121"/>
      <c r="AR168" s="121"/>
      <c r="AS168" s="121"/>
    </row>
    <row r="169" spans="1:45">
      <c r="A169" s="121" t="s">
        <v>302</v>
      </c>
      <c r="B169" s="121" t="str">
        <f t="shared" si="22"/>
        <v>2</v>
      </c>
      <c r="C169" s="121" t="str">
        <f t="shared" si="27"/>
        <v>Medical 2</v>
      </c>
      <c r="D169" s="121" t="str">
        <f>INDEX('Master Data'!$C$75:$C$299,MATCH(A169,'Master Data'!$B$75:$B$299,0))</f>
        <v>4+</v>
      </c>
      <c r="E169" s="147">
        <f>INDEX('Master Data'!$C$75:$O$299,MATCH(A169,'Master Data'!$B$75:$B$299,0),MATCH($E$1,'Master Data'!$C$74:$O$74,0))</f>
        <v>0.41</v>
      </c>
      <c r="F169" s="148">
        <f>ROUND(E169*INDEX('Master Data'!$F$4:$K$12,MATCH($E$1,'Master Data'!$E$4:$E$12,0),MATCH(C169,'Master Data'!$F$3:$K$3,0)),2)</f>
        <v>33409.629999999997</v>
      </c>
      <c r="G169" s="147">
        <f>INDEX('Master Data'!$C$75:$O$299,MATCH(A169,'Master Data'!$B$75:$B$299,0),MATCH($G$1,'Master Data'!$C$74:$O$74,0))</f>
        <v>1</v>
      </c>
      <c r="H169" s="148">
        <f>ROUND(G169*INDEX('Master Data'!$F$4:$K$12,MATCH($G$1,'Master Data'!$E$4:$E$12,0),MATCH(C169,'Master Data'!$F$3:$K$3,0)),2)</f>
        <v>56388.63</v>
      </c>
      <c r="I169" s="147">
        <f>INDEX('Master Data'!$C$75:$O$299,MATCH(A169,'Master Data'!$B$75:$B$299,0),MATCH($I$1,'Master Data'!$C$74:$O$74,0))</f>
        <v>5.6</v>
      </c>
      <c r="J169" s="148">
        <f>ROUND(I169*INDEX('Master Data'!$F$4:$K$12,MATCH($I$1,'Master Data'!$E$4:$E$12,0),MATCH(C169,'Master Data'!$F$3:$K$3,0)),2)</f>
        <v>338025.72</v>
      </c>
      <c r="K169" s="147">
        <f>INDEX('Master Data'!$C$75:$O$299,MATCH(A169,'Master Data'!$B$75:$B$299,0),MATCH($K$1,'Master Data'!$C$74:$O$74,0))</f>
        <v>1.4</v>
      </c>
      <c r="L169" s="148">
        <f>ROUND(K169*INDEX('Master Data'!$F$4:$K$12,MATCH($K$1,'Master Data'!$E$4:$E$12,0),MATCH(C169,'Master Data'!$F$3:$K$3,0)),2)</f>
        <v>65579.399999999994</v>
      </c>
      <c r="M169" s="147">
        <f>INDEX('Master Data'!$C$75:$O$299,MATCH(A169,'Master Data'!$B$75:$B$299,0),MATCH($M$1,'Master Data'!$C$74:$O$74,0))</f>
        <v>0.91</v>
      </c>
      <c r="N169" s="148">
        <f>ROUND(M169*INDEX('Master Data'!$F$4:$K$12,MATCH($M$1,'Master Data'!$E$4:$E$12,0),MATCH(C169,'Master Data'!$F$3:$K$3,0)),2)</f>
        <v>54929.18</v>
      </c>
      <c r="O169" s="147">
        <f>INDEX('Master Data'!$C$75:$O$299,MATCH(A169,'Master Data'!$B$75:$B$299,0),MATCH($O$1,'Master Data'!$C$74:$O$74,0))</f>
        <v>0.23</v>
      </c>
      <c r="P169" s="148">
        <f>ROUND(O169*INDEX('Master Data'!$F$4:$K$12,MATCH($O$1,'Master Data'!$E$4:$E$12,0),MATCH(C169,'Master Data'!$F$3:$K$3,0)),2)</f>
        <v>7176</v>
      </c>
      <c r="Q169" s="147">
        <f>INDEX('Master Data'!$C$75:$O$299,MATCH(A169,'Master Data'!$B$75:$B$299,0),MATCH($Q$1,'Master Data'!$C$74:$O$74,0))</f>
        <v>0.12</v>
      </c>
      <c r="R169" s="148">
        <f>ROUND(Q169*INDEX('Master Data'!$F$4:$K$12,MATCH($Q$1,'Master Data'!$E$4:$E$12,0),MATCH(C169,'Master Data'!$F$3:$K$3,0)),2)</f>
        <v>5621.09</v>
      </c>
      <c r="S169" s="147">
        <f>INDEX('Master Data'!$C$75:$O$299,MATCH(A169,'Master Data'!$B$75:$B$299,0),MATCH($S$1,'Master Data'!$C$74:$O$74,0))</f>
        <v>0</v>
      </c>
      <c r="T169" s="148">
        <f>ROUND(S169*INDEX('Master Data'!$F$4:$K$12,MATCH($S$1,'Master Data'!$E$4:$E$12,0),MATCH(C169,'Master Data'!$F$3:$K$3,0)),2)</f>
        <v>0</v>
      </c>
      <c r="U169" s="147">
        <f>INDEX('Master Data'!$C$75:$O$299,MATCH(A169,'Master Data'!$B$75:$B$299,0),MATCH($U$1,'Master Data'!$C$74:$O$74,0))</f>
        <v>0</v>
      </c>
      <c r="V169" s="148">
        <f>ROUND(U169*INDEX('Master Data'!$F$4:$K$12,MATCH($U$1,'Master Data'!$E$4:$E$12,0),MATCH(C169,'Master Data'!$F$3:$K$3,0)),2)</f>
        <v>0</v>
      </c>
      <c r="W169" s="149">
        <f t="shared" si="20"/>
        <v>561129.65</v>
      </c>
      <c r="X169" s="148">
        <f>ROUND(W169*('Master Data'!$B$54),2)</f>
        <v>140114.07</v>
      </c>
      <c r="Y169" s="149">
        <f t="shared" si="26"/>
        <v>701243.72</v>
      </c>
      <c r="Z169" s="147">
        <f>52*INDEX('Master Data'!$C$75:$O$299,MATCH(A169,'Master Data'!$B$75:$B$299,0),MATCH($Z$1,'Master Data'!$C$74:$O$74,0))</f>
        <v>104</v>
      </c>
      <c r="AA169" s="148">
        <f>Z169*('Master Data'!$F$15)</f>
        <v>7841.6</v>
      </c>
      <c r="AB169" s="147">
        <f>52*INDEX('Master Data'!$C$75:$O$299,MATCH(A169,'Master Data'!$B$75:$B$299,0),MATCH($AB$1,'Master Data'!$C$74:$O$74,0))</f>
        <v>156</v>
      </c>
      <c r="AC169" s="148">
        <f>AB169*('Master Data'!$F$16)</f>
        <v>11281.919999999998</v>
      </c>
      <c r="AD169" s="149">
        <f t="shared" si="21"/>
        <v>19123.519999999997</v>
      </c>
      <c r="AE169" s="148">
        <f>INDEX('Master Data'!$D$58:$D$60,MATCH(D169,'Master Data'!$B$58:$B$60,0))</f>
        <v>24321.56</v>
      </c>
      <c r="AF169" s="148">
        <f>INDEX('Master Data'!$E$58:$E$60,MATCH(D169,'Master Data'!$B$58:$B$60,0))</f>
        <v>2233.8000000000002</v>
      </c>
      <c r="AG169" s="148">
        <f>INDEX('Master Data'!$F$58:$F$60,MATCH(D169,'Master Data'!$B$58:$B$60,0))</f>
        <v>6471.45</v>
      </c>
      <c r="AH169" s="149">
        <f t="shared" si="23"/>
        <v>753394.05</v>
      </c>
      <c r="AI169" s="148">
        <f>ROUND(AH169*('Master Data'!$C$54),2)</f>
        <v>90407.29</v>
      </c>
      <c r="AJ169" s="148">
        <f>ROUND(SUM(AH169:AI169,AK169)*('Master Data'!$E$54),2)</f>
        <v>25279.48</v>
      </c>
      <c r="AK169" s="148">
        <f>ROUND(W169*('Master Data'!$F$54),2)</f>
        <v>0</v>
      </c>
      <c r="AL169" s="149">
        <f t="shared" si="24"/>
        <v>869080.82000000007</v>
      </c>
      <c r="AM169" s="140">
        <f t="shared" si="25"/>
        <v>2504.56</v>
      </c>
      <c r="AN169" s="121"/>
      <c r="AO169" s="121"/>
      <c r="AP169" s="121"/>
      <c r="AQ169" s="121"/>
      <c r="AR169" s="121"/>
      <c r="AS169" s="121"/>
    </row>
    <row r="170" spans="1:45">
      <c r="A170" s="121" t="s">
        <v>303</v>
      </c>
      <c r="B170" s="121" t="str">
        <f t="shared" si="22"/>
        <v>2</v>
      </c>
      <c r="C170" s="121" t="str">
        <f t="shared" si="27"/>
        <v>Medical 2</v>
      </c>
      <c r="D170" s="121" t="str">
        <f>INDEX('Master Data'!$C$75:$C$299,MATCH(A170,'Master Data'!$B$75:$B$299,0))</f>
        <v>4+</v>
      </c>
      <c r="E170" s="147">
        <f>INDEX('Master Data'!$C$75:$O$299,MATCH(A170,'Master Data'!$B$75:$B$299,0),MATCH($E$1,'Master Data'!$C$74:$O$74,0))</f>
        <v>0.41</v>
      </c>
      <c r="F170" s="148">
        <f>ROUND(E170*INDEX('Master Data'!$F$4:$K$12,MATCH($E$1,'Master Data'!$E$4:$E$12,0),MATCH(C170,'Master Data'!$F$3:$K$3,0)),2)</f>
        <v>33409.629999999997</v>
      </c>
      <c r="G170" s="147">
        <f>INDEX('Master Data'!$C$75:$O$299,MATCH(A170,'Master Data'!$B$75:$B$299,0),MATCH($G$1,'Master Data'!$C$74:$O$74,0))</f>
        <v>1</v>
      </c>
      <c r="H170" s="148">
        <f>ROUND(G170*INDEX('Master Data'!$F$4:$K$12,MATCH($G$1,'Master Data'!$E$4:$E$12,0),MATCH(C170,'Master Data'!$F$3:$K$3,0)),2)</f>
        <v>56388.63</v>
      </c>
      <c r="I170" s="147">
        <f>INDEX('Master Data'!$C$75:$O$299,MATCH(A170,'Master Data'!$B$75:$B$299,0),MATCH($I$1,'Master Data'!$C$74:$O$74,0))</f>
        <v>6.1</v>
      </c>
      <c r="J170" s="148">
        <f>ROUND(I170*INDEX('Master Data'!$F$4:$K$12,MATCH($I$1,'Master Data'!$E$4:$E$12,0),MATCH(C170,'Master Data'!$F$3:$K$3,0)),2)</f>
        <v>368206.58</v>
      </c>
      <c r="K170" s="147">
        <f>INDEX('Master Data'!$C$75:$O$299,MATCH(A170,'Master Data'!$B$75:$B$299,0),MATCH($K$1,'Master Data'!$C$74:$O$74,0))</f>
        <v>1.4</v>
      </c>
      <c r="L170" s="148">
        <f>ROUND(K170*INDEX('Master Data'!$F$4:$K$12,MATCH($K$1,'Master Data'!$E$4:$E$12,0),MATCH(C170,'Master Data'!$F$3:$K$3,0)),2)</f>
        <v>65579.399999999994</v>
      </c>
      <c r="M170" s="147">
        <f>INDEX('Master Data'!$C$75:$O$299,MATCH(A170,'Master Data'!$B$75:$B$299,0),MATCH($M$1,'Master Data'!$C$74:$O$74,0))</f>
        <v>0.99</v>
      </c>
      <c r="N170" s="148">
        <f>ROUND(M170*INDEX('Master Data'!$F$4:$K$12,MATCH($M$1,'Master Data'!$E$4:$E$12,0),MATCH(C170,'Master Data'!$F$3:$K$3,0)),2)</f>
        <v>59758.12</v>
      </c>
      <c r="O170" s="147">
        <f>INDEX('Master Data'!$C$75:$O$299,MATCH(A170,'Master Data'!$B$75:$B$299,0),MATCH($O$1,'Master Data'!$C$74:$O$74,0))</f>
        <v>0.23</v>
      </c>
      <c r="P170" s="148">
        <f>ROUND(O170*INDEX('Master Data'!$F$4:$K$12,MATCH($O$1,'Master Data'!$E$4:$E$12,0),MATCH(C170,'Master Data'!$F$3:$K$3,0)),2)</f>
        <v>7176</v>
      </c>
      <c r="Q170" s="147">
        <f>INDEX('Master Data'!$C$75:$O$299,MATCH(A170,'Master Data'!$B$75:$B$299,0),MATCH($Q$1,'Master Data'!$C$74:$O$74,0))</f>
        <v>0.12</v>
      </c>
      <c r="R170" s="148">
        <f>ROUND(Q170*INDEX('Master Data'!$F$4:$K$12,MATCH($Q$1,'Master Data'!$E$4:$E$12,0),MATCH(C170,'Master Data'!$F$3:$K$3,0)),2)</f>
        <v>5621.09</v>
      </c>
      <c r="S170" s="147">
        <f>INDEX('Master Data'!$C$75:$O$299,MATCH(A170,'Master Data'!$B$75:$B$299,0),MATCH($S$1,'Master Data'!$C$74:$O$74,0))</f>
        <v>0</v>
      </c>
      <c r="T170" s="148">
        <f>ROUND(S170*INDEX('Master Data'!$F$4:$K$12,MATCH($S$1,'Master Data'!$E$4:$E$12,0),MATCH(C170,'Master Data'!$F$3:$K$3,0)),2)</f>
        <v>0</v>
      </c>
      <c r="U170" s="147">
        <f>INDEX('Master Data'!$C$75:$O$299,MATCH(A170,'Master Data'!$B$75:$B$299,0),MATCH($U$1,'Master Data'!$C$74:$O$74,0))</f>
        <v>0</v>
      </c>
      <c r="V170" s="148">
        <f>ROUND(U170*INDEX('Master Data'!$F$4:$K$12,MATCH($U$1,'Master Data'!$E$4:$E$12,0),MATCH(C170,'Master Data'!$F$3:$K$3,0)),2)</f>
        <v>0</v>
      </c>
      <c r="W170" s="149">
        <f t="shared" si="20"/>
        <v>596139.44999999995</v>
      </c>
      <c r="X170" s="148">
        <f>ROUND(W170*('Master Data'!$B$54),2)</f>
        <v>148856.01999999999</v>
      </c>
      <c r="Y170" s="149">
        <f t="shared" si="26"/>
        <v>744995.47</v>
      </c>
      <c r="Z170" s="147">
        <f>52*INDEX('Master Data'!$C$75:$O$299,MATCH(A170,'Master Data'!$B$75:$B$299,0),MATCH($Z$1,'Master Data'!$C$74:$O$74,0))</f>
        <v>104</v>
      </c>
      <c r="AA170" s="148">
        <f>Z170*('Master Data'!$F$15)</f>
        <v>7841.6</v>
      </c>
      <c r="AB170" s="147">
        <f>52*INDEX('Master Data'!$C$75:$O$299,MATCH(A170,'Master Data'!$B$75:$B$299,0),MATCH($AB$1,'Master Data'!$C$74:$O$74,0))</f>
        <v>156</v>
      </c>
      <c r="AC170" s="148">
        <f>AB170*('Master Data'!$F$16)</f>
        <v>11281.919999999998</v>
      </c>
      <c r="AD170" s="149">
        <f t="shared" si="21"/>
        <v>19123.519999999997</v>
      </c>
      <c r="AE170" s="148">
        <f>INDEX('Master Data'!$D$58:$D$60,MATCH(D170,'Master Data'!$B$58:$B$60,0))</f>
        <v>24321.56</v>
      </c>
      <c r="AF170" s="148">
        <f>INDEX('Master Data'!$E$58:$E$60,MATCH(D170,'Master Data'!$B$58:$B$60,0))</f>
        <v>2233.8000000000002</v>
      </c>
      <c r="AG170" s="148">
        <f>INDEX('Master Data'!$F$58:$F$60,MATCH(D170,'Master Data'!$B$58:$B$60,0))</f>
        <v>6471.45</v>
      </c>
      <c r="AH170" s="149">
        <f t="shared" si="23"/>
        <v>797145.8</v>
      </c>
      <c r="AI170" s="148">
        <f>ROUND(AH170*('Master Data'!$C$54),2)</f>
        <v>95657.5</v>
      </c>
      <c r="AJ170" s="148">
        <f>ROUND(SUM(AH170:AI170,AK170)*('Master Data'!$E$54),2)</f>
        <v>26747.53</v>
      </c>
      <c r="AK170" s="148">
        <f>ROUND(W170*('Master Data'!$F$54),2)</f>
        <v>0</v>
      </c>
      <c r="AL170" s="149">
        <f t="shared" si="24"/>
        <v>919550.83000000007</v>
      </c>
      <c r="AM170" s="140">
        <f t="shared" si="25"/>
        <v>2650</v>
      </c>
      <c r="AN170" s="121"/>
      <c r="AO170" s="121"/>
      <c r="AP170" s="121"/>
      <c r="AQ170" s="121"/>
      <c r="AR170" s="121"/>
      <c r="AS170" s="121"/>
    </row>
    <row r="171" spans="1:45">
      <c r="A171" s="121" t="s">
        <v>304</v>
      </c>
      <c r="B171" s="121" t="str">
        <f t="shared" si="22"/>
        <v>2</v>
      </c>
      <c r="C171" s="121" t="str">
        <f t="shared" si="27"/>
        <v>Medical 2</v>
      </c>
      <c r="D171" s="121" t="str">
        <f>INDEX('Master Data'!$C$75:$C$299,MATCH(A171,'Master Data'!$B$75:$B$299,0))</f>
        <v>4+</v>
      </c>
      <c r="E171" s="147">
        <f>INDEX('Master Data'!$C$75:$O$299,MATCH(A171,'Master Data'!$B$75:$B$299,0),MATCH($E$1,'Master Data'!$C$74:$O$74,0))</f>
        <v>0.41</v>
      </c>
      <c r="F171" s="148">
        <f>ROUND(E171*INDEX('Master Data'!$F$4:$K$12,MATCH($E$1,'Master Data'!$E$4:$E$12,0),MATCH(C171,'Master Data'!$F$3:$K$3,0)),2)</f>
        <v>33409.629999999997</v>
      </c>
      <c r="G171" s="147">
        <f>INDEX('Master Data'!$C$75:$O$299,MATCH(A171,'Master Data'!$B$75:$B$299,0),MATCH($G$1,'Master Data'!$C$74:$O$74,0))</f>
        <v>1</v>
      </c>
      <c r="H171" s="148">
        <f>ROUND(G171*INDEX('Master Data'!$F$4:$K$12,MATCH($G$1,'Master Data'!$E$4:$E$12,0),MATCH(C171,'Master Data'!$F$3:$K$3,0)),2)</f>
        <v>56388.63</v>
      </c>
      <c r="I171" s="147">
        <f>INDEX('Master Data'!$C$75:$O$299,MATCH(A171,'Master Data'!$B$75:$B$299,0),MATCH($I$1,'Master Data'!$C$74:$O$74,0))</f>
        <v>6.6</v>
      </c>
      <c r="J171" s="148">
        <f>ROUND(I171*INDEX('Master Data'!$F$4:$K$12,MATCH($I$1,'Master Data'!$E$4:$E$12,0),MATCH(C171,'Master Data'!$F$3:$K$3,0)),2)</f>
        <v>398387.45</v>
      </c>
      <c r="K171" s="147">
        <f>INDEX('Master Data'!$C$75:$O$299,MATCH(A171,'Master Data'!$B$75:$B$299,0),MATCH($K$1,'Master Data'!$C$74:$O$74,0))</f>
        <v>1.4</v>
      </c>
      <c r="L171" s="148">
        <f>ROUND(K171*INDEX('Master Data'!$F$4:$K$12,MATCH($K$1,'Master Data'!$E$4:$E$12,0),MATCH(C171,'Master Data'!$F$3:$K$3,0)),2)</f>
        <v>65579.399999999994</v>
      </c>
      <c r="M171" s="147">
        <f>INDEX('Master Data'!$C$75:$O$299,MATCH(A171,'Master Data'!$B$75:$B$299,0),MATCH($M$1,'Master Data'!$C$74:$O$74,0))</f>
        <v>1.07</v>
      </c>
      <c r="N171" s="148">
        <f>ROUND(M171*INDEX('Master Data'!$F$4:$K$12,MATCH($M$1,'Master Data'!$E$4:$E$12,0),MATCH(C171,'Master Data'!$F$3:$K$3,0)),2)</f>
        <v>64587.06</v>
      </c>
      <c r="O171" s="147">
        <f>INDEX('Master Data'!$C$75:$O$299,MATCH(A171,'Master Data'!$B$75:$B$299,0),MATCH($O$1,'Master Data'!$C$74:$O$74,0))</f>
        <v>0.23</v>
      </c>
      <c r="P171" s="148">
        <f>ROUND(O171*INDEX('Master Data'!$F$4:$K$12,MATCH($O$1,'Master Data'!$E$4:$E$12,0),MATCH(C171,'Master Data'!$F$3:$K$3,0)),2)</f>
        <v>7176</v>
      </c>
      <c r="Q171" s="147">
        <f>INDEX('Master Data'!$C$75:$O$299,MATCH(A171,'Master Data'!$B$75:$B$299,0),MATCH($Q$1,'Master Data'!$C$74:$O$74,0))</f>
        <v>0.12</v>
      </c>
      <c r="R171" s="148">
        <f>ROUND(Q171*INDEX('Master Data'!$F$4:$K$12,MATCH($Q$1,'Master Data'!$E$4:$E$12,0),MATCH(C171,'Master Data'!$F$3:$K$3,0)),2)</f>
        <v>5621.09</v>
      </c>
      <c r="S171" s="147">
        <f>INDEX('Master Data'!$C$75:$O$299,MATCH(A171,'Master Data'!$B$75:$B$299,0),MATCH($S$1,'Master Data'!$C$74:$O$74,0))</f>
        <v>0</v>
      </c>
      <c r="T171" s="148">
        <f>ROUND(S171*INDEX('Master Data'!$F$4:$K$12,MATCH($S$1,'Master Data'!$E$4:$E$12,0),MATCH(C171,'Master Data'!$F$3:$K$3,0)),2)</f>
        <v>0</v>
      </c>
      <c r="U171" s="147">
        <f>INDEX('Master Data'!$C$75:$O$299,MATCH(A171,'Master Data'!$B$75:$B$299,0),MATCH($U$1,'Master Data'!$C$74:$O$74,0))</f>
        <v>0</v>
      </c>
      <c r="V171" s="148">
        <f>ROUND(U171*INDEX('Master Data'!$F$4:$K$12,MATCH($U$1,'Master Data'!$E$4:$E$12,0),MATCH(C171,'Master Data'!$F$3:$K$3,0)),2)</f>
        <v>0</v>
      </c>
      <c r="W171" s="149">
        <f t="shared" si="20"/>
        <v>631149.25999999989</v>
      </c>
      <c r="X171" s="148">
        <f>ROUND(W171*('Master Data'!$B$54),2)</f>
        <v>157597.97</v>
      </c>
      <c r="Y171" s="149">
        <f t="shared" si="26"/>
        <v>788747.22999999986</v>
      </c>
      <c r="Z171" s="147">
        <f>52*INDEX('Master Data'!$C$75:$O$299,MATCH(A171,'Master Data'!$B$75:$B$299,0),MATCH($Z$1,'Master Data'!$C$74:$O$74,0))</f>
        <v>104</v>
      </c>
      <c r="AA171" s="148">
        <f>Z171*('Master Data'!$F$15)</f>
        <v>7841.6</v>
      </c>
      <c r="AB171" s="147">
        <f>52*INDEX('Master Data'!$C$75:$O$299,MATCH(A171,'Master Data'!$B$75:$B$299,0),MATCH($AB$1,'Master Data'!$C$74:$O$74,0))</f>
        <v>156</v>
      </c>
      <c r="AC171" s="148">
        <f>AB171*('Master Data'!$F$16)</f>
        <v>11281.919999999998</v>
      </c>
      <c r="AD171" s="149">
        <f t="shared" si="21"/>
        <v>19123.519999999997</v>
      </c>
      <c r="AE171" s="148">
        <f>INDEX('Master Data'!$D$58:$D$60,MATCH(D171,'Master Data'!$B$58:$B$60,0))</f>
        <v>24321.56</v>
      </c>
      <c r="AF171" s="148">
        <f>INDEX('Master Data'!$E$58:$E$60,MATCH(D171,'Master Data'!$B$58:$B$60,0))</f>
        <v>2233.8000000000002</v>
      </c>
      <c r="AG171" s="148">
        <f>INDEX('Master Data'!$F$58:$F$60,MATCH(D171,'Master Data'!$B$58:$B$60,0))</f>
        <v>6471.45</v>
      </c>
      <c r="AH171" s="149">
        <f t="shared" si="23"/>
        <v>840897.55999999994</v>
      </c>
      <c r="AI171" s="148">
        <f>ROUND(AH171*('Master Data'!$C$54),2)</f>
        <v>100907.71</v>
      </c>
      <c r="AJ171" s="148">
        <f>ROUND(SUM(AH171:AI171,AK171)*('Master Data'!$E$54),2)</f>
        <v>28215.58</v>
      </c>
      <c r="AK171" s="148">
        <f>ROUND(W171*('Master Data'!$F$54),2)</f>
        <v>0</v>
      </c>
      <c r="AL171" s="149">
        <f t="shared" si="24"/>
        <v>970020.84999999986</v>
      </c>
      <c r="AM171" s="140">
        <f t="shared" si="25"/>
        <v>2795.45</v>
      </c>
      <c r="AN171" s="121"/>
      <c r="AO171" s="121"/>
      <c r="AP171" s="121"/>
      <c r="AQ171" s="121"/>
      <c r="AR171" s="121"/>
      <c r="AS171" s="121"/>
    </row>
    <row r="172" spans="1:45">
      <c r="A172" s="121" t="s">
        <v>305</v>
      </c>
      <c r="B172" s="121" t="str">
        <f t="shared" si="22"/>
        <v>2</v>
      </c>
      <c r="C172" s="121" t="str">
        <f t="shared" si="27"/>
        <v>Medical 2</v>
      </c>
      <c r="D172" s="121" t="str">
        <f>INDEX('Master Data'!$C$75:$C$299,MATCH(A172,'Master Data'!$B$75:$B$299,0))</f>
        <v>4+</v>
      </c>
      <c r="E172" s="147">
        <f>INDEX('Master Data'!$C$75:$O$299,MATCH(A172,'Master Data'!$B$75:$B$299,0),MATCH($E$1,'Master Data'!$C$74:$O$74,0))</f>
        <v>0.41</v>
      </c>
      <c r="F172" s="148">
        <f>ROUND(E172*INDEX('Master Data'!$F$4:$K$12,MATCH($E$1,'Master Data'!$E$4:$E$12,0),MATCH(C172,'Master Data'!$F$3:$K$3,0)),2)</f>
        <v>33409.629999999997</v>
      </c>
      <c r="G172" s="147">
        <f>INDEX('Master Data'!$C$75:$O$299,MATCH(A172,'Master Data'!$B$75:$B$299,0),MATCH($G$1,'Master Data'!$C$74:$O$74,0))</f>
        <v>1</v>
      </c>
      <c r="H172" s="148">
        <f>ROUND(G172*INDEX('Master Data'!$F$4:$K$12,MATCH($G$1,'Master Data'!$E$4:$E$12,0),MATCH(C172,'Master Data'!$F$3:$K$3,0)),2)</f>
        <v>56388.63</v>
      </c>
      <c r="I172" s="147">
        <f>INDEX('Master Data'!$C$75:$O$299,MATCH(A172,'Master Data'!$B$75:$B$299,0),MATCH($I$1,'Master Data'!$C$74:$O$74,0))</f>
        <v>7.1</v>
      </c>
      <c r="J172" s="148">
        <f>ROUND(I172*INDEX('Master Data'!$F$4:$K$12,MATCH($I$1,'Master Data'!$E$4:$E$12,0),MATCH(C172,'Master Data'!$F$3:$K$3,0)),2)</f>
        <v>428568.32000000001</v>
      </c>
      <c r="K172" s="147">
        <f>INDEX('Master Data'!$C$75:$O$299,MATCH(A172,'Master Data'!$B$75:$B$299,0),MATCH($K$1,'Master Data'!$C$74:$O$74,0))</f>
        <v>1.4</v>
      </c>
      <c r="L172" s="148">
        <f>ROUND(K172*INDEX('Master Data'!$F$4:$K$12,MATCH($K$1,'Master Data'!$E$4:$E$12,0),MATCH(C172,'Master Data'!$F$3:$K$3,0)),2)</f>
        <v>65579.399999999994</v>
      </c>
      <c r="M172" s="147">
        <f>INDEX('Master Data'!$C$75:$O$299,MATCH(A172,'Master Data'!$B$75:$B$299,0),MATCH($M$1,'Master Data'!$C$74:$O$74,0))</f>
        <v>1.1499999999999999</v>
      </c>
      <c r="N172" s="148">
        <f>ROUND(M172*INDEX('Master Data'!$F$4:$K$12,MATCH($M$1,'Master Data'!$E$4:$E$12,0),MATCH(C172,'Master Data'!$F$3:$K$3,0)),2)</f>
        <v>69416</v>
      </c>
      <c r="O172" s="147">
        <f>INDEX('Master Data'!$C$75:$O$299,MATCH(A172,'Master Data'!$B$75:$B$299,0),MATCH($O$1,'Master Data'!$C$74:$O$74,0))</f>
        <v>0.23</v>
      </c>
      <c r="P172" s="148">
        <f>ROUND(O172*INDEX('Master Data'!$F$4:$K$12,MATCH($O$1,'Master Data'!$E$4:$E$12,0),MATCH(C172,'Master Data'!$F$3:$K$3,0)),2)</f>
        <v>7176</v>
      </c>
      <c r="Q172" s="147">
        <f>INDEX('Master Data'!$C$75:$O$299,MATCH(A172,'Master Data'!$B$75:$B$299,0),MATCH($Q$1,'Master Data'!$C$74:$O$74,0))</f>
        <v>0.12</v>
      </c>
      <c r="R172" s="148">
        <f>ROUND(Q172*INDEX('Master Data'!$F$4:$K$12,MATCH($Q$1,'Master Data'!$E$4:$E$12,0),MATCH(C172,'Master Data'!$F$3:$K$3,0)),2)</f>
        <v>5621.09</v>
      </c>
      <c r="S172" s="147">
        <f>INDEX('Master Data'!$C$75:$O$299,MATCH(A172,'Master Data'!$B$75:$B$299,0),MATCH($S$1,'Master Data'!$C$74:$O$74,0))</f>
        <v>0</v>
      </c>
      <c r="T172" s="148">
        <f>ROUND(S172*INDEX('Master Data'!$F$4:$K$12,MATCH($S$1,'Master Data'!$E$4:$E$12,0),MATCH(C172,'Master Data'!$F$3:$K$3,0)),2)</f>
        <v>0</v>
      </c>
      <c r="U172" s="147">
        <f>INDEX('Master Data'!$C$75:$O$299,MATCH(A172,'Master Data'!$B$75:$B$299,0),MATCH($U$1,'Master Data'!$C$74:$O$74,0))</f>
        <v>0</v>
      </c>
      <c r="V172" s="148">
        <f>ROUND(U172*INDEX('Master Data'!$F$4:$K$12,MATCH($U$1,'Master Data'!$E$4:$E$12,0),MATCH(C172,'Master Data'!$F$3:$K$3,0)),2)</f>
        <v>0</v>
      </c>
      <c r="W172" s="149">
        <f t="shared" si="20"/>
        <v>666159.06999999995</v>
      </c>
      <c r="X172" s="148">
        <f>ROUND(W172*('Master Data'!$B$54),2)</f>
        <v>166339.92000000001</v>
      </c>
      <c r="Y172" s="149">
        <f t="shared" si="26"/>
        <v>832498.99</v>
      </c>
      <c r="Z172" s="147">
        <f>52*INDEX('Master Data'!$C$75:$O$299,MATCH(A172,'Master Data'!$B$75:$B$299,0),MATCH($Z$1,'Master Data'!$C$74:$O$74,0))</f>
        <v>104</v>
      </c>
      <c r="AA172" s="148">
        <f>Z172*('Master Data'!$F$15)</f>
        <v>7841.6</v>
      </c>
      <c r="AB172" s="147">
        <f>52*INDEX('Master Data'!$C$75:$O$299,MATCH(A172,'Master Data'!$B$75:$B$299,0),MATCH($AB$1,'Master Data'!$C$74:$O$74,0))</f>
        <v>156</v>
      </c>
      <c r="AC172" s="148">
        <f>AB172*('Master Data'!$F$16)</f>
        <v>11281.919999999998</v>
      </c>
      <c r="AD172" s="149">
        <f t="shared" si="21"/>
        <v>19123.519999999997</v>
      </c>
      <c r="AE172" s="148">
        <f>INDEX('Master Data'!$D$58:$D$60,MATCH(D172,'Master Data'!$B$58:$B$60,0))</f>
        <v>24321.56</v>
      </c>
      <c r="AF172" s="148">
        <f>INDEX('Master Data'!$E$58:$E$60,MATCH(D172,'Master Data'!$B$58:$B$60,0))</f>
        <v>2233.8000000000002</v>
      </c>
      <c r="AG172" s="148">
        <f>INDEX('Master Data'!$F$58:$F$60,MATCH(D172,'Master Data'!$B$58:$B$60,0))</f>
        <v>6471.45</v>
      </c>
      <c r="AH172" s="149">
        <f t="shared" si="23"/>
        <v>884649.32000000007</v>
      </c>
      <c r="AI172" s="148">
        <f>ROUND(AH172*('Master Data'!$C$54),2)</f>
        <v>106157.92</v>
      </c>
      <c r="AJ172" s="148">
        <f>ROUND(SUM(AH172:AI172,AK172)*('Master Data'!$E$54),2)</f>
        <v>29683.64</v>
      </c>
      <c r="AK172" s="148">
        <f>ROUND(W172*('Master Data'!$F$54),2)</f>
        <v>0</v>
      </c>
      <c r="AL172" s="149">
        <f t="shared" si="24"/>
        <v>1020490.8800000001</v>
      </c>
      <c r="AM172" s="140">
        <f t="shared" si="25"/>
        <v>2940.9</v>
      </c>
      <c r="AN172" s="121"/>
      <c r="AO172" s="121"/>
      <c r="AP172" s="121"/>
      <c r="AQ172" s="121"/>
      <c r="AR172" s="121"/>
      <c r="AS172" s="121"/>
    </row>
    <row r="173" spans="1:45">
      <c r="A173" s="121" t="s">
        <v>306</v>
      </c>
      <c r="B173" s="121" t="str">
        <f t="shared" si="22"/>
        <v>2</v>
      </c>
      <c r="C173" s="121" t="str">
        <f t="shared" si="27"/>
        <v>Medical 2</v>
      </c>
      <c r="D173" s="121" t="str">
        <f>INDEX('Master Data'!$C$75:$C$299,MATCH(A173,'Master Data'!$B$75:$B$299,0))</f>
        <v>4+</v>
      </c>
      <c r="E173" s="147">
        <f>INDEX('Master Data'!$C$75:$O$299,MATCH(A173,'Master Data'!$B$75:$B$299,0),MATCH($E$1,'Master Data'!$C$74:$O$74,0))</f>
        <v>0.41</v>
      </c>
      <c r="F173" s="148">
        <f>ROUND(E173*INDEX('Master Data'!$F$4:$K$12,MATCH($E$1,'Master Data'!$E$4:$E$12,0),MATCH(C173,'Master Data'!$F$3:$K$3,0)),2)</f>
        <v>33409.629999999997</v>
      </c>
      <c r="G173" s="147">
        <f>INDEX('Master Data'!$C$75:$O$299,MATCH(A173,'Master Data'!$B$75:$B$299,0),MATCH($G$1,'Master Data'!$C$74:$O$74,0))</f>
        <v>1</v>
      </c>
      <c r="H173" s="148">
        <f>ROUND(G173*INDEX('Master Data'!$F$4:$K$12,MATCH($G$1,'Master Data'!$E$4:$E$12,0),MATCH(C173,'Master Data'!$F$3:$K$3,0)),2)</f>
        <v>56388.63</v>
      </c>
      <c r="I173" s="147">
        <f>INDEX('Master Data'!$C$75:$O$299,MATCH(A173,'Master Data'!$B$75:$B$299,0),MATCH($I$1,'Master Data'!$C$74:$O$74,0))</f>
        <v>7.6</v>
      </c>
      <c r="J173" s="148">
        <f>ROUND(I173*INDEX('Master Data'!$F$4:$K$12,MATCH($I$1,'Master Data'!$E$4:$E$12,0),MATCH(C173,'Master Data'!$F$3:$K$3,0)),2)</f>
        <v>458749.19</v>
      </c>
      <c r="K173" s="147">
        <f>INDEX('Master Data'!$C$75:$O$299,MATCH(A173,'Master Data'!$B$75:$B$299,0),MATCH($K$1,'Master Data'!$C$74:$O$74,0))</f>
        <v>1.4</v>
      </c>
      <c r="L173" s="148">
        <f>ROUND(K173*INDEX('Master Data'!$F$4:$K$12,MATCH($K$1,'Master Data'!$E$4:$E$12,0),MATCH(C173,'Master Data'!$F$3:$K$3,0)),2)</f>
        <v>65579.399999999994</v>
      </c>
      <c r="M173" s="147">
        <f>INDEX('Master Data'!$C$75:$O$299,MATCH(A173,'Master Data'!$B$75:$B$299,0),MATCH($M$1,'Master Data'!$C$74:$O$74,0))</f>
        <v>1.23</v>
      </c>
      <c r="N173" s="148">
        <f>ROUND(M173*INDEX('Master Data'!$F$4:$K$12,MATCH($M$1,'Master Data'!$E$4:$E$12,0),MATCH(C173,'Master Data'!$F$3:$K$3,0)),2)</f>
        <v>74244.929999999993</v>
      </c>
      <c r="O173" s="147">
        <f>INDEX('Master Data'!$C$75:$O$299,MATCH(A173,'Master Data'!$B$75:$B$299,0),MATCH($O$1,'Master Data'!$C$74:$O$74,0))</f>
        <v>0.23</v>
      </c>
      <c r="P173" s="148">
        <f>ROUND(O173*INDEX('Master Data'!$F$4:$K$12,MATCH($O$1,'Master Data'!$E$4:$E$12,0),MATCH(C173,'Master Data'!$F$3:$K$3,0)),2)</f>
        <v>7176</v>
      </c>
      <c r="Q173" s="147">
        <f>INDEX('Master Data'!$C$75:$O$299,MATCH(A173,'Master Data'!$B$75:$B$299,0),MATCH($Q$1,'Master Data'!$C$74:$O$74,0))</f>
        <v>0.12</v>
      </c>
      <c r="R173" s="148">
        <f>ROUND(Q173*INDEX('Master Data'!$F$4:$K$12,MATCH($Q$1,'Master Data'!$E$4:$E$12,0),MATCH(C173,'Master Data'!$F$3:$K$3,0)),2)</f>
        <v>5621.09</v>
      </c>
      <c r="S173" s="147">
        <f>INDEX('Master Data'!$C$75:$O$299,MATCH(A173,'Master Data'!$B$75:$B$299,0),MATCH($S$1,'Master Data'!$C$74:$O$74,0))</f>
        <v>0</v>
      </c>
      <c r="T173" s="148">
        <f>ROUND(S173*INDEX('Master Data'!$F$4:$K$12,MATCH($S$1,'Master Data'!$E$4:$E$12,0),MATCH(C173,'Master Data'!$F$3:$K$3,0)),2)</f>
        <v>0</v>
      </c>
      <c r="U173" s="147">
        <f>INDEX('Master Data'!$C$75:$O$299,MATCH(A173,'Master Data'!$B$75:$B$299,0),MATCH($U$1,'Master Data'!$C$74:$O$74,0))</f>
        <v>0</v>
      </c>
      <c r="V173" s="148">
        <f>ROUND(U173*INDEX('Master Data'!$F$4:$K$12,MATCH($U$1,'Master Data'!$E$4:$E$12,0),MATCH(C173,'Master Data'!$F$3:$K$3,0)),2)</f>
        <v>0</v>
      </c>
      <c r="W173" s="149">
        <f t="shared" si="20"/>
        <v>701168.87</v>
      </c>
      <c r="X173" s="148">
        <f>ROUND(W173*('Master Data'!$B$54),2)</f>
        <v>175081.87</v>
      </c>
      <c r="Y173" s="149">
        <f t="shared" si="26"/>
        <v>876250.74</v>
      </c>
      <c r="Z173" s="147">
        <f>52*INDEX('Master Data'!$C$75:$O$299,MATCH(A173,'Master Data'!$B$75:$B$299,0),MATCH($Z$1,'Master Data'!$C$74:$O$74,0))</f>
        <v>104</v>
      </c>
      <c r="AA173" s="148">
        <f>Z173*('Master Data'!$F$15)</f>
        <v>7841.6</v>
      </c>
      <c r="AB173" s="147">
        <f>52*INDEX('Master Data'!$C$75:$O$299,MATCH(A173,'Master Data'!$B$75:$B$299,0),MATCH($AB$1,'Master Data'!$C$74:$O$74,0))</f>
        <v>156</v>
      </c>
      <c r="AC173" s="148">
        <f>AB173*('Master Data'!$F$16)</f>
        <v>11281.919999999998</v>
      </c>
      <c r="AD173" s="149">
        <f t="shared" si="21"/>
        <v>19123.519999999997</v>
      </c>
      <c r="AE173" s="148">
        <f>INDEX('Master Data'!$D$58:$D$60,MATCH(D173,'Master Data'!$B$58:$B$60,0))</f>
        <v>24321.56</v>
      </c>
      <c r="AF173" s="148">
        <f>INDEX('Master Data'!$E$58:$E$60,MATCH(D173,'Master Data'!$B$58:$B$60,0))</f>
        <v>2233.8000000000002</v>
      </c>
      <c r="AG173" s="148">
        <f>INDEX('Master Data'!$F$58:$F$60,MATCH(D173,'Master Data'!$B$58:$B$60,0))</f>
        <v>6471.45</v>
      </c>
      <c r="AH173" s="149">
        <f t="shared" si="23"/>
        <v>928401.07000000007</v>
      </c>
      <c r="AI173" s="148">
        <f>ROUND(AH173*('Master Data'!$C$54),2)</f>
        <v>111408.13</v>
      </c>
      <c r="AJ173" s="148">
        <f>ROUND(SUM(AH173:AI173,AK173)*('Master Data'!$E$54),2)</f>
        <v>31151.69</v>
      </c>
      <c r="AK173" s="148">
        <f>ROUND(W173*('Master Data'!$F$54),2)</f>
        <v>0</v>
      </c>
      <c r="AL173" s="149">
        <f t="shared" si="24"/>
        <v>1070960.8900000001</v>
      </c>
      <c r="AM173" s="140">
        <f t="shared" si="25"/>
        <v>3086.34</v>
      </c>
      <c r="AN173" s="121"/>
      <c r="AO173" s="121"/>
      <c r="AP173" s="121"/>
      <c r="AQ173" s="121"/>
      <c r="AR173" s="121"/>
      <c r="AS173" s="121"/>
    </row>
    <row r="174" spans="1:45">
      <c r="A174" s="121" t="s">
        <v>307</v>
      </c>
      <c r="B174" s="121" t="str">
        <f t="shared" si="22"/>
        <v>2</v>
      </c>
      <c r="C174" s="121" t="str">
        <f t="shared" si="27"/>
        <v>Medical 2</v>
      </c>
      <c r="D174" s="121" t="str">
        <f>INDEX('Master Data'!$C$75:$C$299,MATCH(A174,'Master Data'!$B$75:$B$299,0))</f>
        <v>4+</v>
      </c>
      <c r="E174" s="147">
        <f>INDEX('Master Data'!$C$75:$O$299,MATCH(A174,'Master Data'!$B$75:$B$299,0),MATCH($E$1,'Master Data'!$C$74:$O$74,0))</f>
        <v>0.41</v>
      </c>
      <c r="F174" s="148">
        <f>ROUND(E174*INDEX('Master Data'!$F$4:$K$12,MATCH($E$1,'Master Data'!$E$4:$E$12,0),MATCH(C174,'Master Data'!$F$3:$K$3,0)),2)</f>
        <v>33409.629999999997</v>
      </c>
      <c r="G174" s="147">
        <f>INDEX('Master Data'!$C$75:$O$299,MATCH(A174,'Master Data'!$B$75:$B$299,0),MATCH($G$1,'Master Data'!$C$74:$O$74,0))</f>
        <v>1</v>
      </c>
      <c r="H174" s="148">
        <f>ROUND(G174*INDEX('Master Data'!$F$4:$K$12,MATCH($G$1,'Master Data'!$E$4:$E$12,0),MATCH(C174,'Master Data'!$F$3:$K$3,0)),2)</f>
        <v>56388.63</v>
      </c>
      <c r="I174" s="147">
        <f>INDEX('Master Data'!$C$75:$O$299,MATCH(A174,'Master Data'!$B$75:$B$299,0),MATCH($I$1,'Master Data'!$C$74:$O$74,0))</f>
        <v>8.1</v>
      </c>
      <c r="J174" s="148">
        <f>ROUND(I174*INDEX('Master Data'!$F$4:$K$12,MATCH($I$1,'Master Data'!$E$4:$E$12,0),MATCH(C174,'Master Data'!$F$3:$K$3,0)),2)</f>
        <v>488930.05</v>
      </c>
      <c r="K174" s="147">
        <f>INDEX('Master Data'!$C$75:$O$299,MATCH(A174,'Master Data'!$B$75:$B$299,0),MATCH($K$1,'Master Data'!$C$74:$O$74,0))</f>
        <v>1.4</v>
      </c>
      <c r="L174" s="148">
        <f>ROUND(K174*INDEX('Master Data'!$F$4:$K$12,MATCH($K$1,'Master Data'!$E$4:$E$12,0),MATCH(C174,'Master Data'!$F$3:$K$3,0)),2)</f>
        <v>65579.399999999994</v>
      </c>
      <c r="M174" s="147">
        <f>INDEX('Master Data'!$C$75:$O$299,MATCH(A174,'Master Data'!$B$75:$B$299,0),MATCH($M$1,'Master Data'!$C$74:$O$74,0))</f>
        <v>1.31</v>
      </c>
      <c r="N174" s="148">
        <f>ROUND(M174*INDEX('Master Data'!$F$4:$K$12,MATCH($M$1,'Master Data'!$E$4:$E$12,0),MATCH(C174,'Master Data'!$F$3:$K$3,0)),2)</f>
        <v>79073.87</v>
      </c>
      <c r="O174" s="147">
        <f>INDEX('Master Data'!$C$75:$O$299,MATCH(A174,'Master Data'!$B$75:$B$299,0),MATCH($O$1,'Master Data'!$C$74:$O$74,0))</f>
        <v>0.23</v>
      </c>
      <c r="P174" s="148">
        <f>ROUND(O174*INDEX('Master Data'!$F$4:$K$12,MATCH($O$1,'Master Data'!$E$4:$E$12,0),MATCH(C174,'Master Data'!$F$3:$K$3,0)),2)</f>
        <v>7176</v>
      </c>
      <c r="Q174" s="147">
        <f>INDEX('Master Data'!$C$75:$O$299,MATCH(A174,'Master Data'!$B$75:$B$299,0),MATCH($Q$1,'Master Data'!$C$74:$O$74,0))</f>
        <v>0.12</v>
      </c>
      <c r="R174" s="148">
        <f>ROUND(Q174*INDEX('Master Data'!$F$4:$K$12,MATCH($Q$1,'Master Data'!$E$4:$E$12,0),MATCH(C174,'Master Data'!$F$3:$K$3,0)),2)</f>
        <v>5621.09</v>
      </c>
      <c r="S174" s="147">
        <f>INDEX('Master Data'!$C$75:$O$299,MATCH(A174,'Master Data'!$B$75:$B$299,0),MATCH($S$1,'Master Data'!$C$74:$O$74,0))</f>
        <v>0</v>
      </c>
      <c r="T174" s="148">
        <f>ROUND(S174*INDEX('Master Data'!$F$4:$K$12,MATCH($S$1,'Master Data'!$E$4:$E$12,0),MATCH(C174,'Master Data'!$F$3:$K$3,0)),2)</f>
        <v>0</v>
      </c>
      <c r="U174" s="147">
        <f>INDEX('Master Data'!$C$75:$O$299,MATCH(A174,'Master Data'!$B$75:$B$299,0),MATCH($U$1,'Master Data'!$C$74:$O$74,0))</f>
        <v>0</v>
      </c>
      <c r="V174" s="148">
        <f>ROUND(U174*INDEX('Master Data'!$F$4:$K$12,MATCH($U$1,'Master Data'!$E$4:$E$12,0),MATCH(C174,'Master Data'!$F$3:$K$3,0)),2)</f>
        <v>0</v>
      </c>
      <c r="W174" s="149">
        <f t="shared" si="20"/>
        <v>736178.66999999993</v>
      </c>
      <c r="X174" s="148">
        <f>ROUND(W174*('Master Data'!$B$54),2)</f>
        <v>183823.81</v>
      </c>
      <c r="Y174" s="149">
        <f t="shared" si="26"/>
        <v>920002.48</v>
      </c>
      <c r="Z174" s="147">
        <f>52*INDEX('Master Data'!$C$75:$O$299,MATCH(A174,'Master Data'!$B$75:$B$299,0),MATCH($Z$1,'Master Data'!$C$74:$O$74,0))</f>
        <v>104</v>
      </c>
      <c r="AA174" s="148">
        <f>Z174*('Master Data'!$F$15)</f>
        <v>7841.6</v>
      </c>
      <c r="AB174" s="147">
        <f>52*INDEX('Master Data'!$C$75:$O$299,MATCH(A174,'Master Data'!$B$75:$B$299,0),MATCH($AB$1,'Master Data'!$C$74:$O$74,0))</f>
        <v>156</v>
      </c>
      <c r="AC174" s="148">
        <f>AB174*('Master Data'!$F$16)</f>
        <v>11281.919999999998</v>
      </c>
      <c r="AD174" s="149">
        <f t="shared" si="21"/>
        <v>19123.519999999997</v>
      </c>
      <c r="AE174" s="148">
        <f>INDEX('Master Data'!$D$58:$D$60,MATCH(D174,'Master Data'!$B$58:$B$60,0))</f>
        <v>24321.56</v>
      </c>
      <c r="AF174" s="148">
        <f>INDEX('Master Data'!$E$58:$E$60,MATCH(D174,'Master Data'!$B$58:$B$60,0))</f>
        <v>2233.8000000000002</v>
      </c>
      <c r="AG174" s="148">
        <f>INDEX('Master Data'!$F$58:$F$60,MATCH(D174,'Master Data'!$B$58:$B$60,0))</f>
        <v>6471.45</v>
      </c>
      <c r="AH174" s="149">
        <f t="shared" si="23"/>
        <v>972152.81</v>
      </c>
      <c r="AI174" s="148">
        <f>ROUND(AH174*('Master Data'!$C$54),2)</f>
        <v>116658.34</v>
      </c>
      <c r="AJ174" s="148">
        <f>ROUND(SUM(AH174:AI174,AK174)*('Master Data'!$E$54),2)</f>
        <v>32619.74</v>
      </c>
      <c r="AK174" s="148">
        <f>ROUND(W174*('Master Data'!$F$54),2)</f>
        <v>0</v>
      </c>
      <c r="AL174" s="149">
        <f t="shared" si="24"/>
        <v>1121430.8900000001</v>
      </c>
      <c r="AM174" s="140">
        <f t="shared" si="25"/>
        <v>3231.79</v>
      </c>
      <c r="AN174" s="121"/>
      <c r="AO174" s="121"/>
      <c r="AP174" s="121"/>
      <c r="AQ174" s="121"/>
      <c r="AR174" s="121"/>
      <c r="AS174" s="121"/>
    </row>
    <row r="175" spans="1:45">
      <c r="A175" s="121" t="s">
        <v>308</v>
      </c>
      <c r="B175" s="121" t="str">
        <f t="shared" si="22"/>
        <v>2</v>
      </c>
      <c r="C175" s="121" t="str">
        <f t="shared" si="27"/>
        <v>Medical 2</v>
      </c>
      <c r="D175" s="121" t="str">
        <f>INDEX('Master Data'!$C$75:$C$299,MATCH(A175,'Master Data'!$B$75:$B$299,0))</f>
        <v>4+</v>
      </c>
      <c r="E175" s="147">
        <f>INDEX('Master Data'!$C$75:$O$299,MATCH(A175,'Master Data'!$B$75:$B$299,0),MATCH($E$1,'Master Data'!$C$74:$O$74,0))</f>
        <v>0.41</v>
      </c>
      <c r="F175" s="148">
        <f>ROUND(E175*INDEX('Master Data'!$F$4:$K$12,MATCH($E$1,'Master Data'!$E$4:$E$12,0),MATCH(C175,'Master Data'!$F$3:$K$3,0)),2)</f>
        <v>33409.629999999997</v>
      </c>
      <c r="G175" s="147">
        <f>INDEX('Master Data'!$C$75:$O$299,MATCH(A175,'Master Data'!$B$75:$B$299,0),MATCH($G$1,'Master Data'!$C$74:$O$74,0))</f>
        <v>1</v>
      </c>
      <c r="H175" s="148">
        <f>ROUND(G175*INDEX('Master Data'!$F$4:$K$12,MATCH($G$1,'Master Data'!$E$4:$E$12,0),MATCH(C175,'Master Data'!$F$3:$K$3,0)),2)</f>
        <v>56388.63</v>
      </c>
      <c r="I175" s="147">
        <f>INDEX('Master Data'!$C$75:$O$299,MATCH(A175,'Master Data'!$B$75:$B$299,0),MATCH($I$1,'Master Data'!$C$74:$O$74,0))</f>
        <v>8.6</v>
      </c>
      <c r="J175" s="148">
        <f>ROUND(I175*INDEX('Master Data'!$F$4:$K$12,MATCH($I$1,'Master Data'!$E$4:$E$12,0),MATCH(C175,'Master Data'!$F$3:$K$3,0)),2)</f>
        <v>519110.92</v>
      </c>
      <c r="K175" s="147">
        <f>INDEX('Master Data'!$C$75:$O$299,MATCH(A175,'Master Data'!$B$75:$B$299,0),MATCH($K$1,'Master Data'!$C$74:$O$74,0))</f>
        <v>1.4</v>
      </c>
      <c r="L175" s="148">
        <f>ROUND(K175*INDEX('Master Data'!$F$4:$K$12,MATCH($K$1,'Master Data'!$E$4:$E$12,0),MATCH(C175,'Master Data'!$F$3:$K$3,0)),2)</f>
        <v>65579.399999999994</v>
      </c>
      <c r="M175" s="147">
        <f>INDEX('Master Data'!$C$75:$O$299,MATCH(A175,'Master Data'!$B$75:$B$299,0),MATCH($M$1,'Master Data'!$C$74:$O$74,0))</f>
        <v>1.39</v>
      </c>
      <c r="N175" s="148">
        <f>ROUND(M175*INDEX('Master Data'!$F$4:$K$12,MATCH($M$1,'Master Data'!$E$4:$E$12,0),MATCH(C175,'Master Data'!$F$3:$K$3,0)),2)</f>
        <v>83902.81</v>
      </c>
      <c r="O175" s="147">
        <f>INDEX('Master Data'!$C$75:$O$299,MATCH(A175,'Master Data'!$B$75:$B$299,0),MATCH($O$1,'Master Data'!$C$74:$O$74,0))</f>
        <v>0.23</v>
      </c>
      <c r="P175" s="148">
        <f>ROUND(O175*INDEX('Master Data'!$F$4:$K$12,MATCH($O$1,'Master Data'!$E$4:$E$12,0),MATCH(C175,'Master Data'!$F$3:$K$3,0)),2)</f>
        <v>7176</v>
      </c>
      <c r="Q175" s="147">
        <f>INDEX('Master Data'!$C$75:$O$299,MATCH(A175,'Master Data'!$B$75:$B$299,0),MATCH($Q$1,'Master Data'!$C$74:$O$74,0))</f>
        <v>0.12</v>
      </c>
      <c r="R175" s="148">
        <f>ROUND(Q175*INDEX('Master Data'!$F$4:$K$12,MATCH($Q$1,'Master Data'!$E$4:$E$12,0),MATCH(C175,'Master Data'!$F$3:$K$3,0)),2)</f>
        <v>5621.09</v>
      </c>
      <c r="S175" s="147">
        <f>INDEX('Master Data'!$C$75:$O$299,MATCH(A175,'Master Data'!$B$75:$B$299,0),MATCH($S$1,'Master Data'!$C$74:$O$74,0))</f>
        <v>0</v>
      </c>
      <c r="T175" s="148">
        <f>ROUND(S175*INDEX('Master Data'!$F$4:$K$12,MATCH($S$1,'Master Data'!$E$4:$E$12,0),MATCH(C175,'Master Data'!$F$3:$K$3,0)),2)</f>
        <v>0</v>
      </c>
      <c r="U175" s="147">
        <f>INDEX('Master Data'!$C$75:$O$299,MATCH(A175,'Master Data'!$B$75:$B$299,0),MATCH($U$1,'Master Data'!$C$74:$O$74,0))</f>
        <v>0</v>
      </c>
      <c r="V175" s="148">
        <f>ROUND(U175*INDEX('Master Data'!$F$4:$K$12,MATCH($U$1,'Master Data'!$E$4:$E$12,0),MATCH(C175,'Master Data'!$F$3:$K$3,0)),2)</f>
        <v>0</v>
      </c>
      <c r="W175" s="149">
        <f t="shared" si="20"/>
        <v>771188.47999999986</v>
      </c>
      <c r="X175" s="148">
        <f>ROUND(W175*('Master Data'!$B$54),2)</f>
        <v>192565.76000000001</v>
      </c>
      <c r="Y175" s="149">
        <f t="shared" si="26"/>
        <v>963754.23999999987</v>
      </c>
      <c r="Z175" s="147">
        <f>52*INDEX('Master Data'!$C$75:$O$299,MATCH(A175,'Master Data'!$B$75:$B$299,0),MATCH($Z$1,'Master Data'!$C$74:$O$74,0))</f>
        <v>104</v>
      </c>
      <c r="AA175" s="148">
        <f>Z175*('Master Data'!$F$15)</f>
        <v>7841.6</v>
      </c>
      <c r="AB175" s="147">
        <f>52*INDEX('Master Data'!$C$75:$O$299,MATCH(A175,'Master Data'!$B$75:$B$299,0),MATCH($AB$1,'Master Data'!$C$74:$O$74,0))</f>
        <v>156</v>
      </c>
      <c r="AC175" s="148">
        <f>AB175*('Master Data'!$F$16)</f>
        <v>11281.919999999998</v>
      </c>
      <c r="AD175" s="149">
        <f t="shared" si="21"/>
        <v>19123.519999999997</v>
      </c>
      <c r="AE175" s="148">
        <f>INDEX('Master Data'!$D$58:$D$60,MATCH(D175,'Master Data'!$B$58:$B$60,0))</f>
        <v>24321.56</v>
      </c>
      <c r="AF175" s="148">
        <f>INDEX('Master Data'!$E$58:$E$60,MATCH(D175,'Master Data'!$B$58:$B$60,0))</f>
        <v>2233.8000000000002</v>
      </c>
      <c r="AG175" s="148">
        <f>INDEX('Master Data'!$F$58:$F$60,MATCH(D175,'Master Data'!$B$58:$B$60,0))</f>
        <v>6471.45</v>
      </c>
      <c r="AH175" s="149">
        <f t="shared" si="23"/>
        <v>1015904.57</v>
      </c>
      <c r="AI175" s="148">
        <f>ROUND(AH175*('Master Data'!$C$54),2)</f>
        <v>121908.55</v>
      </c>
      <c r="AJ175" s="148">
        <f>ROUND(SUM(AH175:AI175,AK175)*('Master Data'!$E$54),2)</f>
        <v>34087.79</v>
      </c>
      <c r="AK175" s="148">
        <f>ROUND(W175*('Master Data'!$F$54),2)</f>
        <v>0</v>
      </c>
      <c r="AL175" s="149">
        <f t="shared" si="24"/>
        <v>1171900.9099999999</v>
      </c>
      <c r="AM175" s="140">
        <f t="shared" si="25"/>
        <v>3377.24</v>
      </c>
      <c r="AN175" s="121"/>
      <c r="AO175" s="121"/>
      <c r="AP175" s="121"/>
      <c r="AQ175" s="121"/>
      <c r="AR175" s="121"/>
      <c r="AS175" s="121"/>
    </row>
    <row r="176" spans="1:45">
      <c r="A176" s="121" t="s">
        <v>309</v>
      </c>
      <c r="B176" s="121" t="str">
        <f t="shared" si="22"/>
        <v>2</v>
      </c>
      <c r="C176" s="121" t="str">
        <f t="shared" si="27"/>
        <v>Medical 2</v>
      </c>
      <c r="D176" s="121" t="str">
        <f>INDEX('Master Data'!$C$75:$C$299,MATCH(A176,'Master Data'!$B$75:$B$299,0))</f>
        <v>4+</v>
      </c>
      <c r="E176" s="147">
        <f>INDEX('Master Data'!$C$75:$O$299,MATCH(A176,'Master Data'!$B$75:$B$299,0),MATCH($E$1,'Master Data'!$C$74:$O$74,0))</f>
        <v>0.41</v>
      </c>
      <c r="F176" s="148">
        <f>ROUND(E176*INDEX('Master Data'!$F$4:$K$12,MATCH($E$1,'Master Data'!$E$4:$E$12,0),MATCH(C176,'Master Data'!$F$3:$K$3,0)),2)</f>
        <v>33409.629999999997</v>
      </c>
      <c r="G176" s="147">
        <f>INDEX('Master Data'!$C$75:$O$299,MATCH(A176,'Master Data'!$B$75:$B$299,0),MATCH($G$1,'Master Data'!$C$74:$O$74,0))</f>
        <v>1</v>
      </c>
      <c r="H176" s="148">
        <f>ROUND(G176*INDEX('Master Data'!$F$4:$K$12,MATCH($G$1,'Master Data'!$E$4:$E$12,0),MATCH(C176,'Master Data'!$F$3:$K$3,0)),2)</f>
        <v>56388.63</v>
      </c>
      <c r="I176" s="147">
        <f>INDEX('Master Data'!$C$75:$O$299,MATCH(A176,'Master Data'!$B$75:$B$299,0),MATCH($I$1,'Master Data'!$C$74:$O$74,0))</f>
        <v>9.1</v>
      </c>
      <c r="J176" s="148">
        <f>ROUND(I176*INDEX('Master Data'!$F$4:$K$12,MATCH($I$1,'Master Data'!$E$4:$E$12,0),MATCH(C176,'Master Data'!$F$3:$K$3,0)),2)</f>
        <v>549291.79</v>
      </c>
      <c r="K176" s="147">
        <f>INDEX('Master Data'!$C$75:$O$299,MATCH(A176,'Master Data'!$B$75:$B$299,0),MATCH($K$1,'Master Data'!$C$74:$O$74,0))</f>
        <v>1.4</v>
      </c>
      <c r="L176" s="148">
        <f>ROUND(K176*INDEX('Master Data'!$F$4:$K$12,MATCH($K$1,'Master Data'!$E$4:$E$12,0),MATCH(C176,'Master Data'!$F$3:$K$3,0)),2)</f>
        <v>65579.399999999994</v>
      </c>
      <c r="M176" s="147">
        <f>INDEX('Master Data'!$C$75:$O$299,MATCH(A176,'Master Data'!$B$75:$B$299,0),MATCH($M$1,'Master Data'!$C$74:$O$74,0))</f>
        <v>1.47</v>
      </c>
      <c r="N176" s="148">
        <f>ROUND(M176*INDEX('Master Data'!$F$4:$K$12,MATCH($M$1,'Master Data'!$E$4:$E$12,0),MATCH(C176,'Master Data'!$F$3:$K$3,0)),2)</f>
        <v>88731.75</v>
      </c>
      <c r="O176" s="147">
        <f>INDEX('Master Data'!$C$75:$O$299,MATCH(A176,'Master Data'!$B$75:$B$299,0),MATCH($O$1,'Master Data'!$C$74:$O$74,0))</f>
        <v>0.23</v>
      </c>
      <c r="P176" s="148">
        <f>ROUND(O176*INDEX('Master Data'!$F$4:$K$12,MATCH($O$1,'Master Data'!$E$4:$E$12,0),MATCH(C176,'Master Data'!$F$3:$K$3,0)),2)</f>
        <v>7176</v>
      </c>
      <c r="Q176" s="147">
        <f>INDEX('Master Data'!$C$75:$O$299,MATCH(A176,'Master Data'!$B$75:$B$299,0),MATCH($Q$1,'Master Data'!$C$74:$O$74,0))</f>
        <v>0.12</v>
      </c>
      <c r="R176" s="148">
        <f>ROUND(Q176*INDEX('Master Data'!$F$4:$K$12,MATCH($Q$1,'Master Data'!$E$4:$E$12,0),MATCH(C176,'Master Data'!$F$3:$K$3,0)),2)</f>
        <v>5621.09</v>
      </c>
      <c r="S176" s="147">
        <f>INDEX('Master Data'!$C$75:$O$299,MATCH(A176,'Master Data'!$B$75:$B$299,0),MATCH($S$1,'Master Data'!$C$74:$O$74,0))</f>
        <v>0</v>
      </c>
      <c r="T176" s="148">
        <f>ROUND(S176*INDEX('Master Data'!$F$4:$K$12,MATCH($S$1,'Master Data'!$E$4:$E$12,0),MATCH(C176,'Master Data'!$F$3:$K$3,0)),2)</f>
        <v>0</v>
      </c>
      <c r="U176" s="147">
        <f>INDEX('Master Data'!$C$75:$O$299,MATCH(A176,'Master Data'!$B$75:$B$299,0),MATCH($U$1,'Master Data'!$C$74:$O$74,0))</f>
        <v>0</v>
      </c>
      <c r="V176" s="148">
        <f>ROUND(U176*INDEX('Master Data'!$F$4:$K$12,MATCH($U$1,'Master Data'!$E$4:$E$12,0),MATCH(C176,'Master Data'!$F$3:$K$3,0)),2)</f>
        <v>0</v>
      </c>
      <c r="W176" s="149">
        <f t="shared" si="20"/>
        <v>806198.29</v>
      </c>
      <c r="X176" s="148">
        <f>ROUND(W176*('Master Data'!$B$54),2)</f>
        <v>201307.71</v>
      </c>
      <c r="Y176" s="149">
        <f t="shared" si="26"/>
        <v>1007506</v>
      </c>
      <c r="Z176" s="147">
        <f>52*INDEX('Master Data'!$C$75:$O$299,MATCH(A176,'Master Data'!$B$75:$B$299,0),MATCH($Z$1,'Master Data'!$C$74:$O$74,0))</f>
        <v>104</v>
      </c>
      <c r="AA176" s="148">
        <f>Z176*('Master Data'!$F$15)</f>
        <v>7841.6</v>
      </c>
      <c r="AB176" s="147">
        <f>52*INDEX('Master Data'!$C$75:$O$299,MATCH(A176,'Master Data'!$B$75:$B$299,0),MATCH($AB$1,'Master Data'!$C$74:$O$74,0))</f>
        <v>156</v>
      </c>
      <c r="AC176" s="148">
        <f>AB176*('Master Data'!$F$16)</f>
        <v>11281.919999999998</v>
      </c>
      <c r="AD176" s="149">
        <f t="shared" si="21"/>
        <v>19123.519999999997</v>
      </c>
      <c r="AE176" s="148">
        <f>INDEX('Master Data'!$D$58:$D$60,MATCH(D176,'Master Data'!$B$58:$B$60,0))</f>
        <v>24321.56</v>
      </c>
      <c r="AF176" s="148">
        <f>INDEX('Master Data'!$E$58:$E$60,MATCH(D176,'Master Data'!$B$58:$B$60,0))</f>
        <v>2233.8000000000002</v>
      </c>
      <c r="AG176" s="148">
        <f>INDEX('Master Data'!$F$58:$F$60,MATCH(D176,'Master Data'!$B$58:$B$60,0))</f>
        <v>6471.45</v>
      </c>
      <c r="AH176" s="149">
        <f t="shared" si="23"/>
        <v>1059656.33</v>
      </c>
      <c r="AI176" s="148">
        <f>ROUND(AH176*('Master Data'!$C$54),2)</f>
        <v>127158.76</v>
      </c>
      <c r="AJ176" s="148">
        <f>ROUND(SUM(AH176:AI176,AK176)*('Master Data'!$E$54),2)</f>
        <v>35555.839999999997</v>
      </c>
      <c r="AK176" s="148">
        <f>ROUND(W176*('Master Data'!$F$54),2)</f>
        <v>0</v>
      </c>
      <c r="AL176" s="149">
        <f t="shared" si="24"/>
        <v>1222370.9300000002</v>
      </c>
      <c r="AM176" s="140">
        <f t="shared" si="25"/>
        <v>3522.68</v>
      </c>
      <c r="AN176" s="121"/>
      <c r="AO176" s="121"/>
      <c r="AP176" s="121"/>
      <c r="AQ176" s="121"/>
      <c r="AR176" s="121"/>
      <c r="AS176" s="121"/>
    </row>
    <row r="177" spans="1:45">
      <c r="A177" s="121" t="s">
        <v>310</v>
      </c>
      <c r="B177" s="121" t="str">
        <f t="shared" si="22"/>
        <v>2</v>
      </c>
      <c r="C177" s="121" t="str">
        <f t="shared" si="27"/>
        <v>Medical 2</v>
      </c>
      <c r="D177" s="121" t="str">
        <f>INDEX('Master Data'!$C$75:$C$299,MATCH(A177,'Master Data'!$B$75:$B$299,0))</f>
        <v>4+</v>
      </c>
      <c r="E177" s="147">
        <f>INDEX('Master Data'!$C$75:$O$299,MATCH(A177,'Master Data'!$B$75:$B$299,0),MATCH($E$1,'Master Data'!$C$74:$O$74,0))</f>
        <v>0.41</v>
      </c>
      <c r="F177" s="148">
        <f>ROUND(E177*INDEX('Master Data'!$F$4:$K$12,MATCH($E$1,'Master Data'!$E$4:$E$12,0),MATCH(C177,'Master Data'!$F$3:$K$3,0)),2)</f>
        <v>33409.629999999997</v>
      </c>
      <c r="G177" s="147">
        <f>INDEX('Master Data'!$C$75:$O$299,MATCH(A177,'Master Data'!$B$75:$B$299,0),MATCH($G$1,'Master Data'!$C$74:$O$74,0))</f>
        <v>1</v>
      </c>
      <c r="H177" s="148">
        <f>ROUND(G177*INDEX('Master Data'!$F$4:$K$12,MATCH($G$1,'Master Data'!$E$4:$E$12,0),MATCH(C177,'Master Data'!$F$3:$K$3,0)),2)</f>
        <v>56388.63</v>
      </c>
      <c r="I177" s="147">
        <f>INDEX('Master Data'!$C$75:$O$299,MATCH(A177,'Master Data'!$B$75:$B$299,0),MATCH($I$1,'Master Data'!$C$74:$O$74,0))</f>
        <v>9.6</v>
      </c>
      <c r="J177" s="148">
        <f>ROUND(I177*INDEX('Master Data'!$F$4:$K$12,MATCH($I$1,'Master Data'!$E$4:$E$12,0),MATCH(C177,'Master Data'!$F$3:$K$3,0)),2)</f>
        <v>579472.66</v>
      </c>
      <c r="K177" s="147">
        <f>INDEX('Master Data'!$C$75:$O$299,MATCH(A177,'Master Data'!$B$75:$B$299,0),MATCH($K$1,'Master Data'!$C$74:$O$74,0))</f>
        <v>1.4</v>
      </c>
      <c r="L177" s="148">
        <f>ROUND(K177*INDEX('Master Data'!$F$4:$K$12,MATCH($K$1,'Master Data'!$E$4:$E$12,0),MATCH(C177,'Master Data'!$F$3:$K$3,0)),2)</f>
        <v>65579.399999999994</v>
      </c>
      <c r="M177" s="147">
        <f>INDEX('Master Data'!$C$75:$O$299,MATCH(A177,'Master Data'!$B$75:$B$299,0),MATCH($M$1,'Master Data'!$C$74:$O$74,0))</f>
        <v>1.56</v>
      </c>
      <c r="N177" s="148">
        <f>ROUND(M177*INDEX('Master Data'!$F$4:$K$12,MATCH($M$1,'Master Data'!$E$4:$E$12,0),MATCH(C177,'Master Data'!$F$3:$K$3,0)),2)</f>
        <v>94164.31</v>
      </c>
      <c r="O177" s="147">
        <f>INDEX('Master Data'!$C$75:$O$299,MATCH(A177,'Master Data'!$B$75:$B$299,0),MATCH($O$1,'Master Data'!$C$74:$O$74,0))</f>
        <v>0.23</v>
      </c>
      <c r="P177" s="148">
        <f>ROUND(O177*INDEX('Master Data'!$F$4:$K$12,MATCH($O$1,'Master Data'!$E$4:$E$12,0),MATCH(C177,'Master Data'!$F$3:$K$3,0)),2)</f>
        <v>7176</v>
      </c>
      <c r="Q177" s="147">
        <f>INDEX('Master Data'!$C$75:$O$299,MATCH(A177,'Master Data'!$B$75:$B$299,0),MATCH($Q$1,'Master Data'!$C$74:$O$74,0))</f>
        <v>0.12</v>
      </c>
      <c r="R177" s="148">
        <f>ROUND(Q177*INDEX('Master Data'!$F$4:$K$12,MATCH($Q$1,'Master Data'!$E$4:$E$12,0),MATCH(C177,'Master Data'!$F$3:$K$3,0)),2)</f>
        <v>5621.09</v>
      </c>
      <c r="S177" s="147">
        <f>INDEX('Master Data'!$C$75:$O$299,MATCH(A177,'Master Data'!$B$75:$B$299,0),MATCH($S$1,'Master Data'!$C$74:$O$74,0))</f>
        <v>0</v>
      </c>
      <c r="T177" s="148">
        <f>ROUND(S177*INDEX('Master Data'!$F$4:$K$12,MATCH($S$1,'Master Data'!$E$4:$E$12,0),MATCH(C177,'Master Data'!$F$3:$K$3,0)),2)</f>
        <v>0</v>
      </c>
      <c r="U177" s="147">
        <f>INDEX('Master Data'!$C$75:$O$299,MATCH(A177,'Master Data'!$B$75:$B$299,0),MATCH($U$1,'Master Data'!$C$74:$O$74,0))</f>
        <v>0</v>
      </c>
      <c r="V177" s="148">
        <f>ROUND(U177*INDEX('Master Data'!$F$4:$K$12,MATCH($U$1,'Master Data'!$E$4:$E$12,0),MATCH(C177,'Master Data'!$F$3:$K$3,0)),2)</f>
        <v>0</v>
      </c>
      <c r="W177" s="149">
        <f t="shared" si="20"/>
        <v>841811.72000000009</v>
      </c>
      <c r="X177" s="148">
        <f>ROUND(W177*('Master Data'!$B$54),2)</f>
        <v>210200.39</v>
      </c>
      <c r="Y177" s="149">
        <f t="shared" si="26"/>
        <v>1052012.1100000001</v>
      </c>
      <c r="Z177" s="147">
        <f>52*INDEX('Master Data'!$C$75:$O$299,MATCH(A177,'Master Data'!$B$75:$B$299,0),MATCH($Z$1,'Master Data'!$C$74:$O$74,0))</f>
        <v>104</v>
      </c>
      <c r="AA177" s="148">
        <f>Z177*('Master Data'!$F$15)</f>
        <v>7841.6</v>
      </c>
      <c r="AB177" s="147">
        <f>52*INDEX('Master Data'!$C$75:$O$299,MATCH(A177,'Master Data'!$B$75:$B$299,0),MATCH($AB$1,'Master Data'!$C$74:$O$74,0))</f>
        <v>156</v>
      </c>
      <c r="AC177" s="148">
        <f>AB177*('Master Data'!$F$16)</f>
        <v>11281.919999999998</v>
      </c>
      <c r="AD177" s="149">
        <f t="shared" si="21"/>
        <v>19123.519999999997</v>
      </c>
      <c r="AE177" s="148">
        <f>INDEX('Master Data'!$D$58:$D$60,MATCH(D177,'Master Data'!$B$58:$B$60,0))</f>
        <v>24321.56</v>
      </c>
      <c r="AF177" s="148">
        <f>INDEX('Master Data'!$E$58:$E$60,MATCH(D177,'Master Data'!$B$58:$B$60,0))</f>
        <v>2233.8000000000002</v>
      </c>
      <c r="AG177" s="148">
        <f>INDEX('Master Data'!$F$58:$F$60,MATCH(D177,'Master Data'!$B$58:$B$60,0))</f>
        <v>6471.45</v>
      </c>
      <c r="AH177" s="149">
        <f t="shared" si="23"/>
        <v>1104162.4400000002</v>
      </c>
      <c r="AI177" s="148">
        <f>ROUND(AH177*('Master Data'!$C$54),2)</f>
        <v>132499.49</v>
      </c>
      <c r="AJ177" s="148">
        <f>ROUND(SUM(AH177:AI177,AK177)*('Master Data'!$E$54),2)</f>
        <v>37049.21</v>
      </c>
      <c r="AK177" s="148">
        <f>ROUND(W177*('Master Data'!$F$54),2)</f>
        <v>0</v>
      </c>
      <c r="AL177" s="149">
        <f t="shared" si="24"/>
        <v>1273711.1400000001</v>
      </c>
      <c r="AM177" s="140">
        <f t="shared" si="25"/>
        <v>3670.64</v>
      </c>
      <c r="AN177" s="121"/>
      <c r="AO177" s="121"/>
      <c r="AP177" s="121"/>
      <c r="AQ177" s="121"/>
      <c r="AR177" s="121"/>
      <c r="AS177" s="121"/>
    </row>
    <row r="178" spans="1:45">
      <c r="A178" s="121" t="s">
        <v>311</v>
      </c>
      <c r="B178" s="121" t="str">
        <f t="shared" si="22"/>
        <v>2</v>
      </c>
      <c r="C178" s="121" t="str">
        <f t="shared" si="27"/>
        <v>Medical 2</v>
      </c>
      <c r="D178" s="121" t="str">
        <f>INDEX('Master Data'!$C$75:$C$299,MATCH(A178,'Master Data'!$B$75:$B$299,0))</f>
        <v>4+</v>
      </c>
      <c r="E178" s="147">
        <f>INDEX('Master Data'!$C$75:$O$299,MATCH(A178,'Master Data'!$B$75:$B$299,0),MATCH($E$1,'Master Data'!$C$74:$O$74,0))</f>
        <v>0.41</v>
      </c>
      <c r="F178" s="148">
        <f>ROUND(E178*INDEX('Master Data'!$F$4:$K$12,MATCH($E$1,'Master Data'!$E$4:$E$12,0),MATCH(C178,'Master Data'!$F$3:$K$3,0)),2)</f>
        <v>33409.629999999997</v>
      </c>
      <c r="G178" s="147">
        <f>INDEX('Master Data'!$C$75:$O$299,MATCH(A178,'Master Data'!$B$75:$B$299,0),MATCH($G$1,'Master Data'!$C$74:$O$74,0))</f>
        <v>1</v>
      </c>
      <c r="H178" s="148">
        <f>ROUND(G178*INDEX('Master Data'!$F$4:$K$12,MATCH($G$1,'Master Data'!$E$4:$E$12,0),MATCH(C178,'Master Data'!$F$3:$K$3,0)),2)</f>
        <v>56388.63</v>
      </c>
      <c r="I178" s="147">
        <f>INDEX('Master Data'!$C$75:$O$299,MATCH(A178,'Master Data'!$B$75:$B$299,0),MATCH($I$1,'Master Data'!$C$74:$O$74,0))</f>
        <v>10.1</v>
      </c>
      <c r="J178" s="148">
        <f>ROUND(I178*INDEX('Master Data'!$F$4:$K$12,MATCH($I$1,'Master Data'!$E$4:$E$12,0),MATCH(C178,'Master Data'!$F$3:$K$3,0)),2)</f>
        <v>609653.52</v>
      </c>
      <c r="K178" s="147">
        <f>INDEX('Master Data'!$C$75:$O$299,MATCH(A178,'Master Data'!$B$75:$B$299,0),MATCH($K$1,'Master Data'!$C$74:$O$74,0))</f>
        <v>1.4</v>
      </c>
      <c r="L178" s="148">
        <f>ROUND(K178*INDEX('Master Data'!$F$4:$K$12,MATCH($K$1,'Master Data'!$E$4:$E$12,0),MATCH(C178,'Master Data'!$F$3:$K$3,0)),2)</f>
        <v>65579.399999999994</v>
      </c>
      <c r="M178" s="147">
        <f>INDEX('Master Data'!$C$75:$O$299,MATCH(A178,'Master Data'!$B$75:$B$299,0),MATCH($M$1,'Master Data'!$C$74:$O$74,0))</f>
        <v>1.64</v>
      </c>
      <c r="N178" s="148">
        <f>ROUND(M178*INDEX('Master Data'!$F$4:$K$12,MATCH($M$1,'Master Data'!$E$4:$E$12,0),MATCH(C178,'Master Data'!$F$3:$K$3,0)),2)</f>
        <v>98993.25</v>
      </c>
      <c r="O178" s="147">
        <f>INDEX('Master Data'!$C$75:$O$299,MATCH(A178,'Master Data'!$B$75:$B$299,0),MATCH($O$1,'Master Data'!$C$74:$O$74,0))</f>
        <v>0.23</v>
      </c>
      <c r="P178" s="148">
        <f>ROUND(O178*INDEX('Master Data'!$F$4:$K$12,MATCH($O$1,'Master Data'!$E$4:$E$12,0),MATCH(C178,'Master Data'!$F$3:$K$3,0)),2)</f>
        <v>7176</v>
      </c>
      <c r="Q178" s="147">
        <f>INDEX('Master Data'!$C$75:$O$299,MATCH(A178,'Master Data'!$B$75:$B$299,0),MATCH($Q$1,'Master Data'!$C$74:$O$74,0))</f>
        <v>0.12</v>
      </c>
      <c r="R178" s="148">
        <f>ROUND(Q178*INDEX('Master Data'!$F$4:$K$12,MATCH($Q$1,'Master Data'!$E$4:$E$12,0),MATCH(C178,'Master Data'!$F$3:$K$3,0)),2)</f>
        <v>5621.09</v>
      </c>
      <c r="S178" s="147">
        <f>INDEX('Master Data'!$C$75:$O$299,MATCH(A178,'Master Data'!$B$75:$B$299,0),MATCH($S$1,'Master Data'!$C$74:$O$74,0))</f>
        <v>0</v>
      </c>
      <c r="T178" s="148">
        <f>ROUND(S178*INDEX('Master Data'!$F$4:$K$12,MATCH($S$1,'Master Data'!$E$4:$E$12,0),MATCH(C178,'Master Data'!$F$3:$K$3,0)),2)</f>
        <v>0</v>
      </c>
      <c r="U178" s="147">
        <f>INDEX('Master Data'!$C$75:$O$299,MATCH(A178,'Master Data'!$B$75:$B$299,0),MATCH($U$1,'Master Data'!$C$74:$O$74,0))</f>
        <v>0</v>
      </c>
      <c r="V178" s="148">
        <f>ROUND(U178*INDEX('Master Data'!$F$4:$K$12,MATCH($U$1,'Master Data'!$E$4:$E$12,0),MATCH(C178,'Master Data'!$F$3:$K$3,0)),2)</f>
        <v>0</v>
      </c>
      <c r="W178" s="149">
        <f t="shared" si="20"/>
        <v>876821.52</v>
      </c>
      <c r="X178" s="148">
        <f>ROUND(W178*('Master Data'!$B$54),2)</f>
        <v>218942.33</v>
      </c>
      <c r="Y178" s="149">
        <f t="shared" si="26"/>
        <v>1095763.8500000001</v>
      </c>
      <c r="Z178" s="147">
        <f>52*INDEX('Master Data'!$C$75:$O$299,MATCH(A178,'Master Data'!$B$75:$B$299,0),MATCH($Z$1,'Master Data'!$C$74:$O$74,0))</f>
        <v>104</v>
      </c>
      <c r="AA178" s="148">
        <f>Z178*('Master Data'!$F$15)</f>
        <v>7841.6</v>
      </c>
      <c r="AB178" s="147">
        <f>52*INDEX('Master Data'!$C$75:$O$299,MATCH(A178,'Master Data'!$B$75:$B$299,0),MATCH($AB$1,'Master Data'!$C$74:$O$74,0))</f>
        <v>156</v>
      </c>
      <c r="AC178" s="148">
        <f>AB178*('Master Data'!$F$16)</f>
        <v>11281.919999999998</v>
      </c>
      <c r="AD178" s="149">
        <f t="shared" si="21"/>
        <v>19123.519999999997</v>
      </c>
      <c r="AE178" s="148">
        <f>INDEX('Master Data'!$D$58:$D$60,MATCH(D178,'Master Data'!$B$58:$B$60,0))</f>
        <v>24321.56</v>
      </c>
      <c r="AF178" s="148">
        <f>INDEX('Master Data'!$E$58:$E$60,MATCH(D178,'Master Data'!$B$58:$B$60,0))</f>
        <v>2233.8000000000002</v>
      </c>
      <c r="AG178" s="148">
        <f>INDEX('Master Data'!$F$58:$F$60,MATCH(D178,'Master Data'!$B$58:$B$60,0))</f>
        <v>6471.45</v>
      </c>
      <c r="AH178" s="149">
        <f t="shared" si="23"/>
        <v>1147914.1800000002</v>
      </c>
      <c r="AI178" s="148">
        <f>ROUND(AH178*('Master Data'!$C$54),2)</f>
        <v>137749.70000000001</v>
      </c>
      <c r="AJ178" s="148">
        <f>ROUND(SUM(AH178:AI178,AK178)*('Master Data'!$E$54),2)</f>
        <v>38517.26</v>
      </c>
      <c r="AK178" s="148">
        <f>ROUND(W178*('Master Data'!$F$54),2)</f>
        <v>0</v>
      </c>
      <c r="AL178" s="149">
        <f t="shared" si="24"/>
        <v>1324181.1400000001</v>
      </c>
      <c r="AM178" s="140">
        <f t="shared" si="25"/>
        <v>3816.08</v>
      </c>
      <c r="AN178" s="121"/>
      <c r="AO178" s="121"/>
      <c r="AP178" s="121"/>
      <c r="AQ178" s="121"/>
      <c r="AR178" s="121"/>
      <c r="AS178" s="121"/>
    </row>
    <row r="179" spans="1:45">
      <c r="A179" s="121" t="s">
        <v>312</v>
      </c>
      <c r="B179" s="121" t="str">
        <f t="shared" si="22"/>
        <v>2</v>
      </c>
      <c r="C179" s="121" t="str">
        <f t="shared" si="27"/>
        <v>Medical 2</v>
      </c>
      <c r="D179" s="121" t="str">
        <f>INDEX('Master Data'!$C$75:$C$299,MATCH(A179,'Master Data'!$B$75:$B$299,0))</f>
        <v>4+</v>
      </c>
      <c r="E179" s="147">
        <f>INDEX('Master Data'!$C$75:$O$299,MATCH(A179,'Master Data'!$B$75:$B$299,0),MATCH($E$1,'Master Data'!$C$74:$O$74,0))</f>
        <v>0.41</v>
      </c>
      <c r="F179" s="148">
        <f>ROUND(E179*INDEX('Master Data'!$F$4:$K$12,MATCH($E$1,'Master Data'!$E$4:$E$12,0),MATCH(C179,'Master Data'!$F$3:$K$3,0)),2)</f>
        <v>33409.629999999997</v>
      </c>
      <c r="G179" s="147">
        <f>INDEX('Master Data'!$C$75:$O$299,MATCH(A179,'Master Data'!$B$75:$B$299,0),MATCH($G$1,'Master Data'!$C$74:$O$74,0))</f>
        <v>1</v>
      </c>
      <c r="H179" s="148">
        <f>ROUND(G179*INDEX('Master Data'!$F$4:$K$12,MATCH($G$1,'Master Data'!$E$4:$E$12,0),MATCH(C179,'Master Data'!$F$3:$K$3,0)),2)</f>
        <v>56388.63</v>
      </c>
      <c r="I179" s="147">
        <f>INDEX('Master Data'!$C$75:$O$299,MATCH(A179,'Master Data'!$B$75:$B$299,0),MATCH($I$1,'Master Data'!$C$74:$O$74,0))</f>
        <v>10.6</v>
      </c>
      <c r="J179" s="148">
        <f>ROUND(I179*INDEX('Master Data'!$F$4:$K$12,MATCH($I$1,'Master Data'!$E$4:$E$12,0),MATCH(C179,'Master Data'!$F$3:$K$3,0)),2)</f>
        <v>639834.39</v>
      </c>
      <c r="K179" s="147">
        <f>INDEX('Master Data'!$C$75:$O$299,MATCH(A179,'Master Data'!$B$75:$B$299,0),MATCH($K$1,'Master Data'!$C$74:$O$74,0))</f>
        <v>1.4</v>
      </c>
      <c r="L179" s="148">
        <f>ROUND(K179*INDEX('Master Data'!$F$4:$K$12,MATCH($K$1,'Master Data'!$E$4:$E$12,0),MATCH(C179,'Master Data'!$F$3:$K$3,0)),2)</f>
        <v>65579.399999999994</v>
      </c>
      <c r="M179" s="147">
        <f>INDEX('Master Data'!$C$75:$O$299,MATCH(A179,'Master Data'!$B$75:$B$299,0),MATCH($M$1,'Master Data'!$C$74:$O$74,0))</f>
        <v>1.72</v>
      </c>
      <c r="N179" s="148">
        <f>ROUND(M179*INDEX('Master Data'!$F$4:$K$12,MATCH($M$1,'Master Data'!$E$4:$E$12,0),MATCH(C179,'Master Data'!$F$3:$K$3,0)),2)</f>
        <v>103822.18</v>
      </c>
      <c r="O179" s="147">
        <f>INDEX('Master Data'!$C$75:$O$299,MATCH(A179,'Master Data'!$B$75:$B$299,0),MATCH($O$1,'Master Data'!$C$74:$O$74,0))</f>
        <v>0.23</v>
      </c>
      <c r="P179" s="148">
        <f>ROUND(O179*INDEX('Master Data'!$F$4:$K$12,MATCH($O$1,'Master Data'!$E$4:$E$12,0),MATCH(C179,'Master Data'!$F$3:$K$3,0)),2)</f>
        <v>7176</v>
      </c>
      <c r="Q179" s="147">
        <f>INDEX('Master Data'!$C$75:$O$299,MATCH(A179,'Master Data'!$B$75:$B$299,0),MATCH($Q$1,'Master Data'!$C$74:$O$74,0))</f>
        <v>0.12</v>
      </c>
      <c r="R179" s="148">
        <f>ROUND(Q179*INDEX('Master Data'!$F$4:$K$12,MATCH($Q$1,'Master Data'!$E$4:$E$12,0),MATCH(C179,'Master Data'!$F$3:$K$3,0)),2)</f>
        <v>5621.09</v>
      </c>
      <c r="S179" s="147">
        <f>INDEX('Master Data'!$C$75:$O$299,MATCH(A179,'Master Data'!$B$75:$B$299,0),MATCH($S$1,'Master Data'!$C$74:$O$74,0))</f>
        <v>0</v>
      </c>
      <c r="T179" s="148">
        <f>ROUND(S179*INDEX('Master Data'!$F$4:$K$12,MATCH($S$1,'Master Data'!$E$4:$E$12,0),MATCH(C179,'Master Data'!$F$3:$K$3,0)),2)</f>
        <v>0</v>
      </c>
      <c r="U179" s="147">
        <f>INDEX('Master Data'!$C$75:$O$299,MATCH(A179,'Master Data'!$B$75:$B$299,0),MATCH($U$1,'Master Data'!$C$74:$O$74,0))</f>
        <v>0</v>
      </c>
      <c r="V179" s="148">
        <f>ROUND(U179*INDEX('Master Data'!$F$4:$K$12,MATCH($U$1,'Master Data'!$E$4:$E$12,0),MATCH(C179,'Master Data'!$F$3:$K$3,0)),2)</f>
        <v>0</v>
      </c>
      <c r="W179" s="149">
        <f t="shared" si="20"/>
        <v>911831.32</v>
      </c>
      <c r="X179" s="148">
        <f>ROUND(W179*('Master Data'!$B$54),2)</f>
        <v>227684.28</v>
      </c>
      <c r="Y179" s="149">
        <f t="shared" si="26"/>
        <v>1139515.5999999999</v>
      </c>
      <c r="Z179" s="147">
        <f>52*INDEX('Master Data'!$C$75:$O$299,MATCH(A179,'Master Data'!$B$75:$B$299,0),MATCH($Z$1,'Master Data'!$C$74:$O$74,0))</f>
        <v>104</v>
      </c>
      <c r="AA179" s="148">
        <f>Z179*('Master Data'!$F$15)</f>
        <v>7841.6</v>
      </c>
      <c r="AB179" s="147">
        <f>52*INDEX('Master Data'!$C$75:$O$299,MATCH(A179,'Master Data'!$B$75:$B$299,0),MATCH($AB$1,'Master Data'!$C$74:$O$74,0))</f>
        <v>156</v>
      </c>
      <c r="AC179" s="148">
        <f>AB179*('Master Data'!$F$16)</f>
        <v>11281.919999999998</v>
      </c>
      <c r="AD179" s="149">
        <f t="shared" si="21"/>
        <v>19123.519999999997</v>
      </c>
      <c r="AE179" s="148">
        <f>INDEX('Master Data'!$D$58:$D$60,MATCH(D179,'Master Data'!$B$58:$B$60,0))</f>
        <v>24321.56</v>
      </c>
      <c r="AF179" s="148">
        <f>INDEX('Master Data'!$E$58:$E$60,MATCH(D179,'Master Data'!$B$58:$B$60,0))</f>
        <v>2233.8000000000002</v>
      </c>
      <c r="AG179" s="148">
        <f>INDEX('Master Data'!$F$58:$F$60,MATCH(D179,'Master Data'!$B$58:$B$60,0))</f>
        <v>6471.45</v>
      </c>
      <c r="AH179" s="149">
        <f t="shared" si="23"/>
        <v>1191665.93</v>
      </c>
      <c r="AI179" s="148">
        <f>ROUND(AH179*('Master Data'!$C$54),2)</f>
        <v>142999.91</v>
      </c>
      <c r="AJ179" s="148">
        <f>ROUND(SUM(AH179:AI179,AK179)*('Master Data'!$E$54),2)</f>
        <v>39985.31</v>
      </c>
      <c r="AK179" s="148">
        <f>ROUND(W179*('Master Data'!$F$54),2)</f>
        <v>0</v>
      </c>
      <c r="AL179" s="149">
        <f t="shared" si="24"/>
        <v>1374651.15</v>
      </c>
      <c r="AM179" s="140">
        <f t="shared" si="25"/>
        <v>3961.53</v>
      </c>
      <c r="AN179" s="121"/>
      <c r="AO179" s="121"/>
      <c r="AP179" s="121"/>
      <c r="AQ179" s="121"/>
      <c r="AR179" s="121"/>
      <c r="AS179" s="121"/>
    </row>
    <row r="180" spans="1:45">
      <c r="A180" s="121" t="s">
        <v>313</v>
      </c>
      <c r="B180" s="121" t="str">
        <f t="shared" si="22"/>
        <v>2</v>
      </c>
      <c r="C180" s="121" t="str">
        <f t="shared" si="27"/>
        <v>Medical 2</v>
      </c>
      <c r="D180" s="121" t="str">
        <f>INDEX('Master Data'!$C$75:$C$299,MATCH(A180,'Master Data'!$B$75:$B$299,0))</f>
        <v>4+</v>
      </c>
      <c r="E180" s="147">
        <f>INDEX('Master Data'!$C$75:$O$299,MATCH(A180,'Master Data'!$B$75:$B$299,0),MATCH($E$1,'Master Data'!$C$74:$O$74,0))</f>
        <v>0.41</v>
      </c>
      <c r="F180" s="148">
        <f>ROUND(E180*INDEX('Master Data'!$F$4:$K$12,MATCH($E$1,'Master Data'!$E$4:$E$12,0),MATCH(C180,'Master Data'!$F$3:$K$3,0)),2)</f>
        <v>33409.629999999997</v>
      </c>
      <c r="G180" s="147">
        <f>INDEX('Master Data'!$C$75:$O$299,MATCH(A180,'Master Data'!$B$75:$B$299,0),MATCH($G$1,'Master Data'!$C$74:$O$74,0))</f>
        <v>1</v>
      </c>
      <c r="H180" s="148">
        <f>ROUND(G180*INDEX('Master Data'!$F$4:$K$12,MATCH($G$1,'Master Data'!$E$4:$E$12,0),MATCH(C180,'Master Data'!$F$3:$K$3,0)),2)</f>
        <v>56388.63</v>
      </c>
      <c r="I180" s="147">
        <f>INDEX('Master Data'!$C$75:$O$299,MATCH(A180,'Master Data'!$B$75:$B$299,0),MATCH($I$1,'Master Data'!$C$74:$O$74,0))</f>
        <v>11.1</v>
      </c>
      <c r="J180" s="148">
        <f>ROUND(I180*INDEX('Master Data'!$F$4:$K$12,MATCH($I$1,'Master Data'!$E$4:$E$12,0),MATCH(C180,'Master Data'!$F$3:$K$3,0)),2)</f>
        <v>670015.26</v>
      </c>
      <c r="K180" s="147">
        <f>INDEX('Master Data'!$C$75:$O$299,MATCH(A180,'Master Data'!$B$75:$B$299,0),MATCH($K$1,'Master Data'!$C$74:$O$74,0))</f>
        <v>1.4</v>
      </c>
      <c r="L180" s="148">
        <f>ROUND(K180*INDEX('Master Data'!$F$4:$K$12,MATCH($K$1,'Master Data'!$E$4:$E$12,0),MATCH(C180,'Master Data'!$F$3:$K$3,0)),2)</f>
        <v>65579.399999999994</v>
      </c>
      <c r="M180" s="147">
        <f>INDEX('Master Data'!$C$75:$O$299,MATCH(A180,'Master Data'!$B$75:$B$299,0),MATCH($M$1,'Master Data'!$C$74:$O$74,0))</f>
        <v>1.8</v>
      </c>
      <c r="N180" s="148">
        <f>ROUND(M180*INDEX('Master Data'!$F$4:$K$12,MATCH($M$1,'Master Data'!$E$4:$E$12,0),MATCH(C180,'Master Data'!$F$3:$K$3,0)),2)</f>
        <v>108651.12</v>
      </c>
      <c r="O180" s="147">
        <f>INDEX('Master Data'!$C$75:$O$299,MATCH(A180,'Master Data'!$B$75:$B$299,0),MATCH($O$1,'Master Data'!$C$74:$O$74,0))</f>
        <v>0.23</v>
      </c>
      <c r="P180" s="148">
        <f>ROUND(O180*INDEX('Master Data'!$F$4:$K$12,MATCH($O$1,'Master Data'!$E$4:$E$12,0),MATCH(C180,'Master Data'!$F$3:$K$3,0)),2)</f>
        <v>7176</v>
      </c>
      <c r="Q180" s="147">
        <f>INDEX('Master Data'!$C$75:$O$299,MATCH(A180,'Master Data'!$B$75:$B$299,0),MATCH($Q$1,'Master Data'!$C$74:$O$74,0))</f>
        <v>0.12</v>
      </c>
      <c r="R180" s="148">
        <f>ROUND(Q180*INDEX('Master Data'!$F$4:$K$12,MATCH($Q$1,'Master Data'!$E$4:$E$12,0),MATCH(C180,'Master Data'!$F$3:$K$3,0)),2)</f>
        <v>5621.09</v>
      </c>
      <c r="S180" s="147">
        <f>INDEX('Master Data'!$C$75:$O$299,MATCH(A180,'Master Data'!$B$75:$B$299,0),MATCH($S$1,'Master Data'!$C$74:$O$74,0))</f>
        <v>0</v>
      </c>
      <c r="T180" s="148">
        <f>ROUND(S180*INDEX('Master Data'!$F$4:$K$12,MATCH($S$1,'Master Data'!$E$4:$E$12,0),MATCH(C180,'Master Data'!$F$3:$K$3,0)),2)</f>
        <v>0</v>
      </c>
      <c r="U180" s="147">
        <f>INDEX('Master Data'!$C$75:$O$299,MATCH(A180,'Master Data'!$B$75:$B$299,0),MATCH($U$1,'Master Data'!$C$74:$O$74,0))</f>
        <v>0</v>
      </c>
      <c r="V180" s="148">
        <f>ROUND(U180*INDEX('Master Data'!$F$4:$K$12,MATCH($U$1,'Master Data'!$E$4:$E$12,0),MATCH(C180,'Master Data'!$F$3:$K$3,0)),2)</f>
        <v>0</v>
      </c>
      <c r="W180" s="149">
        <f t="shared" si="20"/>
        <v>946841.13</v>
      </c>
      <c r="X180" s="148">
        <f>ROUND(W180*('Master Data'!$B$54),2)</f>
        <v>236426.23</v>
      </c>
      <c r="Y180" s="149">
        <f t="shared" si="26"/>
        <v>1183267.3600000001</v>
      </c>
      <c r="Z180" s="147">
        <f>52*INDEX('Master Data'!$C$75:$O$299,MATCH(A180,'Master Data'!$B$75:$B$299,0),MATCH($Z$1,'Master Data'!$C$74:$O$74,0))</f>
        <v>104</v>
      </c>
      <c r="AA180" s="148">
        <f>Z180*('Master Data'!$F$15)</f>
        <v>7841.6</v>
      </c>
      <c r="AB180" s="147">
        <f>52*INDEX('Master Data'!$C$75:$O$299,MATCH(A180,'Master Data'!$B$75:$B$299,0),MATCH($AB$1,'Master Data'!$C$74:$O$74,0))</f>
        <v>156</v>
      </c>
      <c r="AC180" s="148">
        <f>AB180*('Master Data'!$F$16)</f>
        <v>11281.919999999998</v>
      </c>
      <c r="AD180" s="149">
        <f t="shared" si="21"/>
        <v>19123.519999999997</v>
      </c>
      <c r="AE180" s="148">
        <f>INDEX('Master Data'!$D$58:$D$60,MATCH(D180,'Master Data'!$B$58:$B$60,0))</f>
        <v>24321.56</v>
      </c>
      <c r="AF180" s="148">
        <f>INDEX('Master Data'!$E$58:$E$60,MATCH(D180,'Master Data'!$B$58:$B$60,0))</f>
        <v>2233.8000000000002</v>
      </c>
      <c r="AG180" s="148">
        <f>INDEX('Master Data'!$F$58:$F$60,MATCH(D180,'Master Data'!$B$58:$B$60,0))</f>
        <v>6471.45</v>
      </c>
      <c r="AH180" s="149">
        <f t="shared" si="23"/>
        <v>1235417.6900000002</v>
      </c>
      <c r="AI180" s="148">
        <f>ROUND(AH180*('Master Data'!$C$54),2)</f>
        <v>148250.12</v>
      </c>
      <c r="AJ180" s="148">
        <f>ROUND(SUM(AH180:AI180,AK180)*('Master Data'!$E$54),2)</f>
        <v>41453.360000000001</v>
      </c>
      <c r="AK180" s="148">
        <f>ROUND(W180*('Master Data'!$F$54),2)</f>
        <v>0</v>
      </c>
      <c r="AL180" s="149">
        <f t="shared" si="24"/>
        <v>1425121.1700000002</v>
      </c>
      <c r="AM180" s="140">
        <f t="shared" si="25"/>
        <v>4106.9799999999996</v>
      </c>
      <c r="AN180" s="121"/>
      <c r="AO180" s="121"/>
      <c r="AP180" s="121"/>
      <c r="AQ180" s="121"/>
      <c r="AR180" s="121"/>
      <c r="AS180" s="121"/>
    </row>
    <row r="181" spans="1:45">
      <c r="A181" s="121" t="s">
        <v>314</v>
      </c>
      <c r="B181" s="121" t="str">
        <f t="shared" si="22"/>
        <v>2</v>
      </c>
      <c r="C181" s="121" t="str">
        <f t="shared" si="27"/>
        <v>Medical 2</v>
      </c>
      <c r="D181" s="121" t="str">
        <f>INDEX('Master Data'!$C$75:$C$299,MATCH(A181,'Master Data'!$B$75:$B$299,0))</f>
        <v>4+</v>
      </c>
      <c r="E181" s="147">
        <f>INDEX('Master Data'!$C$75:$O$299,MATCH(A181,'Master Data'!$B$75:$B$299,0),MATCH($E$1,'Master Data'!$C$74:$O$74,0))</f>
        <v>0.41</v>
      </c>
      <c r="F181" s="148">
        <f>ROUND(E181*INDEX('Master Data'!$F$4:$K$12,MATCH($E$1,'Master Data'!$E$4:$E$12,0),MATCH(C181,'Master Data'!$F$3:$K$3,0)),2)</f>
        <v>33409.629999999997</v>
      </c>
      <c r="G181" s="147">
        <f>INDEX('Master Data'!$C$75:$O$299,MATCH(A181,'Master Data'!$B$75:$B$299,0),MATCH($G$1,'Master Data'!$C$74:$O$74,0))</f>
        <v>1</v>
      </c>
      <c r="H181" s="148">
        <f>ROUND(G181*INDEX('Master Data'!$F$4:$K$12,MATCH($G$1,'Master Data'!$E$4:$E$12,0),MATCH(C181,'Master Data'!$F$3:$K$3,0)),2)</f>
        <v>56388.63</v>
      </c>
      <c r="I181" s="147">
        <f>INDEX('Master Data'!$C$75:$O$299,MATCH(A181,'Master Data'!$B$75:$B$299,0),MATCH($I$1,'Master Data'!$C$74:$O$74,0))</f>
        <v>11.6</v>
      </c>
      <c r="J181" s="148">
        <f>ROUND(I181*INDEX('Master Data'!$F$4:$K$12,MATCH($I$1,'Master Data'!$E$4:$E$12,0),MATCH(C181,'Master Data'!$F$3:$K$3,0)),2)</f>
        <v>700196.13</v>
      </c>
      <c r="K181" s="147">
        <f>INDEX('Master Data'!$C$75:$O$299,MATCH(A181,'Master Data'!$B$75:$B$299,0),MATCH($K$1,'Master Data'!$C$74:$O$74,0))</f>
        <v>1.4</v>
      </c>
      <c r="L181" s="148">
        <f>ROUND(K181*INDEX('Master Data'!$F$4:$K$12,MATCH($K$1,'Master Data'!$E$4:$E$12,0),MATCH(C181,'Master Data'!$F$3:$K$3,0)),2)</f>
        <v>65579.399999999994</v>
      </c>
      <c r="M181" s="147">
        <f>INDEX('Master Data'!$C$75:$O$299,MATCH(A181,'Master Data'!$B$75:$B$299,0),MATCH($M$1,'Master Data'!$C$74:$O$74,0))</f>
        <v>1.88</v>
      </c>
      <c r="N181" s="148">
        <f>ROUND(M181*INDEX('Master Data'!$F$4:$K$12,MATCH($M$1,'Master Data'!$E$4:$E$12,0),MATCH(C181,'Master Data'!$F$3:$K$3,0)),2)</f>
        <v>113480.06</v>
      </c>
      <c r="O181" s="147">
        <f>INDEX('Master Data'!$C$75:$O$299,MATCH(A181,'Master Data'!$B$75:$B$299,0),MATCH($O$1,'Master Data'!$C$74:$O$74,0))</f>
        <v>0.23</v>
      </c>
      <c r="P181" s="148">
        <f>ROUND(O181*INDEX('Master Data'!$F$4:$K$12,MATCH($O$1,'Master Data'!$E$4:$E$12,0),MATCH(C181,'Master Data'!$F$3:$K$3,0)),2)</f>
        <v>7176</v>
      </c>
      <c r="Q181" s="147">
        <f>INDEX('Master Data'!$C$75:$O$299,MATCH(A181,'Master Data'!$B$75:$B$299,0),MATCH($Q$1,'Master Data'!$C$74:$O$74,0))</f>
        <v>0.12</v>
      </c>
      <c r="R181" s="148">
        <f>ROUND(Q181*INDEX('Master Data'!$F$4:$K$12,MATCH($Q$1,'Master Data'!$E$4:$E$12,0),MATCH(C181,'Master Data'!$F$3:$K$3,0)),2)</f>
        <v>5621.09</v>
      </c>
      <c r="S181" s="147">
        <f>INDEX('Master Data'!$C$75:$O$299,MATCH(A181,'Master Data'!$B$75:$B$299,0),MATCH($S$1,'Master Data'!$C$74:$O$74,0))</f>
        <v>0</v>
      </c>
      <c r="T181" s="148">
        <f>ROUND(S181*INDEX('Master Data'!$F$4:$K$12,MATCH($S$1,'Master Data'!$E$4:$E$12,0),MATCH(C181,'Master Data'!$F$3:$K$3,0)),2)</f>
        <v>0</v>
      </c>
      <c r="U181" s="147">
        <f>INDEX('Master Data'!$C$75:$O$299,MATCH(A181,'Master Data'!$B$75:$B$299,0),MATCH($U$1,'Master Data'!$C$74:$O$74,0))</f>
        <v>0</v>
      </c>
      <c r="V181" s="148">
        <f>ROUND(U181*INDEX('Master Data'!$F$4:$K$12,MATCH($U$1,'Master Data'!$E$4:$E$12,0),MATCH(C181,'Master Data'!$F$3:$K$3,0)),2)</f>
        <v>0</v>
      </c>
      <c r="W181" s="149">
        <f t="shared" si="20"/>
        <v>981850.94000000006</v>
      </c>
      <c r="X181" s="148">
        <f>ROUND(W181*('Master Data'!$B$54),2)</f>
        <v>245168.18</v>
      </c>
      <c r="Y181" s="149">
        <f t="shared" si="26"/>
        <v>1227019.1200000001</v>
      </c>
      <c r="Z181" s="147">
        <f>52*INDEX('Master Data'!$C$75:$O$299,MATCH(A181,'Master Data'!$B$75:$B$299,0),MATCH($Z$1,'Master Data'!$C$74:$O$74,0))</f>
        <v>104</v>
      </c>
      <c r="AA181" s="148">
        <f>Z181*('Master Data'!$F$15)</f>
        <v>7841.6</v>
      </c>
      <c r="AB181" s="147">
        <f>52*INDEX('Master Data'!$C$75:$O$299,MATCH(A181,'Master Data'!$B$75:$B$299,0),MATCH($AB$1,'Master Data'!$C$74:$O$74,0))</f>
        <v>156</v>
      </c>
      <c r="AC181" s="148">
        <f>AB181*('Master Data'!$F$16)</f>
        <v>11281.919999999998</v>
      </c>
      <c r="AD181" s="149">
        <f t="shared" si="21"/>
        <v>19123.519999999997</v>
      </c>
      <c r="AE181" s="148">
        <f>INDEX('Master Data'!$D$58:$D$60,MATCH(D181,'Master Data'!$B$58:$B$60,0))</f>
        <v>24321.56</v>
      </c>
      <c r="AF181" s="148">
        <f>INDEX('Master Data'!$E$58:$E$60,MATCH(D181,'Master Data'!$B$58:$B$60,0))</f>
        <v>2233.8000000000002</v>
      </c>
      <c r="AG181" s="148">
        <f>INDEX('Master Data'!$F$58:$F$60,MATCH(D181,'Master Data'!$B$58:$B$60,0))</f>
        <v>6471.45</v>
      </c>
      <c r="AH181" s="149">
        <f t="shared" si="23"/>
        <v>1279169.4500000002</v>
      </c>
      <c r="AI181" s="148">
        <f>ROUND(AH181*('Master Data'!$C$54),2)</f>
        <v>153500.32999999999</v>
      </c>
      <c r="AJ181" s="148">
        <f>ROUND(SUM(AH181:AI181,AK181)*('Master Data'!$E$54),2)</f>
        <v>42921.41</v>
      </c>
      <c r="AK181" s="148">
        <f>ROUND(W181*('Master Data'!$F$54),2)</f>
        <v>0</v>
      </c>
      <c r="AL181" s="149">
        <f t="shared" si="24"/>
        <v>1475591.1900000002</v>
      </c>
      <c r="AM181" s="140">
        <f t="shared" si="25"/>
        <v>4252.42</v>
      </c>
      <c r="AN181" s="121"/>
      <c r="AO181" s="121"/>
      <c r="AP181" s="121"/>
      <c r="AQ181" s="121"/>
      <c r="AR181" s="121"/>
      <c r="AS181" s="121"/>
    </row>
    <row r="182" spans="1:45">
      <c r="A182" s="121" t="s">
        <v>315</v>
      </c>
      <c r="B182" s="121" t="str">
        <f t="shared" si="22"/>
        <v>2</v>
      </c>
      <c r="C182" s="121" t="str">
        <f t="shared" si="27"/>
        <v>Medical 2</v>
      </c>
      <c r="D182" s="121" t="str">
        <f>INDEX('Master Data'!$C$75:$C$299,MATCH(A182,'Master Data'!$B$75:$B$299,0))</f>
        <v>4+</v>
      </c>
      <c r="E182" s="147">
        <f>INDEX('Master Data'!$C$75:$O$299,MATCH(A182,'Master Data'!$B$75:$B$299,0),MATCH($E$1,'Master Data'!$C$74:$O$74,0))</f>
        <v>0.41</v>
      </c>
      <c r="F182" s="148">
        <f>ROUND(E182*INDEX('Master Data'!$F$4:$K$12,MATCH($E$1,'Master Data'!$E$4:$E$12,0),MATCH(C182,'Master Data'!$F$3:$K$3,0)),2)</f>
        <v>33409.629999999997</v>
      </c>
      <c r="G182" s="147">
        <f>INDEX('Master Data'!$C$75:$O$299,MATCH(A182,'Master Data'!$B$75:$B$299,0),MATCH($G$1,'Master Data'!$C$74:$O$74,0))</f>
        <v>1</v>
      </c>
      <c r="H182" s="148">
        <f>ROUND(G182*INDEX('Master Data'!$F$4:$K$12,MATCH($G$1,'Master Data'!$E$4:$E$12,0),MATCH(C182,'Master Data'!$F$3:$K$3,0)),2)</f>
        <v>56388.63</v>
      </c>
      <c r="I182" s="147">
        <f>INDEX('Master Data'!$C$75:$O$299,MATCH(A182,'Master Data'!$B$75:$B$299,0),MATCH($I$1,'Master Data'!$C$74:$O$74,0))</f>
        <v>12.1</v>
      </c>
      <c r="J182" s="148">
        <f>ROUND(I182*INDEX('Master Data'!$F$4:$K$12,MATCH($I$1,'Master Data'!$E$4:$E$12,0),MATCH(C182,'Master Data'!$F$3:$K$3,0)),2)</f>
        <v>730376.99</v>
      </c>
      <c r="K182" s="147">
        <f>INDEX('Master Data'!$C$75:$O$299,MATCH(A182,'Master Data'!$B$75:$B$299,0),MATCH($K$1,'Master Data'!$C$74:$O$74,0))</f>
        <v>1.4</v>
      </c>
      <c r="L182" s="148">
        <f>ROUND(K182*INDEX('Master Data'!$F$4:$K$12,MATCH($K$1,'Master Data'!$E$4:$E$12,0),MATCH(C182,'Master Data'!$F$3:$K$3,0)),2)</f>
        <v>65579.399999999994</v>
      </c>
      <c r="M182" s="147">
        <f>INDEX('Master Data'!$C$75:$O$299,MATCH(A182,'Master Data'!$B$75:$B$299,0),MATCH($M$1,'Master Data'!$C$74:$O$74,0))</f>
        <v>1.96</v>
      </c>
      <c r="N182" s="148">
        <f>ROUND(M182*INDEX('Master Data'!$F$4:$K$12,MATCH($M$1,'Master Data'!$E$4:$E$12,0),MATCH(C182,'Master Data'!$F$3:$K$3,0)),2)</f>
        <v>118309</v>
      </c>
      <c r="O182" s="147">
        <f>INDEX('Master Data'!$C$75:$O$299,MATCH(A182,'Master Data'!$B$75:$B$299,0),MATCH($O$1,'Master Data'!$C$74:$O$74,0))</f>
        <v>0.23</v>
      </c>
      <c r="P182" s="148">
        <f>ROUND(O182*INDEX('Master Data'!$F$4:$K$12,MATCH($O$1,'Master Data'!$E$4:$E$12,0),MATCH(C182,'Master Data'!$F$3:$K$3,0)),2)</f>
        <v>7176</v>
      </c>
      <c r="Q182" s="147">
        <f>INDEX('Master Data'!$C$75:$O$299,MATCH(A182,'Master Data'!$B$75:$B$299,0),MATCH($Q$1,'Master Data'!$C$74:$O$74,0))</f>
        <v>0.12</v>
      </c>
      <c r="R182" s="148">
        <f>ROUND(Q182*INDEX('Master Data'!$F$4:$K$12,MATCH($Q$1,'Master Data'!$E$4:$E$12,0),MATCH(C182,'Master Data'!$F$3:$K$3,0)),2)</f>
        <v>5621.09</v>
      </c>
      <c r="S182" s="147">
        <f>INDEX('Master Data'!$C$75:$O$299,MATCH(A182,'Master Data'!$B$75:$B$299,0),MATCH($S$1,'Master Data'!$C$74:$O$74,0))</f>
        <v>0</v>
      </c>
      <c r="T182" s="148">
        <f>ROUND(S182*INDEX('Master Data'!$F$4:$K$12,MATCH($S$1,'Master Data'!$E$4:$E$12,0),MATCH(C182,'Master Data'!$F$3:$K$3,0)),2)</f>
        <v>0</v>
      </c>
      <c r="U182" s="147">
        <f>INDEX('Master Data'!$C$75:$O$299,MATCH(A182,'Master Data'!$B$75:$B$299,0),MATCH($U$1,'Master Data'!$C$74:$O$74,0))</f>
        <v>0</v>
      </c>
      <c r="V182" s="148">
        <f>ROUND(U182*INDEX('Master Data'!$F$4:$K$12,MATCH($U$1,'Master Data'!$E$4:$E$12,0),MATCH(C182,'Master Data'!$F$3:$K$3,0)),2)</f>
        <v>0</v>
      </c>
      <c r="W182" s="149">
        <f t="shared" si="20"/>
        <v>1016860.74</v>
      </c>
      <c r="X182" s="148">
        <f>ROUND(W182*('Master Data'!$B$54),2)</f>
        <v>253910.13</v>
      </c>
      <c r="Y182" s="149">
        <f t="shared" si="26"/>
        <v>1270770.8700000001</v>
      </c>
      <c r="Z182" s="147">
        <f>52*INDEX('Master Data'!$C$75:$O$299,MATCH(A182,'Master Data'!$B$75:$B$299,0),MATCH($Z$1,'Master Data'!$C$74:$O$74,0))</f>
        <v>104</v>
      </c>
      <c r="AA182" s="148">
        <f>Z182*('Master Data'!$F$15)</f>
        <v>7841.6</v>
      </c>
      <c r="AB182" s="147">
        <f>52*INDEX('Master Data'!$C$75:$O$299,MATCH(A182,'Master Data'!$B$75:$B$299,0),MATCH($AB$1,'Master Data'!$C$74:$O$74,0))</f>
        <v>156</v>
      </c>
      <c r="AC182" s="148">
        <f>AB182*('Master Data'!$F$16)</f>
        <v>11281.919999999998</v>
      </c>
      <c r="AD182" s="149">
        <f t="shared" si="21"/>
        <v>19123.519999999997</v>
      </c>
      <c r="AE182" s="148">
        <f>INDEX('Master Data'!$D$58:$D$60,MATCH(D182,'Master Data'!$B$58:$B$60,0))</f>
        <v>24321.56</v>
      </c>
      <c r="AF182" s="148">
        <f>INDEX('Master Data'!$E$58:$E$60,MATCH(D182,'Master Data'!$B$58:$B$60,0))</f>
        <v>2233.8000000000002</v>
      </c>
      <c r="AG182" s="148">
        <f>INDEX('Master Data'!$F$58:$F$60,MATCH(D182,'Master Data'!$B$58:$B$60,0))</f>
        <v>6471.45</v>
      </c>
      <c r="AH182" s="149">
        <f t="shared" si="23"/>
        <v>1322921.2000000002</v>
      </c>
      <c r="AI182" s="148">
        <f>ROUND(AH182*('Master Data'!$C$54),2)</f>
        <v>158750.54</v>
      </c>
      <c r="AJ182" s="148">
        <f>ROUND(SUM(AH182:AI182,AK182)*('Master Data'!$E$54),2)</f>
        <v>44389.46</v>
      </c>
      <c r="AK182" s="148">
        <f>ROUND(W182*('Master Data'!$F$54),2)</f>
        <v>0</v>
      </c>
      <c r="AL182" s="149">
        <f t="shared" si="24"/>
        <v>1526061.2000000002</v>
      </c>
      <c r="AM182" s="140">
        <f t="shared" si="25"/>
        <v>4397.87</v>
      </c>
      <c r="AN182" s="121"/>
      <c r="AO182" s="121"/>
      <c r="AP182" s="121"/>
      <c r="AQ182" s="121"/>
      <c r="AR182" s="121"/>
      <c r="AS182" s="121"/>
    </row>
    <row r="183" spans="1:45">
      <c r="A183" s="121" t="s">
        <v>316</v>
      </c>
      <c r="B183" s="121" t="str">
        <f t="shared" si="22"/>
        <v>2</v>
      </c>
      <c r="C183" s="121" t="str">
        <f t="shared" si="27"/>
        <v>Medical 2</v>
      </c>
      <c r="D183" s="121" t="str">
        <f>INDEX('Master Data'!$C$75:$C$299,MATCH(A183,'Master Data'!$B$75:$B$299,0))</f>
        <v>4+</v>
      </c>
      <c r="E183" s="147">
        <f>INDEX('Master Data'!$C$75:$O$299,MATCH(A183,'Master Data'!$B$75:$B$299,0),MATCH($E$1,'Master Data'!$C$74:$O$74,0))</f>
        <v>0.41</v>
      </c>
      <c r="F183" s="148">
        <f>ROUND(E183*INDEX('Master Data'!$F$4:$K$12,MATCH($E$1,'Master Data'!$E$4:$E$12,0),MATCH(C183,'Master Data'!$F$3:$K$3,0)),2)</f>
        <v>33409.629999999997</v>
      </c>
      <c r="G183" s="147">
        <f>INDEX('Master Data'!$C$75:$O$299,MATCH(A183,'Master Data'!$B$75:$B$299,0),MATCH($G$1,'Master Data'!$C$74:$O$74,0))</f>
        <v>1</v>
      </c>
      <c r="H183" s="148">
        <f>ROUND(G183*INDEX('Master Data'!$F$4:$K$12,MATCH($G$1,'Master Data'!$E$4:$E$12,0),MATCH(C183,'Master Data'!$F$3:$K$3,0)),2)</f>
        <v>56388.63</v>
      </c>
      <c r="I183" s="147">
        <f>INDEX('Master Data'!$C$75:$O$299,MATCH(A183,'Master Data'!$B$75:$B$299,0),MATCH($I$1,'Master Data'!$C$74:$O$74,0))</f>
        <v>12.6</v>
      </c>
      <c r="J183" s="148">
        <f>ROUND(I183*INDEX('Master Data'!$F$4:$K$12,MATCH($I$1,'Master Data'!$E$4:$E$12,0),MATCH(C183,'Master Data'!$F$3:$K$3,0)),2)</f>
        <v>760557.86</v>
      </c>
      <c r="K183" s="147">
        <f>INDEX('Master Data'!$C$75:$O$299,MATCH(A183,'Master Data'!$B$75:$B$299,0),MATCH($K$1,'Master Data'!$C$74:$O$74,0))</f>
        <v>1.4</v>
      </c>
      <c r="L183" s="148">
        <f>ROUND(K183*INDEX('Master Data'!$F$4:$K$12,MATCH($K$1,'Master Data'!$E$4:$E$12,0),MATCH(C183,'Master Data'!$F$3:$K$3,0)),2)</f>
        <v>65579.399999999994</v>
      </c>
      <c r="M183" s="147">
        <f>INDEX('Master Data'!$C$75:$O$299,MATCH(A183,'Master Data'!$B$75:$B$299,0),MATCH($M$1,'Master Data'!$C$74:$O$74,0))</f>
        <v>2.04</v>
      </c>
      <c r="N183" s="148">
        <f>ROUND(M183*INDEX('Master Data'!$F$4:$K$12,MATCH($M$1,'Master Data'!$E$4:$E$12,0),MATCH(C183,'Master Data'!$F$3:$K$3,0)),2)</f>
        <v>123137.94</v>
      </c>
      <c r="O183" s="147">
        <f>INDEX('Master Data'!$C$75:$O$299,MATCH(A183,'Master Data'!$B$75:$B$299,0),MATCH($O$1,'Master Data'!$C$74:$O$74,0))</f>
        <v>0.23</v>
      </c>
      <c r="P183" s="148">
        <f>ROUND(O183*INDEX('Master Data'!$F$4:$K$12,MATCH($O$1,'Master Data'!$E$4:$E$12,0),MATCH(C183,'Master Data'!$F$3:$K$3,0)),2)</f>
        <v>7176</v>
      </c>
      <c r="Q183" s="147">
        <f>INDEX('Master Data'!$C$75:$O$299,MATCH(A183,'Master Data'!$B$75:$B$299,0),MATCH($Q$1,'Master Data'!$C$74:$O$74,0))</f>
        <v>0.12</v>
      </c>
      <c r="R183" s="148">
        <f>ROUND(Q183*INDEX('Master Data'!$F$4:$K$12,MATCH($Q$1,'Master Data'!$E$4:$E$12,0),MATCH(C183,'Master Data'!$F$3:$K$3,0)),2)</f>
        <v>5621.09</v>
      </c>
      <c r="S183" s="147">
        <f>INDEX('Master Data'!$C$75:$O$299,MATCH(A183,'Master Data'!$B$75:$B$299,0),MATCH($S$1,'Master Data'!$C$74:$O$74,0))</f>
        <v>0</v>
      </c>
      <c r="T183" s="148">
        <f>ROUND(S183*INDEX('Master Data'!$F$4:$K$12,MATCH($S$1,'Master Data'!$E$4:$E$12,0),MATCH(C183,'Master Data'!$F$3:$K$3,0)),2)</f>
        <v>0</v>
      </c>
      <c r="U183" s="147">
        <f>INDEX('Master Data'!$C$75:$O$299,MATCH(A183,'Master Data'!$B$75:$B$299,0),MATCH($U$1,'Master Data'!$C$74:$O$74,0))</f>
        <v>0</v>
      </c>
      <c r="V183" s="148">
        <f>ROUND(U183*INDEX('Master Data'!$F$4:$K$12,MATCH($U$1,'Master Data'!$E$4:$E$12,0),MATCH(C183,'Master Data'!$F$3:$K$3,0)),2)</f>
        <v>0</v>
      </c>
      <c r="W183" s="149">
        <f t="shared" si="20"/>
        <v>1051870.55</v>
      </c>
      <c r="X183" s="148">
        <f>ROUND(W183*('Master Data'!$B$54),2)</f>
        <v>262652.08</v>
      </c>
      <c r="Y183" s="149">
        <f t="shared" si="26"/>
        <v>1314522.6300000001</v>
      </c>
      <c r="Z183" s="147">
        <f>52*INDEX('Master Data'!$C$75:$O$299,MATCH(A183,'Master Data'!$B$75:$B$299,0),MATCH($Z$1,'Master Data'!$C$74:$O$74,0))</f>
        <v>104</v>
      </c>
      <c r="AA183" s="148">
        <f>Z183*('Master Data'!$F$15)</f>
        <v>7841.6</v>
      </c>
      <c r="AB183" s="147">
        <f>52*INDEX('Master Data'!$C$75:$O$299,MATCH(A183,'Master Data'!$B$75:$B$299,0),MATCH($AB$1,'Master Data'!$C$74:$O$74,0))</f>
        <v>156</v>
      </c>
      <c r="AC183" s="148">
        <f>AB183*('Master Data'!$F$16)</f>
        <v>11281.919999999998</v>
      </c>
      <c r="AD183" s="149">
        <f t="shared" si="21"/>
        <v>19123.519999999997</v>
      </c>
      <c r="AE183" s="148">
        <f>INDEX('Master Data'!$D$58:$D$60,MATCH(D183,'Master Data'!$B$58:$B$60,0))</f>
        <v>24321.56</v>
      </c>
      <c r="AF183" s="148">
        <f>INDEX('Master Data'!$E$58:$E$60,MATCH(D183,'Master Data'!$B$58:$B$60,0))</f>
        <v>2233.8000000000002</v>
      </c>
      <c r="AG183" s="148">
        <f>INDEX('Master Data'!$F$58:$F$60,MATCH(D183,'Master Data'!$B$58:$B$60,0))</f>
        <v>6471.45</v>
      </c>
      <c r="AH183" s="149">
        <f t="shared" si="23"/>
        <v>1366672.9600000002</v>
      </c>
      <c r="AI183" s="148">
        <f>ROUND(AH183*('Master Data'!$C$54),2)</f>
        <v>164000.76</v>
      </c>
      <c r="AJ183" s="148">
        <f>ROUND(SUM(AH183:AI183,AK183)*('Master Data'!$E$54),2)</f>
        <v>45857.52</v>
      </c>
      <c r="AK183" s="148">
        <f>ROUND(W183*('Master Data'!$F$54),2)</f>
        <v>0</v>
      </c>
      <c r="AL183" s="149">
        <f t="shared" si="24"/>
        <v>1576531.2400000002</v>
      </c>
      <c r="AM183" s="140">
        <f t="shared" si="25"/>
        <v>4543.32</v>
      </c>
      <c r="AN183" s="121"/>
      <c r="AO183" s="121"/>
      <c r="AP183" s="121"/>
      <c r="AQ183" s="121"/>
      <c r="AR183" s="121"/>
      <c r="AS183" s="121"/>
    </row>
    <row r="184" spans="1:45">
      <c r="A184" s="121" t="s">
        <v>317</v>
      </c>
      <c r="B184" s="121" t="str">
        <f t="shared" si="22"/>
        <v>2</v>
      </c>
      <c r="C184" s="121" t="str">
        <f t="shared" si="27"/>
        <v>Medical 2</v>
      </c>
      <c r="D184" s="121" t="str">
        <f>INDEX('Master Data'!$C$75:$C$299,MATCH(A184,'Master Data'!$B$75:$B$299,0))</f>
        <v>4+</v>
      </c>
      <c r="E184" s="147">
        <f>INDEX('Master Data'!$C$75:$O$299,MATCH(A184,'Master Data'!$B$75:$B$299,0),MATCH($E$1,'Master Data'!$C$74:$O$74,0))</f>
        <v>0.41</v>
      </c>
      <c r="F184" s="148">
        <f>ROUND(E184*INDEX('Master Data'!$F$4:$K$12,MATCH($E$1,'Master Data'!$E$4:$E$12,0),MATCH(C184,'Master Data'!$F$3:$K$3,0)),2)</f>
        <v>33409.629999999997</v>
      </c>
      <c r="G184" s="147">
        <f>INDEX('Master Data'!$C$75:$O$299,MATCH(A184,'Master Data'!$B$75:$B$299,0),MATCH($G$1,'Master Data'!$C$74:$O$74,0))</f>
        <v>1</v>
      </c>
      <c r="H184" s="148">
        <f>ROUND(G184*INDEX('Master Data'!$F$4:$K$12,MATCH($G$1,'Master Data'!$E$4:$E$12,0),MATCH(C184,'Master Data'!$F$3:$K$3,0)),2)</f>
        <v>56388.63</v>
      </c>
      <c r="I184" s="147">
        <f>INDEX('Master Data'!$C$75:$O$299,MATCH(A184,'Master Data'!$B$75:$B$299,0),MATCH($I$1,'Master Data'!$C$74:$O$74,0))</f>
        <v>13.1</v>
      </c>
      <c r="J184" s="148">
        <f>ROUND(I184*INDEX('Master Data'!$F$4:$K$12,MATCH($I$1,'Master Data'!$E$4:$E$12,0),MATCH(C184,'Master Data'!$F$3:$K$3,0)),2)</f>
        <v>790738.73</v>
      </c>
      <c r="K184" s="147">
        <f>INDEX('Master Data'!$C$75:$O$299,MATCH(A184,'Master Data'!$B$75:$B$299,0),MATCH($K$1,'Master Data'!$C$74:$O$74,0))</f>
        <v>1.4</v>
      </c>
      <c r="L184" s="148">
        <f>ROUND(K184*INDEX('Master Data'!$F$4:$K$12,MATCH($K$1,'Master Data'!$E$4:$E$12,0),MATCH(C184,'Master Data'!$F$3:$K$3,0)),2)</f>
        <v>65579.399999999994</v>
      </c>
      <c r="M184" s="147">
        <f>INDEX('Master Data'!$C$75:$O$299,MATCH(A184,'Master Data'!$B$75:$B$299,0),MATCH($M$1,'Master Data'!$C$74:$O$74,0))</f>
        <v>2.12</v>
      </c>
      <c r="N184" s="148">
        <f>ROUND(M184*INDEX('Master Data'!$F$4:$K$12,MATCH($M$1,'Master Data'!$E$4:$E$12,0),MATCH(C184,'Master Data'!$F$3:$K$3,0)),2)</f>
        <v>127966.88</v>
      </c>
      <c r="O184" s="147">
        <f>INDEX('Master Data'!$C$75:$O$299,MATCH(A184,'Master Data'!$B$75:$B$299,0),MATCH($O$1,'Master Data'!$C$74:$O$74,0))</f>
        <v>0.23</v>
      </c>
      <c r="P184" s="148">
        <f>ROUND(O184*INDEX('Master Data'!$F$4:$K$12,MATCH($O$1,'Master Data'!$E$4:$E$12,0),MATCH(C184,'Master Data'!$F$3:$K$3,0)),2)</f>
        <v>7176</v>
      </c>
      <c r="Q184" s="147">
        <f>INDEX('Master Data'!$C$75:$O$299,MATCH(A184,'Master Data'!$B$75:$B$299,0),MATCH($Q$1,'Master Data'!$C$74:$O$74,0))</f>
        <v>0.12</v>
      </c>
      <c r="R184" s="148">
        <f>ROUND(Q184*INDEX('Master Data'!$F$4:$K$12,MATCH($Q$1,'Master Data'!$E$4:$E$12,0),MATCH(C184,'Master Data'!$F$3:$K$3,0)),2)</f>
        <v>5621.09</v>
      </c>
      <c r="S184" s="147">
        <f>INDEX('Master Data'!$C$75:$O$299,MATCH(A184,'Master Data'!$B$75:$B$299,0),MATCH($S$1,'Master Data'!$C$74:$O$74,0))</f>
        <v>0</v>
      </c>
      <c r="T184" s="148">
        <f>ROUND(S184*INDEX('Master Data'!$F$4:$K$12,MATCH($S$1,'Master Data'!$E$4:$E$12,0),MATCH(C184,'Master Data'!$F$3:$K$3,0)),2)</f>
        <v>0</v>
      </c>
      <c r="U184" s="147">
        <f>INDEX('Master Data'!$C$75:$O$299,MATCH(A184,'Master Data'!$B$75:$B$299,0),MATCH($U$1,'Master Data'!$C$74:$O$74,0))</f>
        <v>0</v>
      </c>
      <c r="V184" s="148">
        <f>ROUND(U184*INDEX('Master Data'!$F$4:$K$12,MATCH($U$1,'Master Data'!$E$4:$E$12,0),MATCH(C184,'Master Data'!$F$3:$K$3,0)),2)</f>
        <v>0</v>
      </c>
      <c r="W184" s="149">
        <f t="shared" si="20"/>
        <v>1086880.3600000001</v>
      </c>
      <c r="X184" s="148">
        <f>ROUND(W184*('Master Data'!$B$54),2)</f>
        <v>271394.03000000003</v>
      </c>
      <c r="Y184" s="149">
        <f t="shared" si="26"/>
        <v>1358274.3900000001</v>
      </c>
      <c r="Z184" s="147">
        <f>52*INDEX('Master Data'!$C$75:$O$299,MATCH(A184,'Master Data'!$B$75:$B$299,0),MATCH($Z$1,'Master Data'!$C$74:$O$74,0))</f>
        <v>104</v>
      </c>
      <c r="AA184" s="148">
        <f>Z184*('Master Data'!$F$15)</f>
        <v>7841.6</v>
      </c>
      <c r="AB184" s="147">
        <f>52*INDEX('Master Data'!$C$75:$O$299,MATCH(A184,'Master Data'!$B$75:$B$299,0),MATCH($AB$1,'Master Data'!$C$74:$O$74,0))</f>
        <v>156</v>
      </c>
      <c r="AC184" s="148">
        <f>AB184*('Master Data'!$F$16)</f>
        <v>11281.919999999998</v>
      </c>
      <c r="AD184" s="149">
        <f t="shared" si="21"/>
        <v>19123.519999999997</v>
      </c>
      <c r="AE184" s="148">
        <f>INDEX('Master Data'!$D$58:$D$60,MATCH(D184,'Master Data'!$B$58:$B$60,0))</f>
        <v>24321.56</v>
      </c>
      <c r="AF184" s="148">
        <f>INDEX('Master Data'!$E$58:$E$60,MATCH(D184,'Master Data'!$B$58:$B$60,0))</f>
        <v>2233.8000000000002</v>
      </c>
      <c r="AG184" s="148">
        <f>INDEX('Master Data'!$F$58:$F$60,MATCH(D184,'Master Data'!$B$58:$B$60,0))</f>
        <v>6471.45</v>
      </c>
      <c r="AH184" s="149">
        <f t="shared" si="23"/>
        <v>1410424.7200000002</v>
      </c>
      <c r="AI184" s="148">
        <f>ROUND(AH184*('Master Data'!$C$54),2)</f>
        <v>169250.97</v>
      </c>
      <c r="AJ184" s="148">
        <f>ROUND(SUM(AH184:AI184,AK184)*('Master Data'!$E$54),2)</f>
        <v>47325.57</v>
      </c>
      <c r="AK184" s="148">
        <f>ROUND(W184*('Master Data'!$F$54),2)</f>
        <v>0</v>
      </c>
      <c r="AL184" s="149">
        <f t="shared" si="24"/>
        <v>1627001.2600000002</v>
      </c>
      <c r="AM184" s="140">
        <f t="shared" si="25"/>
        <v>4688.76</v>
      </c>
      <c r="AN184" s="121"/>
      <c r="AO184" s="121"/>
      <c r="AP184" s="121"/>
      <c r="AQ184" s="121"/>
      <c r="AR184" s="121"/>
      <c r="AS184" s="121"/>
    </row>
    <row r="185" spans="1:45">
      <c r="A185" s="121" t="s">
        <v>318</v>
      </c>
      <c r="B185" s="121" t="str">
        <f t="shared" si="22"/>
        <v>2</v>
      </c>
      <c r="C185" s="121" t="str">
        <f t="shared" si="27"/>
        <v>Medical 2</v>
      </c>
      <c r="D185" s="121" t="str">
        <f>INDEX('Master Data'!$C$75:$C$299,MATCH(A185,'Master Data'!$B$75:$B$299,0))</f>
        <v>4+</v>
      </c>
      <c r="E185" s="147">
        <f>INDEX('Master Data'!$C$75:$O$299,MATCH(A185,'Master Data'!$B$75:$B$299,0),MATCH($E$1,'Master Data'!$C$74:$O$74,0))</f>
        <v>0.41</v>
      </c>
      <c r="F185" s="148">
        <f>ROUND(E185*INDEX('Master Data'!$F$4:$K$12,MATCH($E$1,'Master Data'!$E$4:$E$12,0),MATCH(C185,'Master Data'!$F$3:$K$3,0)),2)</f>
        <v>33409.629999999997</v>
      </c>
      <c r="G185" s="147">
        <f>INDEX('Master Data'!$C$75:$O$299,MATCH(A185,'Master Data'!$B$75:$B$299,0),MATCH($G$1,'Master Data'!$C$74:$O$74,0))</f>
        <v>1</v>
      </c>
      <c r="H185" s="148">
        <f>ROUND(G185*INDEX('Master Data'!$F$4:$K$12,MATCH($G$1,'Master Data'!$E$4:$E$12,0),MATCH(C185,'Master Data'!$F$3:$K$3,0)),2)</f>
        <v>56388.63</v>
      </c>
      <c r="I185" s="147">
        <f>INDEX('Master Data'!$C$75:$O$299,MATCH(A185,'Master Data'!$B$75:$B$299,0),MATCH($I$1,'Master Data'!$C$74:$O$74,0))</f>
        <v>13.6</v>
      </c>
      <c r="J185" s="148">
        <f>ROUND(I185*INDEX('Master Data'!$F$4:$K$12,MATCH($I$1,'Master Data'!$E$4:$E$12,0),MATCH(C185,'Master Data'!$F$3:$K$3,0)),2)</f>
        <v>820919.6</v>
      </c>
      <c r="K185" s="147">
        <f>INDEX('Master Data'!$C$75:$O$299,MATCH(A185,'Master Data'!$B$75:$B$299,0),MATCH($K$1,'Master Data'!$C$74:$O$74,0))</f>
        <v>1.4</v>
      </c>
      <c r="L185" s="148">
        <f>ROUND(K185*INDEX('Master Data'!$F$4:$K$12,MATCH($K$1,'Master Data'!$E$4:$E$12,0),MATCH(C185,'Master Data'!$F$3:$K$3,0)),2)</f>
        <v>65579.399999999994</v>
      </c>
      <c r="M185" s="147">
        <f>INDEX('Master Data'!$C$75:$O$299,MATCH(A185,'Master Data'!$B$75:$B$299,0),MATCH($M$1,'Master Data'!$C$74:$O$74,0))</f>
        <v>2.2000000000000002</v>
      </c>
      <c r="N185" s="148">
        <f>ROUND(M185*INDEX('Master Data'!$F$4:$K$12,MATCH($M$1,'Master Data'!$E$4:$E$12,0),MATCH(C185,'Master Data'!$F$3:$K$3,0)),2)</f>
        <v>132795.82</v>
      </c>
      <c r="O185" s="147">
        <f>INDEX('Master Data'!$C$75:$O$299,MATCH(A185,'Master Data'!$B$75:$B$299,0),MATCH($O$1,'Master Data'!$C$74:$O$74,0))</f>
        <v>0.23</v>
      </c>
      <c r="P185" s="148">
        <f>ROUND(O185*INDEX('Master Data'!$F$4:$K$12,MATCH($O$1,'Master Data'!$E$4:$E$12,0),MATCH(C185,'Master Data'!$F$3:$K$3,0)),2)</f>
        <v>7176</v>
      </c>
      <c r="Q185" s="147">
        <f>INDEX('Master Data'!$C$75:$O$299,MATCH(A185,'Master Data'!$B$75:$B$299,0),MATCH($Q$1,'Master Data'!$C$74:$O$74,0))</f>
        <v>0.12</v>
      </c>
      <c r="R185" s="148">
        <f>ROUND(Q185*INDEX('Master Data'!$F$4:$K$12,MATCH($Q$1,'Master Data'!$E$4:$E$12,0),MATCH(C185,'Master Data'!$F$3:$K$3,0)),2)</f>
        <v>5621.09</v>
      </c>
      <c r="S185" s="147">
        <f>INDEX('Master Data'!$C$75:$O$299,MATCH(A185,'Master Data'!$B$75:$B$299,0),MATCH($S$1,'Master Data'!$C$74:$O$74,0))</f>
        <v>0</v>
      </c>
      <c r="T185" s="148">
        <f>ROUND(S185*INDEX('Master Data'!$F$4:$K$12,MATCH($S$1,'Master Data'!$E$4:$E$12,0),MATCH(C185,'Master Data'!$F$3:$K$3,0)),2)</f>
        <v>0</v>
      </c>
      <c r="U185" s="147">
        <f>INDEX('Master Data'!$C$75:$O$299,MATCH(A185,'Master Data'!$B$75:$B$299,0),MATCH($U$1,'Master Data'!$C$74:$O$74,0))</f>
        <v>0</v>
      </c>
      <c r="V185" s="148">
        <f>ROUND(U185*INDEX('Master Data'!$F$4:$K$12,MATCH($U$1,'Master Data'!$E$4:$E$12,0),MATCH(C185,'Master Data'!$F$3:$K$3,0)),2)</f>
        <v>0</v>
      </c>
      <c r="W185" s="149">
        <f t="shared" si="20"/>
        <v>1121890.1700000002</v>
      </c>
      <c r="X185" s="148">
        <f>ROUND(W185*('Master Data'!$B$54),2)</f>
        <v>280135.98</v>
      </c>
      <c r="Y185" s="149">
        <f t="shared" si="26"/>
        <v>1402026.1500000001</v>
      </c>
      <c r="Z185" s="147">
        <f>52*INDEX('Master Data'!$C$75:$O$299,MATCH(A185,'Master Data'!$B$75:$B$299,0),MATCH($Z$1,'Master Data'!$C$74:$O$74,0))</f>
        <v>104</v>
      </c>
      <c r="AA185" s="148">
        <f>Z185*('Master Data'!$F$15)</f>
        <v>7841.6</v>
      </c>
      <c r="AB185" s="147">
        <f>52*INDEX('Master Data'!$C$75:$O$299,MATCH(A185,'Master Data'!$B$75:$B$299,0),MATCH($AB$1,'Master Data'!$C$74:$O$74,0))</f>
        <v>156</v>
      </c>
      <c r="AC185" s="148">
        <f>AB185*('Master Data'!$F$16)</f>
        <v>11281.919999999998</v>
      </c>
      <c r="AD185" s="149">
        <f t="shared" si="21"/>
        <v>19123.519999999997</v>
      </c>
      <c r="AE185" s="148">
        <f>INDEX('Master Data'!$D$58:$D$60,MATCH(D185,'Master Data'!$B$58:$B$60,0))</f>
        <v>24321.56</v>
      </c>
      <c r="AF185" s="148">
        <f>INDEX('Master Data'!$E$58:$E$60,MATCH(D185,'Master Data'!$B$58:$B$60,0))</f>
        <v>2233.8000000000002</v>
      </c>
      <c r="AG185" s="148">
        <f>INDEX('Master Data'!$F$58:$F$60,MATCH(D185,'Master Data'!$B$58:$B$60,0))</f>
        <v>6471.45</v>
      </c>
      <c r="AH185" s="149">
        <f t="shared" si="23"/>
        <v>1454176.4800000002</v>
      </c>
      <c r="AI185" s="148">
        <f>ROUND(AH185*('Master Data'!$C$54),2)</f>
        <v>174501.18</v>
      </c>
      <c r="AJ185" s="148">
        <f>ROUND(SUM(AH185:AI185,AK185)*('Master Data'!$E$54),2)</f>
        <v>48793.62</v>
      </c>
      <c r="AK185" s="148">
        <f>ROUND(W185*('Master Data'!$F$54),2)</f>
        <v>0</v>
      </c>
      <c r="AL185" s="149">
        <f t="shared" si="24"/>
        <v>1677471.2800000003</v>
      </c>
      <c r="AM185" s="140">
        <f t="shared" si="25"/>
        <v>4834.21</v>
      </c>
      <c r="AN185" s="121"/>
      <c r="AO185" s="121"/>
      <c r="AP185" s="121"/>
      <c r="AQ185" s="121"/>
      <c r="AR185" s="121"/>
      <c r="AS185" s="121"/>
    </row>
    <row r="186" spans="1:45">
      <c r="A186" s="121" t="s">
        <v>319</v>
      </c>
      <c r="B186" s="121" t="str">
        <f t="shared" si="22"/>
        <v>2</v>
      </c>
      <c r="C186" s="121" t="str">
        <f t="shared" si="27"/>
        <v>Medical 2</v>
      </c>
      <c r="D186" s="121" t="str">
        <f>INDEX('Master Data'!$C$75:$C$299,MATCH(A186,'Master Data'!$B$75:$B$299,0))</f>
        <v>4+</v>
      </c>
      <c r="E186" s="147">
        <f>INDEX('Master Data'!$C$75:$O$299,MATCH(A186,'Master Data'!$B$75:$B$299,0),MATCH($E$1,'Master Data'!$C$74:$O$74,0))</f>
        <v>0.41</v>
      </c>
      <c r="F186" s="148">
        <f>ROUND(E186*INDEX('Master Data'!$F$4:$K$12,MATCH($E$1,'Master Data'!$E$4:$E$12,0),MATCH(C186,'Master Data'!$F$3:$K$3,0)),2)</f>
        <v>33409.629999999997</v>
      </c>
      <c r="G186" s="147">
        <f>INDEX('Master Data'!$C$75:$O$299,MATCH(A186,'Master Data'!$B$75:$B$299,0),MATCH($G$1,'Master Data'!$C$74:$O$74,0))</f>
        <v>1</v>
      </c>
      <c r="H186" s="148">
        <f>ROUND(G186*INDEX('Master Data'!$F$4:$K$12,MATCH($G$1,'Master Data'!$E$4:$E$12,0),MATCH(C186,'Master Data'!$F$3:$K$3,0)),2)</f>
        <v>56388.63</v>
      </c>
      <c r="I186" s="147">
        <f>INDEX('Master Data'!$C$75:$O$299,MATCH(A186,'Master Data'!$B$75:$B$299,0),MATCH($I$1,'Master Data'!$C$74:$O$74,0))</f>
        <v>14.1</v>
      </c>
      <c r="J186" s="148">
        <f>ROUND(I186*INDEX('Master Data'!$F$4:$K$12,MATCH($I$1,'Master Data'!$E$4:$E$12,0),MATCH(C186,'Master Data'!$F$3:$K$3,0)),2)</f>
        <v>851100.46</v>
      </c>
      <c r="K186" s="147">
        <f>INDEX('Master Data'!$C$75:$O$299,MATCH(A186,'Master Data'!$B$75:$B$299,0),MATCH($K$1,'Master Data'!$C$74:$O$74,0))</f>
        <v>1.4</v>
      </c>
      <c r="L186" s="148">
        <f>ROUND(K186*INDEX('Master Data'!$F$4:$K$12,MATCH($K$1,'Master Data'!$E$4:$E$12,0),MATCH(C186,'Master Data'!$F$3:$K$3,0)),2)</f>
        <v>65579.399999999994</v>
      </c>
      <c r="M186" s="147">
        <f>INDEX('Master Data'!$C$75:$O$299,MATCH(A186,'Master Data'!$B$75:$B$299,0),MATCH($M$1,'Master Data'!$C$74:$O$74,0))</f>
        <v>2.2799999999999998</v>
      </c>
      <c r="N186" s="148">
        <f>ROUND(M186*INDEX('Master Data'!$F$4:$K$12,MATCH($M$1,'Master Data'!$E$4:$E$12,0),MATCH(C186,'Master Data'!$F$3:$K$3,0)),2)</f>
        <v>137624.76</v>
      </c>
      <c r="O186" s="147">
        <f>INDEX('Master Data'!$C$75:$O$299,MATCH(A186,'Master Data'!$B$75:$B$299,0),MATCH($O$1,'Master Data'!$C$74:$O$74,0))</f>
        <v>0.23</v>
      </c>
      <c r="P186" s="148">
        <f>ROUND(O186*INDEX('Master Data'!$F$4:$K$12,MATCH($O$1,'Master Data'!$E$4:$E$12,0),MATCH(C186,'Master Data'!$F$3:$K$3,0)),2)</f>
        <v>7176</v>
      </c>
      <c r="Q186" s="147">
        <f>INDEX('Master Data'!$C$75:$O$299,MATCH(A186,'Master Data'!$B$75:$B$299,0),MATCH($Q$1,'Master Data'!$C$74:$O$74,0))</f>
        <v>0.12</v>
      </c>
      <c r="R186" s="148">
        <f>ROUND(Q186*INDEX('Master Data'!$F$4:$K$12,MATCH($Q$1,'Master Data'!$E$4:$E$12,0),MATCH(C186,'Master Data'!$F$3:$K$3,0)),2)</f>
        <v>5621.09</v>
      </c>
      <c r="S186" s="147">
        <f>INDEX('Master Data'!$C$75:$O$299,MATCH(A186,'Master Data'!$B$75:$B$299,0),MATCH($S$1,'Master Data'!$C$74:$O$74,0))</f>
        <v>0</v>
      </c>
      <c r="T186" s="148">
        <f>ROUND(S186*INDEX('Master Data'!$F$4:$K$12,MATCH($S$1,'Master Data'!$E$4:$E$12,0),MATCH(C186,'Master Data'!$F$3:$K$3,0)),2)</f>
        <v>0</v>
      </c>
      <c r="U186" s="147">
        <f>INDEX('Master Data'!$C$75:$O$299,MATCH(A186,'Master Data'!$B$75:$B$299,0),MATCH($U$1,'Master Data'!$C$74:$O$74,0))</f>
        <v>0</v>
      </c>
      <c r="V186" s="148">
        <f>ROUND(U186*INDEX('Master Data'!$F$4:$K$12,MATCH($U$1,'Master Data'!$E$4:$E$12,0),MATCH(C186,'Master Data'!$F$3:$K$3,0)),2)</f>
        <v>0</v>
      </c>
      <c r="W186" s="149">
        <f t="shared" si="20"/>
        <v>1156899.97</v>
      </c>
      <c r="X186" s="148">
        <f>ROUND(W186*('Master Data'!$B$54),2)</f>
        <v>288877.92</v>
      </c>
      <c r="Y186" s="149">
        <f t="shared" si="26"/>
        <v>1445777.89</v>
      </c>
      <c r="Z186" s="147">
        <f>52*INDEX('Master Data'!$C$75:$O$299,MATCH(A186,'Master Data'!$B$75:$B$299,0),MATCH($Z$1,'Master Data'!$C$74:$O$74,0))</f>
        <v>104</v>
      </c>
      <c r="AA186" s="148">
        <f>Z186*('Master Data'!$F$15)</f>
        <v>7841.6</v>
      </c>
      <c r="AB186" s="147">
        <f>52*INDEX('Master Data'!$C$75:$O$299,MATCH(A186,'Master Data'!$B$75:$B$299,0),MATCH($AB$1,'Master Data'!$C$74:$O$74,0))</f>
        <v>156</v>
      </c>
      <c r="AC186" s="148">
        <f>AB186*('Master Data'!$F$16)</f>
        <v>11281.919999999998</v>
      </c>
      <c r="AD186" s="149">
        <f t="shared" si="21"/>
        <v>19123.519999999997</v>
      </c>
      <c r="AE186" s="148">
        <f>INDEX('Master Data'!$D$58:$D$60,MATCH(D186,'Master Data'!$B$58:$B$60,0))</f>
        <v>24321.56</v>
      </c>
      <c r="AF186" s="148">
        <f>INDEX('Master Data'!$E$58:$E$60,MATCH(D186,'Master Data'!$B$58:$B$60,0))</f>
        <v>2233.8000000000002</v>
      </c>
      <c r="AG186" s="148">
        <f>INDEX('Master Data'!$F$58:$F$60,MATCH(D186,'Master Data'!$B$58:$B$60,0))</f>
        <v>6471.45</v>
      </c>
      <c r="AH186" s="149">
        <f t="shared" si="23"/>
        <v>1497928.22</v>
      </c>
      <c r="AI186" s="148">
        <f>ROUND(AH186*('Master Data'!$C$54),2)</f>
        <v>179751.39</v>
      </c>
      <c r="AJ186" s="148">
        <f>ROUND(SUM(AH186:AI186,AK186)*('Master Data'!$E$54),2)</f>
        <v>50261.67</v>
      </c>
      <c r="AK186" s="148">
        <f>ROUND(W186*('Master Data'!$F$54),2)</f>
        <v>0</v>
      </c>
      <c r="AL186" s="149">
        <f t="shared" si="24"/>
        <v>1727941.2799999998</v>
      </c>
      <c r="AM186" s="140">
        <f t="shared" si="25"/>
        <v>4979.66</v>
      </c>
      <c r="AN186" s="121"/>
      <c r="AO186" s="121"/>
      <c r="AP186" s="121"/>
      <c r="AQ186" s="121"/>
      <c r="AR186" s="121"/>
      <c r="AS186" s="121"/>
    </row>
    <row r="187" spans="1:45">
      <c r="A187" s="121" t="s">
        <v>320</v>
      </c>
      <c r="B187" s="121" t="str">
        <f t="shared" si="22"/>
        <v>3</v>
      </c>
      <c r="C187" s="121" t="str">
        <f t="shared" si="27"/>
        <v>Medical 3</v>
      </c>
      <c r="D187" s="121" t="str">
        <f>INDEX('Master Data'!$C$75:$C$299,MATCH(A187,'Master Data'!$B$75:$B$299,0))</f>
        <v>4+</v>
      </c>
      <c r="E187" s="147">
        <f>INDEX('Master Data'!$C$75:$O$299,MATCH(A187,'Master Data'!$B$75:$B$299,0),MATCH($E$1,'Master Data'!$C$74:$O$74,0))</f>
        <v>0.41</v>
      </c>
      <c r="F187" s="148">
        <f>ROUND(E187*INDEX('Master Data'!$F$4:$K$12,MATCH($E$1,'Master Data'!$E$4:$E$12,0),MATCH(C187,'Master Data'!$F$3:$K$3,0)),2)</f>
        <v>33409.629999999997</v>
      </c>
      <c r="G187" s="147">
        <f>INDEX('Master Data'!$C$75:$O$299,MATCH(A187,'Master Data'!$B$75:$B$299,0),MATCH($G$1,'Master Data'!$C$74:$O$74,0))</f>
        <v>1</v>
      </c>
      <c r="H187" s="148">
        <f>ROUND(G187*INDEX('Master Data'!$F$4:$K$12,MATCH($G$1,'Master Data'!$E$4:$E$12,0),MATCH(C187,'Master Data'!$F$3:$K$3,0)),2)</f>
        <v>56388.63</v>
      </c>
      <c r="I187" s="147">
        <f>INDEX('Master Data'!$C$75:$O$299,MATCH(A187,'Master Data'!$B$75:$B$299,0),MATCH($I$1,'Master Data'!$C$74:$O$74,0))</f>
        <v>4.5999999999999996</v>
      </c>
      <c r="J187" s="148">
        <f>ROUND(I187*INDEX('Master Data'!$F$4:$K$12,MATCH($I$1,'Master Data'!$E$4:$E$12,0),MATCH(C187,'Master Data'!$F$3:$K$3,0)),2)</f>
        <v>298225.59000000003</v>
      </c>
      <c r="K187" s="147">
        <f>INDEX('Master Data'!$C$75:$O$299,MATCH(A187,'Master Data'!$B$75:$B$299,0),MATCH($K$1,'Master Data'!$C$74:$O$74,0))</f>
        <v>1.4</v>
      </c>
      <c r="L187" s="148">
        <f>ROUND(K187*INDEX('Master Data'!$F$4:$K$12,MATCH($K$1,'Master Data'!$E$4:$E$12,0),MATCH(C187,'Master Data'!$F$3:$K$3,0)),2)</f>
        <v>65579.399999999994</v>
      </c>
      <c r="M187" s="147">
        <f>INDEX('Master Data'!$C$75:$O$299,MATCH(A187,'Master Data'!$B$75:$B$299,0),MATCH($M$1,'Master Data'!$C$74:$O$74,0))</f>
        <v>0.75</v>
      </c>
      <c r="N187" s="148">
        <f>ROUND(M187*INDEX('Master Data'!$F$4:$K$12,MATCH($M$1,'Master Data'!$E$4:$E$12,0),MATCH(C187,'Master Data'!$F$3:$K$3,0)),2)</f>
        <v>48623.74</v>
      </c>
      <c r="O187" s="147">
        <f>INDEX('Master Data'!$C$75:$O$299,MATCH(A187,'Master Data'!$B$75:$B$299,0),MATCH($O$1,'Master Data'!$C$74:$O$74,0))</f>
        <v>0.23</v>
      </c>
      <c r="P187" s="148">
        <f>ROUND(O187*INDEX('Master Data'!$F$4:$K$12,MATCH($O$1,'Master Data'!$E$4:$E$12,0),MATCH(C187,'Master Data'!$F$3:$K$3,0)),2)</f>
        <v>7176</v>
      </c>
      <c r="Q187" s="147">
        <f>INDEX('Master Data'!$C$75:$O$299,MATCH(A187,'Master Data'!$B$75:$B$299,0),MATCH($Q$1,'Master Data'!$C$74:$O$74,0))</f>
        <v>0.12</v>
      </c>
      <c r="R187" s="148">
        <f>ROUND(Q187*INDEX('Master Data'!$F$4:$K$12,MATCH($Q$1,'Master Data'!$E$4:$E$12,0),MATCH(C187,'Master Data'!$F$3:$K$3,0)),2)</f>
        <v>5621.09</v>
      </c>
      <c r="S187" s="147">
        <f>INDEX('Master Data'!$C$75:$O$299,MATCH(A187,'Master Data'!$B$75:$B$299,0),MATCH($S$1,'Master Data'!$C$74:$O$74,0))</f>
        <v>0</v>
      </c>
      <c r="T187" s="148">
        <f>ROUND(S187*INDEX('Master Data'!$F$4:$K$12,MATCH($S$1,'Master Data'!$E$4:$E$12,0),MATCH(C187,'Master Data'!$F$3:$K$3,0)),2)</f>
        <v>0</v>
      </c>
      <c r="U187" s="147">
        <f>INDEX('Master Data'!$C$75:$O$299,MATCH(A187,'Master Data'!$B$75:$B$299,0),MATCH($U$1,'Master Data'!$C$74:$O$74,0))</f>
        <v>0</v>
      </c>
      <c r="V187" s="148">
        <f>ROUND(U187*INDEX('Master Data'!$F$4:$K$12,MATCH($U$1,'Master Data'!$E$4:$E$12,0),MATCH(C187,'Master Data'!$F$3:$K$3,0)),2)</f>
        <v>0</v>
      </c>
      <c r="W187" s="149">
        <f t="shared" si="20"/>
        <v>515024.08</v>
      </c>
      <c r="X187" s="148">
        <f>ROUND(W187*('Master Data'!$B$54),2)</f>
        <v>128601.51</v>
      </c>
      <c r="Y187" s="149">
        <f t="shared" si="26"/>
        <v>643625.59</v>
      </c>
      <c r="Z187" s="147">
        <f>52*INDEX('Master Data'!$C$75:$O$299,MATCH(A187,'Master Data'!$B$75:$B$299,0),MATCH($Z$1,'Master Data'!$C$74:$O$74,0))</f>
        <v>104</v>
      </c>
      <c r="AA187" s="148">
        <f>Z187*('Master Data'!$F$15)</f>
        <v>7841.6</v>
      </c>
      <c r="AB187" s="147">
        <f>52*INDEX('Master Data'!$C$75:$O$299,MATCH(A187,'Master Data'!$B$75:$B$299,0),MATCH($AB$1,'Master Data'!$C$74:$O$74,0))</f>
        <v>156</v>
      </c>
      <c r="AC187" s="148">
        <f>AB187*('Master Data'!$F$16)</f>
        <v>11281.919999999998</v>
      </c>
      <c r="AD187" s="149">
        <f t="shared" si="21"/>
        <v>19123.519999999997</v>
      </c>
      <c r="AE187" s="148">
        <f>INDEX('Master Data'!$D$58:$D$60,MATCH(D187,'Master Data'!$B$58:$B$60,0))</f>
        <v>24321.56</v>
      </c>
      <c r="AF187" s="148">
        <f>INDEX('Master Data'!$E$58:$E$60,MATCH(D187,'Master Data'!$B$58:$B$60,0))</f>
        <v>2233.8000000000002</v>
      </c>
      <c r="AG187" s="148">
        <f>INDEX('Master Data'!$F$58:$F$60,MATCH(D187,'Master Data'!$B$58:$B$60,0))</f>
        <v>6471.45</v>
      </c>
      <c r="AH187" s="149">
        <f t="shared" si="23"/>
        <v>695775.92</v>
      </c>
      <c r="AI187" s="148">
        <f>ROUND(AH187*('Master Data'!$C$54),2)</f>
        <v>83493.11</v>
      </c>
      <c r="AJ187" s="148">
        <f>ROUND(SUM(AH187:AI187,AK187)*('Master Data'!$E$54),2)</f>
        <v>23346.15</v>
      </c>
      <c r="AK187" s="148">
        <f>ROUND(W187*('Master Data'!$F$54),2)</f>
        <v>0</v>
      </c>
      <c r="AL187" s="149">
        <f t="shared" si="24"/>
        <v>802615.18</v>
      </c>
      <c r="AM187" s="140">
        <f t="shared" si="25"/>
        <v>2313.0100000000002</v>
      </c>
      <c r="AN187" s="121"/>
      <c r="AO187" s="121"/>
      <c r="AP187" s="121"/>
      <c r="AQ187" s="121"/>
      <c r="AR187" s="121"/>
      <c r="AS187" s="121"/>
    </row>
    <row r="188" spans="1:45">
      <c r="A188" s="121" t="s">
        <v>321</v>
      </c>
      <c r="B188" s="121" t="str">
        <f t="shared" si="22"/>
        <v>3</v>
      </c>
      <c r="C188" s="121" t="str">
        <f t="shared" si="27"/>
        <v>Medical 3</v>
      </c>
      <c r="D188" s="121" t="str">
        <f>INDEX('Master Data'!$C$75:$C$299,MATCH(A188,'Master Data'!$B$75:$B$299,0))</f>
        <v>4+</v>
      </c>
      <c r="E188" s="147">
        <f>INDEX('Master Data'!$C$75:$O$299,MATCH(A188,'Master Data'!$B$75:$B$299,0),MATCH($E$1,'Master Data'!$C$74:$O$74,0))</f>
        <v>0.41</v>
      </c>
      <c r="F188" s="148">
        <f>ROUND(E188*INDEX('Master Data'!$F$4:$K$12,MATCH($E$1,'Master Data'!$E$4:$E$12,0),MATCH(C188,'Master Data'!$F$3:$K$3,0)),2)</f>
        <v>33409.629999999997</v>
      </c>
      <c r="G188" s="147">
        <f>INDEX('Master Data'!$C$75:$O$299,MATCH(A188,'Master Data'!$B$75:$B$299,0),MATCH($G$1,'Master Data'!$C$74:$O$74,0))</f>
        <v>1</v>
      </c>
      <c r="H188" s="148">
        <f>ROUND(G188*INDEX('Master Data'!$F$4:$K$12,MATCH($G$1,'Master Data'!$E$4:$E$12,0),MATCH(C188,'Master Data'!$F$3:$K$3,0)),2)</f>
        <v>56388.63</v>
      </c>
      <c r="I188" s="147">
        <f>INDEX('Master Data'!$C$75:$O$299,MATCH(A188,'Master Data'!$B$75:$B$299,0),MATCH($I$1,'Master Data'!$C$74:$O$74,0))</f>
        <v>5.0999999999999996</v>
      </c>
      <c r="J188" s="148">
        <f>ROUND(I188*INDEX('Master Data'!$F$4:$K$12,MATCH($I$1,'Master Data'!$E$4:$E$12,0),MATCH(C188,'Master Data'!$F$3:$K$3,0)),2)</f>
        <v>330641.40999999997</v>
      </c>
      <c r="K188" s="147">
        <f>INDEX('Master Data'!$C$75:$O$299,MATCH(A188,'Master Data'!$B$75:$B$299,0),MATCH($K$1,'Master Data'!$C$74:$O$74,0))</f>
        <v>1.4</v>
      </c>
      <c r="L188" s="148">
        <f>ROUND(K188*INDEX('Master Data'!$F$4:$K$12,MATCH($K$1,'Master Data'!$E$4:$E$12,0),MATCH(C188,'Master Data'!$F$3:$K$3,0)),2)</f>
        <v>65579.399999999994</v>
      </c>
      <c r="M188" s="147">
        <f>INDEX('Master Data'!$C$75:$O$299,MATCH(A188,'Master Data'!$B$75:$B$299,0),MATCH($M$1,'Master Data'!$C$74:$O$74,0))</f>
        <v>0.83</v>
      </c>
      <c r="N188" s="148">
        <f>ROUND(M188*INDEX('Master Data'!$F$4:$K$12,MATCH($M$1,'Master Data'!$E$4:$E$12,0),MATCH(C188,'Master Data'!$F$3:$K$3,0)),2)</f>
        <v>53810.27</v>
      </c>
      <c r="O188" s="147">
        <f>INDEX('Master Data'!$C$75:$O$299,MATCH(A188,'Master Data'!$B$75:$B$299,0),MATCH($O$1,'Master Data'!$C$74:$O$74,0))</f>
        <v>0.23</v>
      </c>
      <c r="P188" s="148">
        <f>ROUND(O188*INDEX('Master Data'!$F$4:$K$12,MATCH($O$1,'Master Data'!$E$4:$E$12,0),MATCH(C188,'Master Data'!$F$3:$K$3,0)),2)</f>
        <v>7176</v>
      </c>
      <c r="Q188" s="147">
        <f>INDEX('Master Data'!$C$75:$O$299,MATCH(A188,'Master Data'!$B$75:$B$299,0),MATCH($Q$1,'Master Data'!$C$74:$O$74,0))</f>
        <v>0.12</v>
      </c>
      <c r="R188" s="148">
        <f>ROUND(Q188*INDEX('Master Data'!$F$4:$K$12,MATCH($Q$1,'Master Data'!$E$4:$E$12,0),MATCH(C188,'Master Data'!$F$3:$K$3,0)),2)</f>
        <v>5621.09</v>
      </c>
      <c r="S188" s="147">
        <f>INDEX('Master Data'!$C$75:$O$299,MATCH(A188,'Master Data'!$B$75:$B$299,0),MATCH($S$1,'Master Data'!$C$74:$O$74,0))</f>
        <v>0</v>
      </c>
      <c r="T188" s="148">
        <f>ROUND(S188*INDEX('Master Data'!$F$4:$K$12,MATCH($S$1,'Master Data'!$E$4:$E$12,0),MATCH(C188,'Master Data'!$F$3:$K$3,0)),2)</f>
        <v>0</v>
      </c>
      <c r="U188" s="147">
        <f>INDEX('Master Data'!$C$75:$O$299,MATCH(A188,'Master Data'!$B$75:$B$299,0),MATCH($U$1,'Master Data'!$C$74:$O$74,0))</f>
        <v>0</v>
      </c>
      <c r="V188" s="148">
        <f>ROUND(U188*INDEX('Master Data'!$F$4:$K$12,MATCH($U$1,'Master Data'!$E$4:$E$12,0),MATCH(C188,'Master Data'!$F$3:$K$3,0)),2)</f>
        <v>0</v>
      </c>
      <c r="W188" s="149">
        <f t="shared" si="20"/>
        <v>552626.42999999993</v>
      </c>
      <c r="X188" s="148">
        <f>ROUND(W188*('Master Data'!$B$54),2)</f>
        <v>137990.82</v>
      </c>
      <c r="Y188" s="149">
        <f t="shared" si="26"/>
        <v>690617.25</v>
      </c>
      <c r="Z188" s="147">
        <f>52*INDEX('Master Data'!$C$75:$O$299,MATCH(A188,'Master Data'!$B$75:$B$299,0),MATCH($Z$1,'Master Data'!$C$74:$O$74,0))</f>
        <v>104</v>
      </c>
      <c r="AA188" s="148">
        <f>Z188*('Master Data'!$F$15)</f>
        <v>7841.6</v>
      </c>
      <c r="AB188" s="147">
        <f>52*INDEX('Master Data'!$C$75:$O$299,MATCH(A188,'Master Data'!$B$75:$B$299,0),MATCH($AB$1,'Master Data'!$C$74:$O$74,0))</f>
        <v>156</v>
      </c>
      <c r="AC188" s="148">
        <f>AB188*('Master Data'!$F$16)</f>
        <v>11281.919999999998</v>
      </c>
      <c r="AD188" s="149">
        <f t="shared" si="21"/>
        <v>19123.519999999997</v>
      </c>
      <c r="AE188" s="148">
        <f>INDEX('Master Data'!$D$58:$D$60,MATCH(D188,'Master Data'!$B$58:$B$60,0))</f>
        <v>24321.56</v>
      </c>
      <c r="AF188" s="148">
        <f>INDEX('Master Data'!$E$58:$E$60,MATCH(D188,'Master Data'!$B$58:$B$60,0))</f>
        <v>2233.8000000000002</v>
      </c>
      <c r="AG188" s="148">
        <f>INDEX('Master Data'!$F$58:$F$60,MATCH(D188,'Master Data'!$B$58:$B$60,0))</f>
        <v>6471.45</v>
      </c>
      <c r="AH188" s="149">
        <f t="shared" si="23"/>
        <v>742767.58000000007</v>
      </c>
      <c r="AI188" s="148">
        <f>ROUND(AH188*('Master Data'!$C$54),2)</f>
        <v>89132.11</v>
      </c>
      <c r="AJ188" s="148">
        <f>ROUND(SUM(AH188:AI188,AK188)*('Master Data'!$E$54),2)</f>
        <v>24922.92</v>
      </c>
      <c r="AK188" s="148">
        <f>ROUND(W188*('Master Data'!$F$54),2)</f>
        <v>0</v>
      </c>
      <c r="AL188" s="149">
        <f t="shared" si="24"/>
        <v>856822.6100000001</v>
      </c>
      <c r="AM188" s="140">
        <f t="shared" si="25"/>
        <v>2469.23</v>
      </c>
      <c r="AN188" s="121"/>
      <c r="AO188" s="121"/>
      <c r="AP188" s="121"/>
      <c r="AQ188" s="121"/>
      <c r="AR188" s="121"/>
      <c r="AS188" s="121"/>
    </row>
    <row r="189" spans="1:45">
      <c r="A189" s="121" t="s">
        <v>322</v>
      </c>
      <c r="B189" s="121" t="str">
        <f t="shared" si="22"/>
        <v>3</v>
      </c>
      <c r="C189" s="121" t="str">
        <f t="shared" si="27"/>
        <v>Medical 3</v>
      </c>
      <c r="D189" s="121" t="str">
        <f>INDEX('Master Data'!$C$75:$C$299,MATCH(A189,'Master Data'!$B$75:$B$299,0))</f>
        <v>4+</v>
      </c>
      <c r="E189" s="147">
        <f>INDEX('Master Data'!$C$75:$O$299,MATCH(A189,'Master Data'!$B$75:$B$299,0),MATCH($E$1,'Master Data'!$C$74:$O$74,0))</f>
        <v>0.41</v>
      </c>
      <c r="F189" s="148">
        <f>ROUND(E189*INDEX('Master Data'!$F$4:$K$12,MATCH($E$1,'Master Data'!$E$4:$E$12,0),MATCH(C189,'Master Data'!$F$3:$K$3,0)),2)</f>
        <v>33409.629999999997</v>
      </c>
      <c r="G189" s="147">
        <f>INDEX('Master Data'!$C$75:$O$299,MATCH(A189,'Master Data'!$B$75:$B$299,0),MATCH($G$1,'Master Data'!$C$74:$O$74,0))</f>
        <v>1</v>
      </c>
      <c r="H189" s="148">
        <f>ROUND(G189*INDEX('Master Data'!$F$4:$K$12,MATCH($G$1,'Master Data'!$E$4:$E$12,0),MATCH(C189,'Master Data'!$F$3:$K$3,0)),2)</f>
        <v>56388.63</v>
      </c>
      <c r="I189" s="147">
        <f>INDEX('Master Data'!$C$75:$O$299,MATCH(A189,'Master Data'!$B$75:$B$299,0),MATCH($I$1,'Master Data'!$C$74:$O$74,0))</f>
        <v>5.6</v>
      </c>
      <c r="J189" s="148">
        <f>ROUND(I189*INDEX('Master Data'!$F$4:$K$12,MATCH($I$1,'Master Data'!$E$4:$E$12,0),MATCH(C189,'Master Data'!$F$3:$K$3,0)),2)</f>
        <v>363057.24</v>
      </c>
      <c r="K189" s="147">
        <f>INDEX('Master Data'!$C$75:$O$299,MATCH(A189,'Master Data'!$B$75:$B$299,0),MATCH($K$1,'Master Data'!$C$74:$O$74,0))</f>
        <v>1.4</v>
      </c>
      <c r="L189" s="148">
        <f>ROUND(K189*INDEX('Master Data'!$F$4:$K$12,MATCH($K$1,'Master Data'!$E$4:$E$12,0),MATCH(C189,'Master Data'!$F$3:$K$3,0)),2)</f>
        <v>65579.399999999994</v>
      </c>
      <c r="M189" s="147">
        <f>INDEX('Master Data'!$C$75:$O$299,MATCH(A189,'Master Data'!$B$75:$B$299,0),MATCH($M$1,'Master Data'!$C$74:$O$74,0))</f>
        <v>0.91</v>
      </c>
      <c r="N189" s="148">
        <f>ROUND(M189*INDEX('Master Data'!$F$4:$K$12,MATCH($M$1,'Master Data'!$E$4:$E$12,0),MATCH(C189,'Master Data'!$F$3:$K$3,0)),2)</f>
        <v>58996.800000000003</v>
      </c>
      <c r="O189" s="147">
        <f>INDEX('Master Data'!$C$75:$O$299,MATCH(A189,'Master Data'!$B$75:$B$299,0),MATCH($O$1,'Master Data'!$C$74:$O$74,0))</f>
        <v>0.23</v>
      </c>
      <c r="P189" s="148">
        <f>ROUND(O189*INDEX('Master Data'!$F$4:$K$12,MATCH($O$1,'Master Data'!$E$4:$E$12,0),MATCH(C189,'Master Data'!$F$3:$K$3,0)),2)</f>
        <v>7176</v>
      </c>
      <c r="Q189" s="147">
        <f>INDEX('Master Data'!$C$75:$O$299,MATCH(A189,'Master Data'!$B$75:$B$299,0),MATCH($Q$1,'Master Data'!$C$74:$O$74,0))</f>
        <v>0.12</v>
      </c>
      <c r="R189" s="148">
        <f>ROUND(Q189*INDEX('Master Data'!$F$4:$K$12,MATCH($Q$1,'Master Data'!$E$4:$E$12,0),MATCH(C189,'Master Data'!$F$3:$K$3,0)),2)</f>
        <v>5621.09</v>
      </c>
      <c r="S189" s="147">
        <f>INDEX('Master Data'!$C$75:$O$299,MATCH(A189,'Master Data'!$B$75:$B$299,0),MATCH($S$1,'Master Data'!$C$74:$O$74,0))</f>
        <v>0</v>
      </c>
      <c r="T189" s="148">
        <f>ROUND(S189*INDEX('Master Data'!$F$4:$K$12,MATCH($S$1,'Master Data'!$E$4:$E$12,0),MATCH(C189,'Master Data'!$F$3:$K$3,0)),2)</f>
        <v>0</v>
      </c>
      <c r="U189" s="147">
        <f>INDEX('Master Data'!$C$75:$O$299,MATCH(A189,'Master Data'!$B$75:$B$299,0),MATCH($U$1,'Master Data'!$C$74:$O$74,0))</f>
        <v>0</v>
      </c>
      <c r="V189" s="148">
        <f>ROUND(U189*INDEX('Master Data'!$F$4:$K$12,MATCH($U$1,'Master Data'!$E$4:$E$12,0),MATCH(C189,'Master Data'!$F$3:$K$3,0)),2)</f>
        <v>0</v>
      </c>
      <c r="W189" s="149">
        <f t="shared" si="20"/>
        <v>590228.79</v>
      </c>
      <c r="X189" s="148">
        <f>ROUND(W189*('Master Data'!$B$54),2)</f>
        <v>147380.13</v>
      </c>
      <c r="Y189" s="149">
        <f t="shared" si="26"/>
        <v>737608.92</v>
      </c>
      <c r="Z189" s="147">
        <f>52*INDEX('Master Data'!$C$75:$O$299,MATCH(A189,'Master Data'!$B$75:$B$299,0),MATCH($Z$1,'Master Data'!$C$74:$O$74,0))</f>
        <v>104</v>
      </c>
      <c r="AA189" s="148">
        <f>Z189*('Master Data'!$F$15)</f>
        <v>7841.6</v>
      </c>
      <c r="AB189" s="147">
        <f>52*INDEX('Master Data'!$C$75:$O$299,MATCH(A189,'Master Data'!$B$75:$B$299,0),MATCH($AB$1,'Master Data'!$C$74:$O$74,0))</f>
        <v>156</v>
      </c>
      <c r="AC189" s="148">
        <f>AB189*('Master Data'!$F$16)</f>
        <v>11281.919999999998</v>
      </c>
      <c r="AD189" s="149">
        <f t="shared" si="21"/>
        <v>19123.519999999997</v>
      </c>
      <c r="AE189" s="148">
        <f>INDEX('Master Data'!$D$58:$D$60,MATCH(D189,'Master Data'!$B$58:$B$60,0))</f>
        <v>24321.56</v>
      </c>
      <c r="AF189" s="148">
        <f>INDEX('Master Data'!$E$58:$E$60,MATCH(D189,'Master Data'!$B$58:$B$60,0))</f>
        <v>2233.8000000000002</v>
      </c>
      <c r="AG189" s="148">
        <f>INDEX('Master Data'!$F$58:$F$60,MATCH(D189,'Master Data'!$B$58:$B$60,0))</f>
        <v>6471.45</v>
      </c>
      <c r="AH189" s="149">
        <f t="shared" si="23"/>
        <v>789759.25000000012</v>
      </c>
      <c r="AI189" s="148">
        <f>ROUND(AH189*('Master Data'!$C$54),2)</f>
        <v>94771.11</v>
      </c>
      <c r="AJ189" s="148">
        <f>ROUND(SUM(AH189:AI189,AK189)*('Master Data'!$E$54),2)</f>
        <v>26499.68</v>
      </c>
      <c r="AK189" s="148">
        <f>ROUND(W189*('Master Data'!$F$54),2)</f>
        <v>0</v>
      </c>
      <c r="AL189" s="149">
        <f t="shared" si="24"/>
        <v>911030.04000000015</v>
      </c>
      <c r="AM189" s="140">
        <f t="shared" si="25"/>
        <v>2625.45</v>
      </c>
      <c r="AN189" s="121"/>
      <c r="AO189" s="121"/>
      <c r="AP189" s="121"/>
      <c r="AQ189" s="121"/>
      <c r="AR189" s="121"/>
      <c r="AS189" s="121"/>
    </row>
    <row r="190" spans="1:45">
      <c r="A190" s="121" t="s">
        <v>323</v>
      </c>
      <c r="B190" s="121" t="str">
        <f t="shared" si="22"/>
        <v>3</v>
      </c>
      <c r="C190" s="121" t="str">
        <f t="shared" si="27"/>
        <v>Medical 3</v>
      </c>
      <c r="D190" s="121" t="str">
        <f>INDEX('Master Data'!$C$75:$C$299,MATCH(A190,'Master Data'!$B$75:$B$299,0))</f>
        <v>4+</v>
      </c>
      <c r="E190" s="147">
        <f>INDEX('Master Data'!$C$75:$O$299,MATCH(A190,'Master Data'!$B$75:$B$299,0),MATCH($E$1,'Master Data'!$C$74:$O$74,0))</f>
        <v>0.41</v>
      </c>
      <c r="F190" s="148">
        <f>ROUND(E190*INDEX('Master Data'!$F$4:$K$12,MATCH($E$1,'Master Data'!$E$4:$E$12,0),MATCH(C190,'Master Data'!$F$3:$K$3,0)),2)</f>
        <v>33409.629999999997</v>
      </c>
      <c r="G190" s="147">
        <f>INDEX('Master Data'!$C$75:$O$299,MATCH(A190,'Master Data'!$B$75:$B$299,0),MATCH($G$1,'Master Data'!$C$74:$O$74,0))</f>
        <v>1</v>
      </c>
      <c r="H190" s="148">
        <f>ROUND(G190*INDEX('Master Data'!$F$4:$K$12,MATCH($G$1,'Master Data'!$E$4:$E$12,0),MATCH(C190,'Master Data'!$F$3:$K$3,0)),2)</f>
        <v>56388.63</v>
      </c>
      <c r="I190" s="147">
        <f>INDEX('Master Data'!$C$75:$O$299,MATCH(A190,'Master Data'!$B$75:$B$299,0),MATCH($I$1,'Master Data'!$C$74:$O$74,0))</f>
        <v>6.1</v>
      </c>
      <c r="J190" s="148">
        <f>ROUND(I190*INDEX('Master Data'!$F$4:$K$12,MATCH($I$1,'Master Data'!$E$4:$E$12,0),MATCH(C190,'Master Data'!$F$3:$K$3,0)),2)</f>
        <v>395473.06</v>
      </c>
      <c r="K190" s="147">
        <f>INDEX('Master Data'!$C$75:$O$299,MATCH(A190,'Master Data'!$B$75:$B$299,0),MATCH($K$1,'Master Data'!$C$74:$O$74,0))</f>
        <v>1.4</v>
      </c>
      <c r="L190" s="148">
        <f>ROUND(K190*INDEX('Master Data'!$F$4:$K$12,MATCH($K$1,'Master Data'!$E$4:$E$12,0),MATCH(C190,'Master Data'!$F$3:$K$3,0)),2)</f>
        <v>65579.399999999994</v>
      </c>
      <c r="M190" s="147">
        <f>INDEX('Master Data'!$C$75:$O$299,MATCH(A190,'Master Data'!$B$75:$B$299,0),MATCH($M$1,'Master Data'!$C$74:$O$74,0))</f>
        <v>0.99</v>
      </c>
      <c r="N190" s="148">
        <f>ROUND(M190*INDEX('Master Data'!$F$4:$K$12,MATCH($M$1,'Master Data'!$E$4:$E$12,0),MATCH(C190,'Master Data'!$F$3:$K$3,0)),2)</f>
        <v>64183.33</v>
      </c>
      <c r="O190" s="147">
        <f>INDEX('Master Data'!$C$75:$O$299,MATCH(A190,'Master Data'!$B$75:$B$299,0),MATCH($O$1,'Master Data'!$C$74:$O$74,0))</f>
        <v>0.23</v>
      </c>
      <c r="P190" s="148">
        <f>ROUND(O190*INDEX('Master Data'!$F$4:$K$12,MATCH($O$1,'Master Data'!$E$4:$E$12,0),MATCH(C190,'Master Data'!$F$3:$K$3,0)),2)</f>
        <v>7176</v>
      </c>
      <c r="Q190" s="147">
        <f>INDEX('Master Data'!$C$75:$O$299,MATCH(A190,'Master Data'!$B$75:$B$299,0),MATCH($Q$1,'Master Data'!$C$74:$O$74,0))</f>
        <v>0.12</v>
      </c>
      <c r="R190" s="148">
        <f>ROUND(Q190*INDEX('Master Data'!$F$4:$K$12,MATCH($Q$1,'Master Data'!$E$4:$E$12,0),MATCH(C190,'Master Data'!$F$3:$K$3,0)),2)</f>
        <v>5621.09</v>
      </c>
      <c r="S190" s="147">
        <f>INDEX('Master Data'!$C$75:$O$299,MATCH(A190,'Master Data'!$B$75:$B$299,0),MATCH($S$1,'Master Data'!$C$74:$O$74,0))</f>
        <v>0</v>
      </c>
      <c r="T190" s="148">
        <f>ROUND(S190*INDEX('Master Data'!$F$4:$K$12,MATCH($S$1,'Master Data'!$E$4:$E$12,0),MATCH(C190,'Master Data'!$F$3:$K$3,0)),2)</f>
        <v>0</v>
      </c>
      <c r="U190" s="147">
        <f>INDEX('Master Data'!$C$75:$O$299,MATCH(A190,'Master Data'!$B$75:$B$299,0),MATCH($U$1,'Master Data'!$C$74:$O$74,0))</f>
        <v>0</v>
      </c>
      <c r="V190" s="148">
        <f>ROUND(U190*INDEX('Master Data'!$F$4:$K$12,MATCH($U$1,'Master Data'!$E$4:$E$12,0),MATCH(C190,'Master Data'!$F$3:$K$3,0)),2)</f>
        <v>0</v>
      </c>
      <c r="W190" s="149">
        <f t="shared" si="20"/>
        <v>627831.1399999999</v>
      </c>
      <c r="X190" s="148">
        <f>ROUND(W190*('Master Data'!$B$54),2)</f>
        <v>156769.44</v>
      </c>
      <c r="Y190" s="149">
        <f t="shared" si="26"/>
        <v>784600.57999999984</v>
      </c>
      <c r="Z190" s="147">
        <f>52*INDEX('Master Data'!$C$75:$O$299,MATCH(A190,'Master Data'!$B$75:$B$299,0),MATCH($Z$1,'Master Data'!$C$74:$O$74,0))</f>
        <v>104</v>
      </c>
      <c r="AA190" s="148">
        <f>Z190*('Master Data'!$F$15)</f>
        <v>7841.6</v>
      </c>
      <c r="AB190" s="147">
        <f>52*INDEX('Master Data'!$C$75:$O$299,MATCH(A190,'Master Data'!$B$75:$B$299,0),MATCH($AB$1,'Master Data'!$C$74:$O$74,0))</f>
        <v>156</v>
      </c>
      <c r="AC190" s="148">
        <f>AB190*('Master Data'!$F$16)</f>
        <v>11281.919999999998</v>
      </c>
      <c r="AD190" s="149">
        <f t="shared" si="21"/>
        <v>19123.519999999997</v>
      </c>
      <c r="AE190" s="148">
        <f>INDEX('Master Data'!$D$58:$D$60,MATCH(D190,'Master Data'!$B$58:$B$60,0))</f>
        <v>24321.56</v>
      </c>
      <c r="AF190" s="148">
        <f>INDEX('Master Data'!$E$58:$E$60,MATCH(D190,'Master Data'!$B$58:$B$60,0))</f>
        <v>2233.8000000000002</v>
      </c>
      <c r="AG190" s="148">
        <f>INDEX('Master Data'!$F$58:$F$60,MATCH(D190,'Master Data'!$B$58:$B$60,0))</f>
        <v>6471.45</v>
      </c>
      <c r="AH190" s="149">
        <f t="shared" si="23"/>
        <v>836750.90999999992</v>
      </c>
      <c r="AI190" s="148">
        <f>ROUND(AH190*('Master Data'!$C$54),2)</f>
        <v>100410.11</v>
      </c>
      <c r="AJ190" s="148">
        <f>ROUND(SUM(AH190:AI190,AK190)*('Master Data'!$E$54),2)</f>
        <v>28076.45</v>
      </c>
      <c r="AK190" s="148">
        <f>ROUND(W190*('Master Data'!$F$54),2)</f>
        <v>0</v>
      </c>
      <c r="AL190" s="149">
        <f t="shared" si="24"/>
        <v>965237.46999999986</v>
      </c>
      <c r="AM190" s="140">
        <f t="shared" si="25"/>
        <v>2781.66</v>
      </c>
      <c r="AN190" s="121"/>
      <c r="AO190" s="121"/>
      <c r="AP190" s="121"/>
      <c r="AQ190" s="121"/>
      <c r="AR190" s="121"/>
      <c r="AS190" s="121"/>
    </row>
    <row r="191" spans="1:45">
      <c r="A191" s="121" t="s">
        <v>324</v>
      </c>
      <c r="B191" s="121" t="str">
        <f t="shared" si="22"/>
        <v>3</v>
      </c>
      <c r="C191" s="121" t="str">
        <f t="shared" si="27"/>
        <v>Medical 3</v>
      </c>
      <c r="D191" s="121" t="str">
        <f>INDEX('Master Data'!$C$75:$C$299,MATCH(A191,'Master Data'!$B$75:$B$299,0))</f>
        <v>4+</v>
      </c>
      <c r="E191" s="147">
        <f>INDEX('Master Data'!$C$75:$O$299,MATCH(A191,'Master Data'!$B$75:$B$299,0),MATCH($E$1,'Master Data'!$C$74:$O$74,0))</f>
        <v>0.41</v>
      </c>
      <c r="F191" s="148">
        <f>ROUND(E191*INDEX('Master Data'!$F$4:$K$12,MATCH($E$1,'Master Data'!$E$4:$E$12,0),MATCH(C191,'Master Data'!$F$3:$K$3,0)),2)</f>
        <v>33409.629999999997</v>
      </c>
      <c r="G191" s="147">
        <f>INDEX('Master Data'!$C$75:$O$299,MATCH(A191,'Master Data'!$B$75:$B$299,0),MATCH($G$1,'Master Data'!$C$74:$O$74,0))</f>
        <v>1</v>
      </c>
      <c r="H191" s="148">
        <f>ROUND(G191*INDEX('Master Data'!$F$4:$K$12,MATCH($G$1,'Master Data'!$E$4:$E$12,0),MATCH(C191,'Master Data'!$F$3:$K$3,0)),2)</f>
        <v>56388.63</v>
      </c>
      <c r="I191" s="147">
        <f>INDEX('Master Data'!$C$75:$O$299,MATCH(A191,'Master Data'!$B$75:$B$299,0),MATCH($I$1,'Master Data'!$C$74:$O$74,0))</f>
        <v>6.6</v>
      </c>
      <c r="J191" s="148">
        <f>ROUND(I191*INDEX('Master Data'!$F$4:$K$12,MATCH($I$1,'Master Data'!$E$4:$E$12,0),MATCH(C191,'Master Data'!$F$3:$K$3,0)),2)</f>
        <v>427888.89</v>
      </c>
      <c r="K191" s="147">
        <f>INDEX('Master Data'!$C$75:$O$299,MATCH(A191,'Master Data'!$B$75:$B$299,0),MATCH($K$1,'Master Data'!$C$74:$O$74,0))</f>
        <v>1.4</v>
      </c>
      <c r="L191" s="148">
        <f>ROUND(K191*INDEX('Master Data'!$F$4:$K$12,MATCH($K$1,'Master Data'!$E$4:$E$12,0),MATCH(C191,'Master Data'!$F$3:$K$3,0)),2)</f>
        <v>65579.399999999994</v>
      </c>
      <c r="M191" s="147">
        <f>INDEX('Master Data'!$C$75:$O$299,MATCH(A191,'Master Data'!$B$75:$B$299,0),MATCH($M$1,'Master Data'!$C$74:$O$74,0))</f>
        <v>1.07</v>
      </c>
      <c r="N191" s="148">
        <f>ROUND(M191*INDEX('Master Data'!$F$4:$K$12,MATCH($M$1,'Master Data'!$E$4:$E$12,0),MATCH(C191,'Master Data'!$F$3:$K$3,0)),2)</f>
        <v>69369.87</v>
      </c>
      <c r="O191" s="147">
        <f>INDEX('Master Data'!$C$75:$O$299,MATCH(A191,'Master Data'!$B$75:$B$299,0),MATCH($O$1,'Master Data'!$C$74:$O$74,0))</f>
        <v>0.23</v>
      </c>
      <c r="P191" s="148">
        <f>ROUND(O191*INDEX('Master Data'!$F$4:$K$12,MATCH($O$1,'Master Data'!$E$4:$E$12,0),MATCH(C191,'Master Data'!$F$3:$K$3,0)),2)</f>
        <v>7176</v>
      </c>
      <c r="Q191" s="147">
        <f>INDEX('Master Data'!$C$75:$O$299,MATCH(A191,'Master Data'!$B$75:$B$299,0),MATCH($Q$1,'Master Data'!$C$74:$O$74,0))</f>
        <v>0.12</v>
      </c>
      <c r="R191" s="148">
        <f>ROUND(Q191*INDEX('Master Data'!$F$4:$K$12,MATCH($Q$1,'Master Data'!$E$4:$E$12,0),MATCH(C191,'Master Data'!$F$3:$K$3,0)),2)</f>
        <v>5621.09</v>
      </c>
      <c r="S191" s="147">
        <f>INDEX('Master Data'!$C$75:$O$299,MATCH(A191,'Master Data'!$B$75:$B$299,0),MATCH($S$1,'Master Data'!$C$74:$O$74,0))</f>
        <v>0</v>
      </c>
      <c r="T191" s="148">
        <f>ROUND(S191*INDEX('Master Data'!$F$4:$K$12,MATCH($S$1,'Master Data'!$E$4:$E$12,0),MATCH(C191,'Master Data'!$F$3:$K$3,0)),2)</f>
        <v>0</v>
      </c>
      <c r="U191" s="147">
        <f>INDEX('Master Data'!$C$75:$O$299,MATCH(A191,'Master Data'!$B$75:$B$299,0),MATCH($U$1,'Master Data'!$C$74:$O$74,0))</f>
        <v>0</v>
      </c>
      <c r="V191" s="148">
        <f>ROUND(U191*INDEX('Master Data'!$F$4:$K$12,MATCH($U$1,'Master Data'!$E$4:$E$12,0),MATCH(C191,'Master Data'!$F$3:$K$3,0)),2)</f>
        <v>0</v>
      </c>
      <c r="W191" s="149">
        <f t="shared" si="20"/>
        <v>665433.51</v>
      </c>
      <c r="X191" s="148">
        <f>ROUND(W191*('Master Data'!$B$54),2)</f>
        <v>166158.75</v>
      </c>
      <c r="Y191" s="149">
        <f t="shared" si="26"/>
        <v>831592.26</v>
      </c>
      <c r="Z191" s="147">
        <f>52*INDEX('Master Data'!$C$75:$O$299,MATCH(A191,'Master Data'!$B$75:$B$299,0),MATCH($Z$1,'Master Data'!$C$74:$O$74,0))</f>
        <v>104</v>
      </c>
      <c r="AA191" s="148">
        <f>Z191*('Master Data'!$F$15)</f>
        <v>7841.6</v>
      </c>
      <c r="AB191" s="147">
        <f>52*INDEX('Master Data'!$C$75:$O$299,MATCH(A191,'Master Data'!$B$75:$B$299,0),MATCH($AB$1,'Master Data'!$C$74:$O$74,0))</f>
        <v>156</v>
      </c>
      <c r="AC191" s="148">
        <f>AB191*('Master Data'!$F$16)</f>
        <v>11281.919999999998</v>
      </c>
      <c r="AD191" s="149">
        <f t="shared" si="21"/>
        <v>19123.519999999997</v>
      </c>
      <c r="AE191" s="148">
        <f>INDEX('Master Data'!$D$58:$D$60,MATCH(D191,'Master Data'!$B$58:$B$60,0))</f>
        <v>24321.56</v>
      </c>
      <c r="AF191" s="148">
        <f>INDEX('Master Data'!$E$58:$E$60,MATCH(D191,'Master Data'!$B$58:$B$60,0))</f>
        <v>2233.8000000000002</v>
      </c>
      <c r="AG191" s="148">
        <f>INDEX('Master Data'!$F$58:$F$60,MATCH(D191,'Master Data'!$B$58:$B$60,0))</f>
        <v>6471.45</v>
      </c>
      <c r="AH191" s="149">
        <f t="shared" si="23"/>
        <v>883742.59000000008</v>
      </c>
      <c r="AI191" s="148">
        <f>ROUND(AH191*('Master Data'!$C$54),2)</f>
        <v>106049.11</v>
      </c>
      <c r="AJ191" s="148">
        <f>ROUND(SUM(AH191:AI191,AK191)*('Master Data'!$E$54),2)</f>
        <v>29653.21</v>
      </c>
      <c r="AK191" s="148">
        <f>ROUND(W191*('Master Data'!$F$54),2)</f>
        <v>0</v>
      </c>
      <c r="AL191" s="149">
        <f t="shared" si="24"/>
        <v>1019444.91</v>
      </c>
      <c r="AM191" s="140">
        <f t="shared" si="25"/>
        <v>2937.88</v>
      </c>
      <c r="AN191" s="121"/>
      <c r="AO191" s="121"/>
      <c r="AP191" s="121"/>
      <c r="AQ191" s="121"/>
      <c r="AR191" s="121"/>
      <c r="AS191" s="121"/>
    </row>
    <row r="192" spans="1:45">
      <c r="A192" s="121" t="s">
        <v>325</v>
      </c>
      <c r="B192" s="121" t="str">
        <f t="shared" si="22"/>
        <v>3</v>
      </c>
      <c r="C192" s="121" t="str">
        <f t="shared" si="27"/>
        <v>Medical 3</v>
      </c>
      <c r="D192" s="121" t="str">
        <f>INDEX('Master Data'!$C$75:$C$299,MATCH(A192,'Master Data'!$B$75:$B$299,0))</f>
        <v>4+</v>
      </c>
      <c r="E192" s="147">
        <f>INDEX('Master Data'!$C$75:$O$299,MATCH(A192,'Master Data'!$B$75:$B$299,0),MATCH($E$1,'Master Data'!$C$74:$O$74,0))</f>
        <v>0.41</v>
      </c>
      <c r="F192" s="148">
        <f>ROUND(E192*INDEX('Master Data'!$F$4:$K$12,MATCH($E$1,'Master Data'!$E$4:$E$12,0),MATCH(C192,'Master Data'!$F$3:$K$3,0)),2)</f>
        <v>33409.629999999997</v>
      </c>
      <c r="G192" s="147">
        <f>INDEX('Master Data'!$C$75:$O$299,MATCH(A192,'Master Data'!$B$75:$B$299,0),MATCH($G$1,'Master Data'!$C$74:$O$74,0))</f>
        <v>1</v>
      </c>
      <c r="H192" s="148">
        <f>ROUND(G192*INDEX('Master Data'!$F$4:$K$12,MATCH($G$1,'Master Data'!$E$4:$E$12,0),MATCH(C192,'Master Data'!$F$3:$K$3,0)),2)</f>
        <v>56388.63</v>
      </c>
      <c r="I192" s="147">
        <f>INDEX('Master Data'!$C$75:$O$299,MATCH(A192,'Master Data'!$B$75:$B$299,0),MATCH($I$1,'Master Data'!$C$74:$O$74,0))</f>
        <v>7.1</v>
      </c>
      <c r="J192" s="148">
        <f>ROUND(I192*INDEX('Master Data'!$F$4:$K$12,MATCH($I$1,'Master Data'!$E$4:$E$12,0),MATCH(C192,'Master Data'!$F$3:$K$3,0)),2)</f>
        <v>460304.71</v>
      </c>
      <c r="K192" s="147">
        <f>INDEX('Master Data'!$C$75:$O$299,MATCH(A192,'Master Data'!$B$75:$B$299,0),MATCH($K$1,'Master Data'!$C$74:$O$74,0))</f>
        <v>1.4</v>
      </c>
      <c r="L192" s="148">
        <f>ROUND(K192*INDEX('Master Data'!$F$4:$K$12,MATCH($K$1,'Master Data'!$E$4:$E$12,0),MATCH(C192,'Master Data'!$F$3:$K$3,0)),2)</f>
        <v>65579.399999999994</v>
      </c>
      <c r="M192" s="147">
        <f>INDEX('Master Data'!$C$75:$O$299,MATCH(A192,'Master Data'!$B$75:$B$299,0),MATCH($M$1,'Master Data'!$C$74:$O$74,0))</f>
        <v>1.1499999999999999</v>
      </c>
      <c r="N192" s="148">
        <f>ROUND(M192*INDEX('Master Data'!$F$4:$K$12,MATCH($M$1,'Master Data'!$E$4:$E$12,0),MATCH(C192,'Master Data'!$F$3:$K$3,0)),2)</f>
        <v>74556.399999999994</v>
      </c>
      <c r="O192" s="147">
        <f>INDEX('Master Data'!$C$75:$O$299,MATCH(A192,'Master Data'!$B$75:$B$299,0),MATCH($O$1,'Master Data'!$C$74:$O$74,0))</f>
        <v>0.23</v>
      </c>
      <c r="P192" s="148">
        <f>ROUND(O192*INDEX('Master Data'!$F$4:$K$12,MATCH($O$1,'Master Data'!$E$4:$E$12,0),MATCH(C192,'Master Data'!$F$3:$K$3,0)),2)</f>
        <v>7176</v>
      </c>
      <c r="Q192" s="147">
        <f>INDEX('Master Data'!$C$75:$O$299,MATCH(A192,'Master Data'!$B$75:$B$299,0),MATCH($Q$1,'Master Data'!$C$74:$O$74,0))</f>
        <v>0.12</v>
      </c>
      <c r="R192" s="148">
        <f>ROUND(Q192*INDEX('Master Data'!$F$4:$K$12,MATCH($Q$1,'Master Data'!$E$4:$E$12,0),MATCH(C192,'Master Data'!$F$3:$K$3,0)),2)</f>
        <v>5621.09</v>
      </c>
      <c r="S192" s="147">
        <f>INDEX('Master Data'!$C$75:$O$299,MATCH(A192,'Master Data'!$B$75:$B$299,0),MATCH($S$1,'Master Data'!$C$74:$O$74,0))</f>
        <v>0</v>
      </c>
      <c r="T192" s="148">
        <f>ROUND(S192*INDEX('Master Data'!$F$4:$K$12,MATCH($S$1,'Master Data'!$E$4:$E$12,0),MATCH(C192,'Master Data'!$F$3:$K$3,0)),2)</f>
        <v>0</v>
      </c>
      <c r="U192" s="147">
        <f>INDEX('Master Data'!$C$75:$O$299,MATCH(A192,'Master Data'!$B$75:$B$299,0),MATCH($U$1,'Master Data'!$C$74:$O$74,0))</f>
        <v>0</v>
      </c>
      <c r="V192" s="148">
        <f>ROUND(U192*INDEX('Master Data'!$F$4:$K$12,MATCH($U$1,'Master Data'!$E$4:$E$12,0),MATCH(C192,'Master Data'!$F$3:$K$3,0)),2)</f>
        <v>0</v>
      </c>
      <c r="W192" s="149">
        <f t="shared" si="20"/>
        <v>703035.86</v>
      </c>
      <c r="X192" s="148">
        <f>ROUND(W192*('Master Data'!$B$54),2)</f>
        <v>175548.05</v>
      </c>
      <c r="Y192" s="149">
        <f t="shared" si="26"/>
        <v>878583.90999999992</v>
      </c>
      <c r="Z192" s="147">
        <f>52*INDEX('Master Data'!$C$75:$O$299,MATCH(A192,'Master Data'!$B$75:$B$299,0),MATCH($Z$1,'Master Data'!$C$74:$O$74,0))</f>
        <v>104</v>
      </c>
      <c r="AA192" s="148">
        <f>Z192*('Master Data'!$F$15)</f>
        <v>7841.6</v>
      </c>
      <c r="AB192" s="147">
        <f>52*INDEX('Master Data'!$C$75:$O$299,MATCH(A192,'Master Data'!$B$75:$B$299,0),MATCH($AB$1,'Master Data'!$C$74:$O$74,0))</f>
        <v>156</v>
      </c>
      <c r="AC192" s="148">
        <f>AB192*('Master Data'!$F$16)</f>
        <v>11281.919999999998</v>
      </c>
      <c r="AD192" s="149">
        <f t="shared" si="21"/>
        <v>19123.519999999997</v>
      </c>
      <c r="AE192" s="148">
        <f>INDEX('Master Data'!$D$58:$D$60,MATCH(D192,'Master Data'!$B$58:$B$60,0))</f>
        <v>24321.56</v>
      </c>
      <c r="AF192" s="148">
        <f>INDEX('Master Data'!$E$58:$E$60,MATCH(D192,'Master Data'!$B$58:$B$60,0))</f>
        <v>2233.8000000000002</v>
      </c>
      <c r="AG192" s="148">
        <f>INDEX('Master Data'!$F$58:$F$60,MATCH(D192,'Master Data'!$B$58:$B$60,0))</f>
        <v>6471.45</v>
      </c>
      <c r="AH192" s="149">
        <f t="shared" si="23"/>
        <v>930734.24</v>
      </c>
      <c r="AI192" s="148">
        <f>ROUND(AH192*('Master Data'!$C$54),2)</f>
        <v>111688.11</v>
      </c>
      <c r="AJ192" s="148">
        <f>ROUND(SUM(AH192:AI192,AK192)*('Master Data'!$E$54),2)</f>
        <v>31229.97</v>
      </c>
      <c r="AK192" s="148">
        <f>ROUND(W192*('Master Data'!$F$54),2)</f>
        <v>0</v>
      </c>
      <c r="AL192" s="149">
        <f t="shared" si="24"/>
        <v>1073652.32</v>
      </c>
      <c r="AM192" s="140">
        <f t="shared" si="25"/>
        <v>3094.1</v>
      </c>
      <c r="AN192" s="121"/>
      <c r="AO192" s="121"/>
      <c r="AP192" s="121"/>
      <c r="AQ192" s="121"/>
      <c r="AR192" s="121"/>
      <c r="AS192" s="121"/>
    </row>
    <row r="193" spans="1:45">
      <c r="A193" s="121" t="s">
        <v>326</v>
      </c>
      <c r="B193" s="121" t="str">
        <f t="shared" si="22"/>
        <v>3</v>
      </c>
      <c r="C193" s="121" t="str">
        <f t="shared" si="27"/>
        <v>Medical 3</v>
      </c>
      <c r="D193" s="121" t="str">
        <f>INDEX('Master Data'!$C$75:$C$299,MATCH(A193,'Master Data'!$B$75:$B$299,0))</f>
        <v>4+</v>
      </c>
      <c r="E193" s="147">
        <f>INDEX('Master Data'!$C$75:$O$299,MATCH(A193,'Master Data'!$B$75:$B$299,0),MATCH($E$1,'Master Data'!$C$74:$O$74,0))</f>
        <v>0.41</v>
      </c>
      <c r="F193" s="148">
        <f>ROUND(E193*INDEX('Master Data'!$F$4:$K$12,MATCH($E$1,'Master Data'!$E$4:$E$12,0),MATCH(C193,'Master Data'!$F$3:$K$3,0)),2)</f>
        <v>33409.629999999997</v>
      </c>
      <c r="G193" s="147">
        <f>INDEX('Master Data'!$C$75:$O$299,MATCH(A193,'Master Data'!$B$75:$B$299,0),MATCH($G$1,'Master Data'!$C$74:$O$74,0))</f>
        <v>1</v>
      </c>
      <c r="H193" s="148">
        <f>ROUND(G193*INDEX('Master Data'!$F$4:$K$12,MATCH($G$1,'Master Data'!$E$4:$E$12,0),MATCH(C193,'Master Data'!$F$3:$K$3,0)),2)</f>
        <v>56388.63</v>
      </c>
      <c r="I193" s="147">
        <f>INDEX('Master Data'!$C$75:$O$299,MATCH(A193,'Master Data'!$B$75:$B$299,0),MATCH($I$1,'Master Data'!$C$74:$O$74,0))</f>
        <v>7.6</v>
      </c>
      <c r="J193" s="148">
        <f>ROUND(I193*INDEX('Master Data'!$F$4:$K$12,MATCH($I$1,'Master Data'!$E$4:$E$12,0),MATCH(C193,'Master Data'!$F$3:$K$3,0)),2)</f>
        <v>492720.54</v>
      </c>
      <c r="K193" s="147">
        <f>INDEX('Master Data'!$C$75:$O$299,MATCH(A193,'Master Data'!$B$75:$B$299,0),MATCH($K$1,'Master Data'!$C$74:$O$74,0))</f>
        <v>1.4</v>
      </c>
      <c r="L193" s="148">
        <f>ROUND(K193*INDEX('Master Data'!$F$4:$K$12,MATCH($K$1,'Master Data'!$E$4:$E$12,0),MATCH(C193,'Master Data'!$F$3:$K$3,0)),2)</f>
        <v>65579.399999999994</v>
      </c>
      <c r="M193" s="147">
        <f>INDEX('Master Data'!$C$75:$O$299,MATCH(A193,'Master Data'!$B$75:$B$299,0),MATCH($M$1,'Master Data'!$C$74:$O$74,0))</f>
        <v>1.23</v>
      </c>
      <c r="N193" s="148">
        <f>ROUND(M193*INDEX('Master Data'!$F$4:$K$12,MATCH($M$1,'Master Data'!$E$4:$E$12,0),MATCH(C193,'Master Data'!$F$3:$K$3,0)),2)</f>
        <v>79742.929999999993</v>
      </c>
      <c r="O193" s="147">
        <f>INDEX('Master Data'!$C$75:$O$299,MATCH(A193,'Master Data'!$B$75:$B$299,0),MATCH($O$1,'Master Data'!$C$74:$O$74,0))</f>
        <v>0.23</v>
      </c>
      <c r="P193" s="148">
        <f>ROUND(O193*INDEX('Master Data'!$F$4:$K$12,MATCH($O$1,'Master Data'!$E$4:$E$12,0),MATCH(C193,'Master Data'!$F$3:$K$3,0)),2)</f>
        <v>7176</v>
      </c>
      <c r="Q193" s="147">
        <f>INDEX('Master Data'!$C$75:$O$299,MATCH(A193,'Master Data'!$B$75:$B$299,0),MATCH($Q$1,'Master Data'!$C$74:$O$74,0))</f>
        <v>0.12</v>
      </c>
      <c r="R193" s="148">
        <f>ROUND(Q193*INDEX('Master Data'!$F$4:$K$12,MATCH($Q$1,'Master Data'!$E$4:$E$12,0),MATCH(C193,'Master Data'!$F$3:$K$3,0)),2)</f>
        <v>5621.09</v>
      </c>
      <c r="S193" s="147">
        <f>INDEX('Master Data'!$C$75:$O$299,MATCH(A193,'Master Data'!$B$75:$B$299,0),MATCH($S$1,'Master Data'!$C$74:$O$74,0))</f>
        <v>0</v>
      </c>
      <c r="T193" s="148">
        <f>ROUND(S193*INDEX('Master Data'!$F$4:$K$12,MATCH($S$1,'Master Data'!$E$4:$E$12,0),MATCH(C193,'Master Data'!$F$3:$K$3,0)),2)</f>
        <v>0</v>
      </c>
      <c r="U193" s="147">
        <f>INDEX('Master Data'!$C$75:$O$299,MATCH(A193,'Master Data'!$B$75:$B$299,0),MATCH($U$1,'Master Data'!$C$74:$O$74,0))</f>
        <v>0</v>
      </c>
      <c r="V193" s="148">
        <f>ROUND(U193*INDEX('Master Data'!$F$4:$K$12,MATCH($U$1,'Master Data'!$E$4:$E$12,0),MATCH(C193,'Master Data'!$F$3:$K$3,0)),2)</f>
        <v>0</v>
      </c>
      <c r="W193" s="149">
        <f t="shared" si="20"/>
        <v>740638.21999999986</v>
      </c>
      <c r="X193" s="148">
        <f>ROUND(W193*('Master Data'!$B$54),2)</f>
        <v>184937.36</v>
      </c>
      <c r="Y193" s="149">
        <f t="shared" si="26"/>
        <v>925575.57999999984</v>
      </c>
      <c r="Z193" s="147">
        <f>52*INDEX('Master Data'!$C$75:$O$299,MATCH(A193,'Master Data'!$B$75:$B$299,0),MATCH($Z$1,'Master Data'!$C$74:$O$74,0))</f>
        <v>104</v>
      </c>
      <c r="AA193" s="148">
        <f>Z193*('Master Data'!$F$15)</f>
        <v>7841.6</v>
      </c>
      <c r="AB193" s="147">
        <f>52*INDEX('Master Data'!$C$75:$O$299,MATCH(A193,'Master Data'!$B$75:$B$299,0),MATCH($AB$1,'Master Data'!$C$74:$O$74,0))</f>
        <v>156</v>
      </c>
      <c r="AC193" s="148">
        <f>AB193*('Master Data'!$F$16)</f>
        <v>11281.919999999998</v>
      </c>
      <c r="AD193" s="149">
        <f t="shared" si="21"/>
        <v>19123.519999999997</v>
      </c>
      <c r="AE193" s="148">
        <f>INDEX('Master Data'!$D$58:$D$60,MATCH(D193,'Master Data'!$B$58:$B$60,0))</f>
        <v>24321.56</v>
      </c>
      <c r="AF193" s="148">
        <f>INDEX('Master Data'!$E$58:$E$60,MATCH(D193,'Master Data'!$B$58:$B$60,0))</f>
        <v>2233.8000000000002</v>
      </c>
      <c r="AG193" s="148">
        <f>INDEX('Master Data'!$F$58:$F$60,MATCH(D193,'Master Data'!$B$58:$B$60,0))</f>
        <v>6471.45</v>
      </c>
      <c r="AH193" s="149">
        <f t="shared" si="23"/>
        <v>977725.90999999992</v>
      </c>
      <c r="AI193" s="148">
        <f>ROUND(AH193*('Master Data'!$C$54),2)</f>
        <v>117327.11</v>
      </c>
      <c r="AJ193" s="148">
        <f>ROUND(SUM(AH193:AI193,AK193)*('Master Data'!$E$54),2)</f>
        <v>32806.74</v>
      </c>
      <c r="AK193" s="148">
        <f>ROUND(W193*('Master Data'!$F$54),2)</f>
        <v>0</v>
      </c>
      <c r="AL193" s="149">
        <f t="shared" si="24"/>
        <v>1127859.76</v>
      </c>
      <c r="AM193" s="140">
        <f t="shared" si="25"/>
        <v>3250.32</v>
      </c>
      <c r="AN193" s="121"/>
      <c r="AO193" s="121"/>
      <c r="AP193" s="121"/>
      <c r="AQ193" s="121"/>
      <c r="AR193" s="121"/>
      <c r="AS193" s="121"/>
    </row>
    <row r="194" spans="1:45">
      <c r="A194" s="121" t="s">
        <v>327</v>
      </c>
      <c r="B194" s="121" t="str">
        <f t="shared" si="22"/>
        <v>3</v>
      </c>
      <c r="C194" s="121" t="str">
        <f t="shared" si="27"/>
        <v>Medical 3</v>
      </c>
      <c r="D194" s="121" t="str">
        <f>INDEX('Master Data'!$C$75:$C$299,MATCH(A194,'Master Data'!$B$75:$B$299,0))</f>
        <v>4+</v>
      </c>
      <c r="E194" s="147">
        <f>INDEX('Master Data'!$C$75:$O$299,MATCH(A194,'Master Data'!$B$75:$B$299,0),MATCH($E$1,'Master Data'!$C$74:$O$74,0))</f>
        <v>0.41</v>
      </c>
      <c r="F194" s="148">
        <f>ROUND(E194*INDEX('Master Data'!$F$4:$K$12,MATCH($E$1,'Master Data'!$E$4:$E$12,0),MATCH(C194,'Master Data'!$F$3:$K$3,0)),2)</f>
        <v>33409.629999999997</v>
      </c>
      <c r="G194" s="147">
        <f>INDEX('Master Data'!$C$75:$O$299,MATCH(A194,'Master Data'!$B$75:$B$299,0),MATCH($G$1,'Master Data'!$C$74:$O$74,0))</f>
        <v>1</v>
      </c>
      <c r="H194" s="148">
        <f>ROUND(G194*INDEX('Master Data'!$F$4:$K$12,MATCH($G$1,'Master Data'!$E$4:$E$12,0),MATCH(C194,'Master Data'!$F$3:$K$3,0)),2)</f>
        <v>56388.63</v>
      </c>
      <c r="I194" s="147">
        <f>INDEX('Master Data'!$C$75:$O$299,MATCH(A194,'Master Data'!$B$75:$B$299,0),MATCH($I$1,'Master Data'!$C$74:$O$74,0))</f>
        <v>8.1</v>
      </c>
      <c r="J194" s="148">
        <f>ROUND(I194*INDEX('Master Data'!$F$4:$K$12,MATCH($I$1,'Master Data'!$E$4:$E$12,0),MATCH(C194,'Master Data'!$F$3:$K$3,0)),2)</f>
        <v>525136.36</v>
      </c>
      <c r="K194" s="147">
        <f>INDEX('Master Data'!$C$75:$O$299,MATCH(A194,'Master Data'!$B$75:$B$299,0),MATCH($K$1,'Master Data'!$C$74:$O$74,0))</f>
        <v>1.4</v>
      </c>
      <c r="L194" s="148">
        <f>ROUND(K194*INDEX('Master Data'!$F$4:$K$12,MATCH($K$1,'Master Data'!$E$4:$E$12,0),MATCH(C194,'Master Data'!$F$3:$K$3,0)),2)</f>
        <v>65579.399999999994</v>
      </c>
      <c r="M194" s="147">
        <f>INDEX('Master Data'!$C$75:$O$299,MATCH(A194,'Master Data'!$B$75:$B$299,0),MATCH($M$1,'Master Data'!$C$74:$O$74,0))</f>
        <v>1.31</v>
      </c>
      <c r="N194" s="148">
        <f>ROUND(M194*INDEX('Master Data'!$F$4:$K$12,MATCH($M$1,'Master Data'!$E$4:$E$12,0),MATCH(C194,'Master Data'!$F$3:$K$3,0)),2)</f>
        <v>84929.46</v>
      </c>
      <c r="O194" s="147">
        <f>INDEX('Master Data'!$C$75:$O$299,MATCH(A194,'Master Data'!$B$75:$B$299,0),MATCH($O$1,'Master Data'!$C$74:$O$74,0))</f>
        <v>0.23</v>
      </c>
      <c r="P194" s="148">
        <f>ROUND(O194*INDEX('Master Data'!$F$4:$K$12,MATCH($O$1,'Master Data'!$E$4:$E$12,0),MATCH(C194,'Master Data'!$F$3:$K$3,0)),2)</f>
        <v>7176</v>
      </c>
      <c r="Q194" s="147">
        <f>INDEX('Master Data'!$C$75:$O$299,MATCH(A194,'Master Data'!$B$75:$B$299,0),MATCH($Q$1,'Master Data'!$C$74:$O$74,0))</f>
        <v>0.12</v>
      </c>
      <c r="R194" s="148">
        <f>ROUND(Q194*INDEX('Master Data'!$F$4:$K$12,MATCH($Q$1,'Master Data'!$E$4:$E$12,0),MATCH(C194,'Master Data'!$F$3:$K$3,0)),2)</f>
        <v>5621.09</v>
      </c>
      <c r="S194" s="147">
        <f>INDEX('Master Data'!$C$75:$O$299,MATCH(A194,'Master Data'!$B$75:$B$299,0),MATCH($S$1,'Master Data'!$C$74:$O$74,0))</f>
        <v>0</v>
      </c>
      <c r="T194" s="148">
        <f>ROUND(S194*INDEX('Master Data'!$F$4:$K$12,MATCH($S$1,'Master Data'!$E$4:$E$12,0),MATCH(C194,'Master Data'!$F$3:$K$3,0)),2)</f>
        <v>0</v>
      </c>
      <c r="U194" s="147">
        <f>INDEX('Master Data'!$C$75:$O$299,MATCH(A194,'Master Data'!$B$75:$B$299,0),MATCH($U$1,'Master Data'!$C$74:$O$74,0))</f>
        <v>0</v>
      </c>
      <c r="V194" s="148">
        <f>ROUND(U194*INDEX('Master Data'!$F$4:$K$12,MATCH($U$1,'Master Data'!$E$4:$E$12,0),MATCH(C194,'Master Data'!$F$3:$K$3,0)),2)</f>
        <v>0</v>
      </c>
      <c r="W194" s="149">
        <f t="shared" ref="W194:W218" si="28">SUM(F194,H194,J194,L194,N194,P194,R194,T194,V194)</f>
        <v>778240.57</v>
      </c>
      <c r="X194" s="148">
        <f>ROUND(W194*('Master Data'!$B$54),2)</f>
        <v>194326.67</v>
      </c>
      <c r="Y194" s="149">
        <f t="shared" si="26"/>
        <v>972567.24</v>
      </c>
      <c r="Z194" s="147">
        <f>52*INDEX('Master Data'!$C$75:$O$299,MATCH(A194,'Master Data'!$B$75:$B$299,0),MATCH($Z$1,'Master Data'!$C$74:$O$74,0))</f>
        <v>104</v>
      </c>
      <c r="AA194" s="148">
        <f>Z194*('Master Data'!$F$15)</f>
        <v>7841.6</v>
      </c>
      <c r="AB194" s="147">
        <f>52*INDEX('Master Data'!$C$75:$O$299,MATCH(A194,'Master Data'!$B$75:$B$299,0),MATCH($AB$1,'Master Data'!$C$74:$O$74,0))</f>
        <v>156</v>
      </c>
      <c r="AC194" s="148">
        <f>AB194*('Master Data'!$F$16)</f>
        <v>11281.919999999998</v>
      </c>
      <c r="AD194" s="149">
        <f t="shared" si="21"/>
        <v>19123.519999999997</v>
      </c>
      <c r="AE194" s="148">
        <f>INDEX('Master Data'!$D$58:$D$60,MATCH(D194,'Master Data'!$B$58:$B$60,0))</f>
        <v>24321.56</v>
      </c>
      <c r="AF194" s="148">
        <f>INDEX('Master Data'!$E$58:$E$60,MATCH(D194,'Master Data'!$B$58:$B$60,0))</f>
        <v>2233.8000000000002</v>
      </c>
      <c r="AG194" s="148">
        <f>INDEX('Master Data'!$F$58:$F$60,MATCH(D194,'Master Data'!$B$58:$B$60,0))</f>
        <v>6471.45</v>
      </c>
      <c r="AH194" s="149">
        <f t="shared" si="23"/>
        <v>1024717.5700000001</v>
      </c>
      <c r="AI194" s="148">
        <f>ROUND(AH194*('Master Data'!$C$54),2)</f>
        <v>122966.11</v>
      </c>
      <c r="AJ194" s="148">
        <f>ROUND(SUM(AH194:AI194,AK194)*('Master Data'!$E$54),2)</f>
        <v>34383.5</v>
      </c>
      <c r="AK194" s="148">
        <f>ROUND(W194*('Master Data'!$F$54),2)</f>
        <v>0</v>
      </c>
      <c r="AL194" s="149">
        <f t="shared" si="24"/>
        <v>1182067.1800000002</v>
      </c>
      <c r="AM194" s="140">
        <f t="shared" si="25"/>
        <v>3406.53</v>
      </c>
      <c r="AN194" s="121"/>
      <c r="AO194" s="121"/>
      <c r="AP194" s="121"/>
      <c r="AQ194" s="121"/>
      <c r="AR194" s="121"/>
      <c r="AS194" s="121"/>
    </row>
    <row r="195" spans="1:45">
      <c r="A195" s="121" t="s">
        <v>328</v>
      </c>
      <c r="B195" s="121" t="str">
        <f t="shared" si="22"/>
        <v>3</v>
      </c>
      <c r="C195" s="121" t="str">
        <f t="shared" si="27"/>
        <v>Medical 3</v>
      </c>
      <c r="D195" s="121" t="str">
        <f>INDEX('Master Data'!$C$75:$C$299,MATCH(A195,'Master Data'!$B$75:$B$299,0))</f>
        <v>4+</v>
      </c>
      <c r="E195" s="147">
        <f>INDEX('Master Data'!$C$75:$O$299,MATCH(A195,'Master Data'!$B$75:$B$299,0),MATCH($E$1,'Master Data'!$C$74:$O$74,0))</f>
        <v>0.41</v>
      </c>
      <c r="F195" s="148">
        <f>ROUND(E195*INDEX('Master Data'!$F$4:$K$12,MATCH($E$1,'Master Data'!$E$4:$E$12,0),MATCH(C195,'Master Data'!$F$3:$K$3,0)),2)</f>
        <v>33409.629999999997</v>
      </c>
      <c r="G195" s="147">
        <f>INDEX('Master Data'!$C$75:$O$299,MATCH(A195,'Master Data'!$B$75:$B$299,0),MATCH($G$1,'Master Data'!$C$74:$O$74,0))</f>
        <v>1</v>
      </c>
      <c r="H195" s="148">
        <f>ROUND(G195*INDEX('Master Data'!$F$4:$K$12,MATCH($G$1,'Master Data'!$E$4:$E$12,0),MATCH(C195,'Master Data'!$F$3:$K$3,0)),2)</f>
        <v>56388.63</v>
      </c>
      <c r="I195" s="147">
        <f>INDEX('Master Data'!$C$75:$O$299,MATCH(A195,'Master Data'!$B$75:$B$299,0),MATCH($I$1,'Master Data'!$C$74:$O$74,0))</f>
        <v>8.6</v>
      </c>
      <c r="J195" s="148">
        <f>ROUND(I195*INDEX('Master Data'!$F$4:$K$12,MATCH($I$1,'Master Data'!$E$4:$E$12,0),MATCH(C195,'Master Data'!$F$3:$K$3,0)),2)</f>
        <v>557552.18999999994</v>
      </c>
      <c r="K195" s="147">
        <f>INDEX('Master Data'!$C$75:$O$299,MATCH(A195,'Master Data'!$B$75:$B$299,0),MATCH($K$1,'Master Data'!$C$74:$O$74,0))</f>
        <v>1.4</v>
      </c>
      <c r="L195" s="148">
        <f>ROUND(K195*INDEX('Master Data'!$F$4:$K$12,MATCH($K$1,'Master Data'!$E$4:$E$12,0),MATCH(C195,'Master Data'!$F$3:$K$3,0)),2)</f>
        <v>65579.399999999994</v>
      </c>
      <c r="M195" s="147">
        <f>INDEX('Master Data'!$C$75:$O$299,MATCH(A195,'Master Data'!$B$75:$B$299,0),MATCH($M$1,'Master Data'!$C$74:$O$74,0))</f>
        <v>1.39</v>
      </c>
      <c r="N195" s="148">
        <f>ROUND(M195*INDEX('Master Data'!$F$4:$K$12,MATCH($M$1,'Master Data'!$E$4:$E$12,0),MATCH(C195,'Master Data'!$F$3:$K$3,0)),2)</f>
        <v>90115.99</v>
      </c>
      <c r="O195" s="147">
        <f>INDEX('Master Data'!$C$75:$O$299,MATCH(A195,'Master Data'!$B$75:$B$299,0),MATCH($O$1,'Master Data'!$C$74:$O$74,0))</f>
        <v>0.23</v>
      </c>
      <c r="P195" s="148">
        <f>ROUND(O195*INDEX('Master Data'!$F$4:$K$12,MATCH($O$1,'Master Data'!$E$4:$E$12,0),MATCH(C195,'Master Data'!$F$3:$K$3,0)),2)</f>
        <v>7176</v>
      </c>
      <c r="Q195" s="147">
        <f>INDEX('Master Data'!$C$75:$O$299,MATCH(A195,'Master Data'!$B$75:$B$299,0),MATCH($Q$1,'Master Data'!$C$74:$O$74,0))</f>
        <v>0.12</v>
      </c>
      <c r="R195" s="148">
        <f>ROUND(Q195*INDEX('Master Data'!$F$4:$K$12,MATCH($Q$1,'Master Data'!$E$4:$E$12,0),MATCH(C195,'Master Data'!$F$3:$K$3,0)),2)</f>
        <v>5621.09</v>
      </c>
      <c r="S195" s="147">
        <f>INDEX('Master Data'!$C$75:$O$299,MATCH(A195,'Master Data'!$B$75:$B$299,0),MATCH($S$1,'Master Data'!$C$74:$O$74,0))</f>
        <v>0</v>
      </c>
      <c r="T195" s="148">
        <f>ROUND(S195*INDEX('Master Data'!$F$4:$K$12,MATCH($S$1,'Master Data'!$E$4:$E$12,0),MATCH(C195,'Master Data'!$F$3:$K$3,0)),2)</f>
        <v>0</v>
      </c>
      <c r="U195" s="147">
        <f>INDEX('Master Data'!$C$75:$O$299,MATCH(A195,'Master Data'!$B$75:$B$299,0),MATCH($U$1,'Master Data'!$C$74:$O$74,0))</f>
        <v>0</v>
      </c>
      <c r="V195" s="148">
        <f>ROUND(U195*INDEX('Master Data'!$F$4:$K$12,MATCH($U$1,'Master Data'!$E$4:$E$12,0),MATCH(C195,'Master Data'!$F$3:$K$3,0)),2)</f>
        <v>0</v>
      </c>
      <c r="W195" s="149">
        <f t="shared" si="28"/>
        <v>815842.92999999993</v>
      </c>
      <c r="X195" s="148">
        <f>ROUND(W195*('Master Data'!$B$54),2)</f>
        <v>203715.98</v>
      </c>
      <c r="Y195" s="149">
        <f t="shared" si="26"/>
        <v>1019558.9099999999</v>
      </c>
      <c r="Z195" s="147">
        <f>52*INDEX('Master Data'!$C$75:$O$299,MATCH(A195,'Master Data'!$B$75:$B$299,0),MATCH($Z$1,'Master Data'!$C$74:$O$74,0))</f>
        <v>104</v>
      </c>
      <c r="AA195" s="148">
        <f>Z195*('Master Data'!$F$15)</f>
        <v>7841.6</v>
      </c>
      <c r="AB195" s="147">
        <f>52*INDEX('Master Data'!$C$75:$O$299,MATCH(A195,'Master Data'!$B$75:$B$299,0),MATCH($AB$1,'Master Data'!$C$74:$O$74,0))</f>
        <v>156</v>
      </c>
      <c r="AC195" s="148">
        <f>AB195*('Master Data'!$F$16)</f>
        <v>11281.919999999998</v>
      </c>
      <c r="AD195" s="149">
        <f t="shared" ref="AD195:AD206" si="29">SUM(AA195,AC195)</f>
        <v>19123.519999999997</v>
      </c>
      <c r="AE195" s="148">
        <f>INDEX('Master Data'!$D$58:$D$60,MATCH(D195,'Master Data'!$B$58:$B$60,0))</f>
        <v>24321.56</v>
      </c>
      <c r="AF195" s="148">
        <f>INDEX('Master Data'!$E$58:$E$60,MATCH(D195,'Master Data'!$B$58:$B$60,0))</f>
        <v>2233.8000000000002</v>
      </c>
      <c r="AG195" s="148">
        <f>INDEX('Master Data'!$F$58:$F$60,MATCH(D195,'Master Data'!$B$58:$B$60,0))</f>
        <v>6471.45</v>
      </c>
      <c r="AH195" s="149">
        <f t="shared" si="23"/>
        <v>1071709.24</v>
      </c>
      <c r="AI195" s="148">
        <f>ROUND(AH195*('Master Data'!$C$54),2)</f>
        <v>128605.11</v>
      </c>
      <c r="AJ195" s="148">
        <f>ROUND(SUM(AH195:AI195,AK195)*('Master Data'!$E$54),2)</f>
        <v>35960.269999999997</v>
      </c>
      <c r="AK195" s="148">
        <f>ROUND(W195*('Master Data'!$F$54),2)</f>
        <v>0</v>
      </c>
      <c r="AL195" s="149">
        <f t="shared" si="24"/>
        <v>1236274.6200000001</v>
      </c>
      <c r="AM195" s="140">
        <f t="shared" si="25"/>
        <v>3562.75</v>
      </c>
      <c r="AN195" s="121"/>
      <c r="AO195" s="121"/>
      <c r="AP195" s="121"/>
      <c r="AQ195" s="121"/>
      <c r="AR195" s="121"/>
      <c r="AS195" s="121"/>
    </row>
    <row r="196" spans="1:45">
      <c r="A196" s="121" t="s">
        <v>329</v>
      </c>
      <c r="B196" s="121" t="str">
        <f t="shared" si="22"/>
        <v>3</v>
      </c>
      <c r="C196" s="121" t="str">
        <f t="shared" si="27"/>
        <v>Medical 3</v>
      </c>
      <c r="D196" s="121" t="str">
        <f>INDEX('Master Data'!$C$75:$C$299,MATCH(A196,'Master Data'!$B$75:$B$299,0))</f>
        <v>4+</v>
      </c>
      <c r="E196" s="147">
        <f>INDEX('Master Data'!$C$75:$O$299,MATCH(A196,'Master Data'!$B$75:$B$299,0),MATCH($E$1,'Master Data'!$C$74:$O$74,0))</f>
        <v>0.41</v>
      </c>
      <c r="F196" s="148">
        <f>ROUND(E196*INDEX('Master Data'!$F$4:$K$12,MATCH($E$1,'Master Data'!$E$4:$E$12,0),MATCH(C196,'Master Data'!$F$3:$K$3,0)),2)</f>
        <v>33409.629999999997</v>
      </c>
      <c r="G196" s="147">
        <f>INDEX('Master Data'!$C$75:$O$299,MATCH(A196,'Master Data'!$B$75:$B$299,0),MATCH($G$1,'Master Data'!$C$74:$O$74,0))</f>
        <v>1</v>
      </c>
      <c r="H196" s="148">
        <f>ROUND(G196*INDEX('Master Data'!$F$4:$K$12,MATCH($G$1,'Master Data'!$E$4:$E$12,0),MATCH(C196,'Master Data'!$F$3:$K$3,0)),2)</f>
        <v>56388.63</v>
      </c>
      <c r="I196" s="147">
        <f>INDEX('Master Data'!$C$75:$O$299,MATCH(A196,'Master Data'!$B$75:$B$299,0),MATCH($I$1,'Master Data'!$C$74:$O$74,0))</f>
        <v>9.1</v>
      </c>
      <c r="J196" s="148">
        <f>ROUND(I196*INDEX('Master Data'!$F$4:$K$12,MATCH($I$1,'Master Data'!$E$4:$E$12,0),MATCH(C196,'Master Data'!$F$3:$K$3,0)),2)</f>
        <v>589968.01</v>
      </c>
      <c r="K196" s="147">
        <f>INDEX('Master Data'!$C$75:$O$299,MATCH(A196,'Master Data'!$B$75:$B$299,0),MATCH($K$1,'Master Data'!$C$74:$O$74,0))</f>
        <v>1.4</v>
      </c>
      <c r="L196" s="148">
        <f>ROUND(K196*INDEX('Master Data'!$F$4:$K$12,MATCH($K$1,'Master Data'!$E$4:$E$12,0),MATCH(C196,'Master Data'!$F$3:$K$3,0)),2)</f>
        <v>65579.399999999994</v>
      </c>
      <c r="M196" s="147">
        <f>INDEX('Master Data'!$C$75:$O$299,MATCH(A196,'Master Data'!$B$75:$B$299,0),MATCH($M$1,'Master Data'!$C$74:$O$74,0))</f>
        <v>1.47</v>
      </c>
      <c r="N196" s="148">
        <f>ROUND(M196*INDEX('Master Data'!$F$4:$K$12,MATCH($M$1,'Master Data'!$E$4:$E$12,0),MATCH(C196,'Master Data'!$F$3:$K$3,0)),2)</f>
        <v>95302.53</v>
      </c>
      <c r="O196" s="147">
        <f>INDEX('Master Data'!$C$75:$O$299,MATCH(A196,'Master Data'!$B$75:$B$299,0),MATCH($O$1,'Master Data'!$C$74:$O$74,0))</f>
        <v>0.23</v>
      </c>
      <c r="P196" s="148">
        <f>ROUND(O196*INDEX('Master Data'!$F$4:$K$12,MATCH($O$1,'Master Data'!$E$4:$E$12,0),MATCH(C196,'Master Data'!$F$3:$K$3,0)),2)</f>
        <v>7176</v>
      </c>
      <c r="Q196" s="147">
        <f>INDEX('Master Data'!$C$75:$O$299,MATCH(A196,'Master Data'!$B$75:$B$299,0),MATCH($Q$1,'Master Data'!$C$74:$O$74,0))</f>
        <v>0.12</v>
      </c>
      <c r="R196" s="148">
        <f>ROUND(Q196*INDEX('Master Data'!$F$4:$K$12,MATCH($Q$1,'Master Data'!$E$4:$E$12,0),MATCH(C196,'Master Data'!$F$3:$K$3,0)),2)</f>
        <v>5621.09</v>
      </c>
      <c r="S196" s="147">
        <f>INDEX('Master Data'!$C$75:$O$299,MATCH(A196,'Master Data'!$B$75:$B$299,0),MATCH($S$1,'Master Data'!$C$74:$O$74,0))</f>
        <v>0</v>
      </c>
      <c r="T196" s="148">
        <f>ROUND(S196*INDEX('Master Data'!$F$4:$K$12,MATCH($S$1,'Master Data'!$E$4:$E$12,0),MATCH(C196,'Master Data'!$F$3:$K$3,0)),2)</f>
        <v>0</v>
      </c>
      <c r="U196" s="147">
        <f>INDEX('Master Data'!$C$75:$O$299,MATCH(A196,'Master Data'!$B$75:$B$299,0),MATCH($U$1,'Master Data'!$C$74:$O$74,0))</f>
        <v>0</v>
      </c>
      <c r="V196" s="148">
        <f>ROUND(U196*INDEX('Master Data'!$F$4:$K$12,MATCH($U$1,'Master Data'!$E$4:$E$12,0),MATCH(C196,'Master Data'!$F$3:$K$3,0)),2)</f>
        <v>0</v>
      </c>
      <c r="W196" s="149">
        <f t="shared" si="28"/>
        <v>853445.29</v>
      </c>
      <c r="X196" s="148">
        <f>ROUND(W196*('Master Data'!$B$54),2)</f>
        <v>213105.29</v>
      </c>
      <c r="Y196" s="149">
        <f t="shared" si="26"/>
        <v>1066550.58</v>
      </c>
      <c r="Z196" s="147">
        <f>52*INDEX('Master Data'!$C$75:$O$299,MATCH(A196,'Master Data'!$B$75:$B$299,0),MATCH($Z$1,'Master Data'!$C$74:$O$74,0))</f>
        <v>104</v>
      </c>
      <c r="AA196" s="148">
        <f>Z196*('Master Data'!$F$15)</f>
        <v>7841.6</v>
      </c>
      <c r="AB196" s="147">
        <f>52*INDEX('Master Data'!$C$75:$O$299,MATCH(A196,'Master Data'!$B$75:$B$299,0),MATCH($AB$1,'Master Data'!$C$74:$O$74,0))</f>
        <v>156</v>
      </c>
      <c r="AC196" s="148">
        <f>AB196*('Master Data'!$F$16)</f>
        <v>11281.919999999998</v>
      </c>
      <c r="AD196" s="149">
        <f t="shared" si="29"/>
        <v>19123.519999999997</v>
      </c>
      <c r="AE196" s="148">
        <f>INDEX('Master Data'!$D$58:$D$60,MATCH(D196,'Master Data'!$B$58:$B$60,0))</f>
        <v>24321.56</v>
      </c>
      <c r="AF196" s="148">
        <f>INDEX('Master Data'!$E$58:$E$60,MATCH(D196,'Master Data'!$B$58:$B$60,0))</f>
        <v>2233.8000000000002</v>
      </c>
      <c r="AG196" s="148">
        <f>INDEX('Master Data'!$F$58:$F$60,MATCH(D196,'Master Data'!$B$58:$B$60,0))</f>
        <v>6471.45</v>
      </c>
      <c r="AH196" s="149">
        <f t="shared" si="23"/>
        <v>1118700.9100000001</v>
      </c>
      <c r="AI196" s="148">
        <f>ROUND(AH196*('Master Data'!$C$54),2)</f>
        <v>134244.10999999999</v>
      </c>
      <c r="AJ196" s="148">
        <f>ROUND(SUM(AH196:AI196,AK196)*('Master Data'!$E$54),2)</f>
        <v>37537.03</v>
      </c>
      <c r="AK196" s="148">
        <f>ROUND(W196*('Master Data'!$F$54),2)</f>
        <v>0</v>
      </c>
      <c r="AL196" s="149">
        <f t="shared" si="24"/>
        <v>1290482.05</v>
      </c>
      <c r="AM196" s="140">
        <f t="shared" si="25"/>
        <v>3718.97</v>
      </c>
      <c r="AN196" s="121"/>
      <c r="AO196" s="121"/>
      <c r="AP196" s="121"/>
      <c r="AQ196" s="121"/>
      <c r="AR196" s="121"/>
      <c r="AS196" s="121"/>
    </row>
    <row r="197" spans="1:45">
      <c r="A197" s="121" t="s">
        <v>330</v>
      </c>
      <c r="B197" s="121" t="str">
        <f t="shared" si="22"/>
        <v>3</v>
      </c>
      <c r="C197" s="121" t="str">
        <f t="shared" si="27"/>
        <v>Medical 3</v>
      </c>
      <c r="D197" s="121" t="str">
        <f>INDEX('Master Data'!$C$75:$C$299,MATCH(A197,'Master Data'!$B$75:$B$299,0))</f>
        <v>4+</v>
      </c>
      <c r="E197" s="147">
        <f>INDEX('Master Data'!$C$75:$O$299,MATCH(A197,'Master Data'!$B$75:$B$299,0),MATCH($E$1,'Master Data'!$C$74:$O$74,0))</f>
        <v>0.41</v>
      </c>
      <c r="F197" s="148">
        <f>ROUND(E197*INDEX('Master Data'!$F$4:$K$12,MATCH($E$1,'Master Data'!$E$4:$E$12,0),MATCH(C197,'Master Data'!$F$3:$K$3,0)),2)</f>
        <v>33409.629999999997</v>
      </c>
      <c r="G197" s="147">
        <f>INDEX('Master Data'!$C$75:$O$299,MATCH(A197,'Master Data'!$B$75:$B$299,0),MATCH($G$1,'Master Data'!$C$74:$O$74,0))</f>
        <v>1</v>
      </c>
      <c r="H197" s="148">
        <f>ROUND(G197*INDEX('Master Data'!$F$4:$K$12,MATCH($G$1,'Master Data'!$E$4:$E$12,0),MATCH(C197,'Master Data'!$F$3:$K$3,0)),2)</f>
        <v>56388.63</v>
      </c>
      <c r="I197" s="147">
        <f>INDEX('Master Data'!$C$75:$O$299,MATCH(A197,'Master Data'!$B$75:$B$299,0),MATCH($I$1,'Master Data'!$C$74:$O$74,0))</f>
        <v>9.6</v>
      </c>
      <c r="J197" s="148">
        <f>ROUND(I197*INDEX('Master Data'!$F$4:$K$12,MATCH($I$1,'Master Data'!$E$4:$E$12,0),MATCH(C197,'Master Data'!$F$3:$K$3,0)),2)</f>
        <v>622383.84</v>
      </c>
      <c r="K197" s="147">
        <f>INDEX('Master Data'!$C$75:$O$299,MATCH(A197,'Master Data'!$B$75:$B$299,0),MATCH($K$1,'Master Data'!$C$74:$O$74,0))</f>
        <v>1.4</v>
      </c>
      <c r="L197" s="148">
        <f>ROUND(K197*INDEX('Master Data'!$F$4:$K$12,MATCH($K$1,'Master Data'!$E$4:$E$12,0),MATCH(C197,'Master Data'!$F$3:$K$3,0)),2)</f>
        <v>65579.399999999994</v>
      </c>
      <c r="M197" s="147">
        <f>INDEX('Master Data'!$C$75:$O$299,MATCH(A197,'Master Data'!$B$75:$B$299,0),MATCH($M$1,'Master Data'!$C$74:$O$74,0))</f>
        <v>1.56</v>
      </c>
      <c r="N197" s="148">
        <f>ROUND(M197*INDEX('Master Data'!$F$4:$K$12,MATCH($M$1,'Master Data'!$E$4:$E$12,0),MATCH(C197,'Master Data'!$F$3:$K$3,0)),2)</f>
        <v>101137.37</v>
      </c>
      <c r="O197" s="147">
        <f>INDEX('Master Data'!$C$75:$O$299,MATCH(A197,'Master Data'!$B$75:$B$299,0),MATCH($O$1,'Master Data'!$C$74:$O$74,0))</f>
        <v>0.23</v>
      </c>
      <c r="P197" s="148">
        <f>ROUND(O197*INDEX('Master Data'!$F$4:$K$12,MATCH($O$1,'Master Data'!$E$4:$E$12,0),MATCH(C197,'Master Data'!$F$3:$K$3,0)),2)</f>
        <v>7176</v>
      </c>
      <c r="Q197" s="147">
        <f>INDEX('Master Data'!$C$75:$O$299,MATCH(A197,'Master Data'!$B$75:$B$299,0),MATCH($Q$1,'Master Data'!$C$74:$O$74,0))</f>
        <v>0.12</v>
      </c>
      <c r="R197" s="148">
        <f>ROUND(Q197*INDEX('Master Data'!$F$4:$K$12,MATCH($Q$1,'Master Data'!$E$4:$E$12,0),MATCH(C197,'Master Data'!$F$3:$K$3,0)),2)</f>
        <v>5621.09</v>
      </c>
      <c r="S197" s="147">
        <f>INDEX('Master Data'!$C$75:$O$299,MATCH(A197,'Master Data'!$B$75:$B$299,0),MATCH($S$1,'Master Data'!$C$74:$O$74,0))</f>
        <v>0</v>
      </c>
      <c r="T197" s="148">
        <f>ROUND(S197*INDEX('Master Data'!$F$4:$K$12,MATCH($S$1,'Master Data'!$E$4:$E$12,0),MATCH(C197,'Master Data'!$F$3:$K$3,0)),2)</f>
        <v>0</v>
      </c>
      <c r="U197" s="147">
        <f>INDEX('Master Data'!$C$75:$O$299,MATCH(A197,'Master Data'!$B$75:$B$299,0),MATCH($U$1,'Master Data'!$C$74:$O$74,0))</f>
        <v>0</v>
      </c>
      <c r="V197" s="148">
        <f>ROUND(U197*INDEX('Master Data'!$F$4:$K$12,MATCH($U$1,'Master Data'!$E$4:$E$12,0),MATCH(C197,'Master Data'!$F$3:$K$3,0)),2)</f>
        <v>0</v>
      </c>
      <c r="W197" s="149">
        <f t="shared" si="28"/>
        <v>891695.96</v>
      </c>
      <c r="X197" s="148">
        <f>ROUND(W197*('Master Data'!$B$54),2)</f>
        <v>222656.48</v>
      </c>
      <c r="Y197" s="149">
        <f t="shared" si="26"/>
        <v>1114352.44</v>
      </c>
      <c r="Z197" s="147">
        <f>52*INDEX('Master Data'!$C$75:$O$299,MATCH(A197,'Master Data'!$B$75:$B$299,0),MATCH($Z$1,'Master Data'!$C$74:$O$74,0))</f>
        <v>104</v>
      </c>
      <c r="AA197" s="148">
        <f>Z197*('Master Data'!$F$15)</f>
        <v>7841.6</v>
      </c>
      <c r="AB197" s="147">
        <f>52*INDEX('Master Data'!$C$75:$O$299,MATCH(A197,'Master Data'!$B$75:$B$299,0),MATCH($AB$1,'Master Data'!$C$74:$O$74,0))</f>
        <v>156</v>
      </c>
      <c r="AC197" s="148">
        <f>AB197*('Master Data'!$F$16)</f>
        <v>11281.919999999998</v>
      </c>
      <c r="AD197" s="149">
        <f t="shared" si="29"/>
        <v>19123.519999999997</v>
      </c>
      <c r="AE197" s="148">
        <f>INDEX('Master Data'!$D$58:$D$60,MATCH(D197,'Master Data'!$B$58:$B$60,0))</f>
        <v>24321.56</v>
      </c>
      <c r="AF197" s="148">
        <f>INDEX('Master Data'!$E$58:$E$60,MATCH(D197,'Master Data'!$B$58:$B$60,0))</f>
        <v>2233.8000000000002</v>
      </c>
      <c r="AG197" s="148">
        <f>INDEX('Master Data'!$F$58:$F$60,MATCH(D197,'Master Data'!$B$58:$B$60,0))</f>
        <v>6471.45</v>
      </c>
      <c r="AH197" s="149">
        <f t="shared" si="23"/>
        <v>1166502.77</v>
      </c>
      <c r="AI197" s="148">
        <f>ROUND(AH197*('Master Data'!$C$54),2)</f>
        <v>139980.32999999999</v>
      </c>
      <c r="AJ197" s="148">
        <f>ROUND(SUM(AH197:AI197,AK197)*('Master Data'!$E$54),2)</f>
        <v>39140.980000000003</v>
      </c>
      <c r="AK197" s="148">
        <f>ROUND(W197*('Master Data'!$F$54),2)</f>
        <v>0</v>
      </c>
      <c r="AL197" s="149">
        <f t="shared" si="24"/>
        <v>1345624.08</v>
      </c>
      <c r="AM197" s="140">
        <f t="shared" si="25"/>
        <v>3877.88</v>
      </c>
      <c r="AN197" s="121"/>
      <c r="AO197" s="121"/>
      <c r="AP197" s="121"/>
      <c r="AQ197" s="121"/>
      <c r="AR197" s="121"/>
      <c r="AS197" s="121"/>
    </row>
    <row r="198" spans="1:45">
      <c r="A198" s="121" t="s">
        <v>331</v>
      </c>
      <c r="B198" s="121" t="str">
        <f t="shared" si="22"/>
        <v>3</v>
      </c>
      <c r="C198" s="121" t="str">
        <f t="shared" si="27"/>
        <v>Medical 3</v>
      </c>
      <c r="D198" s="121" t="str">
        <f>INDEX('Master Data'!$C$75:$C$299,MATCH(A198,'Master Data'!$B$75:$B$299,0))</f>
        <v>4+</v>
      </c>
      <c r="E198" s="147">
        <f>INDEX('Master Data'!$C$75:$O$299,MATCH(A198,'Master Data'!$B$75:$B$299,0),MATCH($E$1,'Master Data'!$C$74:$O$74,0))</f>
        <v>0.41</v>
      </c>
      <c r="F198" s="148">
        <f>ROUND(E198*INDEX('Master Data'!$F$4:$K$12,MATCH($E$1,'Master Data'!$E$4:$E$12,0),MATCH(C198,'Master Data'!$F$3:$K$3,0)),2)</f>
        <v>33409.629999999997</v>
      </c>
      <c r="G198" s="147">
        <f>INDEX('Master Data'!$C$75:$O$299,MATCH(A198,'Master Data'!$B$75:$B$299,0),MATCH($G$1,'Master Data'!$C$74:$O$74,0))</f>
        <v>1</v>
      </c>
      <c r="H198" s="148">
        <f>ROUND(G198*INDEX('Master Data'!$F$4:$K$12,MATCH($G$1,'Master Data'!$E$4:$E$12,0),MATCH(C198,'Master Data'!$F$3:$K$3,0)),2)</f>
        <v>56388.63</v>
      </c>
      <c r="I198" s="147">
        <f>INDEX('Master Data'!$C$75:$O$299,MATCH(A198,'Master Data'!$B$75:$B$299,0),MATCH($I$1,'Master Data'!$C$74:$O$74,0))</f>
        <v>10.1</v>
      </c>
      <c r="J198" s="148">
        <f>ROUND(I198*INDEX('Master Data'!$F$4:$K$12,MATCH($I$1,'Master Data'!$E$4:$E$12,0),MATCH(C198,'Master Data'!$F$3:$K$3,0)),2)</f>
        <v>654799.66</v>
      </c>
      <c r="K198" s="147">
        <f>INDEX('Master Data'!$C$75:$O$299,MATCH(A198,'Master Data'!$B$75:$B$299,0),MATCH($K$1,'Master Data'!$C$74:$O$74,0))</f>
        <v>1.4</v>
      </c>
      <c r="L198" s="148">
        <f>ROUND(K198*INDEX('Master Data'!$F$4:$K$12,MATCH($K$1,'Master Data'!$E$4:$E$12,0),MATCH(C198,'Master Data'!$F$3:$K$3,0)),2)</f>
        <v>65579.399999999994</v>
      </c>
      <c r="M198" s="147">
        <f>INDEX('Master Data'!$C$75:$O$299,MATCH(A198,'Master Data'!$B$75:$B$299,0),MATCH($M$1,'Master Data'!$C$74:$O$74,0))</f>
        <v>1.64</v>
      </c>
      <c r="N198" s="148">
        <f>ROUND(M198*INDEX('Master Data'!$F$4:$K$12,MATCH($M$1,'Master Data'!$E$4:$E$12,0),MATCH(C198,'Master Data'!$F$3:$K$3,0)),2)</f>
        <v>106323.91</v>
      </c>
      <c r="O198" s="147">
        <f>INDEX('Master Data'!$C$75:$O$299,MATCH(A198,'Master Data'!$B$75:$B$299,0),MATCH($O$1,'Master Data'!$C$74:$O$74,0))</f>
        <v>0.23</v>
      </c>
      <c r="P198" s="148">
        <f>ROUND(O198*INDEX('Master Data'!$F$4:$K$12,MATCH($O$1,'Master Data'!$E$4:$E$12,0),MATCH(C198,'Master Data'!$F$3:$K$3,0)),2)</f>
        <v>7176</v>
      </c>
      <c r="Q198" s="147">
        <f>INDEX('Master Data'!$C$75:$O$299,MATCH(A198,'Master Data'!$B$75:$B$299,0),MATCH($Q$1,'Master Data'!$C$74:$O$74,0))</f>
        <v>0.12</v>
      </c>
      <c r="R198" s="148">
        <f>ROUND(Q198*INDEX('Master Data'!$F$4:$K$12,MATCH($Q$1,'Master Data'!$E$4:$E$12,0),MATCH(C198,'Master Data'!$F$3:$K$3,0)),2)</f>
        <v>5621.09</v>
      </c>
      <c r="S198" s="147">
        <f>INDEX('Master Data'!$C$75:$O$299,MATCH(A198,'Master Data'!$B$75:$B$299,0),MATCH($S$1,'Master Data'!$C$74:$O$74,0))</f>
        <v>0</v>
      </c>
      <c r="T198" s="148">
        <f>ROUND(S198*INDEX('Master Data'!$F$4:$K$12,MATCH($S$1,'Master Data'!$E$4:$E$12,0),MATCH(C198,'Master Data'!$F$3:$K$3,0)),2)</f>
        <v>0</v>
      </c>
      <c r="U198" s="147">
        <f>INDEX('Master Data'!$C$75:$O$299,MATCH(A198,'Master Data'!$B$75:$B$299,0),MATCH($U$1,'Master Data'!$C$74:$O$74,0))</f>
        <v>0</v>
      </c>
      <c r="V198" s="148">
        <f>ROUND(U198*INDEX('Master Data'!$F$4:$K$12,MATCH($U$1,'Master Data'!$E$4:$E$12,0),MATCH(C198,'Master Data'!$F$3:$K$3,0)),2)</f>
        <v>0</v>
      </c>
      <c r="W198" s="149">
        <f t="shared" si="28"/>
        <v>929298.32000000007</v>
      </c>
      <c r="X198" s="148">
        <f>ROUND(W198*('Master Data'!$B$54),2)</f>
        <v>232045.79</v>
      </c>
      <c r="Y198" s="149">
        <f t="shared" si="26"/>
        <v>1161344.1100000001</v>
      </c>
      <c r="Z198" s="147">
        <f>52*INDEX('Master Data'!$C$75:$O$299,MATCH(A198,'Master Data'!$B$75:$B$299,0),MATCH($Z$1,'Master Data'!$C$74:$O$74,0))</f>
        <v>104</v>
      </c>
      <c r="AA198" s="148">
        <f>Z198*('Master Data'!$F$15)</f>
        <v>7841.6</v>
      </c>
      <c r="AB198" s="147">
        <f>52*INDEX('Master Data'!$C$75:$O$299,MATCH(A198,'Master Data'!$B$75:$B$299,0),MATCH($AB$1,'Master Data'!$C$74:$O$74,0))</f>
        <v>156</v>
      </c>
      <c r="AC198" s="148">
        <f>AB198*('Master Data'!$F$16)</f>
        <v>11281.919999999998</v>
      </c>
      <c r="AD198" s="149">
        <f t="shared" si="29"/>
        <v>19123.519999999997</v>
      </c>
      <c r="AE198" s="148">
        <f>INDEX('Master Data'!$D$58:$D$60,MATCH(D198,'Master Data'!$B$58:$B$60,0))</f>
        <v>24321.56</v>
      </c>
      <c r="AF198" s="148">
        <f>INDEX('Master Data'!$E$58:$E$60,MATCH(D198,'Master Data'!$B$58:$B$60,0))</f>
        <v>2233.8000000000002</v>
      </c>
      <c r="AG198" s="148">
        <f>INDEX('Master Data'!$F$58:$F$60,MATCH(D198,'Master Data'!$B$58:$B$60,0))</f>
        <v>6471.45</v>
      </c>
      <c r="AH198" s="149">
        <f t="shared" si="23"/>
        <v>1213494.4400000002</v>
      </c>
      <c r="AI198" s="148">
        <f>ROUND(AH198*('Master Data'!$C$54),2)</f>
        <v>145619.32999999999</v>
      </c>
      <c r="AJ198" s="148">
        <f>ROUND(SUM(AH198:AI198,AK198)*('Master Data'!$E$54),2)</f>
        <v>40717.75</v>
      </c>
      <c r="AK198" s="148">
        <f>ROUND(W198*('Master Data'!$F$54),2)</f>
        <v>0</v>
      </c>
      <c r="AL198" s="149">
        <f t="shared" si="24"/>
        <v>1399831.5200000003</v>
      </c>
      <c r="AM198" s="140">
        <f t="shared" si="25"/>
        <v>4034.1</v>
      </c>
      <c r="AN198" s="121"/>
      <c r="AO198" s="121"/>
      <c r="AP198" s="121"/>
      <c r="AQ198" s="121"/>
      <c r="AR198" s="121"/>
      <c r="AS198" s="121"/>
    </row>
    <row r="199" spans="1:45">
      <c r="A199" s="121" t="s">
        <v>332</v>
      </c>
      <c r="B199" s="121" t="str">
        <f t="shared" si="22"/>
        <v>3</v>
      </c>
      <c r="C199" s="121" t="str">
        <f t="shared" si="27"/>
        <v>Medical 3</v>
      </c>
      <c r="D199" s="121" t="str">
        <f>INDEX('Master Data'!$C$75:$C$299,MATCH(A199,'Master Data'!$B$75:$B$299,0))</f>
        <v>4+</v>
      </c>
      <c r="E199" s="147">
        <f>INDEX('Master Data'!$C$75:$O$299,MATCH(A199,'Master Data'!$B$75:$B$299,0),MATCH($E$1,'Master Data'!$C$74:$O$74,0))</f>
        <v>0.41</v>
      </c>
      <c r="F199" s="148">
        <f>ROUND(E199*INDEX('Master Data'!$F$4:$K$12,MATCH($E$1,'Master Data'!$E$4:$E$12,0),MATCH(C199,'Master Data'!$F$3:$K$3,0)),2)</f>
        <v>33409.629999999997</v>
      </c>
      <c r="G199" s="147">
        <f>INDEX('Master Data'!$C$75:$O$299,MATCH(A199,'Master Data'!$B$75:$B$299,0),MATCH($G$1,'Master Data'!$C$74:$O$74,0))</f>
        <v>1</v>
      </c>
      <c r="H199" s="148">
        <f>ROUND(G199*INDEX('Master Data'!$F$4:$K$12,MATCH($G$1,'Master Data'!$E$4:$E$12,0),MATCH(C199,'Master Data'!$F$3:$K$3,0)),2)</f>
        <v>56388.63</v>
      </c>
      <c r="I199" s="147">
        <f>INDEX('Master Data'!$C$75:$O$299,MATCH(A199,'Master Data'!$B$75:$B$299,0),MATCH($I$1,'Master Data'!$C$74:$O$74,0))</f>
        <v>10.6</v>
      </c>
      <c r="J199" s="148">
        <f>ROUND(I199*INDEX('Master Data'!$F$4:$K$12,MATCH($I$1,'Master Data'!$E$4:$E$12,0),MATCH(C199,'Master Data'!$F$3:$K$3,0)),2)</f>
        <v>687215.49</v>
      </c>
      <c r="K199" s="147">
        <f>INDEX('Master Data'!$C$75:$O$299,MATCH(A199,'Master Data'!$B$75:$B$299,0),MATCH($K$1,'Master Data'!$C$74:$O$74,0))</f>
        <v>1.4</v>
      </c>
      <c r="L199" s="148">
        <f>ROUND(K199*INDEX('Master Data'!$F$4:$K$12,MATCH($K$1,'Master Data'!$E$4:$E$12,0),MATCH(C199,'Master Data'!$F$3:$K$3,0)),2)</f>
        <v>65579.399999999994</v>
      </c>
      <c r="M199" s="147">
        <f>INDEX('Master Data'!$C$75:$O$299,MATCH(A199,'Master Data'!$B$75:$B$299,0),MATCH($M$1,'Master Data'!$C$74:$O$74,0))</f>
        <v>1.72</v>
      </c>
      <c r="N199" s="148">
        <f>ROUND(M199*INDEX('Master Data'!$F$4:$K$12,MATCH($M$1,'Master Data'!$E$4:$E$12,0),MATCH(C199,'Master Data'!$F$3:$K$3,0)),2)</f>
        <v>111510.44</v>
      </c>
      <c r="O199" s="147">
        <f>INDEX('Master Data'!$C$75:$O$299,MATCH(A199,'Master Data'!$B$75:$B$299,0),MATCH($O$1,'Master Data'!$C$74:$O$74,0))</f>
        <v>0.23</v>
      </c>
      <c r="P199" s="148">
        <f>ROUND(O199*INDEX('Master Data'!$F$4:$K$12,MATCH($O$1,'Master Data'!$E$4:$E$12,0),MATCH(C199,'Master Data'!$F$3:$K$3,0)),2)</f>
        <v>7176</v>
      </c>
      <c r="Q199" s="147">
        <f>INDEX('Master Data'!$C$75:$O$299,MATCH(A199,'Master Data'!$B$75:$B$299,0),MATCH($Q$1,'Master Data'!$C$74:$O$74,0))</f>
        <v>0.12</v>
      </c>
      <c r="R199" s="148">
        <f>ROUND(Q199*INDEX('Master Data'!$F$4:$K$12,MATCH($Q$1,'Master Data'!$E$4:$E$12,0),MATCH(C199,'Master Data'!$F$3:$K$3,0)),2)</f>
        <v>5621.09</v>
      </c>
      <c r="S199" s="147">
        <f>INDEX('Master Data'!$C$75:$O$299,MATCH(A199,'Master Data'!$B$75:$B$299,0),MATCH($S$1,'Master Data'!$C$74:$O$74,0))</f>
        <v>0</v>
      </c>
      <c r="T199" s="148">
        <f>ROUND(S199*INDEX('Master Data'!$F$4:$K$12,MATCH($S$1,'Master Data'!$E$4:$E$12,0),MATCH(C199,'Master Data'!$F$3:$K$3,0)),2)</f>
        <v>0</v>
      </c>
      <c r="U199" s="147">
        <f>INDEX('Master Data'!$C$75:$O$299,MATCH(A199,'Master Data'!$B$75:$B$299,0),MATCH($U$1,'Master Data'!$C$74:$O$74,0))</f>
        <v>0</v>
      </c>
      <c r="V199" s="148">
        <f>ROUND(U199*INDEX('Master Data'!$F$4:$K$12,MATCH($U$1,'Master Data'!$E$4:$E$12,0),MATCH(C199,'Master Data'!$F$3:$K$3,0)),2)</f>
        <v>0</v>
      </c>
      <c r="W199" s="149">
        <f t="shared" si="28"/>
        <v>966900.68</v>
      </c>
      <c r="X199" s="148">
        <f>ROUND(W199*('Master Data'!$B$54),2)</f>
        <v>241435.1</v>
      </c>
      <c r="Y199" s="149">
        <f t="shared" si="26"/>
        <v>1208335.78</v>
      </c>
      <c r="Z199" s="147">
        <f>52*INDEX('Master Data'!$C$75:$O$299,MATCH(A199,'Master Data'!$B$75:$B$299,0),MATCH($Z$1,'Master Data'!$C$74:$O$74,0))</f>
        <v>104</v>
      </c>
      <c r="AA199" s="148">
        <f>Z199*('Master Data'!$F$15)</f>
        <v>7841.6</v>
      </c>
      <c r="AB199" s="147">
        <f>52*INDEX('Master Data'!$C$75:$O$299,MATCH(A199,'Master Data'!$B$75:$B$299,0),MATCH($AB$1,'Master Data'!$C$74:$O$74,0))</f>
        <v>156</v>
      </c>
      <c r="AC199" s="148">
        <f>AB199*('Master Data'!$F$16)</f>
        <v>11281.919999999998</v>
      </c>
      <c r="AD199" s="149">
        <f t="shared" si="29"/>
        <v>19123.519999999997</v>
      </c>
      <c r="AE199" s="148">
        <f>INDEX('Master Data'!$D$58:$D$60,MATCH(D199,'Master Data'!$B$58:$B$60,0))</f>
        <v>24321.56</v>
      </c>
      <c r="AF199" s="148">
        <f>INDEX('Master Data'!$E$58:$E$60,MATCH(D199,'Master Data'!$B$58:$B$60,0))</f>
        <v>2233.8000000000002</v>
      </c>
      <c r="AG199" s="148">
        <f>INDEX('Master Data'!$F$58:$F$60,MATCH(D199,'Master Data'!$B$58:$B$60,0))</f>
        <v>6471.45</v>
      </c>
      <c r="AH199" s="149">
        <f t="shared" si="23"/>
        <v>1260486.1100000001</v>
      </c>
      <c r="AI199" s="148">
        <f>ROUND(AH199*('Master Data'!$C$54),2)</f>
        <v>151258.32999999999</v>
      </c>
      <c r="AJ199" s="148">
        <f>ROUND(SUM(AH199:AI199,AK199)*('Master Data'!$E$54),2)</f>
        <v>42294.51</v>
      </c>
      <c r="AK199" s="148">
        <f>ROUND(W199*('Master Data'!$F$54),2)</f>
        <v>0</v>
      </c>
      <c r="AL199" s="149">
        <f t="shared" si="24"/>
        <v>1454038.9500000002</v>
      </c>
      <c r="AM199" s="140">
        <f t="shared" si="25"/>
        <v>4190.3100000000004</v>
      </c>
      <c r="AN199" s="121"/>
      <c r="AO199" s="121"/>
      <c r="AP199" s="121"/>
      <c r="AQ199" s="121"/>
      <c r="AR199" s="121"/>
      <c r="AS199" s="121"/>
    </row>
    <row r="200" spans="1:45">
      <c r="A200" s="121" t="s">
        <v>333</v>
      </c>
      <c r="B200" s="121" t="str">
        <f t="shared" si="22"/>
        <v>3</v>
      </c>
      <c r="C200" s="121" t="str">
        <f t="shared" si="27"/>
        <v>Medical 3</v>
      </c>
      <c r="D200" s="121" t="str">
        <f>INDEX('Master Data'!$C$75:$C$299,MATCH(A200,'Master Data'!$B$75:$B$299,0))</f>
        <v>4+</v>
      </c>
      <c r="E200" s="147">
        <f>INDEX('Master Data'!$C$75:$O$299,MATCH(A200,'Master Data'!$B$75:$B$299,0),MATCH($E$1,'Master Data'!$C$74:$O$74,0))</f>
        <v>0.41</v>
      </c>
      <c r="F200" s="148">
        <f>ROUND(E200*INDEX('Master Data'!$F$4:$K$12,MATCH($E$1,'Master Data'!$E$4:$E$12,0),MATCH(C200,'Master Data'!$F$3:$K$3,0)),2)</f>
        <v>33409.629999999997</v>
      </c>
      <c r="G200" s="147">
        <f>INDEX('Master Data'!$C$75:$O$299,MATCH(A200,'Master Data'!$B$75:$B$299,0),MATCH($G$1,'Master Data'!$C$74:$O$74,0))</f>
        <v>1</v>
      </c>
      <c r="H200" s="148">
        <f>ROUND(G200*INDEX('Master Data'!$F$4:$K$12,MATCH($G$1,'Master Data'!$E$4:$E$12,0),MATCH(C200,'Master Data'!$F$3:$K$3,0)),2)</f>
        <v>56388.63</v>
      </c>
      <c r="I200" s="147">
        <f>INDEX('Master Data'!$C$75:$O$299,MATCH(A200,'Master Data'!$B$75:$B$299,0),MATCH($I$1,'Master Data'!$C$74:$O$74,0))</f>
        <v>11.1</v>
      </c>
      <c r="J200" s="148">
        <f>ROUND(I200*INDEX('Master Data'!$F$4:$K$12,MATCH($I$1,'Master Data'!$E$4:$E$12,0),MATCH(C200,'Master Data'!$F$3:$K$3,0)),2)</f>
        <v>719631.31</v>
      </c>
      <c r="K200" s="147">
        <f>INDEX('Master Data'!$C$75:$O$299,MATCH(A200,'Master Data'!$B$75:$B$299,0),MATCH($K$1,'Master Data'!$C$74:$O$74,0))</f>
        <v>1.4</v>
      </c>
      <c r="L200" s="148">
        <f>ROUND(K200*INDEX('Master Data'!$F$4:$K$12,MATCH($K$1,'Master Data'!$E$4:$E$12,0),MATCH(C200,'Master Data'!$F$3:$K$3,0)),2)</f>
        <v>65579.399999999994</v>
      </c>
      <c r="M200" s="147">
        <f>INDEX('Master Data'!$C$75:$O$299,MATCH(A200,'Master Data'!$B$75:$B$299,0),MATCH($M$1,'Master Data'!$C$74:$O$74,0))</f>
        <v>1.8</v>
      </c>
      <c r="N200" s="148">
        <f>ROUND(M200*INDEX('Master Data'!$F$4:$K$12,MATCH($M$1,'Master Data'!$E$4:$E$12,0),MATCH(C200,'Master Data'!$F$3:$K$3,0)),2)</f>
        <v>116696.97</v>
      </c>
      <c r="O200" s="147">
        <f>INDEX('Master Data'!$C$75:$O$299,MATCH(A200,'Master Data'!$B$75:$B$299,0),MATCH($O$1,'Master Data'!$C$74:$O$74,0))</f>
        <v>0.23</v>
      </c>
      <c r="P200" s="148">
        <f>ROUND(O200*INDEX('Master Data'!$F$4:$K$12,MATCH($O$1,'Master Data'!$E$4:$E$12,0),MATCH(C200,'Master Data'!$F$3:$K$3,0)),2)</f>
        <v>7176</v>
      </c>
      <c r="Q200" s="147">
        <f>INDEX('Master Data'!$C$75:$O$299,MATCH(A200,'Master Data'!$B$75:$B$299,0),MATCH($Q$1,'Master Data'!$C$74:$O$74,0))</f>
        <v>0.12</v>
      </c>
      <c r="R200" s="148">
        <f>ROUND(Q200*INDEX('Master Data'!$F$4:$K$12,MATCH($Q$1,'Master Data'!$E$4:$E$12,0),MATCH(C200,'Master Data'!$F$3:$K$3,0)),2)</f>
        <v>5621.09</v>
      </c>
      <c r="S200" s="147">
        <f>INDEX('Master Data'!$C$75:$O$299,MATCH(A200,'Master Data'!$B$75:$B$299,0),MATCH($S$1,'Master Data'!$C$74:$O$74,0))</f>
        <v>0</v>
      </c>
      <c r="T200" s="148">
        <f>ROUND(S200*INDEX('Master Data'!$F$4:$K$12,MATCH($S$1,'Master Data'!$E$4:$E$12,0),MATCH(C200,'Master Data'!$F$3:$K$3,0)),2)</f>
        <v>0</v>
      </c>
      <c r="U200" s="147">
        <f>INDEX('Master Data'!$C$75:$O$299,MATCH(A200,'Master Data'!$B$75:$B$299,0),MATCH($U$1,'Master Data'!$C$74:$O$74,0))</f>
        <v>0</v>
      </c>
      <c r="V200" s="148">
        <f>ROUND(U200*INDEX('Master Data'!$F$4:$K$12,MATCH($U$1,'Master Data'!$E$4:$E$12,0),MATCH(C200,'Master Data'!$F$3:$K$3,0)),2)</f>
        <v>0</v>
      </c>
      <c r="W200" s="149">
        <f t="shared" si="28"/>
        <v>1004503.03</v>
      </c>
      <c r="X200" s="148">
        <f>ROUND(W200*('Master Data'!$B$54),2)</f>
        <v>250824.41</v>
      </c>
      <c r="Y200" s="149">
        <f t="shared" si="26"/>
        <v>1255327.44</v>
      </c>
      <c r="Z200" s="147">
        <f>52*INDEX('Master Data'!$C$75:$O$299,MATCH(A200,'Master Data'!$B$75:$B$299,0),MATCH($Z$1,'Master Data'!$C$74:$O$74,0))</f>
        <v>104</v>
      </c>
      <c r="AA200" s="148">
        <f>Z200*('Master Data'!$F$15)</f>
        <v>7841.6</v>
      </c>
      <c r="AB200" s="147">
        <f>52*INDEX('Master Data'!$C$75:$O$299,MATCH(A200,'Master Data'!$B$75:$B$299,0),MATCH($AB$1,'Master Data'!$C$74:$O$74,0))</f>
        <v>156</v>
      </c>
      <c r="AC200" s="148">
        <f>AB200*('Master Data'!$F$16)</f>
        <v>11281.919999999998</v>
      </c>
      <c r="AD200" s="149">
        <f t="shared" si="29"/>
        <v>19123.519999999997</v>
      </c>
      <c r="AE200" s="148">
        <f>INDEX('Master Data'!$D$58:$D$60,MATCH(D200,'Master Data'!$B$58:$B$60,0))</f>
        <v>24321.56</v>
      </c>
      <c r="AF200" s="148">
        <f>INDEX('Master Data'!$E$58:$E$60,MATCH(D200,'Master Data'!$B$58:$B$60,0))</f>
        <v>2233.8000000000002</v>
      </c>
      <c r="AG200" s="148">
        <f>INDEX('Master Data'!$F$58:$F$60,MATCH(D200,'Master Data'!$B$58:$B$60,0))</f>
        <v>6471.45</v>
      </c>
      <c r="AH200" s="149">
        <f t="shared" si="23"/>
        <v>1307477.77</v>
      </c>
      <c r="AI200" s="148">
        <f>ROUND(AH200*('Master Data'!$C$54),2)</f>
        <v>156897.32999999999</v>
      </c>
      <c r="AJ200" s="148">
        <f>ROUND(SUM(AH200:AI200,AK200)*('Master Data'!$E$54),2)</f>
        <v>43871.27</v>
      </c>
      <c r="AK200" s="148">
        <f>ROUND(W200*('Master Data'!$F$54),2)</f>
        <v>0</v>
      </c>
      <c r="AL200" s="149">
        <f t="shared" si="24"/>
        <v>1508246.37</v>
      </c>
      <c r="AM200" s="140">
        <f t="shared" si="25"/>
        <v>4346.53</v>
      </c>
      <c r="AN200" s="121"/>
      <c r="AO200" s="121"/>
      <c r="AP200" s="121"/>
      <c r="AQ200" s="121"/>
      <c r="AR200" s="121"/>
      <c r="AS200" s="121"/>
    </row>
    <row r="201" spans="1:45">
      <c r="A201" s="121" t="s">
        <v>334</v>
      </c>
      <c r="B201" s="121" t="str">
        <f t="shared" si="22"/>
        <v>3</v>
      </c>
      <c r="C201" s="121" t="str">
        <f t="shared" si="27"/>
        <v>Medical 3</v>
      </c>
      <c r="D201" s="121" t="str">
        <f>INDEX('Master Data'!$C$75:$C$299,MATCH(A201,'Master Data'!$B$75:$B$299,0))</f>
        <v>4+</v>
      </c>
      <c r="E201" s="147">
        <f>INDEX('Master Data'!$C$75:$O$299,MATCH(A201,'Master Data'!$B$75:$B$299,0),MATCH($E$1,'Master Data'!$C$74:$O$74,0))</f>
        <v>0.41</v>
      </c>
      <c r="F201" s="148">
        <f>ROUND(E201*INDEX('Master Data'!$F$4:$K$12,MATCH($E$1,'Master Data'!$E$4:$E$12,0),MATCH(C201,'Master Data'!$F$3:$K$3,0)),2)</f>
        <v>33409.629999999997</v>
      </c>
      <c r="G201" s="147">
        <f>INDEX('Master Data'!$C$75:$O$299,MATCH(A201,'Master Data'!$B$75:$B$299,0),MATCH($G$1,'Master Data'!$C$74:$O$74,0))</f>
        <v>1</v>
      </c>
      <c r="H201" s="148">
        <f>ROUND(G201*INDEX('Master Data'!$F$4:$K$12,MATCH($G$1,'Master Data'!$E$4:$E$12,0),MATCH(C201,'Master Data'!$F$3:$K$3,0)),2)</f>
        <v>56388.63</v>
      </c>
      <c r="I201" s="147">
        <f>INDEX('Master Data'!$C$75:$O$299,MATCH(A201,'Master Data'!$B$75:$B$299,0),MATCH($I$1,'Master Data'!$C$74:$O$74,0))</f>
        <v>11.6</v>
      </c>
      <c r="J201" s="148">
        <f>ROUND(I201*INDEX('Master Data'!$F$4:$K$12,MATCH($I$1,'Master Data'!$E$4:$E$12,0),MATCH(C201,'Master Data'!$F$3:$K$3,0)),2)</f>
        <v>752047.14</v>
      </c>
      <c r="K201" s="147">
        <f>INDEX('Master Data'!$C$75:$O$299,MATCH(A201,'Master Data'!$B$75:$B$299,0),MATCH($K$1,'Master Data'!$C$74:$O$74,0))</f>
        <v>1.4</v>
      </c>
      <c r="L201" s="148">
        <f>ROUND(K201*INDEX('Master Data'!$F$4:$K$12,MATCH($K$1,'Master Data'!$E$4:$E$12,0),MATCH(C201,'Master Data'!$F$3:$K$3,0)),2)</f>
        <v>65579.399999999994</v>
      </c>
      <c r="M201" s="147">
        <f>INDEX('Master Data'!$C$75:$O$299,MATCH(A201,'Master Data'!$B$75:$B$299,0),MATCH($M$1,'Master Data'!$C$74:$O$74,0))</f>
        <v>1.88</v>
      </c>
      <c r="N201" s="148">
        <f>ROUND(M201*INDEX('Master Data'!$F$4:$K$12,MATCH($M$1,'Master Data'!$E$4:$E$12,0),MATCH(C201,'Master Data'!$F$3:$K$3,0)),2)</f>
        <v>121883.5</v>
      </c>
      <c r="O201" s="147">
        <f>INDEX('Master Data'!$C$75:$O$299,MATCH(A201,'Master Data'!$B$75:$B$299,0),MATCH($O$1,'Master Data'!$C$74:$O$74,0))</f>
        <v>0.23</v>
      </c>
      <c r="P201" s="148">
        <f>ROUND(O201*INDEX('Master Data'!$F$4:$K$12,MATCH($O$1,'Master Data'!$E$4:$E$12,0),MATCH(C201,'Master Data'!$F$3:$K$3,0)),2)</f>
        <v>7176</v>
      </c>
      <c r="Q201" s="147">
        <f>INDEX('Master Data'!$C$75:$O$299,MATCH(A201,'Master Data'!$B$75:$B$299,0),MATCH($Q$1,'Master Data'!$C$74:$O$74,0))</f>
        <v>0.12</v>
      </c>
      <c r="R201" s="148">
        <f>ROUND(Q201*INDEX('Master Data'!$F$4:$K$12,MATCH($Q$1,'Master Data'!$E$4:$E$12,0),MATCH(C201,'Master Data'!$F$3:$K$3,0)),2)</f>
        <v>5621.09</v>
      </c>
      <c r="S201" s="147">
        <f>INDEX('Master Data'!$C$75:$O$299,MATCH(A201,'Master Data'!$B$75:$B$299,0),MATCH($S$1,'Master Data'!$C$74:$O$74,0))</f>
        <v>0</v>
      </c>
      <c r="T201" s="148">
        <f>ROUND(S201*INDEX('Master Data'!$F$4:$K$12,MATCH($S$1,'Master Data'!$E$4:$E$12,0),MATCH(C201,'Master Data'!$F$3:$K$3,0)),2)</f>
        <v>0</v>
      </c>
      <c r="U201" s="147">
        <f>INDEX('Master Data'!$C$75:$O$299,MATCH(A201,'Master Data'!$B$75:$B$299,0),MATCH($U$1,'Master Data'!$C$74:$O$74,0))</f>
        <v>0</v>
      </c>
      <c r="V201" s="148">
        <f>ROUND(U201*INDEX('Master Data'!$F$4:$K$12,MATCH($U$1,'Master Data'!$E$4:$E$12,0),MATCH(C201,'Master Data'!$F$3:$K$3,0)),2)</f>
        <v>0</v>
      </c>
      <c r="W201" s="149">
        <f t="shared" si="28"/>
        <v>1042105.39</v>
      </c>
      <c r="X201" s="148">
        <f>ROUND(W201*('Master Data'!$B$54),2)</f>
        <v>260213.72</v>
      </c>
      <c r="Y201" s="149">
        <f t="shared" si="26"/>
        <v>1302319.1100000001</v>
      </c>
      <c r="Z201" s="147">
        <f>52*INDEX('Master Data'!$C$75:$O$299,MATCH(A201,'Master Data'!$B$75:$B$299,0),MATCH($Z$1,'Master Data'!$C$74:$O$74,0))</f>
        <v>104</v>
      </c>
      <c r="AA201" s="148">
        <f>Z201*('Master Data'!$F$15)</f>
        <v>7841.6</v>
      </c>
      <c r="AB201" s="147">
        <f>52*INDEX('Master Data'!$C$75:$O$299,MATCH(A201,'Master Data'!$B$75:$B$299,0),MATCH($AB$1,'Master Data'!$C$74:$O$74,0))</f>
        <v>156</v>
      </c>
      <c r="AC201" s="148">
        <f>AB201*('Master Data'!$F$16)</f>
        <v>11281.919999999998</v>
      </c>
      <c r="AD201" s="149">
        <f t="shared" si="29"/>
        <v>19123.519999999997</v>
      </c>
      <c r="AE201" s="148">
        <f>INDEX('Master Data'!$D$58:$D$60,MATCH(D201,'Master Data'!$B$58:$B$60,0))</f>
        <v>24321.56</v>
      </c>
      <c r="AF201" s="148">
        <f>INDEX('Master Data'!$E$58:$E$60,MATCH(D201,'Master Data'!$B$58:$B$60,0))</f>
        <v>2233.8000000000002</v>
      </c>
      <c r="AG201" s="148">
        <f>INDEX('Master Data'!$F$58:$F$60,MATCH(D201,'Master Data'!$B$58:$B$60,0))</f>
        <v>6471.45</v>
      </c>
      <c r="AH201" s="149">
        <f t="shared" si="23"/>
        <v>1354469.4400000002</v>
      </c>
      <c r="AI201" s="148">
        <f>ROUND(AH201*('Master Data'!$C$54),2)</f>
        <v>162536.32999999999</v>
      </c>
      <c r="AJ201" s="148">
        <f>ROUND(SUM(AH201:AI201,AK201)*('Master Data'!$E$54),2)</f>
        <v>45448.04</v>
      </c>
      <c r="AK201" s="148">
        <f>ROUND(W201*('Master Data'!$F$54),2)</f>
        <v>0</v>
      </c>
      <c r="AL201" s="149">
        <f t="shared" si="24"/>
        <v>1562453.8100000003</v>
      </c>
      <c r="AM201" s="140">
        <f t="shared" si="25"/>
        <v>4502.75</v>
      </c>
      <c r="AN201" s="121"/>
      <c r="AO201" s="121"/>
      <c r="AP201" s="121"/>
      <c r="AQ201" s="121"/>
      <c r="AR201" s="121"/>
      <c r="AS201" s="121"/>
    </row>
    <row r="202" spans="1:45">
      <c r="A202" s="121" t="s">
        <v>335</v>
      </c>
      <c r="B202" s="121" t="str">
        <f t="shared" si="22"/>
        <v>3</v>
      </c>
      <c r="C202" s="121" t="str">
        <f t="shared" si="27"/>
        <v>Medical 3</v>
      </c>
      <c r="D202" s="121" t="str">
        <f>INDEX('Master Data'!$C$75:$C$299,MATCH(A202,'Master Data'!$B$75:$B$299,0))</f>
        <v>4+</v>
      </c>
      <c r="E202" s="147">
        <f>INDEX('Master Data'!$C$75:$O$299,MATCH(A202,'Master Data'!$B$75:$B$299,0),MATCH($E$1,'Master Data'!$C$74:$O$74,0))</f>
        <v>0.41</v>
      </c>
      <c r="F202" s="148">
        <f>ROUND(E202*INDEX('Master Data'!$F$4:$K$12,MATCH($E$1,'Master Data'!$E$4:$E$12,0),MATCH(C202,'Master Data'!$F$3:$K$3,0)),2)</f>
        <v>33409.629999999997</v>
      </c>
      <c r="G202" s="147">
        <f>INDEX('Master Data'!$C$75:$O$299,MATCH(A202,'Master Data'!$B$75:$B$299,0),MATCH($G$1,'Master Data'!$C$74:$O$74,0))</f>
        <v>1</v>
      </c>
      <c r="H202" s="148">
        <f>ROUND(G202*INDEX('Master Data'!$F$4:$K$12,MATCH($G$1,'Master Data'!$E$4:$E$12,0),MATCH(C202,'Master Data'!$F$3:$K$3,0)),2)</f>
        <v>56388.63</v>
      </c>
      <c r="I202" s="147">
        <f>INDEX('Master Data'!$C$75:$O$299,MATCH(A202,'Master Data'!$B$75:$B$299,0),MATCH($I$1,'Master Data'!$C$74:$O$74,0))</f>
        <v>12.1</v>
      </c>
      <c r="J202" s="148">
        <f>ROUND(I202*INDEX('Master Data'!$F$4:$K$12,MATCH($I$1,'Master Data'!$E$4:$E$12,0),MATCH(C202,'Master Data'!$F$3:$K$3,0)),2)</f>
        <v>784462.96</v>
      </c>
      <c r="K202" s="147">
        <f>INDEX('Master Data'!$C$75:$O$299,MATCH(A202,'Master Data'!$B$75:$B$299,0),MATCH($K$1,'Master Data'!$C$74:$O$74,0))</f>
        <v>1.4</v>
      </c>
      <c r="L202" s="148">
        <f>ROUND(K202*INDEX('Master Data'!$F$4:$K$12,MATCH($K$1,'Master Data'!$E$4:$E$12,0),MATCH(C202,'Master Data'!$F$3:$K$3,0)),2)</f>
        <v>65579.399999999994</v>
      </c>
      <c r="M202" s="147">
        <f>INDEX('Master Data'!$C$75:$O$299,MATCH(A202,'Master Data'!$B$75:$B$299,0),MATCH($M$1,'Master Data'!$C$74:$O$74,0))</f>
        <v>1.96</v>
      </c>
      <c r="N202" s="148">
        <f>ROUND(M202*INDEX('Master Data'!$F$4:$K$12,MATCH($M$1,'Master Data'!$E$4:$E$12,0),MATCH(C202,'Master Data'!$F$3:$K$3,0)),2)</f>
        <v>127070.03</v>
      </c>
      <c r="O202" s="147">
        <f>INDEX('Master Data'!$C$75:$O$299,MATCH(A202,'Master Data'!$B$75:$B$299,0),MATCH($O$1,'Master Data'!$C$74:$O$74,0))</f>
        <v>0.23</v>
      </c>
      <c r="P202" s="148">
        <f>ROUND(O202*INDEX('Master Data'!$F$4:$K$12,MATCH($O$1,'Master Data'!$E$4:$E$12,0),MATCH(C202,'Master Data'!$F$3:$K$3,0)),2)</f>
        <v>7176</v>
      </c>
      <c r="Q202" s="147">
        <f>INDEX('Master Data'!$C$75:$O$299,MATCH(A202,'Master Data'!$B$75:$B$299,0),MATCH($Q$1,'Master Data'!$C$74:$O$74,0))</f>
        <v>0.12</v>
      </c>
      <c r="R202" s="148">
        <f>ROUND(Q202*INDEX('Master Data'!$F$4:$K$12,MATCH($Q$1,'Master Data'!$E$4:$E$12,0),MATCH(C202,'Master Data'!$F$3:$K$3,0)),2)</f>
        <v>5621.09</v>
      </c>
      <c r="S202" s="147">
        <f>INDEX('Master Data'!$C$75:$O$299,MATCH(A202,'Master Data'!$B$75:$B$299,0),MATCH($S$1,'Master Data'!$C$74:$O$74,0))</f>
        <v>0</v>
      </c>
      <c r="T202" s="148">
        <f>ROUND(S202*INDEX('Master Data'!$F$4:$K$12,MATCH($S$1,'Master Data'!$E$4:$E$12,0),MATCH(C202,'Master Data'!$F$3:$K$3,0)),2)</f>
        <v>0</v>
      </c>
      <c r="U202" s="147">
        <f>INDEX('Master Data'!$C$75:$O$299,MATCH(A202,'Master Data'!$B$75:$B$299,0),MATCH($U$1,'Master Data'!$C$74:$O$74,0))</f>
        <v>0</v>
      </c>
      <c r="V202" s="148">
        <f>ROUND(U202*INDEX('Master Data'!$F$4:$K$12,MATCH($U$1,'Master Data'!$E$4:$E$12,0),MATCH(C202,'Master Data'!$F$3:$K$3,0)),2)</f>
        <v>0</v>
      </c>
      <c r="W202" s="149">
        <f t="shared" si="28"/>
        <v>1079707.74</v>
      </c>
      <c r="X202" s="148">
        <f>ROUND(W202*('Master Data'!$B$54),2)</f>
        <v>269603.02</v>
      </c>
      <c r="Y202" s="149">
        <f t="shared" si="26"/>
        <v>1349310.76</v>
      </c>
      <c r="Z202" s="147">
        <f>52*INDEX('Master Data'!$C$75:$O$299,MATCH(A202,'Master Data'!$B$75:$B$299,0),MATCH($Z$1,'Master Data'!$C$74:$O$74,0))</f>
        <v>104</v>
      </c>
      <c r="AA202" s="148">
        <f>Z202*('Master Data'!$F$15)</f>
        <v>7841.6</v>
      </c>
      <c r="AB202" s="147">
        <f>52*INDEX('Master Data'!$C$75:$O$299,MATCH(A202,'Master Data'!$B$75:$B$299,0),MATCH($AB$1,'Master Data'!$C$74:$O$74,0))</f>
        <v>156</v>
      </c>
      <c r="AC202" s="148">
        <f>AB202*('Master Data'!$F$16)</f>
        <v>11281.919999999998</v>
      </c>
      <c r="AD202" s="149">
        <f t="shared" si="29"/>
        <v>19123.519999999997</v>
      </c>
      <c r="AE202" s="148">
        <f>INDEX('Master Data'!$D$58:$D$60,MATCH(D202,'Master Data'!$B$58:$B$60,0))</f>
        <v>24321.56</v>
      </c>
      <c r="AF202" s="148">
        <f>INDEX('Master Data'!$E$58:$E$60,MATCH(D202,'Master Data'!$B$58:$B$60,0))</f>
        <v>2233.8000000000002</v>
      </c>
      <c r="AG202" s="148">
        <f>INDEX('Master Data'!$F$58:$F$60,MATCH(D202,'Master Data'!$B$58:$B$60,0))</f>
        <v>6471.45</v>
      </c>
      <c r="AH202" s="149">
        <f t="shared" si="23"/>
        <v>1401461.09</v>
      </c>
      <c r="AI202" s="148">
        <f>ROUND(AH202*('Master Data'!$C$54),2)</f>
        <v>168175.33</v>
      </c>
      <c r="AJ202" s="148">
        <f>ROUND(SUM(AH202:AI202,AK202)*('Master Data'!$E$54),2)</f>
        <v>47024.800000000003</v>
      </c>
      <c r="AK202" s="148">
        <f>ROUND(W202*('Master Data'!$F$54),2)</f>
        <v>0</v>
      </c>
      <c r="AL202" s="149">
        <f t="shared" si="24"/>
        <v>1616661.2200000002</v>
      </c>
      <c r="AM202" s="140">
        <f t="shared" si="25"/>
        <v>4658.97</v>
      </c>
      <c r="AN202" s="121"/>
      <c r="AO202" s="121"/>
      <c r="AP202" s="121"/>
      <c r="AQ202" s="121"/>
      <c r="AR202" s="121"/>
      <c r="AS202" s="121"/>
    </row>
    <row r="203" spans="1:45">
      <c r="A203" s="121" t="s">
        <v>336</v>
      </c>
      <c r="B203" s="121" t="str">
        <f t="shared" si="22"/>
        <v>3</v>
      </c>
      <c r="C203" s="121" t="str">
        <f t="shared" si="27"/>
        <v>Medical 3</v>
      </c>
      <c r="D203" s="121" t="str">
        <f>INDEX('Master Data'!$C$75:$C$299,MATCH(A203,'Master Data'!$B$75:$B$299,0))</f>
        <v>4+</v>
      </c>
      <c r="E203" s="147">
        <f>INDEX('Master Data'!$C$75:$O$299,MATCH(A203,'Master Data'!$B$75:$B$299,0),MATCH($E$1,'Master Data'!$C$74:$O$74,0))</f>
        <v>0.41</v>
      </c>
      <c r="F203" s="148">
        <f>ROUND(E203*INDEX('Master Data'!$F$4:$K$12,MATCH($E$1,'Master Data'!$E$4:$E$12,0),MATCH(C203,'Master Data'!$F$3:$K$3,0)),2)</f>
        <v>33409.629999999997</v>
      </c>
      <c r="G203" s="147">
        <f>INDEX('Master Data'!$C$75:$O$299,MATCH(A203,'Master Data'!$B$75:$B$299,0),MATCH($G$1,'Master Data'!$C$74:$O$74,0))</f>
        <v>1</v>
      </c>
      <c r="H203" s="148">
        <f>ROUND(G203*INDEX('Master Data'!$F$4:$K$12,MATCH($G$1,'Master Data'!$E$4:$E$12,0),MATCH(C203,'Master Data'!$F$3:$K$3,0)),2)</f>
        <v>56388.63</v>
      </c>
      <c r="I203" s="147">
        <f>INDEX('Master Data'!$C$75:$O$299,MATCH(A203,'Master Data'!$B$75:$B$299,0),MATCH($I$1,'Master Data'!$C$74:$O$74,0))</f>
        <v>12.6</v>
      </c>
      <c r="J203" s="148">
        <f>ROUND(I203*INDEX('Master Data'!$F$4:$K$12,MATCH($I$1,'Master Data'!$E$4:$E$12,0),MATCH(C203,'Master Data'!$F$3:$K$3,0)),2)</f>
        <v>816878.79</v>
      </c>
      <c r="K203" s="147">
        <f>INDEX('Master Data'!$C$75:$O$299,MATCH(A203,'Master Data'!$B$75:$B$299,0),MATCH($K$1,'Master Data'!$C$74:$O$74,0))</f>
        <v>1.4</v>
      </c>
      <c r="L203" s="148">
        <f>ROUND(K203*INDEX('Master Data'!$F$4:$K$12,MATCH($K$1,'Master Data'!$E$4:$E$12,0),MATCH(C203,'Master Data'!$F$3:$K$3,0)),2)</f>
        <v>65579.399999999994</v>
      </c>
      <c r="M203" s="147">
        <f>INDEX('Master Data'!$C$75:$O$299,MATCH(A203,'Master Data'!$B$75:$B$299,0),MATCH($M$1,'Master Data'!$C$74:$O$74,0))</f>
        <v>2.04</v>
      </c>
      <c r="N203" s="148">
        <f>ROUND(M203*INDEX('Master Data'!$F$4:$K$12,MATCH($M$1,'Master Data'!$E$4:$E$12,0),MATCH(C203,'Master Data'!$F$3:$K$3,0)),2)</f>
        <v>132256.57</v>
      </c>
      <c r="O203" s="147">
        <f>INDEX('Master Data'!$C$75:$O$299,MATCH(A203,'Master Data'!$B$75:$B$299,0),MATCH($O$1,'Master Data'!$C$74:$O$74,0))</f>
        <v>0.23</v>
      </c>
      <c r="P203" s="148">
        <f>ROUND(O203*INDEX('Master Data'!$F$4:$K$12,MATCH($O$1,'Master Data'!$E$4:$E$12,0),MATCH(C203,'Master Data'!$F$3:$K$3,0)),2)</f>
        <v>7176</v>
      </c>
      <c r="Q203" s="147">
        <f>INDEX('Master Data'!$C$75:$O$299,MATCH(A203,'Master Data'!$B$75:$B$299,0),MATCH($Q$1,'Master Data'!$C$74:$O$74,0))</f>
        <v>0.12</v>
      </c>
      <c r="R203" s="148">
        <f>ROUND(Q203*INDEX('Master Data'!$F$4:$K$12,MATCH($Q$1,'Master Data'!$E$4:$E$12,0),MATCH(C203,'Master Data'!$F$3:$K$3,0)),2)</f>
        <v>5621.09</v>
      </c>
      <c r="S203" s="147">
        <f>INDEX('Master Data'!$C$75:$O$299,MATCH(A203,'Master Data'!$B$75:$B$299,0),MATCH($S$1,'Master Data'!$C$74:$O$74,0))</f>
        <v>0</v>
      </c>
      <c r="T203" s="148">
        <f>ROUND(S203*INDEX('Master Data'!$F$4:$K$12,MATCH($S$1,'Master Data'!$E$4:$E$12,0),MATCH(C203,'Master Data'!$F$3:$K$3,0)),2)</f>
        <v>0</v>
      </c>
      <c r="U203" s="147">
        <f>INDEX('Master Data'!$C$75:$O$299,MATCH(A203,'Master Data'!$B$75:$B$299,0),MATCH($U$1,'Master Data'!$C$74:$O$74,0))</f>
        <v>0</v>
      </c>
      <c r="V203" s="148">
        <f>ROUND(U203*INDEX('Master Data'!$F$4:$K$12,MATCH($U$1,'Master Data'!$E$4:$E$12,0),MATCH(C203,'Master Data'!$F$3:$K$3,0)),2)</f>
        <v>0</v>
      </c>
      <c r="W203" s="149">
        <f t="shared" si="28"/>
        <v>1117310.1100000001</v>
      </c>
      <c r="X203" s="148">
        <f>ROUND(W203*('Master Data'!$B$54),2)</f>
        <v>278992.33</v>
      </c>
      <c r="Y203" s="149">
        <f t="shared" si="26"/>
        <v>1396302.4400000002</v>
      </c>
      <c r="Z203" s="147">
        <f>52*INDEX('Master Data'!$C$75:$O$299,MATCH(A203,'Master Data'!$B$75:$B$299,0),MATCH($Z$1,'Master Data'!$C$74:$O$74,0))</f>
        <v>104</v>
      </c>
      <c r="AA203" s="148">
        <f>Z203*('Master Data'!$F$15)</f>
        <v>7841.6</v>
      </c>
      <c r="AB203" s="147">
        <f>52*INDEX('Master Data'!$C$75:$O$299,MATCH(A203,'Master Data'!$B$75:$B$299,0),MATCH($AB$1,'Master Data'!$C$74:$O$74,0))</f>
        <v>156</v>
      </c>
      <c r="AC203" s="148">
        <f>AB203*('Master Data'!$F$16)</f>
        <v>11281.919999999998</v>
      </c>
      <c r="AD203" s="149">
        <f t="shared" si="29"/>
        <v>19123.519999999997</v>
      </c>
      <c r="AE203" s="148">
        <f>INDEX('Master Data'!$D$58:$D$60,MATCH(D203,'Master Data'!$B$58:$B$60,0))</f>
        <v>24321.56</v>
      </c>
      <c r="AF203" s="148">
        <f>INDEX('Master Data'!$E$58:$E$60,MATCH(D203,'Master Data'!$B$58:$B$60,0))</f>
        <v>2233.8000000000002</v>
      </c>
      <c r="AG203" s="148">
        <f>INDEX('Master Data'!$F$58:$F$60,MATCH(D203,'Master Data'!$B$58:$B$60,0))</f>
        <v>6471.45</v>
      </c>
      <c r="AH203" s="149">
        <f t="shared" si="23"/>
        <v>1448452.7700000003</v>
      </c>
      <c r="AI203" s="148">
        <f>ROUND(AH203*('Master Data'!$C$54),2)</f>
        <v>173814.33</v>
      </c>
      <c r="AJ203" s="148">
        <f>ROUND(SUM(AH203:AI203,AK203)*('Master Data'!$E$54),2)</f>
        <v>48601.57</v>
      </c>
      <c r="AK203" s="148">
        <f>ROUND(W203*('Master Data'!$F$54),2)</f>
        <v>0</v>
      </c>
      <c r="AL203" s="149">
        <f t="shared" si="24"/>
        <v>1670868.6700000004</v>
      </c>
      <c r="AM203" s="140">
        <f t="shared" si="25"/>
        <v>4815.18</v>
      </c>
      <c r="AN203" s="121"/>
      <c r="AO203" s="121"/>
      <c r="AP203" s="121"/>
      <c r="AQ203" s="121"/>
      <c r="AR203" s="121"/>
      <c r="AS203" s="121"/>
    </row>
    <row r="204" spans="1:45">
      <c r="A204" s="121" t="s">
        <v>337</v>
      </c>
      <c r="B204" s="121" t="str">
        <f t="shared" si="22"/>
        <v>3</v>
      </c>
      <c r="C204" s="121" t="str">
        <f t="shared" si="27"/>
        <v>Medical 3</v>
      </c>
      <c r="D204" s="121" t="str">
        <f>INDEX('Master Data'!$C$75:$C$299,MATCH(A204,'Master Data'!$B$75:$B$299,0))</f>
        <v>4+</v>
      </c>
      <c r="E204" s="147">
        <f>INDEX('Master Data'!$C$75:$O$299,MATCH(A204,'Master Data'!$B$75:$B$299,0),MATCH($E$1,'Master Data'!$C$74:$O$74,0))</f>
        <v>0.41</v>
      </c>
      <c r="F204" s="148">
        <f>ROUND(E204*INDEX('Master Data'!$F$4:$K$12,MATCH($E$1,'Master Data'!$E$4:$E$12,0),MATCH(C204,'Master Data'!$F$3:$K$3,0)),2)</f>
        <v>33409.629999999997</v>
      </c>
      <c r="G204" s="147">
        <f>INDEX('Master Data'!$C$75:$O$299,MATCH(A204,'Master Data'!$B$75:$B$299,0),MATCH($G$1,'Master Data'!$C$74:$O$74,0))</f>
        <v>1</v>
      </c>
      <c r="H204" s="148">
        <f>ROUND(G204*INDEX('Master Data'!$F$4:$K$12,MATCH($G$1,'Master Data'!$E$4:$E$12,0),MATCH(C204,'Master Data'!$F$3:$K$3,0)),2)</f>
        <v>56388.63</v>
      </c>
      <c r="I204" s="147">
        <f>INDEX('Master Data'!$C$75:$O$299,MATCH(A204,'Master Data'!$B$75:$B$299,0),MATCH($I$1,'Master Data'!$C$74:$O$74,0))</f>
        <v>13.1</v>
      </c>
      <c r="J204" s="148">
        <f>ROUND(I204*INDEX('Master Data'!$F$4:$K$12,MATCH($I$1,'Master Data'!$E$4:$E$12,0),MATCH(C204,'Master Data'!$F$3:$K$3,0)),2)</f>
        <v>849294.61</v>
      </c>
      <c r="K204" s="147">
        <f>INDEX('Master Data'!$C$75:$O$299,MATCH(A204,'Master Data'!$B$75:$B$299,0),MATCH($K$1,'Master Data'!$C$74:$O$74,0))</f>
        <v>1.4</v>
      </c>
      <c r="L204" s="148">
        <f>ROUND(K204*INDEX('Master Data'!$F$4:$K$12,MATCH($K$1,'Master Data'!$E$4:$E$12,0),MATCH(C204,'Master Data'!$F$3:$K$3,0)),2)</f>
        <v>65579.399999999994</v>
      </c>
      <c r="M204" s="147">
        <f>INDEX('Master Data'!$C$75:$O$299,MATCH(A204,'Master Data'!$B$75:$B$299,0),MATCH($M$1,'Master Data'!$C$74:$O$74,0))</f>
        <v>2.12</v>
      </c>
      <c r="N204" s="148">
        <f>ROUND(M204*INDEX('Master Data'!$F$4:$K$12,MATCH($M$1,'Master Data'!$E$4:$E$12,0),MATCH(C204,'Master Data'!$F$3:$K$3,0)),2)</f>
        <v>137443.1</v>
      </c>
      <c r="O204" s="147">
        <f>INDEX('Master Data'!$C$75:$O$299,MATCH(A204,'Master Data'!$B$75:$B$299,0),MATCH($O$1,'Master Data'!$C$74:$O$74,0))</f>
        <v>0.23</v>
      </c>
      <c r="P204" s="148">
        <f>ROUND(O204*INDEX('Master Data'!$F$4:$K$12,MATCH($O$1,'Master Data'!$E$4:$E$12,0),MATCH(C204,'Master Data'!$F$3:$K$3,0)),2)</f>
        <v>7176</v>
      </c>
      <c r="Q204" s="147">
        <f>INDEX('Master Data'!$C$75:$O$299,MATCH(A204,'Master Data'!$B$75:$B$299,0),MATCH($Q$1,'Master Data'!$C$74:$O$74,0))</f>
        <v>0.12</v>
      </c>
      <c r="R204" s="148">
        <f>ROUND(Q204*INDEX('Master Data'!$F$4:$K$12,MATCH($Q$1,'Master Data'!$E$4:$E$12,0),MATCH(C204,'Master Data'!$F$3:$K$3,0)),2)</f>
        <v>5621.09</v>
      </c>
      <c r="S204" s="147">
        <f>INDEX('Master Data'!$C$75:$O$299,MATCH(A204,'Master Data'!$B$75:$B$299,0),MATCH($S$1,'Master Data'!$C$74:$O$74,0))</f>
        <v>0</v>
      </c>
      <c r="T204" s="148">
        <f>ROUND(S204*INDEX('Master Data'!$F$4:$K$12,MATCH($S$1,'Master Data'!$E$4:$E$12,0),MATCH(C204,'Master Data'!$F$3:$K$3,0)),2)</f>
        <v>0</v>
      </c>
      <c r="U204" s="147">
        <f>INDEX('Master Data'!$C$75:$O$299,MATCH(A204,'Master Data'!$B$75:$B$299,0),MATCH($U$1,'Master Data'!$C$74:$O$74,0))</f>
        <v>0</v>
      </c>
      <c r="V204" s="148">
        <f>ROUND(U204*INDEX('Master Data'!$F$4:$K$12,MATCH($U$1,'Master Data'!$E$4:$E$12,0),MATCH(C204,'Master Data'!$F$3:$K$3,0)),2)</f>
        <v>0</v>
      </c>
      <c r="W204" s="149">
        <f t="shared" si="28"/>
        <v>1154912.4600000002</v>
      </c>
      <c r="X204" s="148">
        <f>ROUND(W204*('Master Data'!$B$54),2)</f>
        <v>288381.64</v>
      </c>
      <c r="Y204" s="149">
        <f t="shared" si="26"/>
        <v>1443294.1</v>
      </c>
      <c r="Z204" s="147">
        <f>52*INDEX('Master Data'!$C$75:$O$299,MATCH(A204,'Master Data'!$B$75:$B$299,0),MATCH($Z$1,'Master Data'!$C$74:$O$74,0))</f>
        <v>104</v>
      </c>
      <c r="AA204" s="148">
        <f>Z204*('Master Data'!$F$15)</f>
        <v>7841.6</v>
      </c>
      <c r="AB204" s="147">
        <f>52*INDEX('Master Data'!$C$75:$O$299,MATCH(A204,'Master Data'!$B$75:$B$299,0),MATCH($AB$1,'Master Data'!$C$74:$O$74,0))</f>
        <v>156</v>
      </c>
      <c r="AC204" s="148">
        <f>AB204*('Master Data'!$F$16)</f>
        <v>11281.919999999998</v>
      </c>
      <c r="AD204" s="149">
        <f t="shared" si="29"/>
        <v>19123.519999999997</v>
      </c>
      <c r="AE204" s="148">
        <f>INDEX('Master Data'!$D$58:$D$60,MATCH(D204,'Master Data'!$B$58:$B$60,0))</f>
        <v>24321.56</v>
      </c>
      <c r="AF204" s="148">
        <f>INDEX('Master Data'!$E$58:$E$60,MATCH(D204,'Master Data'!$B$58:$B$60,0))</f>
        <v>2233.8000000000002</v>
      </c>
      <c r="AG204" s="148">
        <f>INDEX('Master Data'!$F$58:$F$60,MATCH(D204,'Master Data'!$B$58:$B$60,0))</f>
        <v>6471.45</v>
      </c>
      <c r="AH204" s="149">
        <f t="shared" si="23"/>
        <v>1495444.4300000002</v>
      </c>
      <c r="AI204" s="148">
        <f>ROUND(AH204*('Master Data'!$C$54),2)</f>
        <v>179453.33</v>
      </c>
      <c r="AJ204" s="148">
        <f>ROUND(SUM(AH204:AI204,AK204)*('Master Data'!$E$54),2)</f>
        <v>50178.33</v>
      </c>
      <c r="AK204" s="148">
        <f>ROUND(W204*('Master Data'!$F$54),2)</f>
        <v>0</v>
      </c>
      <c r="AL204" s="149">
        <f t="shared" si="24"/>
        <v>1725076.0900000003</v>
      </c>
      <c r="AM204" s="140">
        <f t="shared" si="25"/>
        <v>4971.3999999999996</v>
      </c>
      <c r="AN204" s="121"/>
      <c r="AO204" s="121"/>
      <c r="AP204" s="121"/>
      <c r="AQ204" s="121"/>
      <c r="AR204" s="121"/>
      <c r="AS204" s="121"/>
    </row>
    <row r="205" spans="1:45">
      <c r="A205" s="121" t="s">
        <v>338</v>
      </c>
      <c r="B205" s="121" t="str">
        <f t="shared" si="22"/>
        <v>3</v>
      </c>
      <c r="C205" s="121" t="str">
        <f t="shared" si="27"/>
        <v>Medical 3</v>
      </c>
      <c r="D205" s="121" t="str">
        <f>INDEX('Master Data'!$C$75:$C$299,MATCH(A205,'Master Data'!$B$75:$B$299,0))</f>
        <v>4+</v>
      </c>
      <c r="E205" s="147">
        <f>INDEX('Master Data'!$C$75:$O$299,MATCH(A205,'Master Data'!$B$75:$B$299,0),MATCH($E$1,'Master Data'!$C$74:$O$74,0))</f>
        <v>0.41</v>
      </c>
      <c r="F205" s="148">
        <f>ROUND(E205*INDEX('Master Data'!$F$4:$K$12,MATCH($E$1,'Master Data'!$E$4:$E$12,0),MATCH(C205,'Master Data'!$F$3:$K$3,0)),2)</f>
        <v>33409.629999999997</v>
      </c>
      <c r="G205" s="147">
        <f>INDEX('Master Data'!$C$75:$O$299,MATCH(A205,'Master Data'!$B$75:$B$299,0),MATCH($G$1,'Master Data'!$C$74:$O$74,0))</f>
        <v>1</v>
      </c>
      <c r="H205" s="148">
        <f>ROUND(G205*INDEX('Master Data'!$F$4:$K$12,MATCH($G$1,'Master Data'!$E$4:$E$12,0),MATCH(C205,'Master Data'!$F$3:$K$3,0)),2)</f>
        <v>56388.63</v>
      </c>
      <c r="I205" s="147">
        <f>INDEX('Master Data'!$C$75:$O$299,MATCH(A205,'Master Data'!$B$75:$B$299,0),MATCH($I$1,'Master Data'!$C$74:$O$74,0))</f>
        <v>13.6</v>
      </c>
      <c r="J205" s="148">
        <f>ROUND(I205*INDEX('Master Data'!$F$4:$K$12,MATCH($I$1,'Master Data'!$E$4:$E$12,0),MATCH(C205,'Master Data'!$F$3:$K$3,0)),2)</f>
        <v>881710.44</v>
      </c>
      <c r="K205" s="147">
        <f>INDEX('Master Data'!$C$75:$O$299,MATCH(A205,'Master Data'!$B$75:$B$299,0),MATCH($K$1,'Master Data'!$C$74:$O$74,0))</f>
        <v>1.4</v>
      </c>
      <c r="L205" s="148">
        <f>ROUND(K205*INDEX('Master Data'!$F$4:$K$12,MATCH($K$1,'Master Data'!$E$4:$E$12,0),MATCH(C205,'Master Data'!$F$3:$K$3,0)),2)</f>
        <v>65579.399999999994</v>
      </c>
      <c r="M205" s="147">
        <f>INDEX('Master Data'!$C$75:$O$299,MATCH(A205,'Master Data'!$B$75:$B$299,0),MATCH($M$1,'Master Data'!$C$74:$O$74,0))</f>
        <v>2.2000000000000002</v>
      </c>
      <c r="N205" s="148">
        <f>ROUND(M205*INDEX('Master Data'!$F$4:$K$12,MATCH($M$1,'Master Data'!$E$4:$E$12,0),MATCH(C205,'Master Data'!$F$3:$K$3,0)),2)</f>
        <v>142629.63</v>
      </c>
      <c r="O205" s="147">
        <f>INDEX('Master Data'!$C$75:$O$299,MATCH(A205,'Master Data'!$B$75:$B$299,0),MATCH($O$1,'Master Data'!$C$74:$O$74,0))</f>
        <v>0.23</v>
      </c>
      <c r="P205" s="148">
        <f>ROUND(O205*INDEX('Master Data'!$F$4:$K$12,MATCH($O$1,'Master Data'!$E$4:$E$12,0),MATCH(C205,'Master Data'!$F$3:$K$3,0)),2)</f>
        <v>7176</v>
      </c>
      <c r="Q205" s="147">
        <f>INDEX('Master Data'!$C$75:$O$299,MATCH(A205,'Master Data'!$B$75:$B$299,0),MATCH($Q$1,'Master Data'!$C$74:$O$74,0))</f>
        <v>0.12</v>
      </c>
      <c r="R205" s="148">
        <f>ROUND(Q205*INDEX('Master Data'!$F$4:$K$12,MATCH($Q$1,'Master Data'!$E$4:$E$12,0),MATCH(C205,'Master Data'!$F$3:$K$3,0)),2)</f>
        <v>5621.09</v>
      </c>
      <c r="S205" s="147">
        <f>INDEX('Master Data'!$C$75:$O$299,MATCH(A205,'Master Data'!$B$75:$B$299,0),MATCH($S$1,'Master Data'!$C$74:$O$74,0))</f>
        <v>0</v>
      </c>
      <c r="T205" s="148">
        <f>ROUND(S205*INDEX('Master Data'!$F$4:$K$12,MATCH($S$1,'Master Data'!$E$4:$E$12,0),MATCH(C205,'Master Data'!$F$3:$K$3,0)),2)</f>
        <v>0</v>
      </c>
      <c r="U205" s="147">
        <f>INDEX('Master Data'!$C$75:$O$299,MATCH(A205,'Master Data'!$B$75:$B$299,0),MATCH($U$1,'Master Data'!$C$74:$O$74,0))</f>
        <v>0</v>
      </c>
      <c r="V205" s="148">
        <f>ROUND(U205*INDEX('Master Data'!$F$4:$K$12,MATCH($U$1,'Master Data'!$E$4:$E$12,0),MATCH(C205,'Master Data'!$F$3:$K$3,0)),2)</f>
        <v>0</v>
      </c>
      <c r="W205" s="149">
        <f t="shared" si="28"/>
        <v>1192514.82</v>
      </c>
      <c r="X205" s="148">
        <f>ROUND(W205*('Master Data'!$B$54),2)</f>
        <v>297770.95</v>
      </c>
      <c r="Y205" s="149">
        <f t="shared" si="26"/>
        <v>1490285.77</v>
      </c>
      <c r="Z205" s="147">
        <f>52*INDEX('Master Data'!$C$75:$O$299,MATCH(A205,'Master Data'!$B$75:$B$299,0),MATCH($Z$1,'Master Data'!$C$74:$O$74,0))</f>
        <v>104</v>
      </c>
      <c r="AA205" s="148">
        <f>Z205*('Master Data'!$F$15)</f>
        <v>7841.6</v>
      </c>
      <c r="AB205" s="147">
        <f>52*INDEX('Master Data'!$C$75:$O$299,MATCH(A205,'Master Data'!$B$75:$B$299,0),MATCH($AB$1,'Master Data'!$C$74:$O$74,0))</f>
        <v>156</v>
      </c>
      <c r="AC205" s="148">
        <f>AB205*('Master Data'!$F$16)</f>
        <v>11281.919999999998</v>
      </c>
      <c r="AD205" s="149">
        <f t="shared" si="29"/>
        <v>19123.519999999997</v>
      </c>
      <c r="AE205" s="148">
        <f>INDEX('Master Data'!$D$58:$D$60,MATCH(D205,'Master Data'!$B$58:$B$60,0))</f>
        <v>24321.56</v>
      </c>
      <c r="AF205" s="148">
        <f>INDEX('Master Data'!$E$58:$E$60,MATCH(D205,'Master Data'!$B$58:$B$60,0))</f>
        <v>2233.8000000000002</v>
      </c>
      <c r="AG205" s="148">
        <f>INDEX('Master Data'!$F$58:$F$60,MATCH(D205,'Master Data'!$B$58:$B$60,0))</f>
        <v>6471.45</v>
      </c>
      <c r="AH205" s="149">
        <f t="shared" si="23"/>
        <v>1542436.1</v>
      </c>
      <c r="AI205" s="148">
        <f>ROUND(AH205*('Master Data'!$C$54),2)</f>
        <v>185092.33</v>
      </c>
      <c r="AJ205" s="148">
        <f>ROUND(SUM(AH205:AI205,AK205)*('Master Data'!$E$54),2)</f>
        <v>51755.1</v>
      </c>
      <c r="AK205" s="148">
        <f>ROUND(W205*('Master Data'!$F$54),2)</f>
        <v>0</v>
      </c>
      <c r="AL205" s="149">
        <f t="shared" si="24"/>
        <v>1779283.5300000003</v>
      </c>
      <c r="AM205" s="140">
        <f t="shared" si="25"/>
        <v>5127.62</v>
      </c>
      <c r="AN205" s="121"/>
      <c r="AO205" s="121"/>
      <c r="AP205" s="121"/>
      <c r="AQ205" s="121"/>
      <c r="AR205" s="121"/>
      <c r="AS205" s="121"/>
    </row>
    <row r="206" spans="1:45">
      <c r="A206" s="121" t="s">
        <v>339</v>
      </c>
      <c r="B206" s="121" t="str">
        <f t="shared" si="22"/>
        <v>3</v>
      </c>
      <c r="C206" s="121" t="str">
        <f t="shared" si="27"/>
        <v>Medical 3</v>
      </c>
      <c r="D206" s="121" t="str">
        <f>INDEX('Master Data'!$C$75:$C$299,MATCH(A206,'Master Data'!$B$75:$B$299,0))</f>
        <v>4+</v>
      </c>
      <c r="E206" s="147">
        <f>INDEX('Master Data'!$C$75:$O$299,MATCH(A206,'Master Data'!$B$75:$B$299,0),MATCH($E$1,'Master Data'!$C$74:$O$74,0))</f>
        <v>0.41</v>
      </c>
      <c r="F206" s="148">
        <f>ROUND(E206*INDEX('Master Data'!$F$4:$K$12,MATCH($E$1,'Master Data'!$E$4:$E$12,0),MATCH(C206,'Master Data'!$F$3:$K$3,0)),2)</f>
        <v>33409.629999999997</v>
      </c>
      <c r="G206" s="147">
        <f>INDEX('Master Data'!$C$75:$O$299,MATCH(A206,'Master Data'!$B$75:$B$299,0),MATCH($G$1,'Master Data'!$C$74:$O$74,0))</f>
        <v>1</v>
      </c>
      <c r="H206" s="148">
        <f>ROUND(G206*INDEX('Master Data'!$F$4:$K$12,MATCH($G$1,'Master Data'!$E$4:$E$12,0),MATCH(C206,'Master Data'!$F$3:$K$3,0)),2)</f>
        <v>56388.63</v>
      </c>
      <c r="I206" s="147">
        <f>INDEX('Master Data'!$C$75:$O$299,MATCH(A206,'Master Data'!$B$75:$B$299,0),MATCH($I$1,'Master Data'!$C$74:$O$74,0))</f>
        <v>14.1</v>
      </c>
      <c r="J206" s="148">
        <f>ROUND(I206*INDEX('Master Data'!$F$4:$K$12,MATCH($I$1,'Master Data'!$E$4:$E$12,0),MATCH(C206,'Master Data'!$F$3:$K$3,0)),2)</f>
        <v>914126.26</v>
      </c>
      <c r="K206" s="147">
        <f>INDEX('Master Data'!$C$75:$O$299,MATCH(A206,'Master Data'!$B$75:$B$299,0),MATCH($K$1,'Master Data'!$C$74:$O$74,0))</f>
        <v>1.4</v>
      </c>
      <c r="L206" s="148">
        <f>ROUND(K206*INDEX('Master Data'!$F$4:$K$12,MATCH($K$1,'Master Data'!$E$4:$E$12,0),MATCH(C206,'Master Data'!$F$3:$K$3,0)),2)</f>
        <v>65579.399999999994</v>
      </c>
      <c r="M206" s="147">
        <f>INDEX('Master Data'!$C$75:$O$299,MATCH(A206,'Master Data'!$B$75:$B$299,0),MATCH($M$1,'Master Data'!$C$74:$O$74,0))</f>
        <v>2.2799999999999998</v>
      </c>
      <c r="N206" s="148">
        <f>ROUND(M206*INDEX('Master Data'!$F$4:$K$12,MATCH($M$1,'Master Data'!$E$4:$E$12,0),MATCH(C206,'Master Data'!$F$3:$K$3,0)),2)</f>
        <v>147816.16</v>
      </c>
      <c r="O206" s="147">
        <f>INDEX('Master Data'!$C$75:$O$299,MATCH(A206,'Master Data'!$B$75:$B$299,0),MATCH($O$1,'Master Data'!$C$74:$O$74,0))</f>
        <v>0.23</v>
      </c>
      <c r="P206" s="148">
        <f>ROUND(O206*INDEX('Master Data'!$F$4:$K$12,MATCH($O$1,'Master Data'!$E$4:$E$12,0),MATCH(C206,'Master Data'!$F$3:$K$3,0)),2)</f>
        <v>7176</v>
      </c>
      <c r="Q206" s="147">
        <f>INDEX('Master Data'!$C$75:$O$299,MATCH(A206,'Master Data'!$B$75:$B$299,0),MATCH($Q$1,'Master Data'!$C$74:$O$74,0))</f>
        <v>0.12</v>
      </c>
      <c r="R206" s="148">
        <f>ROUND(Q206*INDEX('Master Data'!$F$4:$K$12,MATCH($Q$1,'Master Data'!$E$4:$E$12,0),MATCH(C206,'Master Data'!$F$3:$K$3,0)),2)</f>
        <v>5621.09</v>
      </c>
      <c r="S206" s="147">
        <f>INDEX('Master Data'!$C$75:$O$299,MATCH(A206,'Master Data'!$B$75:$B$299,0),MATCH($S$1,'Master Data'!$C$74:$O$74,0))</f>
        <v>0</v>
      </c>
      <c r="T206" s="148">
        <f>ROUND(S206*INDEX('Master Data'!$F$4:$K$12,MATCH($S$1,'Master Data'!$E$4:$E$12,0),MATCH(C206,'Master Data'!$F$3:$K$3,0)),2)</f>
        <v>0</v>
      </c>
      <c r="U206" s="147">
        <f>INDEX('Master Data'!$C$75:$O$299,MATCH(A206,'Master Data'!$B$75:$B$299,0),MATCH($U$1,'Master Data'!$C$74:$O$74,0))</f>
        <v>0</v>
      </c>
      <c r="V206" s="148">
        <f>ROUND(U206*INDEX('Master Data'!$F$4:$K$12,MATCH($U$1,'Master Data'!$E$4:$E$12,0),MATCH(C206,'Master Data'!$F$3:$K$3,0)),2)</f>
        <v>0</v>
      </c>
      <c r="W206" s="149">
        <f t="shared" si="28"/>
        <v>1230117.17</v>
      </c>
      <c r="X206" s="148">
        <f>ROUND(W206*('Master Data'!$B$54),2)</f>
        <v>307160.26</v>
      </c>
      <c r="Y206" s="149">
        <f t="shared" si="26"/>
        <v>1537277.43</v>
      </c>
      <c r="Z206" s="147">
        <f>52*INDEX('Master Data'!$C$75:$O$299,MATCH(A206,'Master Data'!$B$75:$B$299,0),MATCH($Z$1,'Master Data'!$C$74:$O$74,0))</f>
        <v>104</v>
      </c>
      <c r="AA206" s="148">
        <f>Z206*('Master Data'!$F$15)</f>
        <v>7841.6</v>
      </c>
      <c r="AB206" s="147">
        <f>52*INDEX('Master Data'!$C$75:$O$299,MATCH(A206,'Master Data'!$B$75:$B$299,0),MATCH($AB$1,'Master Data'!$C$74:$O$74,0))</f>
        <v>156</v>
      </c>
      <c r="AC206" s="148">
        <f>AB206*('Master Data'!$F$16)</f>
        <v>11281.919999999998</v>
      </c>
      <c r="AD206" s="149">
        <f t="shared" si="29"/>
        <v>19123.519999999997</v>
      </c>
      <c r="AE206" s="148">
        <f>INDEX('Master Data'!$D$58:$D$60,MATCH(D206,'Master Data'!$B$58:$B$60,0))</f>
        <v>24321.56</v>
      </c>
      <c r="AF206" s="148">
        <f>INDEX('Master Data'!$E$58:$E$60,MATCH(D206,'Master Data'!$B$58:$B$60,0))</f>
        <v>2233.8000000000002</v>
      </c>
      <c r="AG206" s="148">
        <f>INDEX('Master Data'!$F$58:$F$60,MATCH(D206,'Master Data'!$B$58:$B$60,0))</f>
        <v>6471.45</v>
      </c>
      <c r="AH206" s="149">
        <f t="shared" si="23"/>
        <v>1589427.76</v>
      </c>
      <c r="AI206" s="148">
        <f>ROUND(AH206*('Master Data'!$C$54),2)</f>
        <v>190731.33</v>
      </c>
      <c r="AJ206" s="148">
        <f>ROUND(SUM(AH206:AI206,AK206)*('Master Data'!$E$54),2)</f>
        <v>53331.86</v>
      </c>
      <c r="AK206" s="148">
        <f>ROUND(W206*('Master Data'!$F$54),2)</f>
        <v>0</v>
      </c>
      <c r="AL206" s="149">
        <f t="shared" si="24"/>
        <v>1833490.9500000002</v>
      </c>
      <c r="AM206" s="140">
        <f t="shared" si="25"/>
        <v>5283.84</v>
      </c>
      <c r="AN206" s="121"/>
      <c r="AO206" s="121"/>
      <c r="AP206" s="121"/>
      <c r="AQ206" s="121"/>
      <c r="AR206" s="121"/>
      <c r="AS206" s="121"/>
    </row>
    <row r="207" spans="1:45">
      <c r="A207" s="232" t="s">
        <v>429</v>
      </c>
      <c r="B207" s="121" t="str">
        <f t="shared" si="22"/>
        <v xml:space="preserve"> </v>
      </c>
      <c r="C207" s="121" t="str">
        <f t="shared" si="27"/>
        <v xml:space="preserve">Specialty  </v>
      </c>
      <c r="D207" s="121" t="str">
        <f>INDEX('Master Data'!$C$75:$C$299,MATCH(A207,'Master Data'!$B$75:$B$299,0))</f>
        <v>4+</v>
      </c>
      <c r="E207" s="147">
        <f>INDEX('Master Data'!$C$75:$O$299,MATCH(A207,'Master Data'!$B$75:$B$299,0),MATCH($E$1,'Master Data'!$C$74:$O$74,0))</f>
        <v>0.41</v>
      </c>
      <c r="F207" s="148">
        <f>ROUND(E207*INDEX('Master Data'!$F$4:$K$12,MATCH($E$1,'Master Data'!$E$4:$E$12,0),MATCH(C207,'Master Data'!$F$3:$K$3,0)),2)</f>
        <v>33409.629999999997</v>
      </c>
      <c r="G207" s="147">
        <f>INDEX('Master Data'!$C$75:$O$299,MATCH(A207,'Master Data'!$B$75:$B$299,0),MATCH($G$1,'Master Data'!$C$74:$O$74,0))</f>
        <v>1</v>
      </c>
      <c r="H207" s="148">
        <f>ROUND(G207*INDEX('Master Data'!$F$4:$K$12,MATCH($G$1,'Master Data'!$E$4:$E$12,0),MATCH(C207,'Master Data'!$F$3:$K$3,0)),2)</f>
        <v>75175.149999999994</v>
      </c>
      <c r="I207" s="147">
        <f>INDEX('Master Data'!$C$75:$O$299,MATCH(A207,'Master Data'!$B$75:$B$299,0),MATCH($I$1,'Master Data'!$C$74:$O$74,0))</f>
        <v>4.5999999999999996</v>
      </c>
      <c r="J207" s="148">
        <f>ROUND(I207*INDEX('Master Data'!$F$4:$K$12,MATCH($I$1,'Master Data'!$E$4:$E$12,0),MATCH(C207,'Master Data'!$F$3:$K$3,0)),2)</f>
        <v>294399.99</v>
      </c>
      <c r="K207" s="147">
        <f>INDEX('Master Data'!$C$75:$O$299,MATCH(A207,'Master Data'!$B$75:$B$299,0),MATCH($K$1,'Master Data'!$C$74:$O$74,0))</f>
        <v>1.4</v>
      </c>
      <c r="L207" s="148">
        <f>ROUND(K207*INDEX('Master Data'!$F$4:$K$12,MATCH($K$1,'Master Data'!$E$4:$E$12,0),MATCH(C207,'Master Data'!$F$3:$K$3,0)),2)</f>
        <v>89600</v>
      </c>
      <c r="M207" s="147">
        <f>INDEX('Master Data'!$C$75:$O$299,MATCH(A207,'Master Data'!$B$75:$B$299,0),MATCH($M$1,'Master Data'!$C$74:$O$74,0))</f>
        <v>0.86</v>
      </c>
      <c r="N207" s="148">
        <f>ROUND(M207*INDEX('Master Data'!$F$4:$K$12,MATCH($M$1,'Master Data'!$E$4:$E$12,0),MATCH(C207,'Master Data'!$F$3:$K$3,0)),2)</f>
        <v>55040</v>
      </c>
      <c r="O207" s="147">
        <f>INDEX('Master Data'!$C$75:$O$299,MATCH(A207,'Master Data'!$B$75:$B$299,0),MATCH($O$1,'Master Data'!$C$74:$O$74,0))</f>
        <v>0.26</v>
      </c>
      <c r="P207" s="148">
        <f>ROUND(O207*INDEX('Master Data'!$F$4:$K$12,MATCH($O$1,'Master Data'!$E$4:$E$12,0),MATCH(C207,'Master Data'!$F$3:$K$3,0)),2)</f>
        <v>16640</v>
      </c>
      <c r="Q207" s="147">
        <f>INDEX('Master Data'!$C$75:$O$299,MATCH(A207,'Master Data'!$B$75:$B$299,0),MATCH($Q$1,'Master Data'!$C$74:$O$74,0))</f>
        <v>0.12</v>
      </c>
      <c r="R207" s="148">
        <f>ROUND(Q207*INDEX('Master Data'!$F$4:$K$12,MATCH($Q$1,'Master Data'!$E$4:$E$12,0),MATCH(C207,'Master Data'!$F$3:$K$3,0)),2)</f>
        <v>5621.09</v>
      </c>
      <c r="S207" s="147">
        <f>INDEX('Master Data'!$C$75:$O$299,MATCH(A207,'Master Data'!$B$75:$B$299,0),MATCH($S$1,'Master Data'!$C$74:$O$74,0))</f>
        <v>0.1</v>
      </c>
      <c r="T207" s="148">
        <f>ROUND(S207*INDEX('Master Data'!$F$4:$K$12,MATCH($S$1,'Master Data'!$E$4:$E$12,0),MATCH(C207,'Master Data'!$F$3:$K$3,0)),2)</f>
        <v>26912</v>
      </c>
      <c r="U207" s="147">
        <f>INDEX('Master Data'!$C$75:$O$299,MATCH(A207,'Master Data'!$B$75:$B$299,0),MATCH($U$1,'Master Data'!$C$74:$O$74,0))</f>
        <v>0.3</v>
      </c>
      <c r="V207" s="148">
        <f>ROUND(U207*INDEX('Master Data'!$F$4:$K$12,MATCH($U$1,'Master Data'!$E$4:$E$12,0),MATCH(C207,'Master Data'!$F$3:$K$3,0)),2)</f>
        <v>25959.99</v>
      </c>
      <c r="W207" s="149">
        <f t="shared" si="28"/>
        <v>622757.85</v>
      </c>
      <c r="X207" s="148">
        <f>ROUND(W207*('Master Data'!$B$54),2)</f>
        <v>155502.64000000001</v>
      </c>
      <c r="Y207" s="149">
        <f t="shared" ref="Y207:Y226" si="30">SUM(W207:X207)</f>
        <v>778260.49</v>
      </c>
      <c r="Z207" s="147">
        <f>52*INDEX('Master Data'!$C$75:$O$299,MATCH(A207,'Master Data'!$B$75:$B$299,0),MATCH($Z$1,'Master Data'!$C$74:$O$74,0))</f>
        <v>208</v>
      </c>
      <c r="AA207" s="148">
        <f>Z207*('Master Data'!$F$15)</f>
        <v>15683.2</v>
      </c>
      <c r="AB207" s="147">
        <f>52*INDEX('Master Data'!$C$75:$O$299,MATCH(A207,'Master Data'!$B$75:$B$299,0),MATCH($AB$1,'Master Data'!$C$74:$O$74,0))</f>
        <v>0</v>
      </c>
      <c r="AC207" s="148">
        <f>AB207*('Master Data'!$F$16)</f>
        <v>0</v>
      </c>
      <c r="AD207" s="149">
        <f t="shared" ref="AD207:AD226" si="31">SUM(AA207,AC207)</f>
        <v>15683.2</v>
      </c>
      <c r="AE207" s="148">
        <f>INDEX('Master Data'!$D$58:$D$60,MATCH(D207,'Master Data'!$B$58:$B$60,0))</f>
        <v>24321.56</v>
      </c>
      <c r="AF207" s="148">
        <f>INDEX('Master Data'!$E$58:$E$60,MATCH(D207,'Master Data'!$B$58:$B$60,0))</f>
        <v>2233.8000000000002</v>
      </c>
      <c r="AG207" s="148">
        <f>INDEX('Master Data'!$F$58:$F$60,MATCH(D207,'Master Data'!$B$58:$B$60,0))</f>
        <v>6471.45</v>
      </c>
      <c r="AH207" s="149">
        <f t="shared" ref="AH207:AH226" si="32">SUM(Y207,AD207:AG207)</f>
        <v>826970.5</v>
      </c>
      <c r="AI207" s="148">
        <f>ROUND(AH207*('Master Data'!$C$54),2)</f>
        <v>99236.46</v>
      </c>
      <c r="AJ207" s="148">
        <f>ROUND(SUM(AH207:AI207,AK207)*('Master Data'!$E$54),2)</f>
        <v>27748.27</v>
      </c>
      <c r="AK207" s="148">
        <f>ROUND(W207*('Master Data'!$F$54),2)</f>
        <v>0</v>
      </c>
      <c r="AL207" s="149">
        <f t="shared" ref="AL207:AL226" si="33">SUM(AH207:AK207)</f>
        <v>953955.23</v>
      </c>
      <c r="AM207" s="140">
        <f t="shared" ref="AM207:AM226" si="34">ROUND(AL207/347,2)</f>
        <v>2749.15</v>
      </c>
    </row>
    <row r="208" spans="1:45">
      <c r="A208" s="232" t="s">
        <v>442</v>
      </c>
      <c r="B208" s="121" t="str">
        <f t="shared" si="22"/>
        <v xml:space="preserve"> </v>
      </c>
      <c r="C208" s="121" t="str">
        <f t="shared" si="27"/>
        <v xml:space="preserve">Specialty  </v>
      </c>
      <c r="D208" s="121" t="str">
        <f>INDEX('Master Data'!$C$75:$C$299,MATCH(A208,'Master Data'!$B$75:$B$299,0))</f>
        <v>4+</v>
      </c>
      <c r="E208" s="147">
        <f>INDEX('Master Data'!$C$75:$O$299,MATCH(A208,'Master Data'!$B$75:$B$299,0),MATCH($E$1,'Master Data'!$C$74:$O$74,0))</f>
        <v>0.41</v>
      </c>
      <c r="F208" s="148">
        <f>ROUND(E208*INDEX('Master Data'!$F$4:$K$12,MATCH($E$1,'Master Data'!$E$4:$E$12,0),MATCH(C208,'Master Data'!$F$3:$K$3,0)),2)</f>
        <v>33409.629999999997</v>
      </c>
      <c r="G208" s="147">
        <f>INDEX('Master Data'!$C$75:$O$299,MATCH(A208,'Master Data'!$B$75:$B$299,0),MATCH($G$1,'Master Data'!$C$74:$O$74,0))</f>
        <v>1</v>
      </c>
      <c r="H208" s="148">
        <f>ROUND(G208*INDEX('Master Data'!$F$4:$K$12,MATCH($G$1,'Master Data'!$E$4:$E$12,0),MATCH(C208,'Master Data'!$F$3:$K$3,0)),2)</f>
        <v>75175.149999999994</v>
      </c>
      <c r="I208" s="147">
        <f>INDEX('Master Data'!$C$75:$O$299,MATCH(A208,'Master Data'!$B$75:$B$299,0),MATCH($I$1,'Master Data'!$C$74:$O$74,0))</f>
        <v>5.0999999999999996</v>
      </c>
      <c r="J208" s="148">
        <f>ROUND(I208*INDEX('Master Data'!$F$4:$K$12,MATCH($I$1,'Master Data'!$E$4:$E$12,0),MATCH(C208,'Master Data'!$F$3:$K$3,0)),2)</f>
        <v>326399.99</v>
      </c>
      <c r="K208" s="147">
        <f>INDEX('Master Data'!$C$75:$O$299,MATCH(A208,'Master Data'!$B$75:$B$299,0),MATCH($K$1,'Master Data'!$C$74:$O$74,0))</f>
        <v>1.4</v>
      </c>
      <c r="L208" s="148">
        <f>ROUND(K208*INDEX('Master Data'!$F$4:$K$12,MATCH($K$1,'Master Data'!$E$4:$E$12,0),MATCH(C208,'Master Data'!$F$3:$K$3,0)),2)</f>
        <v>89600</v>
      </c>
      <c r="M208" s="147">
        <f>INDEX('Master Data'!$C$75:$O$299,MATCH(A208,'Master Data'!$B$75:$B$299,0),MATCH($M$1,'Master Data'!$C$74:$O$74,0))</f>
        <v>0.96</v>
      </c>
      <c r="N208" s="148">
        <f>ROUND(M208*INDEX('Master Data'!$F$4:$K$12,MATCH($M$1,'Master Data'!$E$4:$E$12,0),MATCH(C208,'Master Data'!$F$3:$K$3,0)),2)</f>
        <v>61440</v>
      </c>
      <c r="O208" s="147">
        <f>INDEX('Master Data'!$C$75:$O$299,MATCH(A208,'Master Data'!$B$75:$B$299,0),MATCH($O$1,'Master Data'!$C$74:$O$74,0))</f>
        <v>0.26</v>
      </c>
      <c r="P208" s="148">
        <f>ROUND(O208*INDEX('Master Data'!$F$4:$K$12,MATCH($O$1,'Master Data'!$E$4:$E$12,0),MATCH(C208,'Master Data'!$F$3:$K$3,0)),2)</f>
        <v>16640</v>
      </c>
      <c r="Q208" s="147">
        <f>INDEX('Master Data'!$C$75:$O$299,MATCH(A208,'Master Data'!$B$75:$B$299,0),MATCH($Q$1,'Master Data'!$C$74:$O$74,0))</f>
        <v>0.12</v>
      </c>
      <c r="R208" s="148">
        <f>ROUND(Q208*INDEX('Master Data'!$F$4:$K$12,MATCH($Q$1,'Master Data'!$E$4:$E$12,0),MATCH(C208,'Master Data'!$F$3:$K$3,0)),2)</f>
        <v>5621.09</v>
      </c>
      <c r="S208" s="147">
        <f>INDEX('Master Data'!$C$75:$O$299,MATCH(A208,'Master Data'!$B$75:$B$299,0),MATCH($S$1,'Master Data'!$C$74:$O$74,0))</f>
        <v>0.1</v>
      </c>
      <c r="T208" s="148">
        <f>ROUND(S208*INDEX('Master Data'!$F$4:$K$12,MATCH($S$1,'Master Data'!$E$4:$E$12,0),MATCH(C208,'Master Data'!$F$3:$K$3,0)),2)</f>
        <v>26912</v>
      </c>
      <c r="U208" s="147">
        <f>INDEX('Master Data'!$C$75:$O$299,MATCH(A208,'Master Data'!$B$75:$B$299,0),MATCH($U$1,'Master Data'!$C$74:$O$74,0))</f>
        <v>0.3</v>
      </c>
      <c r="V208" s="148">
        <f>ROUND(U208*INDEX('Master Data'!$F$4:$K$12,MATCH($U$1,'Master Data'!$E$4:$E$12,0),MATCH(C208,'Master Data'!$F$3:$K$3,0)),2)</f>
        <v>25959.99</v>
      </c>
      <c r="W208" s="149">
        <f t="shared" si="28"/>
        <v>661157.85</v>
      </c>
      <c r="X208" s="148">
        <f>ROUND(W208*('Master Data'!$B$54),2)</f>
        <v>165091.12</v>
      </c>
      <c r="Y208" s="149">
        <f t="shared" si="30"/>
        <v>826248.97</v>
      </c>
      <c r="Z208" s="147">
        <f>52*INDEX('Master Data'!$C$75:$O$299,MATCH(A208,'Master Data'!$B$75:$B$299,0),MATCH($Z$1,'Master Data'!$C$74:$O$74,0))</f>
        <v>208</v>
      </c>
      <c r="AA208" s="148">
        <f>Z208*('Master Data'!$F$15)</f>
        <v>15683.2</v>
      </c>
      <c r="AB208" s="147">
        <f>52*INDEX('Master Data'!$C$75:$O$299,MATCH(A208,'Master Data'!$B$75:$B$299,0),MATCH($AB$1,'Master Data'!$C$74:$O$74,0))</f>
        <v>0</v>
      </c>
      <c r="AC208" s="148">
        <f>AB208*('Master Data'!$F$16)</f>
        <v>0</v>
      </c>
      <c r="AD208" s="149">
        <f t="shared" si="31"/>
        <v>15683.2</v>
      </c>
      <c r="AE208" s="148">
        <f>INDEX('Master Data'!$D$58:$D$60,MATCH(D208,'Master Data'!$B$58:$B$60,0))</f>
        <v>24321.56</v>
      </c>
      <c r="AF208" s="148">
        <f>INDEX('Master Data'!$E$58:$E$60,MATCH(D208,'Master Data'!$B$58:$B$60,0))</f>
        <v>2233.8000000000002</v>
      </c>
      <c r="AG208" s="148">
        <f>INDEX('Master Data'!$F$58:$F$60,MATCH(D208,'Master Data'!$B$58:$B$60,0))</f>
        <v>6471.45</v>
      </c>
      <c r="AH208" s="149">
        <f t="shared" si="32"/>
        <v>874958.98</v>
      </c>
      <c r="AI208" s="148">
        <f>ROUND(AH208*('Master Data'!$C$54),2)</f>
        <v>104995.08</v>
      </c>
      <c r="AJ208" s="148">
        <f>ROUND(SUM(AH208:AI208,AK208)*('Master Data'!$E$54),2)</f>
        <v>29358.48</v>
      </c>
      <c r="AK208" s="148">
        <f>ROUND(W208*('Master Data'!$F$54),2)</f>
        <v>0</v>
      </c>
      <c r="AL208" s="149">
        <f t="shared" si="33"/>
        <v>1009312.5399999999</v>
      </c>
      <c r="AM208" s="140">
        <f t="shared" si="34"/>
        <v>2908.68</v>
      </c>
    </row>
    <row r="209" spans="1:39">
      <c r="A209" s="232" t="s">
        <v>443</v>
      </c>
      <c r="B209" s="121" t="str">
        <f t="shared" si="22"/>
        <v xml:space="preserve"> </v>
      </c>
      <c r="C209" s="121" t="str">
        <f t="shared" si="27"/>
        <v xml:space="preserve">Specialty  </v>
      </c>
      <c r="D209" s="121" t="str">
        <f>INDEX('Master Data'!$C$75:$C$299,MATCH(A209,'Master Data'!$B$75:$B$299,0))</f>
        <v>4+</v>
      </c>
      <c r="E209" s="147">
        <f>INDEX('Master Data'!$C$75:$O$299,MATCH(A209,'Master Data'!$B$75:$B$299,0),MATCH($E$1,'Master Data'!$C$74:$O$74,0))</f>
        <v>0.41</v>
      </c>
      <c r="F209" s="148">
        <f>ROUND(E209*INDEX('Master Data'!$F$4:$K$12,MATCH($E$1,'Master Data'!$E$4:$E$12,0),MATCH(C209,'Master Data'!$F$3:$K$3,0)),2)</f>
        <v>33409.629999999997</v>
      </c>
      <c r="G209" s="147">
        <f>INDEX('Master Data'!$C$75:$O$299,MATCH(A209,'Master Data'!$B$75:$B$299,0),MATCH($G$1,'Master Data'!$C$74:$O$74,0))</f>
        <v>1</v>
      </c>
      <c r="H209" s="148">
        <f>ROUND(G209*INDEX('Master Data'!$F$4:$K$12,MATCH($G$1,'Master Data'!$E$4:$E$12,0),MATCH(C209,'Master Data'!$F$3:$K$3,0)),2)</f>
        <v>75175.149999999994</v>
      </c>
      <c r="I209" s="147">
        <f>INDEX('Master Data'!$C$75:$O$299,MATCH(A209,'Master Data'!$B$75:$B$299,0),MATCH($I$1,'Master Data'!$C$74:$O$74,0))</f>
        <v>5.6</v>
      </c>
      <c r="J209" s="148">
        <f>ROUND(I209*INDEX('Master Data'!$F$4:$K$12,MATCH($I$1,'Master Data'!$E$4:$E$12,0),MATCH(C209,'Master Data'!$F$3:$K$3,0)),2)</f>
        <v>358399.99</v>
      </c>
      <c r="K209" s="147">
        <f>INDEX('Master Data'!$C$75:$O$299,MATCH(A209,'Master Data'!$B$75:$B$299,0),MATCH($K$1,'Master Data'!$C$74:$O$74,0))</f>
        <v>1.4</v>
      </c>
      <c r="L209" s="148">
        <f>ROUND(K209*INDEX('Master Data'!$F$4:$K$12,MATCH($K$1,'Master Data'!$E$4:$E$12,0),MATCH(C209,'Master Data'!$F$3:$K$3,0)),2)</f>
        <v>89600</v>
      </c>
      <c r="M209" s="147">
        <f>INDEX('Master Data'!$C$75:$O$299,MATCH(A209,'Master Data'!$B$75:$B$299,0),MATCH($M$1,'Master Data'!$C$74:$O$74,0))</f>
        <v>1.05</v>
      </c>
      <c r="N209" s="148">
        <f>ROUND(M209*INDEX('Master Data'!$F$4:$K$12,MATCH($M$1,'Master Data'!$E$4:$E$12,0),MATCH(C209,'Master Data'!$F$3:$K$3,0)),2)</f>
        <v>67200</v>
      </c>
      <c r="O209" s="147">
        <f>INDEX('Master Data'!$C$75:$O$299,MATCH(A209,'Master Data'!$B$75:$B$299,0),MATCH($O$1,'Master Data'!$C$74:$O$74,0))</f>
        <v>0.26</v>
      </c>
      <c r="P209" s="148">
        <f>ROUND(O209*INDEX('Master Data'!$F$4:$K$12,MATCH($O$1,'Master Data'!$E$4:$E$12,0),MATCH(C209,'Master Data'!$F$3:$K$3,0)),2)</f>
        <v>16640</v>
      </c>
      <c r="Q209" s="147">
        <f>INDEX('Master Data'!$C$75:$O$299,MATCH(A209,'Master Data'!$B$75:$B$299,0),MATCH($Q$1,'Master Data'!$C$74:$O$74,0))</f>
        <v>0.12</v>
      </c>
      <c r="R209" s="148">
        <f>ROUND(Q209*INDEX('Master Data'!$F$4:$K$12,MATCH($Q$1,'Master Data'!$E$4:$E$12,0),MATCH(C209,'Master Data'!$F$3:$K$3,0)),2)</f>
        <v>5621.09</v>
      </c>
      <c r="S209" s="147">
        <f>INDEX('Master Data'!$C$75:$O$299,MATCH(A209,'Master Data'!$B$75:$B$299,0),MATCH($S$1,'Master Data'!$C$74:$O$74,0))</f>
        <v>0.1</v>
      </c>
      <c r="T209" s="148">
        <f>ROUND(S209*INDEX('Master Data'!$F$4:$K$12,MATCH($S$1,'Master Data'!$E$4:$E$12,0),MATCH(C209,'Master Data'!$F$3:$K$3,0)),2)</f>
        <v>26912</v>
      </c>
      <c r="U209" s="147">
        <f>INDEX('Master Data'!$C$75:$O$299,MATCH(A209,'Master Data'!$B$75:$B$299,0),MATCH($U$1,'Master Data'!$C$74:$O$74,0))</f>
        <v>0.3</v>
      </c>
      <c r="V209" s="148">
        <f>ROUND(U209*INDEX('Master Data'!$F$4:$K$12,MATCH($U$1,'Master Data'!$E$4:$E$12,0),MATCH(C209,'Master Data'!$F$3:$K$3,0)),2)</f>
        <v>25959.99</v>
      </c>
      <c r="W209" s="149">
        <f t="shared" si="28"/>
        <v>698917.85</v>
      </c>
      <c r="X209" s="148">
        <f>ROUND(W209*('Master Data'!$B$54),2)</f>
        <v>174519.79</v>
      </c>
      <c r="Y209" s="149">
        <f t="shared" si="30"/>
        <v>873437.64</v>
      </c>
      <c r="Z209" s="147">
        <f>52*INDEX('Master Data'!$C$75:$O$299,MATCH(A209,'Master Data'!$B$75:$B$299,0),MATCH($Z$1,'Master Data'!$C$74:$O$74,0))</f>
        <v>208</v>
      </c>
      <c r="AA209" s="148">
        <f>Z209*('Master Data'!$F$15)</f>
        <v>15683.2</v>
      </c>
      <c r="AB209" s="147">
        <f>52*INDEX('Master Data'!$C$75:$O$299,MATCH(A209,'Master Data'!$B$75:$B$299,0),MATCH($AB$1,'Master Data'!$C$74:$O$74,0))</f>
        <v>0</v>
      </c>
      <c r="AC209" s="148">
        <f>AB209*('Master Data'!$F$16)</f>
        <v>0</v>
      </c>
      <c r="AD209" s="149">
        <f t="shared" si="31"/>
        <v>15683.2</v>
      </c>
      <c r="AE209" s="148">
        <f>INDEX('Master Data'!$D$58:$D$60,MATCH(D209,'Master Data'!$B$58:$B$60,0))</f>
        <v>24321.56</v>
      </c>
      <c r="AF209" s="148">
        <f>INDEX('Master Data'!$E$58:$E$60,MATCH(D209,'Master Data'!$B$58:$B$60,0))</f>
        <v>2233.8000000000002</v>
      </c>
      <c r="AG209" s="148">
        <f>INDEX('Master Data'!$F$58:$F$60,MATCH(D209,'Master Data'!$B$58:$B$60,0))</f>
        <v>6471.45</v>
      </c>
      <c r="AH209" s="149">
        <f t="shared" si="32"/>
        <v>922147.65</v>
      </c>
      <c r="AI209" s="148">
        <f>ROUND(AH209*('Master Data'!$C$54),2)</f>
        <v>110657.72</v>
      </c>
      <c r="AJ209" s="148">
        <f>ROUND(SUM(AH209:AI209,AK209)*('Master Data'!$E$54),2)</f>
        <v>30941.86</v>
      </c>
      <c r="AK209" s="148">
        <f>ROUND(W209*('Master Data'!$F$54),2)</f>
        <v>0</v>
      </c>
      <c r="AL209" s="149">
        <f t="shared" si="33"/>
        <v>1063747.23</v>
      </c>
      <c r="AM209" s="140">
        <f t="shared" si="34"/>
        <v>3065.55</v>
      </c>
    </row>
    <row r="210" spans="1:39">
      <c r="A210" s="232" t="s">
        <v>444</v>
      </c>
      <c r="B210" s="121" t="str">
        <f t="shared" ref="B210:B226" si="35">IF(LEFT(A210,1)="M",RIGHT(A210,1)," ")</f>
        <v xml:space="preserve"> </v>
      </c>
      <c r="C210" s="121" t="str">
        <f t="shared" si="27"/>
        <v xml:space="preserve">Specialty  </v>
      </c>
      <c r="D210" s="121" t="str">
        <f>INDEX('Master Data'!$C$75:$C$299,MATCH(A210,'Master Data'!$B$75:$B$299,0))</f>
        <v>4+</v>
      </c>
      <c r="E210" s="147">
        <f>INDEX('Master Data'!$C$75:$O$299,MATCH(A210,'Master Data'!$B$75:$B$299,0),MATCH($E$1,'Master Data'!$C$74:$O$74,0))</f>
        <v>0.41</v>
      </c>
      <c r="F210" s="148">
        <f>ROUND(E210*INDEX('Master Data'!$F$4:$K$12,MATCH($E$1,'Master Data'!$E$4:$E$12,0),MATCH(C210,'Master Data'!$F$3:$K$3,0)),2)</f>
        <v>33409.629999999997</v>
      </c>
      <c r="G210" s="147">
        <f>INDEX('Master Data'!$C$75:$O$299,MATCH(A210,'Master Data'!$B$75:$B$299,0),MATCH($G$1,'Master Data'!$C$74:$O$74,0))</f>
        <v>1</v>
      </c>
      <c r="H210" s="148">
        <f>ROUND(G210*INDEX('Master Data'!$F$4:$K$12,MATCH($G$1,'Master Data'!$E$4:$E$12,0),MATCH(C210,'Master Data'!$F$3:$K$3,0)),2)</f>
        <v>75175.149999999994</v>
      </c>
      <c r="I210" s="147">
        <f>INDEX('Master Data'!$C$75:$O$299,MATCH(A210,'Master Data'!$B$75:$B$299,0),MATCH($I$1,'Master Data'!$C$74:$O$74,0))</f>
        <v>6.1</v>
      </c>
      <c r="J210" s="148">
        <f>ROUND(I210*INDEX('Master Data'!$F$4:$K$12,MATCH($I$1,'Master Data'!$E$4:$E$12,0),MATCH(C210,'Master Data'!$F$3:$K$3,0)),2)</f>
        <v>390399.99</v>
      </c>
      <c r="K210" s="147">
        <f>INDEX('Master Data'!$C$75:$O$299,MATCH(A210,'Master Data'!$B$75:$B$299,0),MATCH($K$1,'Master Data'!$C$74:$O$74,0))</f>
        <v>1.4</v>
      </c>
      <c r="L210" s="148">
        <f>ROUND(K210*INDEX('Master Data'!$F$4:$K$12,MATCH($K$1,'Master Data'!$E$4:$E$12,0),MATCH(C210,'Master Data'!$F$3:$K$3,0)),2)</f>
        <v>89600</v>
      </c>
      <c r="M210" s="147">
        <f>INDEX('Master Data'!$C$75:$O$299,MATCH(A210,'Master Data'!$B$75:$B$299,0),MATCH($M$1,'Master Data'!$C$74:$O$74,0))</f>
        <v>1.1499999999999999</v>
      </c>
      <c r="N210" s="148">
        <f>ROUND(M210*INDEX('Master Data'!$F$4:$K$12,MATCH($M$1,'Master Data'!$E$4:$E$12,0),MATCH(C210,'Master Data'!$F$3:$K$3,0)),2)</f>
        <v>73600</v>
      </c>
      <c r="O210" s="147">
        <f>INDEX('Master Data'!$C$75:$O$299,MATCH(A210,'Master Data'!$B$75:$B$299,0),MATCH($O$1,'Master Data'!$C$74:$O$74,0))</f>
        <v>0.26</v>
      </c>
      <c r="P210" s="148">
        <f>ROUND(O210*INDEX('Master Data'!$F$4:$K$12,MATCH($O$1,'Master Data'!$E$4:$E$12,0),MATCH(C210,'Master Data'!$F$3:$K$3,0)),2)</f>
        <v>16640</v>
      </c>
      <c r="Q210" s="147">
        <f>INDEX('Master Data'!$C$75:$O$299,MATCH(A210,'Master Data'!$B$75:$B$299,0),MATCH($Q$1,'Master Data'!$C$74:$O$74,0))</f>
        <v>0.12</v>
      </c>
      <c r="R210" s="148">
        <f>ROUND(Q210*INDEX('Master Data'!$F$4:$K$12,MATCH($Q$1,'Master Data'!$E$4:$E$12,0),MATCH(C210,'Master Data'!$F$3:$K$3,0)),2)</f>
        <v>5621.09</v>
      </c>
      <c r="S210" s="147">
        <f>INDEX('Master Data'!$C$75:$O$299,MATCH(A210,'Master Data'!$B$75:$B$299,0),MATCH($S$1,'Master Data'!$C$74:$O$74,0))</f>
        <v>0.1</v>
      </c>
      <c r="T210" s="148">
        <f>ROUND(S210*INDEX('Master Data'!$F$4:$K$12,MATCH($S$1,'Master Data'!$E$4:$E$12,0),MATCH(C210,'Master Data'!$F$3:$K$3,0)),2)</f>
        <v>26912</v>
      </c>
      <c r="U210" s="147">
        <f>INDEX('Master Data'!$C$75:$O$299,MATCH(A210,'Master Data'!$B$75:$B$299,0),MATCH($U$1,'Master Data'!$C$74:$O$74,0))</f>
        <v>0.3</v>
      </c>
      <c r="V210" s="148">
        <f>ROUND(U210*INDEX('Master Data'!$F$4:$K$12,MATCH($U$1,'Master Data'!$E$4:$E$12,0),MATCH(C210,'Master Data'!$F$3:$K$3,0)),2)</f>
        <v>25959.99</v>
      </c>
      <c r="W210" s="149">
        <f t="shared" si="28"/>
        <v>737317.85</v>
      </c>
      <c r="X210" s="148">
        <f>ROUND(W210*('Master Data'!$B$54),2)</f>
        <v>184108.27</v>
      </c>
      <c r="Y210" s="149">
        <f t="shared" si="30"/>
        <v>921426.12</v>
      </c>
      <c r="Z210" s="147">
        <f>52*INDEX('Master Data'!$C$75:$O$299,MATCH(A210,'Master Data'!$B$75:$B$299,0),MATCH($Z$1,'Master Data'!$C$74:$O$74,0))</f>
        <v>208</v>
      </c>
      <c r="AA210" s="148">
        <f>Z210*('Master Data'!$F$15)</f>
        <v>15683.2</v>
      </c>
      <c r="AB210" s="147">
        <f>52*INDEX('Master Data'!$C$75:$O$299,MATCH(A210,'Master Data'!$B$75:$B$299,0),MATCH($AB$1,'Master Data'!$C$74:$O$74,0))</f>
        <v>0</v>
      </c>
      <c r="AC210" s="148">
        <f>AB210*('Master Data'!$F$16)</f>
        <v>0</v>
      </c>
      <c r="AD210" s="149">
        <f t="shared" si="31"/>
        <v>15683.2</v>
      </c>
      <c r="AE210" s="148">
        <f>INDEX('Master Data'!$D$58:$D$60,MATCH(D210,'Master Data'!$B$58:$B$60,0))</f>
        <v>24321.56</v>
      </c>
      <c r="AF210" s="148">
        <f>INDEX('Master Data'!$E$58:$E$60,MATCH(D210,'Master Data'!$B$58:$B$60,0))</f>
        <v>2233.8000000000002</v>
      </c>
      <c r="AG210" s="148">
        <f>INDEX('Master Data'!$F$58:$F$60,MATCH(D210,'Master Data'!$B$58:$B$60,0))</f>
        <v>6471.45</v>
      </c>
      <c r="AH210" s="149">
        <f t="shared" si="32"/>
        <v>970136.13</v>
      </c>
      <c r="AI210" s="148">
        <f>ROUND(AH210*('Master Data'!$C$54),2)</f>
        <v>116416.34</v>
      </c>
      <c r="AJ210" s="148">
        <f>ROUND(SUM(AH210:AI210,AK210)*('Master Data'!$E$54),2)</f>
        <v>32552.07</v>
      </c>
      <c r="AK210" s="148">
        <f>ROUND(W210*('Master Data'!$F$54),2)</f>
        <v>0</v>
      </c>
      <c r="AL210" s="149">
        <f t="shared" si="33"/>
        <v>1119104.54</v>
      </c>
      <c r="AM210" s="140">
        <f t="shared" si="34"/>
        <v>3225.09</v>
      </c>
    </row>
    <row r="211" spans="1:39">
      <c r="A211" s="232" t="s">
        <v>445</v>
      </c>
      <c r="B211" s="121" t="str">
        <f t="shared" si="35"/>
        <v xml:space="preserve"> </v>
      </c>
      <c r="C211" s="121" t="str">
        <f t="shared" si="27"/>
        <v xml:space="preserve">Specialty  </v>
      </c>
      <c r="D211" s="121" t="str">
        <f>INDEX('Master Data'!$C$75:$C$299,MATCH(A211,'Master Data'!$B$75:$B$299,0))</f>
        <v>4+</v>
      </c>
      <c r="E211" s="147">
        <f>INDEX('Master Data'!$C$75:$O$299,MATCH(A211,'Master Data'!$B$75:$B$299,0),MATCH($E$1,'Master Data'!$C$74:$O$74,0))</f>
        <v>0.41</v>
      </c>
      <c r="F211" s="148">
        <f>ROUND(E211*INDEX('Master Data'!$F$4:$K$12,MATCH($E$1,'Master Data'!$E$4:$E$12,0),MATCH(C211,'Master Data'!$F$3:$K$3,0)),2)</f>
        <v>33409.629999999997</v>
      </c>
      <c r="G211" s="147">
        <f>INDEX('Master Data'!$C$75:$O$299,MATCH(A211,'Master Data'!$B$75:$B$299,0),MATCH($G$1,'Master Data'!$C$74:$O$74,0))</f>
        <v>1</v>
      </c>
      <c r="H211" s="148">
        <f>ROUND(G211*INDEX('Master Data'!$F$4:$K$12,MATCH($G$1,'Master Data'!$E$4:$E$12,0),MATCH(C211,'Master Data'!$F$3:$K$3,0)),2)</f>
        <v>75175.149999999994</v>
      </c>
      <c r="I211" s="147">
        <f>INDEX('Master Data'!$C$75:$O$299,MATCH(A211,'Master Data'!$B$75:$B$299,0),MATCH($I$1,'Master Data'!$C$74:$O$74,0))</f>
        <v>6.6</v>
      </c>
      <c r="J211" s="148">
        <f>ROUND(I211*INDEX('Master Data'!$F$4:$K$12,MATCH($I$1,'Master Data'!$E$4:$E$12,0),MATCH(C211,'Master Data'!$F$3:$K$3,0)),2)</f>
        <v>422399.99</v>
      </c>
      <c r="K211" s="147">
        <f>INDEX('Master Data'!$C$75:$O$299,MATCH(A211,'Master Data'!$B$75:$B$299,0),MATCH($K$1,'Master Data'!$C$74:$O$74,0))</f>
        <v>1.4</v>
      </c>
      <c r="L211" s="148">
        <f>ROUND(K211*INDEX('Master Data'!$F$4:$K$12,MATCH($K$1,'Master Data'!$E$4:$E$12,0),MATCH(C211,'Master Data'!$F$3:$K$3,0)),2)</f>
        <v>89600</v>
      </c>
      <c r="M211" s="147">
        <f>INDEX('Master Data'!$C$75:$O$299,MATCH(A211,'Master Data'!$B$75:$B$299,0),MATCH($M$1,'Master Data'!$C$74:$O$74,0))</f>
        <v>1.24</v>
      </c>
      <c r="N211" s="148">
        <f>ROUND(M211*INDEX('Master Data'!$F$4:$K$12,MATCH($M$1,'Master Data'!$E$4:$E$12,0),MATCH(C211,'Master Data'!$F$3:$K$3,0)),2)</f>
        <v>79360</v>
      </c>
      <c r="O211" s="147">
        <f>INDEX('Master Data'!$C$75:$O$299,MATCH(A211,'Master Data'!$B$75:$B$299,0),MATCH($O$1,'Master Data'!$C$74:$O$74,0))</f>
        <v>0.26</v>
      </c>
      <c r="P211" s="148">
        <f>ROUND(O211*INDEX('Master Data'!$F$4:$K$12,MATCH($O$1,'Master Data'!$E$4:$E$12,0),MATCH(C211,'Master Data'!$F$3:$K$3,0)),2)</f>
        <v>16640</v>
      </c>
      <c r="Q211" s="147">
        <f>INDEX('Master Data'!$C$75:$O$299,MATCH(A211,'Master Data'!$B$75:$B$299,0),MATCH($Q$1,'Master Data'!$C$74:$O$74,0))</f>
        <v>0.12</v>
      </c>
      <c r="R211" s="148">
        <f>ROUND(Q211*INDEX('Master Data'!$F$4:$K$12,MATCH($Q$1,'Master Data'!$E$4:$E$12,0),MATCH(C211,'Master Data'!$F$3:$K$3,0)),2)</f>
        <v>5621.09</v>
      </c>
      <c r="S211" s="147">
        <f>INDEX('Master Data'!$C$75:$O$299,MATCH(A211,'Master Data'!$B$75:$B$299,0),MATCH($S$1,'Master Data'!$C$74:$O$74,0))</f>
        <v>0.1</v>
      </c>
      <c r="T211" s="148">
        <f>ROUND(S211*INDEX('Master Data'!$F$4:$K$12,MATCH($S$1,'Master Data'!$E$4:$E$12,0),MATCH(C211,'Master Data'!$F$3:$K$3,0)),2)</f>
        <v>26912</v>
      </c>
      <c r="U211" s="147">
        <f>INDEX('Master Data'!$C$75:$O$299,MATCH(A211,'Master Data'!$B$75:$B$299,0),MATCH($U$1,'Master Data'!$C$74:$O$74,0))</f>
        <v>0.3</v>
      </c>
      <c r="V211" s="148">
        <f>ROUND(U211*INDEX('Master Data'!$F$4:$K$12,MATCH($U$1,'Master Data'!$E$4:$E$12,0),MATCH(C211,'Master Data'!$F$3:$K$3,0)),2)</f>
        <v>25959.99</v>
      </c>
      <c r="W211" s="149">
        <f t="shared" si="28"/>
        <v>775077.85</v>
      </c>
      <c r="X211" s="148">
        <f>ROUND(W211*('Master Data'!$B$54),2)</f>
        <v>193536.94</v>
      </c>
      <c r="Y211" s="149">
        <f t="shared" si="30"/>
        <v>968614.79</v>
      </c>
      <c r="Z211" s="147">
        <f>52*INDEX('Master Data'!$C$75:$O$299,MATCH(A211,'Master Data'!$B$75:$B$299,0),MATCH($Z$1,'Master Data'!$C$74:$O$74,0))</f>
        <v>208</v>
      </c>
      <c r="AA211" s="148">
        <f>Z211*('Master Data'!$F$15)</f>
        <v>15683.2</v>
      </c>
      <c r="AB211" s="147">
        <f>52*INDEX('Master Data'!$C$75:$O$299,MATCH(A211,'Master Data'!$B$75:$B$299,0),MATCH($AB$1,'Master Data'!$C$74:$O$74,0))</f>
        <v>0</v>
      </c>
      <c r="AC211" s="148">
        <f>AB211*('Master Data'!$F$16)</f>
        <v>0</v>
      </c>
      <c r="AD211" s="149">
        <f t="shared" si="31"/>
        <v>15683.2</v>
      </c>
      <c r="AE211" s="148">
        <f>INDEX('Master Data'!$D$58:$D$60,MATCH(D211,'Master Data'!$B$58:$B$60,0))</f>
        <v>24321.56</v>
      </c>
      <c r="AF211" s="148">
        <f>INDEX('Master Data'!$E$58:$E$60,MATCH(D211,'Master Data'!$B$58:$B$60,0))</f>
        <v>2233.8000000000002</v>
      </c>
      <c r="AG211" s="148">
        <f>INDEX('Master Data'!$F$58:$F$60,MATCH(D211,'Master Data'!$B$58:$B$60,0))</f>
        <v>6471.45</v>
      </c>
      <c r="AH211" s="149">
        <f t="shared" si="32"/>
        <v>1017324.8</v>
      </c>
      <c r="AI211" s="148">
        <f>ROUND(AH211*('Master Data'!$C$54),2)</f>
        <v>122078.98</v>
      </c>
      <c r="AJ211" s="148">
        <f>ROUND(SUM(AH211:AI211,AK211)*('Master Data'!$E$54),2)</f>
        <v>34135.440000000002</v>
      </c>
      <c r="AK211" s="148">
        <f>ROUND(W211*('Master Data'!$F$54),2)</f>
        <v>0</v>
      </c>
      <c r="AL211" s="149">
        <f t="shared" si="33"/>
        <v>1173539.22</v>
      </c>
      <c r="AM211" s="140">
        <f t="shared" si="34"/>
        <v>3381.96</v>
      </c>
    </row>
    <row r="212" spans="1:39">
      <c r="A212" s="232" t="s">
        <v>446</v>
      </c>
      <c r="B212" s="121" t="str">
        <f t="shared" si="35"/>
        <v xml:space="preserve"> </v>
      </c>
      <c r="C212" s="121" t="str">
        <f t="shared" si="27"/>
        <v xml:space="preserve">Specialty  </v>
      </c>
      <c r="D212" s="121" t="str">
        <f>INDEX('Master Data'!$C$75:$C$299,MATCH(A212,'Master Data'!$B$75:$B$299,0))</f>
        <v>4+</v>
      </c>
      <c r="E212" s="147">
        <f>INDEX('Master Data'!$C$75:$O$299,MATCH(A212,'Master Data'!$B$75:$B$299,0),MATCH($E$1,'Master Data'!$C$74:$O$74,0))</f>
        <v>0.41</v>
      </c>
      <c r="F212" s="148">
        <f>ROUND(E212*INDEX('Master Data'!$F$4:$K$12,MATCH($E$1,'Master Data'!$E$4:$E$12,0),MATCH(C212,'Master Data'!$F$3:$K$3,0)),2)</f>
        <v>33409.629999999997</v>
      </c>
      <c r="G212" s="147">
        <f>INDEX('Master Data'!$C$75:$O$299,MATCH(A212,'Master Data'!$B$75:$B$299,0),MATCH($G$1,'Master Data'!$C$74:$O$74,0))</f>
        <v>1</v>
      </c>
      <c r="H212" s="148">
        <f>ROUND(G212*INDEX('Master Data'!$F$4:$K$12,MATCH($G$1,'Master Data'!$E$4:$E$12,0),MATCH(C212,'Master Data'!$F$3:$K$3,0)),2)</f>
        <v>75175.149999999994</v>
      </c>
      <c r="I212" s="147">
        <f>INDEX('Master Data'!$C$75:$O$299,MATCH(A212,'Master Data'!$B$75:$B$299,0),MATCH($I$1,'Master Data'!$C$74:$O$74,0))</f>
        <v>7.1</v>
      </c>
      <c r="J212" s="148">
        <f>ROUND(I212*INDEX('Master Data'!$F$4:$K$12,MATCH($I$1,'Master Data'!$E$4:$E$12,0),MATCH(C212,'Master Data'!$F$3:$K$3,0)),2)</f>
        <v>454399.99</v>
      </c>
      <c r="K212" s="147">
        <f>INDEX('Master Data'!$C$75:$O$299,MATCH(A212,'Master Data'!$B$75:$B$299,0),MATCH($K$1,'Master Data'!$C$74:$O$74,0))</f>
        <v>1.4</v>
      </c>
      <c r="L212" s="148">
        <f>ROUND(K212*INDEX('Master Data'!$F$4:$K$12,MATCH($K$1,'Master Data'!$E$4:$E$12,0),MATCH(C212,'Master Data'!$F$3:$K$3,0)),2)</f>
        <v>89600</v>
      </c>
      <c r="M212" s="147">
        <f>INDEX('Master Data'!$C$75:$O$299,MATCH(A212,'Master Data'!$B$75:$B$299,0),MATCH($M$1,'Master Data'!$C$74:$O$74,0))</f>
        <v>1.33</v>
      </c>
      <c r="N212" s="148">
        <f>ROUND(M212*INDEX('Master Data'!$F$4:$K$12,MATCH($M$1,'Master Data'!$E$4:$E$12,0),MATCH(C212,'Master Data'!$F$3:$K$3,0)),2)</f>
        <v>85120</v>
      </c>
      <c r="O212" s="147">
        <f>INDEX('Master Data'!$C$75:$O$299,MATCH(A212,'Master Data'!$B$75:$B$299,0),MATCH($O$1,'Master Data'!$C$74:$O$74,0))</f>
        <v>0.26</v>
      </c>
      <c r="P212" s="148">
        <f>ROUND(O212*INDEX('Master Data'!$F$4:$K$12,MATCH($O$1,'Master Data'!$E$4:$E$12,0),MATCH(C212,'Master Data'!$F$3:$K$3,0)),2)</f>
        <v>16640</v>
      </c>
      <c r="Q212" s="147">
        <f>INDEX('Master Data'!$C$75:$O$299,MATCH(A212,'Master Data'!$B$75:$B$299,0),MATCH($Q$1,'Master Data'!$C$74:$O$74,0))</f>
        <v>0.12</v>
      </c>
      <c r="R212" s="148">
        <f>ROUND(Q212*INDEX('Master Data'!$F$4:$K$12,MATCH($Q$1,'Master Data'!$E$4:$E$12,0),MATCH(C212,'Master Data'!$F$3:$K$3,0)),2)</f>
        <v>5621.09</v>
      </c>
      <c r="S212" s="147">
        <f>INDEX('Master Data'!$C$75:$O$299,MATCH(A212,'Master Data'!$B$75:$B$299,0),MATCH($S$1,'Master Data'!$C$74:$O$74,0))</f>
        <v>0.1</v>
      </c>
      <c r="T212" s="148">
        <f>ROUND(S212*INDEX('Master Data'!$F$4:$K$12,MATCH($S$1,'Master Data'!$E$4:$E$12,0),MATCH(C212,'Master Data'!$F$3:$K$3,0)),2)</f>
        <v>26912</v>
      </c>
      <c r="U212" s="147">
        <f>INDEX('Master Data'!$C$75:$O$299,MATCH(A212,'Master Data'!$B$75:$B$299,0),MATCH($U$1,'Master Data'!$C$74:$O$74,0))</f>
        <v>0.3</v>
      </c>
      <c r="V212" s="148">
        <f>ROUND(U212*INDEX('Master Data'!$F$4:$K$12,MATCH($U$1,'Master Data'!$E$4:$E$12,0),MATCH(C212,'Master Data'!$F$3:$K$3,0)),2)</f>
        <v>25959.99</v>
      </c>
      <c r="W212" s="149">
        <f t="shared" si="28"/>
        <v>812837.85</v>
      </c>
      <c r="X212" s="148">
        <f>ROUND(W212*('Master Data'!$B$54),2)</f>
        <v>202965.61</v>
      </c>
      <c r="Y212" s="149">
        <f t="shared" si="30"/>
        <v>1015803.46</v>
      </c>
      <c r="Z212" s="147">
        <f>52*INDEX('Master Data'!$C$75:$O$299,MATCH(A212,'Master Data'!$B$75:$B$299,0),MATCH($Z$1,'Master Data'!$C$74:$O$74,0))</f>
        <v>208</v>
      </c>
      <c r="AA212" s="148">
        <f>Z212*('Master Data'!$F$15)</f>
        <v>15683.2</v>
      </c>
      <c r="AB212" s="147">
        <f>52*INDEX('Master Data'!$C$75:$O$299,MATCH(A212,'Master Data'!$B$75:$B$299,0),MATCH($AB$1,'Master Data'!$C$74:$O$74,0))</f>
        <v>0</v>
      </c>
      <c r="AC212" s="148">
        <f>AB212*('Master Data'!$F$16)</f>
        <v>0</v>
      </c>
      <c r="AD212" s="149">
        <f t="shared" si="31"/>
        <v>15683.2</v>
      </c>
      <c r="AE212" s="148">
        <f>INDEX('Master Data'!$D$58:$D$60,MATCH(D212,'Master Data'!$B$58:$B$60,0))</f>
        <v>24321.56</v>
      </c>
      <c r="AF212" s="148">
        <f>INDEX('Master Data'!$E$58:$E$60,MATCH(D212,'Master Data'!$B$58:$B$60,0))</f>
        <v>2233.8000000000002</v>
      </c>
      <c r="AG212" s="148">
        <f>INDEX('Master Data'!$F$58:$F$60,MATCH(D212,'Master Data'!$B$58:$B$60,0))</f>
        <v>6471.45</v>
      </c>
      <c r="AH212" s="149">
        <f t="shared" si="32"/>
        <v>1064513.47</v>
      </c>
      <c r="AI212" s="148">
        <f>ROUND(AH212*('Master Data'!$C$54),2)</f>
        <v>127741.62</v>
      </c>
      <c r="AJ212" s="148">
        <f>ROUND(SUM(AH212:AI212,AK212)*('Master Data'!$E$54),2)</f>
        <v>35718.82</v>
      </c>
      <c r="AK212" s="148">
        <f>ROUND(W212*('Master Data'!$F$54),2)</f>
        <v>0</v>
      </c>
      <c r="AL212" s="149">
        <f t="shared" si="33"/>
        <v>1227973.9099999999</v>
      </c>
      <c r="AM212" s="140">
        <f t="shared" si="34"/>
        <v>3538.83</v>
      </c>
    </row>
    <row r="213" spans="1:39">
      <c r="A213" s="232" t="s">
        <v>447</v>
      </c>
      <c r="B213" s="121" t="str">
        <f t="shared" si="35"/>
        <v xml:space="preserve"> </v>
      </c>
      <c r="C213" s="121" t="str">
        <f t="shared" si="27"/>
        <v xml:space="preserve">Specialty  </v>
      </c>
      <c r="D213" s="121" t="str">
        <f>INDEX('Master Data'!$C$75:$C$299,MATCH(A213,'Master Data'!$B$75:$B$299,0))</f>
        <v>4+</v>
      </c>
      <c r="E213" s="147">
        <f>INDEX('Master Data'!$C$75:$O$299,MATCH(A213,'Master Data'!$B$75:$B$299,0),MATCH($E$1,'Master Data'!$C$74:$O$74,0))</f>
        <v>0.41</v>
      </c>
      <c r="F213" s="148">
        <f>ROUND(E213*INDEX('Master Data'!$F$4:$K$12,MATCH($E$1,'Master Data'!$E$4:$E$12,0),MATCH(C213,'Master Data'!$F$3:$K$3,0)),2)</f>
        <v>33409.629999999997</v>
      </c>
      <c r="G213" s="147">
        <f>INDEX('Master Data'!$C$75:$O$299,MATCH(A213,'Master Data'!$B$75:$B$299,0),MATCH($G$1,'Master Data'!$C$74:$O$74,0))</f>
        <v>1</v>
      </c>
      <c r="H213" s="148">
        <f>ROUND(G213*INDEX('Master Data'!$F$4:$K$12,MATCH($G$1,'Master Data'!$E$4:$E$12,0),MATCH(C213,'Master Data'!$F$3:$K$3,0)),2)</f>
        <v>75175.149999999994</v>
      </c>
      <c r="I213" s="147">
        <f>INDEX('Master Data'!$C$75:$O$299,MATCH(A213,'Master Data'!$B$75:$B$299,0),MATCH($I$1,'Master Data'!$C$74:$O$74,0))</f>
        <v>7.6</v>
      </c>
      <c r="J213" s="148">
        <f>ROUND(I213*INDEX('Master Data'!$F$4:$K$12,MATCH($I$1,'Master Data'!$E$4:$E$12,0),MATCH(C213,'Master Data'!$F$3:$K$3,0)),2)</f>
        <v>486399.99</v>
      </c>
      <c r="K213" s="147">
        <f>INDEX('Master Data'!$C$75:$O$299,MATCH(A213,'Master Data'!$B$75:$B$299,0),MATCH($K$1,'Master Data'!$C$74:$O$74,0))</f>
        <v>1.4</v>
      </c>
      <c r="L213" s="148">
        <f>ROUND(K213*INDEX('Master Data'!$F$4:$K$12,MATCH($K$1,'Master Data'!$E$4:$E$12,0),MATCH(C213,'Master Data'!$F$3:$K$3,0)),2)</f>
        <v>89600</v>
      </c>
      <c r="M213" s="147">
        <f>INDEX('Master Data'!$C$75:$O$299,MATCH(A213,'Master Data'!$B$75:$B$299,0),MATCH($M$1,'Master Data'!$C$74:$O$74,0))</f>
        <v>1.43</v>
      </c>
      <c r="N213" s="148">
        <f>ROUND(M213*INDEX('Master Data'!$F$4:$K$12,MATCH($M$1,'Master Data'!$E$4:$E$12,0),MATCH(C213,'Master Data'!$F$3:$K$3,0)),2)</f>
        <v>91520</v>
      </c>
      <c r="O213" s="147">
        <f>INDEX('Master Data'!$C$75:$O$299,MATCH(A213,'Master Data'!$B$75:$B$299,0),MATCH($O$1,'Master Data'!$C$74:$O$74,0))</f>
        <v>0.26</v>
      </c>
      <c r="P213" s="148">
        <f>ROUND(O213*INDEX('Master Data'!$F$4:$K$12,MATCH($O$1,'Master Data'!$E$4:$E$12,0),MATCH(C213,'Master Data'!$F$3:$K$3,0)),2)</f>
        <v>16640</v>
      </c>
      <c r="Q213" s="147">
        <f>INDEX('Master Data'!$C$75:$O$299,MATCH(A213,'Master Data'!$B$75:$B$299,0),MATCH($Q$1,'Master Data'!$C$74:$O$74,0))</f>
        <v>0.12</v>
      </c>
      <c r="R213" s="148">
        <f>ROUND(Q213*INDEX('Master Data'!$F$4:$K$12,MATCH($Q$1,'Master Data'!$E$4:$E$12,0),MATCH(C213,'Master Data'!$F$3:$K$3,0)),2)</f>
        <v>5621.09</v>
      </c>
      <c r="S213" s="147">
        <f>INDEX('Master Data'!$C$75:$O$299,MATCH(A213,'Master Data'!$B$75:$B$299,0),MATCH($S$1,'Master Data'!$C$74:$O$74,0))</f>
        <v>0.1</v>
      </c>
      <c r="T213" s="148">
        <f>ROUND(S213*INDEX('Master Data'!$F$4:$K$12,MATCH($S$1,'Master Data'!$E$4:$E$12,0),MATCH(C213,'Master Data'!$F$3:$K$3,0)),2)</f>
        <v>26912</v>
      </c>
      <c r="U213" s="147">
        <f>INDEX('Master Data'!$C$75:$O$299,MATCH(A213,'Master Data'!$B$75:$B$299,0),MATCH($U$1,'Master Data'!$C$74:$O$74,0))</f>
        <v>0.3</v>
      </c>
      <c r="V213" s="148">
        <f>ROUND(U213*INDEX('Master Data'!$F$4:$K$12,MATCH($U$1,'Master Data'!$E$4:$E$12,0),MATCH(C213,'Master Data'!$F$3:$K$3,0)),2)</f>
        <v>25959.99</v>
      </c>
      <c r="W213" s="149">
        <f t="shared" si="28"/>
        <v>851237.85</v>
      </c>
      <c r="X213" s="148">
        <f>ROUND(W213*('Master Data'!$B$54),2)</f>
        <v>212554.09</v>
      </c>
      <c r="Y213" s="149">
        <f t="shared" si="30"/>
        <v>1063791.94</v>
      </c>
      <c r="Z213" s="147">
        <f>52*INDEX('Master Data'!$C$75:$O$299,MATCH(A213,'Master Data'!$B$75:$B$299,0),MATCH($Z$1,'Master Data'!$C$74:$O$74,0))</f>
        <v>208</v>
      </c>
      <c r="AA213" s="148">
        <f>Z213*('Master Data'!$F$15)</f>
        <v>15683.2</v>
      </c>
      <c r="AB213" s="147">
        <f>52*INDEX('Master Data'!$C$75:$O$299,MATCH(A213,'Master Data'!$B$75:$B$299,0),MATCH($AB$1,'Master Data'!$C$74:$O$74,0))</f>
        <v>0</v>
      </c>
      <c r="AC213" s="148">
        <f>AB213*('Master Data'!$F$16)</f>
        <v>0</v>
      </c>
      <c r="AD213" s="149">
        <f t="shared" si="31"/>
        <v>15683.2</v>
      </c>
      <c r="AE213" s="148">
        <f>INDEX('Master Data'!$D$58:$D$60,MATCH(D213,'Master Data'!$B$58:$B$60,0))</f>
        <v>24321.56</v>
      </c>
      <c r="AF213" s="148">
        <f>INDEX('Master Data'!$E$58:$E$60,MATCH(D213,'Master Data'!$B$58:$B$60,0))</f>
        <v>2233.8000000000002</v>
      </c>
      <c r="AG213" s="148">
        <f>INDEX('Master Data'!$F$58:$F$60,MATCH(D213,'Master Data'!$B$58:$B$60,0))</f>
        <v>6471.45</v>
      </c>
      <c r="AH213" s="149">
        <f t="shared" si="32"/>
        <v>1112501.95</v>
      </c>
      <c r="AI213" s="148">
        <f>ROUND(AH213*('Master Data'!$C$54),2)</f>
        <v>133500.23000000001</v>
      </c>
      <c r="AJ213" s="148">
        <f>ROUND(SUM(AH213:AI213,AK213)*('Master Data'!$E$54),2)</f>
        <v>37329.03</v>
      </c>
      <c r="AK213" s="148">
        <f>ROUND(W213*('Master Data'!$F$54),2)</f>
        <v>0</v>
      </c>
      <c r="AL213" s="149">
        <f t="shared" si="33"/>
        <v>1283331.21</v>
      </c>
      <c r="AM213" s="140">
        <f t="shared" si="34"/>
        <v>3698.36</v>
      </c>
    </row>
    <row r="214" spans="1:39">
      <c r="A214" s="232" t="s">
        <v>448</v>
      </c>
      <c r="B214" s="121" t="str">
        <f t="shared" si="35"/>
        <v xml:space="preserve"> </v>
      </c>
      <c r="C214" s="121" t="str">
        <f t="shared" si="27"/>
        <v xml:space="preserve">Specialty  </v>
      </c>
      <c r="D214" s="121" t="str">
        <f>INDEX('Master Data'!$C$75:$C$299,MATCH(A214,'Master Data'!$B$75:$B$299,0))</f>
        <v>4+</v>
      </c>
      <c r="E214" s="147">
        <f>INDEX('Master Data'!$C$75:$O$299,MATCH(A214,'Master Data'!$B$75:$B$299,0),MATCH($E$1,'Master Data'!$C$74:$O$74,0))</f>
        <v>0.41</v>
      </c>
      <c r="F214" s="148">
        <f>ROUND(E214*INDEX('Master Data'!$F$4:$K$12,MATCH($E$1,'Master Data'!$E$4:$E$12,0),MATCH(C214,'Master Data'!$F$3:$K$3,0)),2)</f>
        <v>33409.629999999997</v>
      </c>
      <c r="G214" s="147">
        <f>INDEX('Master Data'!$C$75:$O$299,MATCH(A214,'Master Data'!$B$75:$B$299,0),MATCH($G$1,'Master Data'!$C$74:$O$74,0))</f>
        <v>1</v>
      </c>
      <c r="H214" s="148">
        <f>ROUND(G214*INDEX('Master Data'!$F$4:$K$12,MATCH($G$1,'Master Data'!$E$4:$E$12,0),MATCH(C214,'Master Data'!$F$3:$K$3,0)),2)</f>
        <v>75175.149999999994</v>
      </c>
      <c r="I214" s="147">
        <f>INDEX('Master Data'!$C$75:$O$299,MATCH(A214,'Master Data'!$B$75:$B$299,0),MATCH($I$1,'Master Data'!$C$74:$O$74,0))</f>
        <v>8.1</v>
      </c>
      <c r="J214" s="148">
        <f>ROUND(I214*INDEX('Master Data'!$F$4:$K$12,MATCH($I$1,'Master Data'!$E$4:$E$12,0),MATCH(C214,'Master Data'!$F$3:$K$3,0)),2)</f>
        <v>518399.99</v>
      </c>
      <c r="K214" s="147">
        <f>INDEX('Master Data'!$C$75:$O$299,MATCH(A214,'Master Data'!$B$75:$B$299,0),MATCH($K$1,'Master Data'!$C$74:$O$74,0))</f>
        <v>1.4</v>
      </c>
      <c r="L214" s="148">
        <f>ROUND(K214*INDEX('Master Data'!$F$4:$K$12,MATCH($K$1,'Master Data'!$E$4:$E$12,0),MATCH(C214,'Master Data'!$F$3:$K$3,0)),2)</f>
        <v>89600</v>
      </c>
      <c r="M214" s="147">
        <f>INDEX('Master Data'!$C$75:$O$299,MATCH(A214,'Master Data'!$B$75:$B$299,0),MATCH($M$1,'Master Data'!$C$74:$O$74,0))</f>
        <v>1.52</v>
      </c>
      <c r="N214" s="148">
        <f>ROUND(M214*INDEX('Master Data'!$F$4:$K$12,MATCH($M$1,'Master Data'!$E$4:$E$12,0),MATCH(C214,'Master Data'!$F$3:$K$3,0)),2)</f>
        <v>97280</v>
      </c>
      <c r="O214" s="147">
        <f>INDEX('Master Data'!$C$75:$O$299,MATCH(A214,'Master Data'!$B$75:$B$299,0),MATCH($O$1,'Master Data'!$C$74:$O$74,0))</f>
        <v>0.26</v>
      </c>
      <c r="P214" s="148">
        <f>ROUND(O214*INDEX('Master Data'!$F$4:$K$12,MATCH($O$1,'Master Data'!$E$4:$E$12,0),MATCH(C214,'Master Data'!$F$3:$K$3,0)),2)</f>
        <v>16640</v>
      </c>
      <c r="Q214" s="147">
        <f>INDEX('Master Data'!$C$75:$O$299,MATCH(A214,'Master Data'!$B$75:$B$299,0),MATCH($Q$1,'Master Data'!$C$74:$O$74,0))</f>
        <v>0.12</v>
      </c>
      <c r="R214" s="148">
        <f>ROUND(Q214*INDEX('Master Data'!$F$4:$K$12,MATCH($Q$1,'Master Data'!$E$4:$E$12,0),MATCH(C214,'Master Data'!$F$3:$K$3,0)),2)</f>
        <v>5621.09</v>
      </c>
      <c r="S214" s="147">
        <f>INDEX('Master Data'!$C$75:$O$299,MATCH(A214,'Master Data'!$B$75:$B$299,0),MATCH($S$1,'Master Data'!$C$74:$O$74,0))</f>
        <v>0.1</v>
      </c>
      <c r="T214" s="148">
        <f>ROUND(S214*INDEX('Master Data'!$F$4:$K$12,MATCH($S$1,'Master Data'!$E$4:$E$12,0),MATCH(C214,'Master Data'!$F$3:$K$3,0)),2)</f>
        <v>26912</v>
      </c>
      <c r="U214" s="147">
        <f>INDEX('Master Data'!$C$75:$O$299,MATCH(A214,'Master Data'!$B$75:$B$299,0),MATCH($U$1,'Master Data'!$C$74:$O$74,0))</f>
        <v>0.3</v>
      </c>
      <c r="V214" s="148">
        <f>ROUND(U214*INDEX('Master Data'!$F$4:$K$12,MATCH($U$1,'Master Data'!$E$4:$E$12,0),MATCH(C214,'Master Data'!$F$3:$K$3,0)),2)</f>
        <v>25959.99</v>
      </c>
      <c r="W214" s="149">
        <f t="shared" si="28"/>
        <v>888997.85</v>
      </c>
      <c r="X214" s="148">
        <f>ROUND(W214*('Master Data'!$B$54),2)</f>
        <v>221982.76</v>
      </c>
      <c r="Y214" s="149">
        <f t="shared" si="30"/>
        <v>1110980.6099999999</v>
      </c>
      <c r="Z214" s="147">
        <f>52*INDEX('Master Data'!$C$75:$O$299,MATCH(A214,'Master Data'!$B$75:$B$299,0),MATCH($Z$1,'Master Data'!$C$74:$O$74,0))</f>
        <v>208</v>
      </c>
      <c r="AA214" s="148">
        <f>Z214*('Master Data'!$F$15)</f>
        <v>15683.2</v>
      </c>
      <c r="AB214" s="147">
        <f>52*INDEX('Master Data'!$C$75:$O$299,MATCH(A214,'Master Data'!$B$75:$B$299,0),MATCH($AB$1,'Master Data'!$C$74:$O$74,0))</f>
        <v>0</v>
      </c>
      <c r="AC214" s="148">
        <f>AB214*('Master Data'!$F$16)</f>
        <v>0</v>
      </c>
      <c r="AD214" s="149">
        <f t="shared" si="31"/>
        <v>15683.2</v>
      </c>
      <c r="AE214" s="148">
        <f>INDEX('Master Data'!$D$58:$D$60,MATCH(D214,'Master Data'!$B$58:$B$60,0))</f>
        <v>24321.56</v>
      </c>
      <c r="AF214" s="148">
        <f>INDEX('Master Data'!$E$58:$E$60,MATCH(D214,'Master Data'!$B$58:$B$60,0))</f>
        <v>2233.8000000000002</v>
      </c>
      <c r="AG214" s="148">
        <f>INDEX('Master Data'!$F$58:$F$60,MATCH(D214,'Master Data'!$B$58:$B$60,0))</f>
        <v>6471.45</v>
      </c>
      <c r="AH214" s="149">
        <f t="shared" si="32"/>
        <v>1159690.6199999999</v>
      </c>
      <c r="AI214" s="148">
        <f>ROUND(AH214*('Master Data'!$C$54),2)</f>
        <v>139162.87</v>
      </c>
      <c r="AJ214" s="148">
        <f>ROUND(SUM(AH214:AI214,AK214)*('Master Data'!$E$54),2)</f>
        <v>38912.410000000003</v>
      </c>
      <c r="AK214" s="148">
        <f>ROUND(W214*('Master Data'!$F$54),2)</f>
        <v>0</v>
      </c>
      <c r="AL214" s="149">
        <f t="shared" si="33"/>
        <v>1337765.8999999997</v>
      </c>
      <c r="AM214" s="140">
        <f t="shared" si="34"/>
        <v>3855.23</v>
      </c>
    </row>
    <row r="215" spans="1:39">
      <c r="A215" s="232" t="s">
        <v>466</v>
      </c>
      <c r="B215" s="121" t="str">
        <f t="shared" si="35"/>
        <v xml:space="preserve"> </v>
      </c>
      <c r="C215" s="121" t="str">
        <f t="shared" si="27"/>
        <v xml:space="preserve">Specialty  </v>
      </c>
      <c r="D215" s="121" t="str">
        <f>INDEX('Master Data'!$C$75:$C$299,MATCH(A215,'Master Data'!$B$75:$B$299,0))</f>
        <v>4+</v>
      </c>
      <c r="E215" s="147">
        <f>INDEX('Master Data'!$C$75:$O$299,MATCH(A215,'Master Data'!$B$75:$B$299,0),MATCH($E$1,'Master Data'!$C$74:$O$74,0))</f>
        <v>0.41</v>
      </c>
      <c r="F215" s="148">
        <f>ROUND(E215*INDEX('Master Data'!$F$4:$K$12,MATCH($E$1,'Master Data'!$E$4:$E$12,0),MATCH(C215,'Master Data'!$F$3:$K$3,0)),2)</f>
        <v>33409.629999999997</v>
      </c>
      <c r="G215" s="147">
        <f>INDEX('Master Data'!$C$75:$O$299,MATCH(A215,'Master Data'!$B$75:$B$299,0),MATCH($G$1,'Master Data'!$C$74:$O$74,0))</f>
        <v>1</v>
      </c>
      <c r="H215" s="148">
        <f>ROUND(G215*INDEX('Master Data'!$F$4:$K$12,MATCH($G$1,'Master Data'!$E$4:$E$12,0),MATCH(C215,'Master Data'!$F$3:$K$3,0)),2)</f>
        <v>75175.149999999994</v>
      </c>
      <c r="I215" s="147">
        <f>INDEX('Master Data'!$C$75:$O$299,MATCH(A215,'Master Data'!$B$75:$B$299,0),MATCH($I$1,'Master Data'!$C$74:$O$74,0))</f>
        <v>8.6</v>
      </c>
      <c r="J215" s="148">
        <f>ROUND(I215*INDEX('Master Data'!$F$4:$K$12,MATCH($I$1,'Master Data'!$E$4:$E$12,0),MATCH(C215,'Master Data'!$F$3:$K$3,0)),2)</f>
        <v>550399.99</v>
      </c>
      <c r="K215" s="147">
        <f>INDEX('Master Data'!$C$75:$O$299,MATCH(A215,'Master Data'!$B$75:$B$299,0),MATCH($K$1,'Master Data'!$C$74:$O$74,0))</f>
        <v>1.4</v>
      </c>
      <c r="L215" s="148">
        <f>ROUND(K215*INDEX('Master Data'!$F$4:$K$12,MATCH($K$1,'Master Data'!$E$4:$E$12,0),MATCH(C215,'Master Data'!$F$3:$K$3,0)),2)</f>
        <v>89600</v>
      </c>
      <c r="M215" s="147">
        <f>INDEX('Master Data'!$C$75:$O$299,MATCH(A215,'Master Data'!$B$75:$B$299,0),MATCH($M$1,'Master Data'!$C$74:$O$74,0))</f>
        <v>1.62</v>
      </c>
      <c r="N215" s="148">
        <f>ROUND(M215*INDEX('Master Data'!$F$4:$K$12,MATCH($M$1,'Master Data'!$E$4:$E$12,0),MATCH(C215,'Master Data'!$F$3:$K$3,0)),2)</f>
        <v>103680</v>
      </c>
      <c r="O215" s="147">
        <f>INDEX('Master Data'!$C$75:$O$299,MATCH(A215,'Master Data'!$B$75:$B$299,0),MATCH($O$1,'Master Data'!$C$74:$O$74,0))</f>
        <v>0.26</v>
      </c>
      <c r="P215" s="148">
        <f>ROUND(O215*INDEX('Master Data'!$F$4:$K$12,MATCH($O$1,'Master Data'!$E$4:$E$12,0),MATCH(C215,'Master Data'!$F$3:$K$3,0)),2)</f>
        <v>16640</v>
      </c>
      <c r="Q215" s="147">
        <f>INDEX('Master Data'!$C$75:$O$299,MATCH(A215,'Master Data'!$B$75:$B$299,0),MATCH($Q$1,'Master Data'!$C$74:$O$74,0))</f>
        <v>0.12</v>
      </c>
      <c r="R215" s="148">
        <f>ROUND(Q215*INDEX('Master Data'!$F$4:$K$12,MATCH($Q$1,'Master Data'!$E$4:$E$12,0),MATCH(C215,'Master Data'!$F$3:$K$3,0)),2)</f>
        <v>5621.09</v>
      </c>
      <c r="S215" s="147">
        <f>INDEX('Master Data'!$C$75:$O$299,MATCH(A215,'Master Data'!$B$75:$B$299,0),MATCH($S$1,'Master Data'!$C$74:$O$74,0))</f>
        <v>0.1</v>
      </c>
      <c r="T215" s="148">
        <f>ROUND(S215*INDEX('Master Data'!$F$4:$K$12,MATCH($S$1,'Master Data'!$E$4:$E$12,0),MATCH(C215,'Master Data'!$F$3:$K$3,0)),2)</f>
        <v>26912</v>
      </c>
      <c r="U215" s="147">
        <f>INDEX('Master Data'!$C$75:$O$299,MATCH(A215,'Master Data'!$B$75:$B$299,0),MATCH($U$1,'Master Data'!$C$74:$O$74,0))</f>
        <v>0.3</v>
      </c>
      <c r="V215" s="148">
        <f>ROUND(U215*INDEX('Master Data'!$F$4:$K$12,MATCH($U$1,'Master Data'!$E$4:$E$12,0),MATCH(C215,'Master Data'!$F$3:$K$3,0)),2)</f>
        <v>25959.99</v>
      </c>
      <c r="W215" s="149">
        <f t="shared" si="28"/>
        <v>927397.85</v>
      </c>
      <c r="X215" s="148">
        <f>ROUND(W215*('Master Data'!$B$54),2)</f>
        <v>231571.24</v>
      </c>
      <c r="Y215" s="149">
        <f t="shared" si="30"/>
        <v>1158969.0899999999</v>
      </c>
      <c r="Z215" s="147">
        <f>52*INDEX('Master Data'!$C$75:$O$299,MATCH(A215,'Master Data'!$B$75:$B$299,0),MATCH($Z$1,'Master Data'!$C$74:$O$74,0))</f>
        <v>208</v>
      </c>
      <c r="AA215" s="148">
        <f>Z215*('Master Data'!$F$15)</f>
        <v>15683.2</v>
      </c>
      <c r="AB215" s="147">
        <f>52*INDEX('Master Data'!$C$75:$O$299,MATCH(A215,'Master Data'!$B$75:$B$299,0),MATCH($AB$1,'Master Data'!$C$74:$O$74,0))</f>
        <v>0</v>
      </c>
      <c r="AC215" s="148">
        <f>AB215*('Master Data'!$F$16)</f>
        <v>0</v>
      </c>
      <c r="AD215" s="149">
        <f t="shared" si="31"/>
        <v>15683.2</v>
      </c>
      <c r="AE215" s="148">
        <f>INDEX('Master Data'!$D$58:$D$60,MATCH(D215,'Master Data'!$B$58:$B$60,0))</f>
        <v>24321.56</v>
      </c>
      <c r="AF215" s="148">
        <f>INDEX('Master Data'!$E$58:$E$60,MATCH(D215,'Master Data'!$B$58:$B$60,0))</f>
        <v>2233.8000000000002</v>
      </c>
      <c r="AG215" s="148">
        <f>INDEX('Master Data'!$F$58:$F$60,MATCH(D215,'Master Data'!$B$58:$B$60,0))</f>
        <v>6471.45</v>
      </c>
      <c r="AH215" s="149">
        <f t="shared" si="32"/>
        <v>1207679.0999999999</v>
      </c>
      <c r="AI215" s="148">
        <f>ROUND(AH215*('Master Data'!$C$54),2)</f>
        <v>144921.49</v>
      </c>
      <c r="AJ215" s="148">
        <f>ROUND(SUM(AH215:AI215,AK215)*('Master Data'!$E$54),2)</f>
        <v>40522.620000000003</v>
      </c>
      <c r="AK215" s="148">
        <f>ROUND(W215*('Master Data'!$F$54),2)</f>
        <v>0</v>
      </c>
      <c r="AL215" s="149">
        <f t="shared" si="33"/>
        <v>1393123.21</v>
      </c>
      <c r="AM215" s="140">
        <f t="shared" si="34"/>
        <v>4014.76</v>
      </c>
    </row>
    <row r="216" spans="1:39">
      <c r="A216" s="232" t="s">
        <v>467</v>
      </c>
      <c r="B216" s="121" t="str">
        <f t="shared" si="35"/>
        <v xml:space="preserve"> </v>
      </c>
      <c r="C216" s="121" t="str">
        <f t="shared" si="27"/>
        <v xml:space="preserve">Specialty  </v>
      </c>
      <c r="D216" s="121" t="str">
        <f>INDEX('Master Data'!$C$75:$C$299,MATCH(A216,'Master Data'!$B$75:$B$299,0))</f>
        <v>4+</v>
      </c>
      <c r="E216" s="147">
        <f>INDEX('Master Data'!$C$75:$O$299,MATCH(A216,'Master Data'!$B$75:$B$299,0),MATCH($E$1,'Master Data'!$C$74:$O$74,0))</f>
        <v>0.41</v>
      </c>
      <c r="F216" s="148">
        <f>ROUND(E216*INDEX('Master Data'!$F$4:$K$12,MATCH($E$1,'Master Data'!$E$4:$E$12,0),MATCH(C216,'Master Data'!$F$3:$K$3,0)),2)</f>
        <v>33409.629999999997</v>
      </c>
      <c r="G216" s="147">
        <f>INDEX('Master Data'!$C$75:$O$299,MATCH(A216,'Master Data'!$B$75:$B$299,0),MATCH($G$1,'Master Data'!$C$74:$O$74,0))</f>
        <v>1</v>
      </c>
      <c r="H216" s="148">
        <f>ROUND(G216*INDEX('Master Data'!$F$4:$K$12,MATCH($G$1,'Master Data'!$E$4:$E$12,0),MATCH(C216,'Master Data'!$F$3:$K$3,0)),2)</f>
        <v>75175.149999999994</v>
      </c>
      <c r="I216" s="147">
        <f>INDEX('Master Data'!$C$75:$O$299,MATCH(A216,'Master Data'!$B$75:$B$299,0),MATCH($I$1,'Master Data'!$C$74:$O$74,0))</f>
        <v>9.1</v>
      </c>
      <c r="J216" s="148">
        <f>ROUND(I216*INDEX('Master Data'!$F$4:$K$12,MATCH($I$1,'Master Data'!$E$4:$E$12,0),MATCH(C216,'Master Data'!$F$3:$K$3,0)),2)</f>
        <v>582399.99</v>
      </c>
      <c r="K216" s="147">
        <f>INDEX('Master Data'!$C$75:$O$299,MATCH(A216,'Master Data'!$B$75:$B$299,0),MATCH($K$1,'Master Data'!$C$74:$O$74,0))</f>
        <v>1.4</v>
      </c>
      <c r="L216" s="148">
        <f>ROUND(K216*INDEX('Master Data'!$F$4:$K$12,MATCH($K$1,'Master Data'!$E$4:$E$12,0),MATCH(C216,'Master Data'!$F$3:$K$3,0)),2)</f>
        <v>89600</v>
      </c>
      <c r="M216" s="147">
        <f>INDEX('Master Data'!$C$75:$O$299,MATCH(A216,'Master Data'!$B$75:$B$299,0),MATCH($M$1,'Master Data'!$C$74:$O$74,0))</f>
        <v>1.71</v>
      </c>
      <c r="N216" s="148">
        <f>ROUND(M216*INDEX('Master Data'!$F$4:$K$12,MATCH($M$1,'Master Data'!$E$4:$E$12,0),MATCH(C216,'Master Data'!$F$3:$K$3,0)),2)</f>
        <v>109440</v>
      </c>
      <c r="O216" s="147">
        <f>INDEX('Master Data'!$C$75:$O$299,MATCH(A216,'Master Data'!$B$75:$B$299,0),MATCH($O$1,'Master Data'!$C$74:$O$74,0))</f>
        <v>0.26</v>
      </c>
      <c r="P216" s="148">
        <f>ROUND(O216*INDEX('Master Data'!$F$4:$K$12,MATCH($O$1,'Master Data'!$E$4:$E$12,0),MATCH(C216,'Master Data'!$F$3:$K$3,0)),2)</f>
        <v>16640</v>
      </c>
      <c r="Q216" s="147">
        <f>INDEX('Master Data'!$C$75:$O$299,MATCH(A216,'Master Data'!$B$75:$B$299,0),MATCH($Q$1,'Master Data'!$C$74:$O$74,0))</f>
        <v>0.12</v>
      </c>
      <c r="R216" s="148">
        <f>ROUND(Q216*INDEX('Master Data'!$F$4:$K$12,MATCH($Q$1,'Master Data'!$E$4:$E$12,0),MATCH(C216,'Master Data'!$F$3:$K$3,0)),2)</f>
        <v>5621.09</v>
      </c>
      <c r="S216" s="147">
        <f>INDEX('Master Data'!$C$75:$O$299,MATCH(A216,'Master Data'!$B$75:$B$299,0),MATCH($S$1,'Master Data'!$C$74:$O$74,0))</f>
        <v>0.1</v>
      </c>
      <c r="T216" s="148">
        <f>ROUND(S216*INDEX('Master Data'!$F$4:$K$12,MATCH($S$1,'Master Data'!$E$4:$E$12,0),MATCH(C216,'Master Data'!$F$3:$K$3,0)),2)</f>
        <v>26912</v>
      </c>
      <c r="U216" s="147">
        <f>INDEX('Master Data'!$C$75:$O$299,MATCH(A216,'Master Data'!$B$75:$B$299,0),MATCH($U$1,'Master Data'!$C$74:$O$74,0))</f>
        <v>0.3</v>
      </c>
      <c r="V216" s="148">
        <f>ROUND(U216*INDEX('Master Data'!$F$4:$K$12,MATCH($U$1,'Master Data'!$E$4:$E$12,0),MATCH(C216,'Master Data'!$F$3:$K$3,0)),2)</f>
        <v>25959.99</v>
      </c>
      <c r="W216" s="149">
        <f t="shared" si="28"/>
        <v>965157.85</v>
      </c>
      <c r="X216" s="148">
        <f>ROUND(W216*('Master Data'!$B$54),2)</f>
        <v>240999.92</v>
      </c>
      <c r="Y216" s="149">
        <f t="shared" si="30"/>
        <v>1206157.77</v>
      </c>
      <c r="Z216" s="147">
        <f>52*INDEX('Master Data'!$C$75:$O$299,MATCH(A216,'Master Data'!$B$75:$B$299,0),MATCH($Z$1,'Master Data'!$C$74:$O$74,0))</f>
        <v>208</v>
      </c>
      <c r="AA216" s="148">
        <f>Z216*('Master Data'!$F$15)</f>
        <v>15683.2</v>
      </c>
      <c r="AB216" s="147">
        <f>52*INDEX('Master Data'!$C$75:$O$299,MATCH(A216,'Master Data'!$B$75:$B$299,0),MATCH($AB$1,'Master Data'!$C$74:$O$74,0))</f>
        <v>0</v>
      </c>
      <c r="AC216" s="148">
        <f>AB216*('Master Data'!$F$16)</f>
        <v>0</v>
      </c>
      <c r="AD216" s="149">
        <f t="shared" si="31"/>
        <v>15683.2</v>
      </c>
      <c r="AE216" s="148">
        <f>INDEX('Master Data'!$D$58:$D$60,MATCH(D216,'Master Data'!$B$58:$B$60,0))</f>
        <v>24321.56</v>
      </c>
      <c r="AF216" s="148">
        <f>INDEX('Master Data'!$E$58:$E$60,MATCH(D216,'Master Data'!$B$58:$B$60,0))</f>
        <v>2233.8000000000002</v>
      </c>
      <c r="AG216" s="148">
        <f>INDEX('Master Data'!$F$58:$F$60,MATCH(D216,'Master Data'!$B$58:$B$60,0))</f>
        <v>6471.45</v>
      </c>
      <c r="AH216" s="149">
        <f t="shared" si="32"/>
        <v>1254867.78</v>
      </c>
      <c r="AI216" s="148">
        <f>ROUND(AH216*('Master Data'!$C$54),2)</f>
        <v>150584.13</v>
      </c>
      <c r="AJ216" s="148">
        <f>ROUND(SUM(AH216:AI216,AK216)*('Master Data'!$E$54),2)</f>
        <v>42105.99</v>
      </c>
      <c r="AK216" s="148">
        <f>ROUND(W216*('Master Data'!$F$54),2)</f>
        <v>0</v>
      </c>
      <c r="AL216" s="149">
        <f t="shared" si="33"/>
        <v>1447557.9000000001</v>
      </c>
      <c r="AM216" s="140">
        <f t="shared" si="34"/>
        <v>4171.6400000000003</v>
      </c>
    </row>
    <row r="217" spans="1:39">
      <c r="A217" s="232" t="s">
        <v>468</v>
      </c>
      <c r="B217" s="121" t="str">
        <f t="shared" si="35"/>
        <v xml:space="preserve"> </v>
      </c>
      <c r="C217" s="121" t="str">
        <f t="shared" ref="C217:C226" si="36">CONCATENATE(IF(LEFT(A217,1)="B","Basic",IF(LEFT(A217,1)="I","Intermediate",IF(LEFT(A217,1)="S","Specialty",IF(LEFT(A217,1)="M","Medical",0))))," ",B217)</f>
        <v xml:space="preserve">Specialty  </v>
      </c>
      <c r="D217" s="121" t="str">
        <f>INDEX('Master Data'!$C$75:$C$299,MATCH(A217,'Master Data'!$B$75:$B$299,0))</f>
        <v>4+</v>
      </c>
      <c r="E217" s="147">
        <f>INDEX('Master Data'!$C$75:$O$299,MATCH(A217,'Master Data'!$B$75:$B$299,0),MATCH($E$1,'Master Data'!$C$74:$O$74,0))</f>
        <v>0.41</v>
      </c>
      <c r="F217" s="148">
        <f>ROUND(E217*INDEX('Master Data'!$F$4:$K$12,MATCH($E$1,'Master Data'!$E$4:$E$12,0),MATCH(C217,'Master Data'!$F$3:$K$3,0)),2)</f>
        <v>33409.629999999997</v>
      </c>
      <c r="G217" s="147">
        <f>INDEX('Master Data'!$C$75:$O$299,MATCH(A217,'Master Data'!$B$75:$B$299,0),MATCH($G$1,'Master Data'!$C$74:$O$74,0))</f>
        <v>1</v>
      </c>
      <c r="H217" s="148">
        <f>ROUND(G217*INDEX('Master Data'!$F$4:$K$12,MATCH($G$1,'Master Data'!$E$4:$E$12,0),MATCH(C217,'Master Data'!$F$3:$K$3,0)),2)</f>
        <v>75175.149999999994</v>
      </c>
      <c r="I217" s="147">
        <f>INDEX('Master Data'!$C$75:$O$299,MATCH(A217,'Master Data'!$B$75:$B$299,0),MATCH($I$1,'Master Data'!$C$74:$O$74,0))</f>
        <v>9.6</v>
      </c>
      <c r="J217" s="148">
        <f>ROUND(I217*INDEX('Master Data'!$F$4:$K$12,MATCH($I$1,'Master Data'!$E$4:$E$12,0),MATCH(C217,'Master Data'!$F$3:$K$3,0)),2)</f>
        <v>614399.98</v>
      </c>
      <c r="K217" s="147">
        <f>INDEX('Master Data'!$C$75:$O$299,MATCH(A217,'Master Data'!$B$75:$B$299,0),MATCH($K$1,'Master Data'!$C$74:$O$74,0))</f>
        <v>1.4</v>
      </c>
      <c r="L217" s="148">
        <f>ROUND(K217*INDEX('Master Data'!$F$4:$K$12,MATCH($K$1,'Master Data'!$E$4:$E$12,0),MATCH(C217,'Master Data'!$F$3:$K$3,0)),2)</f>
        <v>89600</v>
      </c>
      <c r="M217" s="147">
        <f>INDEX('Master Data'!$C$75:$O$299,MATCH(A217,'Master Data'!$B$75:$B$299,0),MATCH($M$1,'Master Data'!$C$74:$O$74,0))</f>
        <v>1.8</v>
      </c>
      <c r="N217" s="148">
        <f>ROUND(M217*INDEX('Master Data'!$F$4:$K$12,MATCH($M$1,'Master Data'!$E$4:$E$12,0),MATCH(C217,'Master Data'!$F$3:$K$3,0)),2)</f>
        <v>115200</v>
      </c>
      <c r="O217" s="147">
        <f>INDEX('Master Data'!$C$75:$O$299,MATCH(A217,'Master Data'!$B$75:$B$299,0),MATCH($O$1,'Master Data'!$C$74:$O$74,0))</f>
        <v>0.26</v>
      </c>
      <c r="P217" s="148">
        <f>ROUND(O217*INDEX('Master Data'!$F$4:$K$12,MATCH($O$1,'Master Data'!$E$4:$E$12,0),MATCH(C217,'Master Data'!$F$3:$K$3,0)),2)</f>
        <v>16640</v>
      </c>
      <c r="Q217" s="147">
        <f>INDEX('Master Data'!$C$75:$O$299,MATCH(A217,'Master Data'!$B$75:$B$299,0),MATCH($Q$1,'Master Data'!$C$74:$O$74,0))</f>
        <v>0.12</v>
      </c>
      <c r="R217" s="148">
        <f>ROUND(Q217*INDEX('Master Data'!$F$4:$K$12,MATCH($Q$1,'Master Data'!$E$4:$E$12,0),MATCH(C217,'Master Data'!$F$3:$K$3,0)),2)</f>
        <v>5621.09</v>
      </c>
      <c r="S217" s="147">
        <f>INDEX('Master Data'!$C$75:$O$299,MATCH(A217,'Master Data'!$B$75:$B$299,0),MATCH($S$1,'Master Data'!$C$74:$O$74,0))</f>
        <v>0.1</v>
      </c>
      <c r="T217" s="148">
        <f>ROUND(S217*INDEX('Master Data'!$F$4:$K$12,MATCH($S$1,'Master Data'!$E$4:$E$12,0),MATCH(C217,'Master Data'!$F$3:$K$3,0)),2)</f>
        <v>26912</v>
      </c>
      <c r="U217" s="147">
        <f>INDEX('Master Data'!$C$75:$O$299,MATCH(A217,'Master Data'!$B$75:$B$299,0),MATCH($U$1,'Master Data'!$C$74:$O$74,0))</f>
        <v>0.3</v>
      </c>
      <c r="V217" s="148">
        <f>ROUND(U217*INDEX('Master Data'!$F$4:$K$12,MATCH($U$1,'Master Data'!$E$4:$E$12,0),MATCH(C217,'Master Data'!$F$3:$K$3,0)),2)</f>
        <v>25959.99</v>
      </c>
      <c r="W217" s="149">
        <f t="shared" si="28"/>
        <v>1002917.84</v>
      </c>
      <c r="X217" s="148">
        <f>ROUND(W217*('Master Data'!$B$54),2)</f>
        <v>250428.58</v>
      </c>
      <c r="Y217" s="149">
        <f t="shared" si="30"/>
        <v>1253346.42</v>
      </c>
      <c r="Z217" s="147">
        <f>52*INDEX('Master Data'!$C$75:$O$299,MATCH(A217,'Master Data'!$B$75:$B$299,0),MATCH($Z$1,'Master Data'!$C$74:$O$74,0))</f>
        <v>208</v>
      </c>
      <c r="AA217" s="148">
        <f>Z217*('Master Data'!$F$15)</f>
        <v>15683.2</v>
      </c>
      <c r="AB217" s="147">
        <f>52*INDEX('Master Data'!$C$75:$O$299,MATCH(A217,'Master Data'!$B$75:$B$299,0),MATCH($AB$1,'Master Data'!$C$74:$O$74,0))</f>
        <v>0</v>
      </c>
      <c r="AC217" s="148">
        <f>AB217*('Master Data'!$F$16)</f>
        <v>0</v>
      </c>
      <c r="AD217" s="149">
        <f t="shared" si="31"/>
        <v>15683.2</v>
      </c>
      <c r="AE217" s="148">
        <f>INDEX('Master Data'!$D$58:$D$60,MATCH(D217,'Master Data'!$B$58:$B$60,0))</f>
        <v>24321.56</v>
      </c>
      <c r="AF217" s="148">
        <f>INDEX('Master Data'!$E$58:$E$60,MATCH(D217,'Master Data'!$B$58:$B$60,0))</f>
        <v>2233.8000000000002</v>
      </c>
      <c r="AG217" s="148">
        <f>INDEX('Master Data'!$F$58:$F$60,MATCH(D217,'Master Data'!$B$58:$B$60,0))</f>
        <v>6471.45</v>
      </c>
      <c r="AH217" s="149">
        <f t="shared" si="32"/>
        <v>1302056.43</v>
      </c>
      <c r="AI217" s="148">
        <f>ROUND(AH217*('Master Data'!$C$54),2)</f>
        <v>156246.76999999999</v>
      </c>
      <c r="AJ217" s="148">
        <f>ROUND(SUM(AH217:AI217,AK217)*('Master Data'!$E$54),2)</f>
        <v>43689.37</v>
      </c>
      <c r="AK217" s="148">
        <f>ROUND(W217*('Master Data'!$F$54),2)</f>
        <v>0</v>
      </c>
      <c r="AL217" s="149">
        <f t="shared" si="33"/>
        <v>1501992.57</v>
      </c>
      <c r="AM217" s="140">
        <f t="shared" si="34"/>
        <v>4328.51</v>
      </c>
    </row>
    <row r="218" spans="1:39">
      <c r="A218" s="232" t="s">
        <v>469</v>
      </c>
      <c r="B218" s="121" t="str">
        <f t="shared" si="35"/>
        <v xml:space="preserve"> </v>
      </c>
      <c r="C218" s="121" t="str">
        <f t="shared" si="36"/>
        <v xml:space="preserve">Specialty  </v>
      </c>
      <c r="D218" s="121" t="str">
        <f>INDEX('Master Data'!$C$75:$C$299,MATCH(A218,'Master Data'!$B$75:$B$299,0))</f>
        <v>4+</v>
      </c>
      <c r="E218" s="147">
        <f>INDEX('Master Data'!$C$75:$O$299,MATCH(A218,'Master Data'!$B$75:$B$299,0),MATCH($E$1,'Master Data'!$C$74:$O$74,0))</f>
        <v>0.41</v>
      </c>
      <c r="F218" s="148">
        <f>ROUND(E218*INDEX('Master Data'!$F$4:$K$12,MATCH($E$1,'Master Data'!$E$4:$E$12,0),MATCH(C218,'Master Data'!$F$3:$K$3,0)),2)</f>
        <v>33409.629999999997</v>
      </c>
      <c r="G218" s="147">
        <f>INDEX('Master Data'!$C$75:$O$299,MATCH(A218,'Master Data'!$B$75:$B$299,0),MATCH($G$1,'Master Data'!$C$74:$O$74,0))</f>
        <v>1</v>
      </c>
      <c r="H218" s="148">
        <f>ROUND(G218*INDEX('Master Data'!$F$4:$K$12,MATCH($G$1,'Master Data'!$E$4:$E$12,0),MATCH(C218,'Master Data'!$F$3:$K$3,0)),2)</f>
        <v>75175.149999999994</v>
      </c>
      <c r="I218" s="147">
        <f>INDEX('Master Data'!$C$75:$O$299,MATCH(A218,'Master Data'!$B$75:$B$299,0),MATCH($I$1,'Master Data'!$C$74:$O$74,0))</f>
        <v>10.1</v>
      </c>
      <c r="J218" s="148">
        <f>ROUND(I218*INDEX('Master Data'!$F$4:$K$12,MATCH($I$1,'Master Data'!$E$4:$E$12,0),MATCH(C218,'Master Data'!$F$3:$K$3,0)),2)</f>
        <v>646399.98</v>
      </c>
      <c r="K218" s="147">
        <f>INDEX('Master Data'!$C$75:$O$299,MATCH(A218,'Master Data'!$B$75:$B$299,0),MATCH($K$1,'Master Data'!$C$74:$O$74,0))</f>
        <v>1.4</v>
      </c>
      <c r="L218" s="148">
        <f>ROUND(K218*INDEX('Master Data'!$F$4:$K$12,MATCH($K$1,'Master Data'!$E$4:$E$12,0),MATCH(C218,'Master Data'!$F$3:$K$3,0)),2)</f>
        <v>89600</v>
      </c>
      <c r="M218" s="147">
        <f>INDEX('Master Data'!$C$75:$O$299,MATCH(A218,'Master Data'!$B$75:$B$299,0),MATCH($M$1,'Master Data'!$C$74:$O$74,0))</f>
        <v>1.9</v>
      </c>
      <c r="N218" s="148">
        <f>ROUND(M218*INDEX('Master Data'!$F$4:$K$12,MATCH($M$1,'Master Data'!$E$4:$E$12,0),MATCH(C218,'Master Data'!$F$3:$K$3,0)),2)</f>
        <v>121600</v>
      </c>
      <c r="O218" s="147">
        <f>INDEX('Master Data'!$C$75:$O$299,MATCH(A218,'Master Data'!$B$75:$B$299,0),MATCH($O$1,'Master Data'!$C$74:$O$74,0))</f>
        <v>0.26</v>
      </c>
      <c r="P218" s="148">
        <f>ROUND(O218*INDEX('Master Data'!$F$4:$K$12,MATCH($O$1,'Master Data'!$E$4:$E$12,0),MATCH(C218,'Master Data'!$F$3:$K$3,0)),2)</f>
        <v>16640</v>
      </c>
      <c r="Q218" s="147">
        <f>INDEX('Master Data'!$C$75:$O$299,MATCH(A218,'Master Data'!$B$75:$B$299,0),MATCH($Q$1,'Master Data'!$C$74:$O$74,0))</f>
        <v>0.12</v>
      </c>
      <c r="R218" s="148">
        <f>ROUND(Q218*INDEX('Master Data'!$F$4:$K$12,MATCH($Q$1,'Master Data'!$E$4:$E$12,0),MATCH(C218,'Master Data'!$F$3:$K$3,0)),2)</f>
        <v>5621.09</v>
      </c>
      <c r="S218" s="147">
        <f>INDEX('Master Data'!$C$75:$O$299,MATCH(A218,'Master Data'!$B$75:$B$299,0),MATCH($S$1,'Master Data'!$C$74:$O$74,0))</f>
        <v>0.1</v>
      </c>
      <c r="T218" s="148">
        <f>ROUND(S218*INDEX('Master Data'!$F$4:$K$12,MATCH($S$1,'Master Data'!$E$4:$E$12,0),MATCH(C218,'Master Data'!$F$3:$K$3,0)),2)</f>
        <v>26912</v>
      </c>
      <c r="U218" s="147">
        <f>INDEX('Master Data'!$C$75:$O$299,MATCH(A218,'Master Data'!$B$75:$B$299,0),MATCH($U$1,'Master Data'!$C$74:$O$74,0))</f>
        <v>0.3</v>
      </c>
      <c r="V218" s="148">
        <f>ROUND(U218*INDEX('Master Data'!$F$4:$K$12,MATCH($U$1,'Master Data'!$E$4:$E$12,0),MATCH(C218,'Master Data'!$F$3:$K$3,0)),2)</f>
        <v>25959.99</v>
      </c>
      <c r="W218" s="149">
        <f t="shared" si="28"/>
        <v>1041317.84</v>
      </c>
      <c r="X218" s="148">
        <f>ROUND(W218*('Master Data'!$B$54),2)</f>
        <v>260017.06</v>
      </c>
      <c r="Y218" s="149">
        <f t="shared" si="30"/>
        <v>1301334.8999999999</v>
      </c>
      <c r="Z218" s="147">
        <f>52*INDEX('Master Data'!$C$75:$O$299,MATCH(A218,'Master Data'!$B$75:$B$299,0),MATCH($Z$1,'Master Data'!$C$74:$O$74,0))</f>
        <v>208</v>
      </c>
      <c r="AA218" s="148">
        <f>Z218*('Master Data'!$F$15)</f>
        <v>15683.2</v>
      </c>
      <c r="AB218" s="147">
        <f>52*INDEX('Master Data'!$C$75:$O$299,MATCH(A218,'Master Data'!$B$75:$B$299,0),MATCH($AB$1,'Master Data'!$C$74:$O$74,0))</f>
        <v>0</v>
      </c>
      <c r="AC218" s="148">
        <f>AB218*('Master Data'!$F$16)</f>
        <v>0</v>
      </c>
      <c r="AD218" s="149">
        <f t="shared" si="31"/>
        <v>15683.2</v>
      </c>
      <c r="AE218" s="148">
        <f>INDEX('Master Data'!$D$58:$D$60,MATCH(D218,'Master Data'!$B$58:$B$60,0))</f>
        <v>24321.56</v>
      </c>
      <c r="AF218" s="148">
        <f>INDEX('Master Data'!$E$58:$E$60,MATCH(D218,'Master Data'!$B$58:$B$60,0))</f>
        <v>2233.8000000000002</v>
      </c>
      <c r="AG218" s="148">
        <f>INDEX('Master Data'!$F$58:$F$60,MATCH(D218,'Master Data'!$B$58:$B$60,0))</f>
        <v>6471.45</v>
      </c>
      <c r="AH218" s="149">
        <f t="shared" si="32"/>
        <v>1350044.91</v>
      </c>
      <c r="AI218" s="148">
        <f>ROUND(AH218*('Master Data'!$C$54),2)</f>
        <v>162005.39000000001</v>
      </c>
      <c r="AJ218" s="148">
        <f>ROUND(SUM(AH218:AI218,AK218)*('Master Data'!$E$54),2)</f>
        <v>45299.58</v>
      </c>
      <c r="AK218" s="148">
        <f>ROUND(W218*('Master Data'!$F$54),2)</f>
        <v>0</v>
      </c>
      <c r="AL218" s="149">
        <f t="shared" si="33"/>
        <v>1557349.88</v>
      </c>
      <c r="AM218" s="140">
        <f t="shared" si="34"/>
        <v>4488.04</v>
      </c>
    </row>
    <row r="219" spans="1:39">
      <c r="A219" s="232" t="s">
        <v>470</v>
      </c>
      <c r="B219" s="121" t="str">
        <f t="shared" si="35"/>
        <v xml:space="preserve"> </v>
      </c>
      <c r="C219" s="121" t="str">
        <f t="shared" si="36"/>
        <v xml:space="preserve">Specialty  </v>
      </c>
      <c r="D219" s="121" t="str">
        <f>INDEX('Master Data'!$C$75:$C$299,MATCH(A219,'Master Data'!$B$75:$B$299,0))</f>
        <v>4+</v>
      </c>
      <c r="E219" s="147">
        <f>INDEX('Master Data'!$C$75:$O$299,MATCH(A219,'Master Data'!$B$75:$B$299,0),MATCH($E$1,'Master Data'!$C$74:$O$74,0))</f>
        <v>0.41</v>
      </c>
      <c r="F219" s="148">
        <f>ROUND(E219*INDEX('Master Data'!$F$4:$K$12,MATCH($E$1,'Master Data'!$E$4:$E$12,0),MATCH(C219,'Master Data'!$F$3:$K$3,0)),2)</f>
        <v>33409.629999999997</v>
      </c>
      <c r="G219" s="147">
        <f>INDEX('Master Data'!$C$75:$O$299,MATCH(A219,'Master Data'!$B$75:$B$299,0),MATCH($G$1,'Master Data'!$C$74:$O$74,0))</f>
        <v>1</v>
      </c>
      <c r="H219" s="148">
        <f>ROUND(G219*INDEX('Master Data'!$F$4:$K$12,MATCH($G$1,'Master Data'!$E$4:$E$12,0),MATCH(C219,'Master Data'!$F$3:$K$3,0)),2)</f>
        <v>75175.149999999994</v>
      </c>
      <c r="I219" s="147">
        <f>INDEX('Master Data'!$C$75:$O$299,MATCH(A219,'Master Data'!$B$75:$B$299,0),MATCH($I$1,'Master Data'!$C$74:$O$74,0))</f>
        <v>10.6</v>
      </c>
      <c r="J219" s="148">
        <f>ROUND(I219*INDEX('Master Data'!$F$4:$K$12,MATCH($I$1,'Master Data'!$E$4:$E$12,0),MATCH(C219,'Master Data'!$F$3:$K$3,0)),2)</f>
        <v>678399.98</v>
      </c>
      <c r="K219" s="147">
        <f>INDEX('Master Data'!$C$75:$O$299,MATCH(A219,'Master Data'!$B$75:$B$299,0),MATCH($K$1,'Master Data'!$C$74:$O$74,0))</f>
        <v>1.4</v>
      </c>
      <c r="L219" s="148">
        <f>ROUND(K219*INDEX('Master Data'!$F$4:$K$12,MATCH($K$1,'Master Data'!$E$4:$E$12,0),MATCH(C219,'Master Data'!$F$3:$K$3,0)),2)</f>
        <v>89600</v>
      </c>
      <c r="M219" s="147">
        <f>INDEX('Master Data'!$C$75:$O$299,MATCH(A219,'Master Data'!$B$75:$B$299,0),MATCH($M$1,'Master Data'!$C$74:$O$74,0))</f>
        <v>1.99</v>
      </c>
      <c r="N219" s="148">
        <f>ROUND(M219*INDEX('Master Data'!$F$4:$K$12,MATCH($M$1,'Master Data'!$E$4:$E$12,0),MATCH(C219,'Master Data'!$F$3:$K$3,0)),2)</f>
        <v>127360</v>
      </c>
      <c r="O219" s="147">
        <f>INDEX('Master Data'!$C$75:$O$299,MATCH(A219,'Master Data'!$B$75:$B$299,0),MATCH($O$1,'Master Data'!$C$74:$O$74,0))</f>
        <v>0.26</v>
      </c>
      <c r="P219" s="148">
        <f>ROUND(O219*INDEX('Master Data'!$F$4:$K$12,MATCH($O$1,'Master Data'!$E$4:$E$12,0),MATCH(C219,'Master Data'!$F$3:$K$3,0)),2)</f>
        <v>16640</v>
      </c>
      <c r="Q219" s="147">
        <f>INDEX('Master Data'!$C$75:$O$299,MATCH(A219,'Master Data'!$B$75:$B$299,0),MATCH($Q$1,'Master Data'!$C$74:$O$74,0))</f>
        <v>0.12</v>
      </c>
      <c r="R219" s="148">
        <f>ROUND(Q219*INDEX('Master Data'!$F$4:$K$12,MATCH($Q$1,'Master Data'!$E$4:$E$12,0),MATCH(C219,'Master Data'!$F$3:$K$3,0)),2)</f>
        <v>5621.09</v>
      </c>
      <c r="S219" s="147">
        <f>INDEX('Master Data'!$C$75:$O$299,MATCH(A219,'Master Data'!$B$75:$B$299,0),MATCH($S$1,'Master Data'!$C$74:$O$74,0))</f>
        <v>0.1</v>
      </c>
      <c r="T219" s="148">
        <f>ROUND(S219*INDEX('Master Data'!$F$4:$K$12,MATCH($S$1,'Master Data'!$E$4:$E$12,0),MATCH(C219,'Master Data'!$F$3:$K$3,0)),2)</f>
        <v>26912</v>
      </c>
      <c r="U219" s="147">
        <f>INDEX('Master Data'!$C$75:$O$299,MATCH(A219,'Master Data'!$B$75:$B$299,0),MATCH($U$1,'Master Data'!$C$74:$O$74,0))</f>
        <v>0.3</v>
      </c>
      <c r="V219" s="148">
        <f>ROUND(U219*INDEX('Master Data'!$F$4:$K$12,MATCH($U$1,'Master Data'!$E$4:$E$12,0),MATCH(C219,'Master Data'!$F$3:$K$3,0)),2)</f>
        <v>25959.99</v>
      </c>
      <c r="W219" s="149">
        <f>SUM(F219,H219,J219,L219,N219,P219,R219,T219,V219)</f>
        <v>1079077.8400000001</v>
      </c>
      <c r="X219" s="148">
        <f>ROUND(W219*('Master Data'!$B$54),2)</f>
        <v>269445.74</v>
      </c>
      <c r="Y219" s="149">
        <f t="shared" si="30"/>
        <v>1348523.58</v>
      </c>
      <c r="Z219" s="147">
        <f>52*INDEX('Master Data'!$C$75:$O$299,MATCH(A219,'Master Data'!$B$75:$B$299,0),MATCH($Z$1,'Master Data'!$C$74:$O$74,0))</f>
        <v>208</v>
      </c>
      <c r="AA219" s="148">
        <f>Z219*('Master Data'!$F$15)</f>
        <v>15683.2</v>
      </c>
      <c r="AB219" s="147">
        <f>52*INDEX('Master Data'!$C$75:$O$299,MATCH(A219,'Master Data'!$B$75:$B$299,0),MATCH($AB$1,'Master Data'!$C$74:$O$74,0))</f>
        <v>0</v>
      </c>
      <c r="AC219" s="148">
        <f>AB219*('Master Data'!$F$16)</f>
        <v>0</v>
      </c>
      <c r="AD219" s="149">
        <f t="shared" si="31"/>
        <v>15683.2</v>
      </c>
      <c r="AE219" s="148">
        <f>INDEX('Master Data'!$D$58:$D$60,MATCH(D219,'Master Data'!$B$58:$B$60,0))</f>
        <v>24321.56</v>
      </c>
      <c r="AF219" s="148">
        <f>INDEX('Master Data'!$E$58:$E$60,MATCH(D219,'Master Data'!$B$58:$B$60,0))</f>
        <v>2233.8000000000002</v>
      </c>
      <c r="AG219" s="148">
        <f>INDEX('Master Data'!$F$58:$F$60,MATCH(D219,'Master Data'!$B$58:$B$60,0))</f>
        <v>6471.45</v>
      </c>
      <c r="AH219" s="149">
        <f t="shared" si="32"/>
        <v>1397233.59</v>
      </c>
      <c r="AI219" s="148">
        <f>ROUND(AH219*('Master Data'!$C$54),2)</f>
        <v>167668.03</v>
      </c>
      <c r="AJ219" s="148">
        <f>ROUND(SUM(AH219:AI219,AK219)*('Master Data'!$E$54),2)</f>
        <v>46882.95</v>
      </c>
      <c r="AK219" s="148">
        <f>ROUND(W219*('Master Data'!$F$54),2)</f>
        <v>0</v>
      </c>
      <c r="AL219" s="149">
        <f t="shared" si="33"/>
        <v>1611784.57</v>
      </c>
      <c r="AM219" s="140">
        <f t="shared" si="34"/>
        <v>4644.91</v>
      </c>
    </row>
    <row r="220" spans="1:39">
      <c r="A220" s="232" t="s">
        <v>477</v>
      </c>
      <c r="B220" s="121" t="str">
        <f t="shared" si="35"/>
        <v xml:space="preserve"> </v>
      </c>
      <c r="C220" s="121" t="str">
        <f t="shared" si="36"/>
        <v xml:space="preserve">Specialty  </v>
      </c>
      <c r="D220" s="121" t="str">
        <f>INDEX('Master Data'!$C$75:$C$299,MATCH(A220,'Master Data'!$B$75:$B$299,0))</f>
        <v>4+</v>
      </c>
      <c r="E220" s="147">
        <f>INDEX('Master Data'!$C$75:$O$299,MATCH(A220,'Master Data'!$B$75:$B$299,0),MATCH($E$1,'Master Data'!$C$74:$O$74,0))</f>
        <v>0.41</v>
      </c>
      <c r="F220" s="148">
        <f>ROUND(E220*INDEX('Master Data'!$F$4:$K$12,MATCH($E$1,'Master Data'!$E$4:$E$12,0),MATCH(C220,'Master Data'!$F$3:$K$3,0)),2)</f>
        <v>33409.629999999997</v>
      </c>
      <c r="G220" s="147">
        <f>INDEX('Master Data'!$C$75:$O$299,MATCH(A220,'Master Data'!$B$75:$B$299,0),MATCH($G$1,'Master Data'!$C$74:$O$74,0))</f>
        <v>1</v>
      </c>
      <c r="H220" s="148">
        <f>ROUND(G220*INDEX('Master Data'!$F$4:$K$12,MATCH($G$1,'Master Data'!$E$4:$E$12,0),MATCH(C220,'Master Data'!$F$3:$K$3,0)),2)</f>
        <v>75175.149999999994</v>
      </c>
      <c r="I220" s="147">
        <f>INDEX('Master Data'!$C$75:$O$299,MATCH(A220,'Master Data'!$B$75:$B$299,0),MATCH($I$1,'Master Data'!$C$74:$O$74,0))</f>
        <v>11.1</v>
      </c>
      <c r="J220" s="148">
        <f>ROUND(I220*INDEX('Master Data'!$F$4:$K$12,MATCH($I$1,'Master Data'!$E$4:$E$12,0),MATCH(C220,'Master Data'!$F$3:$K$3,0)),2)</f>
        <v>710399.98</v>
      </c>
      <c r="K220" s="147">
        <f>INDEX('Master Data'!$C$75:$O$299,MATCH(A220,'Master Data'!$B$75:$B$299,0),MATCH($K$1,'Master Data'!$C$74:$O$74,0))</f>
        <v>1.4</v>
      </c>
      <c r="L220" s="148">
        <f>ROUND(K220*INDEX('Master Data'!$F$4:$K$12,MATCH($K$1,'Master Data'!$E$4:$E$12,0),MATCH(C220,'Master Data'!$F$3:$K$3,0)),2)</f>
        <v>89600</v>
      </c>
      <c r="M220" s="147">
        <f>INDEX('Master Data'!$C$75:$O$299,MATCH(A220,'Master Data'!$B$75:$B$299,0),MATCH($M$1,'Master Data'!$C$74:$O$74,0))</f>
        <v>2.09</v>
      </c>
      <c r="N220" s="148">
        <f>ROUND(M220*INDEX('Master Data'!$F$4:$K$12,MATCH($M$1,'Master Data'!$E$4:$E$12,0),MATCH(C220,'Master Data'!$F$3:$K$3,0)),2)</f>
        <v>133760</v>
      </c>
      <c r="O220" s="147">
        <f>INDEX('Master Data'!$C$75:$O$299,MATCH(A220,'Master Data'!$B$75:$B$299,0),MATCH($O$1,'Master Data'!$C$74:$O$74,0))</f>
        <v>0.26</v>
      </c>
      <c r="P220" s="148">
        <f>ROUND(O220*INDEX('Master Data'!$F$4:$K$12,MATCH($O$1,'Master Data'!$E$4:$E$12,0),MATCH(C220,'Master Data'!$F$3:$K$3,0)),2)</f>
        <v>16640</v>
      </c>
      <c r="Q220" s="147">
        <f>INDEX('Master Data'!$C$75:$O$299,MATCH(A220,'Master Data'!$B$75:$B$299,0),MATCH($Q$1,'Master Data'!$C$74:$O$74,0))</f>
        <v>0.12</v>
      </c>
      <c r="R220" s="148">
        <f>ROUND(Q220*INDEX('Master Data'!$F$4:$K$12,MATCH($Q$1,'Master Data'!$E$4:$E$12,0),MATCH(C220,'Master Data'!$F$3:$K$3,0)),2)</f>
        <v>5621.09</v>
      </c>
      <c r="S220" s="147">
        <f>INDEX('Master Data'!$C$75:$O$299,MATCH(A220,'Master Data'!$B$75:$B$299,0),MATCH($S$1,'Master Data'!$C$74:$O$74,0))</f>
        <v>0.1</v>
      </c>
      <c r="T220" s="148">
        <f>ROUND(S220*INDEX('Master Data'!$F$4:$K$12,MATCH($S$1,'Master Data'!$E$4:$E$12,0),MATCH(C220,'Master Data'!$F$3:$K$3,0)),2)</f>
        <v>26912</v>
      </c>
      <c r="U220" s="147">
        <f>INDEX('Master Data'!$C$75:$O$299,MATCH(A220,'Master Data'!$B$75:$B$299,0),MATCH($U$1,'Master Data'!$C$74:$O$74,0))</f>
        <v>0.3</v>
      </c>
      <c r="V220" s="148">
        <f>ROUND(U220*INDEX('Master Data'!$F$4:$K$12,MATCH($U$1,'Master Data'!$E$4:$E$12,0),MATCH(C220,'Master Data'!$F$3:$K$3,0)),2)</f>
        <v>25959.99</v>
      </c>
      <c r="W220" s="149">
        <f t="shared" ref="W220:W226" si="37">SUM(F220,H220,J220,L220,N220,P220,R220,T220,V220)</f>
        <v>1117477.8400000001</v>
      </c>
      <c r="X220" s="148">
        <f>ROUND(W220*('Master Data'!$B$54),2)</f>
        <v>279034.21999999997</v>
      </c>
      <c r="Y220" s="149">
        <f t="shared" si="30"/>
        <v>1396512.06</v>
      </c>
      <c r="Z220" s="147">
        <f>52*INDEX('Master Data'!$C$75:$O$299,MATCH(A220,'Master Data'!$B$75:$B$299,0),MATCH($Z$1,'Master Data'!$C$74:$O$74,0))</f>
        <v>208</v>
      </c>
      <c r="AA220" s="148">
        <f>Z220*('Master Data'!$F$15)</f>
        <v>15683.2</v>
      </c>
      <c r="AB220" s="147">
        <f>52*INDEX('Master Data'!$C$75:$O$299,MATCH(A220,'Master Data'!$B$75:$B$299,0),MATCH($AB$1,'Master Data'!$C$74:$O$74,0))</f>
        <v>0</v>
      </c>
      <c r="AC220" s="148">
        <f>AB220*('Master Data'!$F$16)</f>
        <v>0</v>
      </c>
      <c r="AD220" s="149">
        <f t="shared" si="31"/>
        <v>15683.2</v>
      </c>
      <c r="AE220" s="148">
        <f>INDEX('Master Data'!$D$58:$D$60,MATCH(D220,'Master Data'!$B$58:$B$60,0))</f>
        <v>24321.56</v>
      </c>
      <c r="AF220" s="148">
        <f>INDEX('Master Data'!$E$58:$E$60,MATCH(D220,'Master Data'!$B$58:$B$60,0))</f>
        <v>2233.8000000000002</v>
      </c>
      <c r="AG220" s="148">
        <f>INDEX('Master Data'!$F$58:$F$60,MATCH(D220,'Master Data'!$B$58:$B$60,0))</f>
        <v>6471.45</v>
      </c>
      <c r="AH220" s="149">
        <f t="shared" si="32"/>
        <v>1445222.07</v>
      </c>
      <c r="AI220" s="148">
        <f>ROUND(AH220*('Master Data'!$C$54),2)</f>
        <v>173426.65</v>
      </c>
      <c r="AJ220" s="148">
        <f>ROUND(SUM(AH220:AI220,AK220)*('Master Data'!$E$54),2)</f>
        <v>48493.16</v>
      </c>
      <c r="AK220" s="148">
        <f>ROUND(W220*('Master Data'!$F$54),2)</f>
        <v>0</v>
      </c>
      <c r="AL220" s="149">
        <f t="shared" si="33"/>
        <v>1667141.88</v>
      </c>
      <c r="AM220" s="140">
        <f t="shared" si="34"/>
        <v>4804.4399999999996</v>
      </c>
    </row>
    <row r="221" spans="1:39">
      <c r="A221" s="232" t="s">
        <v>471</v>
      </c>
      <c r="B221" s="121" t="str">
        <f t="shared" si="35"/>
        <v xml:space="preserve"> </v>
      </c>
      <c r="C221" s="121" t="str">
        <f t="shared" si="36"/>
        <v xml:space="preserve">Specialty  </v>
      </c>
      <c r="D221" s="121" t="str">
        <f>INDEX('Master Data'!$C$75:$C$299,MATCH(A221,'Master Data'!$B$75:$B$299,0))</f>
        <v>4+</v>
      </c>
      <c r="E221" s="147">
        <f>INDEX('Master Data'!$C$75:$O$299,MATCH(A221,'Master Data'!$B$75:$B$299,0),MATCH($E$1,'Master Data'!$C$74:$O$74,0))</f>
        <v>0.41</v>
      </c>
      <c r="F221" s="148">
        <f>ROUND(E221*INDEX('Master Data'!$F$4:$K$12,MATCH($E$1,'Master Data'!$E$4:$E$12,0),MATCH(C221,'Master Data'!$F$3:$K$3,0)),2)</f>
        <v>33409.629999999997</v>
      </c>
      <c r="G221" s="147">
        <f>INDEX('Master Data'!$C$75:$O$299,MATCH(A221,'Master Data'!$B$75:$B$299,0),MATCH($G$1,'Master Data'!$C$74:$O$74,0))</f>
        <v>1</v>
      </c>
      <c r="H221" s="148">
        <f>ROUND(G221*INDEX('Master Data'!$F$4:$K$12,MATCH($G$1,'Master Data'!$E$4:$E$12,0),MATCH(C221,'Master Data'!$F$3:$K$3,0)),2)</f>
        <v>75175.149999999994</v>
      </c>
      <c r="I221" s="147">
        <f>INDEX('Master Data'!$C$75:$O$299,MATCH(A221,'Master Data'!$B$75:$B$299,0),MATCH($I$1,'Master Data'!$C$74:$O$74,0))</f>
        <v>11.6</v>
      </c>
      <c r="J221" s="148">
        <f>ROUND(I221*INDEX('Master Data'!$F$4:$K$12,MATCH($I$1,'Master Data'!$E$4:$E$12,0),MATCH(C221,'Master Data'!$F$3:$K$3,0)),2)</f>
        <v>742399.98</v>
      </c>
      <c r="K221" s="147">
        <f>INDEX('Master Data'!$C$75:$O$299,MATCH(A221,'Master Data'!$B$75:$B$299,0),MATCH($K$1,'Master Data'!$C$74:$O$74,0))</f>
        <v>1.4</v>
      </c>
      <c r="L221" s="148">
        <f>ROUND(K221*INDEX('Master Data'!$F$4:$K$12,MATCH($K$1,'Master Data'!$E$4:$E$12,0),MATCH(C221,'Master Data'!$F$3:$K$3,0)),2)</f>
        <v>89600</v>
      </c>
      <c r="M221" s="147">
        <f>INDEX('Master Data'!$C$75:$O$299,MATCH(A221,'Master Data'!$B$75:$B$299,0),MATCH($M$1,'Master Data'!$C$74:$O$74,0))</f>
        <v>2.1800000000000002</v>
      </c>
      <c r="N221" s="148">
        <f>ROUND(M221*INDEX('Master Data'!$F$4:$K$12,MATCH($M$1,'Master Data'!$E$4:$E$12,0),MATCH(C221,'Master Data'!$F$3:$K$3,0)),2)</f>
        <v>139520</v>
      </c>
      <c r="O221" s="147">
        <f>INDEX('Master Data'!$C$75:$O$299,MATCH(A221,'Master Data'!$B$75:$B$299,0),MATCH($O$1,'Master Data'!$C$74:$O$74,0))</f>
        <v>0.26</v>
      </c>
      <c r="P221" s="148">
        <f>ROUND(O221*INDEX('Master Data'!$F$4:$K$12,MATCH($O$1,'Master Data'!$E$4:$E$12,0),MATCH(C221,'Master Data'!$F$3:$K$3,0)),2)</f>
        <v>16640</v>
      </c>
      <c r="Q221" s="147">
        <f>INDEX('Master Data'!$C$75:$O$299,MATCH(A221,'Master Data'!$B$75:$B$299,0),MATCH($Q$1,'Master Data'!$C$74:$O$74,0))</f>
        <v>0.12</v>
      </c>
      <c r="R221" s="148">
        <f>ROUND(Q221*INDEX('Master Data'!$F$4:$K$12,MATCH($Q$1,'Master Data'!$E$4:$E$12,0),MATCH(C221,'Master Data'!$F$3:$K$3,0)),2)</f>
        <v>5621.09</v>
      </c>
      <c r="S221" s="147">
        <f>INDEX('Master Data'!$C$75:$O$299,MATCH(A221,'Master Data'!$B$75:$B$299,0),MATCH($S$1,'Master Data'!$C$74:$O$74,0))</f>
        <v>0.1</v>
      </c>
      <c r="T221" s="148">
        <f>ROUND(S221*INDEX('Master Data'!$F$4:$K$12,MATCH($S$1,'Master Data'!$E$4:$E$12,0),MATCH(C221,'Master Data'!$F$3:$K$3,0)),2)</f>
        <v>26912</v>
      </c>
      <c r="U221" s="147">
        <f>INDEX('Master Data'!$C$75:$O$299,MATCH(A221,'Master Data'!$B$75:$B$299,0),MATCH($U$1,'Master Data'!$C$74:$O$74,0))</f>
        <v>0.3</v>
      </c>
      <c r="V221" s="148">
        <f>ROUND(U221*INDEX('Master Data'!$F$4:$K$12,MATCH($U$1,'Master Data'!$E$4:$E$12,0),MATCH(C221,'Master Data'!$F$3:$K$3,0)),2)</f>
        <v>25959.99</v>
      </c>
      <c r="W221" s="149">
        <f t="shared" si="37"/>
        <v>1155237.8400000001</v>
      </c>
      <c r="X221" s="148">
        <f>ROUND(W221*('Master Data'!$B$54),2)</f>
        <v>288462.89</v>
      </c>
      <c r="Y221" s="149">
        <f t="shared" si="30"/>
        <v>1443700.73</v>
      </c>
      <c r="Z221" s="147">
        <f>52*INDEX('Master Data'!$C$75:$O$299,MATCH(A221,'Master Data'!$B$75:$B$299,0),MATCH($Z$1,'Master Data'!$C$74:$O$74,0))</f>
        <v>208</v>
      </c>
      <c r="AA221" s="148">
        <f>Z221*('Master Data'!$F$15)</f>
        <v>15683.2</v>
      </c>
      <c r="AB221" s="147">
        <f>52*INDEX('Master Data'!$C$75:$O$299,MATCH(A221,'Master Data'!$B$75:$B$299,0),MATCH($AB$1,'Master Data'!$C$74:$O$74,0))</f>
        <v>0</v>
      </c>
      <c r="AC221" s="148">
        <f>AB221*('Master Data'!$F$16)</f>
        <v>0</v>
      </c>
      <c r="AD221" s="149">
        <f t="shared" si="31"/>
        <v>15683.2</v>
      </c>
      <c r="AE221" s="148">
        <f>INDEX('Master Data'!$D$58:$D$60,MATCH(D221,'Master Data'!$B$58:$B$60,0))</f>
        <v>24321.56</v>
      </c>
      <c r="AF221" s="148">
        <f>INDEX('Master Data'!$E$58:$E$60,MATCH(D221,'Master Data'!$B$58:$B$60,0))</f>
        <v>2233.8000000000002</v>
      </c>
      <c r="AG221" s="148">
        <f>INDEX('Master Data'!$F$58:$F$60,MATCH(D221,'Master Data'!$B$58:$B$60,0))</f>
        <v>6471.45</v>
      </c>
      <c r="AH221" s="149">
        <f t="shared" si="32"/>
        <v>1492410.74</v>
      </c>
      <c r="AI221" s="148">
        <f>ROUND(AH221*('Master Data'!$C$54),2)</f>
        <v>179089.29</v>
      </c>
      <c r="AJ221" s="148">
        <f>ROUND(SUM(AH221:AI221,AK221)*('Master Data'!$E$54),2)</f>
        <v>50076.54</v>
      </c>
      <c r="AK221" s="148">
        <f>ROUND(W221*('Master Data'!$F$54),2)</f>
        <v>0</v>
      </c>
      <c r="AL221" s="149">
        <f t="shared" si="33"/>
        <v>1721576.57</v>
      </c>
      <c r="AM221" s="140">
        <f t="shared" si="34"/>
        <v>4961.32</v>
      </c>
    </row>
    <row r="222" spans="1:39">
      <c r="A222" s="232" t="s">
        <v>472</v>
      </c>
      <c r="B222" s="121" t="str">
        <f t="shared" si="35"/>
        <v xml:space="preserve"> </v>
      </c>
      <c r="C222" s="121" t="str">
        <f t="shared" si="36"/>
        <v xml:space="preserve">Specialty  </v>
      </c>
      <c r="D222" s="121" t="str">
        <f>INDEX('Master Data'!$C$75:$C$299,MATCH(A222,'Master Data'!$B$75:$B$299,0))</f>
        <v>4+</v>
      </c>
      <c r="E222" s="147">
        <f>INDEX('Master Data'!$C$75:$O$299,MATCH(A222,'Master Data'!$B$75:$B$299,0),MATCH($E$1,'Master Data'!$C$74:$O$74,0))</f>
        <v>0.41</v>
      </c>
      <c r="F222" s="148">
        <f>ROUND(E222*INDEX('Master Data'!$F$4:$K$12,MATCH($E$1,'Master Data'!$E$4:$E$12,0),MATCH(C222,'Master Data'!$F$3:$K$3,0)),2)</f>
        <v>33409.629999999997</v>
      </c>
      <c r="G222" s="147">
        <f>INDEX('Master Data'!$C$75:$O$299,MATCH(A222,'Master Data'!$B$75:$B$299,0),MATCH($G$1,'Master Data'!$C$74:$O$74,0))</f>
        <v>1</v>
      </c>
      <c r="H222" s="148">
        <f>ROUND(G222*INDEX('Master Data'!$F$4:$K$12,MATCH($G$1,'Master Data'!$E$4:$E$12,0),MATCH(C222,'Master Data'!$F$3:$K$3,0)),2)</f>
        <v>75175.149999999994</v>
      </c>
      <c r="I222" s="147">
        <f>INDEX('Master Data'!$C$75:$O$299,MATCH(A222,'Master Data'!$B$75:$B$299,0),MATCH($I$1,'Master Data'!$C$74:$O$74,0))</f>
        <v>12.1</v>
      </c>
      <c r="J222" s="148">
        <f>ROUND(I222*INDEX('Master Data'!$F$4:$K$12,MATCH($I$1,'Master Data'!$E$4:$E$12,0),MATCH(C222,'Master Data'!$F$3:$K$3,0)),2)</f>
        <v>774399.98</v>
      </c>
      <c r="K222" s="147">
        <f>INDEX('Master Data'!$C$75:$O$299,MATCH(A222,'Master Data'!$B$75:$B$299,0),MATCH($K$1,'Master Data'!$C$74:$O$74,0))</f>
        <v>1.4</v>
      </c>
      <c r="L222" s="148">
        <f>ROUND(K222*INDEX('Master Data'!$F$4:$K$12,MATCH($K$1,'Master Data'!$E$4:$E$12,0),MATCH(C222,'Master Data'!$F$3:$K$3,0)),2)</f>
        <v>89600</v>
      </c>
      <c r="M222" s="147">
        <f>INDEX('Master Data'!$C$75:$O$299,MATCH(A222,'Master Data'!$B$75:$B$299,0),MATCH($M$1,'Master Data'!$C$74:$O$74,0))</f>
        <v>2.27</v>
      </c>
      <c r="N222" s="148">
        <f>ROUND(M222*INDEX('Master Data'!$F$4:$K$12,MATCH($M$1,'Master Data'!$E$4:$E$12,0),MATCH(C222,'Master Data'!$F$3:$K$3,0)),2)</f>
        <v>145280</v>
      </c>
      <c r="O222" s="147">
        <f>INDEX('Master Data'!$C$75:$O$299,MATCH(A222,'Master Data'!$B$75:$B$299,0),MATCH($O$1,'Master Data'!$C$74:$O$74,0))</f>
        <v>0.26</v>
      </c>
      <c r="P222" s="148">
        <f>ROUND(O222*INDEX('Master Data'!$F$4:$K$12,MATCH($O$1,'Master Data'!$E$4:$E$12,0),MATCH(C222,'Master Data'!$F$3:$K$3,0)),2)</f>
        <v>16640</v>
      </c>
      <c r="Q222" s="147">
        <f>INDEX('Master Data'!$C$75:$O$299,MATCH(A222,'Master Data'!$B$75:$B$299,0),MATCH($Q$1,'Master Data'!$C$74:$O$74,0))</f>
        <v>0.12</v>
      </c>
      <c r="R222" s="148">
        <f>ROUND(Q222*INDEX('Master Data'!$F$4:$K$12,MATCH($Q$1,'Master Data'!$E$4:$E$12,0),MATCH(C222,'Master Data'!$F$3:$K$3,0)),2)</f>
        <v>5621.09</v>
      </c>
      <c r="S222" s="147">
        <f>INDEX('Master Data'!$C$75:$O$299,MATCH(A222,'Master Data'!$B$75:$B$299,0),MATCH($S$1,'Master Data'!$C$74:$O$74,0))</f>
        <v>0.1</v>
      </c>
      <c r="T222" s="148">
        <f>ROUND(S222*INDEX('Master Data'!$F$4:$K$12,MATCH($S$1,'Master Data'!$E$4:$E$12,0),MATCH(C222,'Master Data'!$F$3:$K$3,0)),2)</f>
        <v>26912</v>
      </c>
      <c r="U222" s="147">
        <f>INDEX('Master Data'!$C$75:$O$299,MATCH(A222,'Master Data'!$B$75:$B$299,0),MATCH($U$1,'Master Data'!$C$74:$O$74,0))</f>
        <v>0.3</v>
      </c>
      <c r="V222" s="148">
        <f>ROUND(U222*INDEX('Master Data'!$F$4:$K$12,MATCH($U$1,'Master Data'!$E$4:$E$12,0),MATCH(C222,'Master Data'!$F$3:$K$3,0)),2)</f>
        <v>25959.99</v>
      </c>
      <c r="W222" s="149">
        <f t="shared" si="37"/>
        <v>1192997.8400000001</v>
      </c>
      <c r="X222" s="148">
        <f>ROUND(W222*('Master Data'!$B$54),2)</f>
        <v>297891.56</v>
      </c>
      <c r="Y222" s="149">
        <f t="shared" si="30"/>
        <v>1490889.4000000001</v>
      </c>
      <c r="Z222" s="147">
        <f>52*INDEX('Master Data'!$C$75:$O$299,MATCH(A222,'Master Data'!$B$75:$B$299,0),MATCH($Z$1,'Master Data'!$C$74:$O$74,0))</f>
        <v>208</v>
      </c>
      <c r="AA222" s="148">
        <f>Z222*('Master Data'!$F$15)</f>
        <v>15683.2</v>
      </c>
      <c r="AB222" s="147">
        <f>52*INDEX('Master Data'!$C$75:$O$299,MATCH(A222,'Master Data'!$B$75:$B$299,0),MATCH($AB$1,'Master Data'!$C$74:$O$74,0))</f>
        <v>0</v>
      </c>
      <c r="AC222" s="148">
        <f>AB222*('Master Data'!$F$16)</f>
        <v>0</v>
      </c>
      <c r="AD222" s="149">
        <f t="shared" si="31"/>
        <v>15683.2</v>
      </c>
      <c r="AE222" s="148">
        <f>INDEX('Master Data'!$D$58:$D$60,MATCH(D222,'Master Data'!$B$58:$B$60,0))</f>
        <v>24321.56</v>
      </c>
      <c r="AF222" s="148">
        <f>INDEX('Master Data'!$E$58:$E$60,MATCH(D222,'Master Data'!$B$58:$B$60,0))</f>
        <v>2233.8000000000002</v>
      </c>
      <c r="AG222" s="148">
        <f>INDEX('Master Data'!$F$58:$F$60,MATCH(D222,'Master Data'!$B$58:$B$60,0))</f>
        <v>6471.45</v>
      </c>
      <c r="AH222" s="149">
        <f t="shared" si="32"/>
        <v>1539599.4100000001</v>
      </c>
      <c r="AI222" s="148">
        <f>ROUND(AH222*('Master Data'!$C$54),2)</f>
        <v>184751.93</v>
      </c>
      <c r="AJ222" s="148">
        <f>ROUND(SUM(AH222:AI222,AK222)*('Master Data'!$E$54),2)</f>
        <v>51659.91</v>
      </c>
      <c r="AK222" s="148">
        <f>ROUND(W222*('Master Data'!$F$54),2)</f>
        <v>0</v>
      </c>
      <c r="AL222" s="149">
        <f t="shared" si="33"/>
        <v>1776011.25</v>
      </c>
      <c r="AM222" s="140">
        <f t="shared" si="34"/>
        <v>5118.1899999999996</v>
      </c>
    </row>
    <row r="223" spans="1:39">
      <c r="A223" s="232" t="s">
        <v>473</v>
      </c>
      <c r="B223" s="121" t="str">
        <f t="shared" si="35"/>
        <v xml:space="preserve"> </v>
      </c>
      <c r="C223" s="121" t="str">
        <f t="shared" si="36"/>
        <v xml:space="preserve">Specialty  </v>
      </c>
      <c r="D223" s="121" t="str">
        <f>INDEX('Master Data'!$C$75:$C$299,MATCH(A223,'Master Data'!$B$75:$B$299,0))</f>
        <v>4+</v>
      </c>
      <c r="E223" s="147">
        <f>INDEX('Master Data'!$C$75:$O$299,MATCH(A223,'Master Data'!$B$75:$B$299,0),MATCH($E$1,'Master Data'!$C$74:$O$74,0))</f>
        <v>0.41</v>
      </c>
      <c r="F223" s="148">
        <f>ROUND(E223*INDEX('Master Data'!$F$4:$K$12,MATCH($E$1,'Master Data'!$E$4:$E$12,0),MATCH(C223,'Master Data'!$F$3:$K$3,0)),2)</f>
        <v>33409.629999999997</v>
      </c>
      <c r="G223" s="147">
        <f>INDEX('Master Data'!$C$75:$O$299,MATCH(A223,'Master Data'!$B$75:$B$299,0),MATCH($G$1,'Master Data'!$C$74:$O$74,0))</f>
        <v>1</v>
      </c>
      <c r="H223" s="148">
        <f>ROUND(G223*INDEX('Master Data'!$F$4:$K$12,MATCH($G$1,'Master Data'!$E$4:$E$12,0),MATCH(C223,'Master Data'!$F$3:$K$3,0)),2)</f>
        <v>75175.149999999994</v>
      </c>
      <c r="I223" s="147">
        <f>INDEX('Master Data'!$C$75:$O$299,MATCH(A223,'Master Data'!$B$75:$B$299,0),MATCH($I$1,'Master Data'!$C$74:$O$74,0))</f>
        <v>12.6</v>
      </c>
      <c r="J223" s="148">
        <f>ROUND(I223*INDEX('Master Data'!$F$4:$K$12,MATCH($I$1,'Master Data'!$E$4:$E$12,0),MATCH(C223,'Master Data'!$F$3:$K$3,0)),2)</f>
        <v>806399.98</v>
      </c>
      <c r="K223" s="147">
        <f>INDEX('Master Data'!$C$75:$O$299,MATCH(A223,'Master Data'!$B$75:$B$299,0),MATCH($K$1,'Master Data'!$C$74:$O$74,0))</f>
        <v>1.4</v>
      </c>
      <c r="L223" s="148">
        <f>ROUND(K223*INDEX('Master Data'!$F$4:$K$12,MATCH($K$1,'Master Data'!$E$4:$E$12,0),MATCH(C223,'Master Data'!$F$3:$K$3,0)),2)</f>
        <v>89600</v>
      </c>
      <c r="M223" s="147">
        <f>INDEX('Master Data'!$C$75:$O$299,MATCH(A223,'Master Data'!$B$75:$B$299,0),MATCH($M$1,'Master Data'!$C$74:$O$74,0))</f>
        <v>2.37</v>
      </c>
      <c r="N223" s="148">
        <f>ROUND(M223*INDEX('Master Data'!$F$4:$K$12,MATCH($M$1,'Master Data'!$E$4:$E$12,0),MATCH(C223,'Master Data'!$F$3:$K$3,0)),2)</f>
        <v>151680</v>
      </c>
      <c r="O223" s="147">
        <f>INDEX('Master Data'!$C$75:$O$299,MATCH(A223,'Master Data'!$B$75:$B$299,0),MATCH($O$1,'Master Data'!$C$74:$O$74,0))</f>
        <v>0.26</v>
      </c>
      <c r="P223" s="148">
        <f>ROUND(O223*INDEX('Master Data'!$F$4:$K$12,MATCH($O$1,'Master Data'!$E$4:$E$12,0),MATCH(C223,'Master Data'!$F$3:$K$3,0)),2)</f>
        <v>16640</v>
      </c>
      <c r="Q223" s="147">
        <f>INDEX('Master Data'!$C$75:$O$299,MATCH(A223,'Master Data'!$B$75:$B$299,0),MATCH($Q$1,'Master Data'!$C$74:$O$74,0))</f>
        <v>0.12</v>
      </c>
      <c r="R223" s="148">
        <f>ROUND(Q223*INDEX('Master Data'!$F$4:$K$12,MATCH($Q$1,'Master Data'!$E$4:$E$12,0),MATCH(C223,'Master Data'!$F$3:$K$3,0)),2)</f>
        <v>5621.09</v>
      </c>
      <c r="S223" s="147">
        <f>INDEX('Master Data'!$C$75:$O$299,MATCH(A223,'Master Data'!$B$75:$B$299,0),MATCH($S$1,'Master Data'!$C$74:$O$74,0))</f>
        <v>0.1</v>
      </c>
      <c r="T223" s="148">
        <f>ROUND(S223*INDEX('Master Data'!$F$4:$K$12,MATCH($S$1,'Master Data'!$E$4:$E$12,0),MATCH(C223,'Master Data'!$F$3:$K$3,0)),2)</f>
        <v>26912</v>
      </c>
      <c r="U223" s="147">
        <f>INDEX('Master Data'!$C$75:$O$299,MATCH(A223,'Master Data'!$B$75:$B$299,0),MATCH($U$1,'Master Data'!$C$74:$O$74,0))</f>
        <v>0.3</v>
      </c>
      <c r="V223" s="148">
        <f>ROUND(U223*INDEX('Master Data'!$F$4:$K$12,MATCH($U$1,'Master Data'!$E$4:$E$12,0),MATCH(C223,'Master Data'!$F$3:$K$3,0)),2)</f>
        <v>25959.99</v>
      </c>
      <c r="W223" s="149">
        <f t="shared" si="37"/>
        <v>1231397.8400000001</v>
      </c>
      <c r="X223" s="148">
        <f>ROUND(W223*('Master Data'!$B$54),2)</f>
        <v>307480.03999999998</v>
      </c>
      <c r="Y223" s="149">
        <f t="shared" si="30"/>
        <v>1538877.8800000001</v>
      </c>
      <c r="Z223" s="147">
        <f>52*INDEX('Master Data'!$C$75:$O$299,MATCH(A223,'Master Data'!$B$75:$B$299,0),MATCH($Z$1,'Master Data'!$C$74:$O$74,0))</f>
        <v>208</v>
      </c>
      <c r="AA223" s="148">
        <f>Z223*('Master Data'!$F$15)</f>
        <v>15683.2</v>
      </c>
      <c r="AB223" s="147">
        <f>52*INDEX('Master Data'!$C$75:$O$299,MATCH(A223,'Master Data'!$B$75:$B$299,0),MATCH($AB$1,'Master Data'!$C$74:$O$74,0))</f>
        <v>0</v>
      </c>
      <c r="AC223" s="148">
        <f>AB223*('Master Data'!$F$16)</f>
        <v>0</v>
      </c>
      <c r="AD223" s="149">
        <f t="shared" si="31"/>
        <v>15683.2</v>
      </c>
      <c r="AE223" s="148">
        <f>INDEX('Master Data'!$D$58:$D$60,MATCH(D223,'Master Data'!$B$58:$B$60,0))</f>
        <v>24321.56</v>
      </c>
      <c r="AF223" s="148">
        <f>INDEX('Master Data'!$E$58:$E$60,MATCH(D223,'Master Data'!$B$58:$B$60,0))</f>
        <v>2233.8000000000002</v>
      </c>
      <c r="AG223" s="148">
        <f>INDEX('Master Data'!$F$58:$F$60,MATCH(D223,'Master Data'!$B$58:$B$60,0))</f>
        <v>6471.45</v>
      </c>
      <c r="AH223" s="149">
        <f t="shared" si="32"/>
        <v>1587587.8900000001</v>
      </c>
      <c r="AI223" s="148">
        <f>ROUND(AH223*('Master Data'!$C$54),2)</f>
        <v>190510.55</v>
      </c>
      <c r="AJ223" s="148">
        <f>ROUND(SUM(AH223:AI223,AK223)*('Master Data'!$E$54),2)</f>
        <v>53270.12</v>
      </c>
      <c r="AK223" s="148">
        <f>ROUND(W223*('Master Data'!$F$54),2)</f>
        <v>0</v>
      </c>
      <c r="AL223" s="149">
        <f t="shared" si="33"/>
        <v>1831368.5600000003</v>
      </c>
      <c r="AM223" s="140">
        <f t="shared" si="34"/>
        <v>5277.72</v>
      </c>
    </row>
    <row r="224" spans="1:39">
      <c r="A224" s="232" t="s">
        <v>474</v>
      </c>
      <c r="B224" s="121" t="str">
        <f t="shared" si="35"/>
        <v xml:space="preserve"> </v>
      </c>
      <c r="C224" s="121" t="str">
        <f t="shared" si="36"/>
        <v xml:space="preserve">Specialty  </v>
      </c>
      <c r="D224" s="121" t="str">
        <f>INDEX('Master Data'!$C$75:$C$299,MATCH(A224,'Master Data'!$B$75:$B$299,0))</f>
        <v>4+</v>
      </c>
      <c r="E224" s="147">
        <f>INDEX('Master Data'!$C$75:$O$299,MATCH(A224,'Master Data'!$B$75:$B$299,0),MATCH($E$1,'Master Data'!$C$74:$O$74,0))</f>
        <v>0.41</v>
      </c>
      <c r="F224" s="148">
        <f>ROUND(E224*INDEX('Master Data'!$F$4:$K$12,MATCH($E$1,'Master Data'!$E$4:$E$12,0),MATCH(C224,'Master Data'!$F$3:$K$3,0)),2)</f>
        <v>33409.629999999997</v>
      </c>
      <c r="G224" s="147">
        <f>INDEX('Master Data'!$C$75:$O$299,MATCH(A224,'Master Data'!$B$75:$B$299,0),MATCH($G$1,'Master Data'!$C$74:$O$74,0))</f>
        <v>1</v>
      </c>
      <c r="H224" s="148">
        <f>ROUND(G224*INDEX('Master Data'!$F$4:$K$12,MATCH($G$1,'Master Data'!$E$4:$E$12,0),MATCH(C224,'Master Data'!$F$3:$K$3,0)),2)</f>
        <v>75175.149999999994</v>
      </c>
      <c r="I224" s="147">
        <f>INDEX('Master Data'!$C$75:$O$299,MATCH(A224,'Master Data'!$B$75:$B$299,0),MATCH($I$1,'Master Data'!$C$74:$O$74,0))</f>
        <v>13.1</v>
      </c>
      <c r="J224" s="148">
        <f>ROUND(I224*INDEX('Master Data'!$F$4:$K$12,MATCH($I$1,'Master Data'!$E$4:$E$12,0),MATCH(C224,'Master Data'!$F$3:$K$3,0)),2)</f>
        <v>838399.98</v>
      </c>
      <c r="K224" s="147">
        <f>INDEX('Master Data'!$C$75:$O$299,MATCH(A224,'Master Data'!$B$75:$B$299,0),MATCH($K$1,'Master Data'!$C$74:$O$74,0))</f>
        <v>1.4</v>
      </c>
      <c r="L224" s="148">
        <f>ROUND(K224*INDEX('Master Data'!$F$4:$K$12,MATCH($K$1,'Master Data'!$E$4:$E$12,0),MATCH(C224,'Master Data'!$F$3:$K$3,0)),2)</f>
        <v>89600</v>
      </c>
      <c r="M224" s="147">
        <f>INDEX('Master Data'!$C$75:$O$299,MATCH(A224,'Master Data'!$B$75:$B$299,0),MATCH($M$1,'Master Data'!$C$74:$O$74,0))</f>
        <v>2.46</v>
      </c>
      <c r="N224" s="148">
        <f>ROUND(M224*INDEX('Master Data'!$F$4:$K$12,MATCH($M$1,'Master Data'!$E$4:$E$12,0),MATCH(C224,'Master Data'!$F$3:$K$3,0)),2)</f>
        <v>157440</v>
      </c>
      <c r="O224" s="147">
        <f>INDEX('Master Data'!$C$75:$O$299,MATCH(A224,'Master Data'!$B$75:$B$299,0),MATCH($O$1,'Master Data'!$C$74:$O$74,0))</f>
        <v>0.26</v>
      </c>
      <c r="P224" s="148">
        <f>ROUND(O224*INDEX('Master Data'!$F$4:$K$12,MATCH($O$1,'Master Data'!$E$4:$E$12,0),MATCH(C224,'Master Data'!$F$3:$K$3,0)),2)</f>
        <v>16640</v>
      </c>
      <c r="Q224" s="147">
        <f>INDEX('Master Data'!$C$75:$O$299,MATCH(A224,'Master Data'!$B$75:$B$299,0),MATCH($Q$1,'Master Data'!$C$74:$O$74,0))</f>
        <v>0.12</v>
      </c>
      <c r="R224" s="148">
        <f>ROUND(Q224*INDEX('Master Data'!$F$4:$K$12,MATCH($Q$1,'Master Data'!$E$4:$E$12,0),MATCH(C224,'Master Data'!$F$3:$K$3,0)),2)</f>
        <v>5621.09</v>
      </c>
      <c r="S224" s="147">
        <f>INDEX('Master Data'!$C$75:$O$299,MATCH(A224,'Master Data'!$B$75:$B$299,0),MATCH($S$1,'Master Data'!$C$74:$O$74,0))</f>
        <v>0.1</v>
      </c>
      <c r="T224" s="148">
        <f>ROUND(S224*INDEX('Master Data'!$F$4:$K$12,MATCH($S$1,'Master Data'!$E$4:$E$12,0),MATCH(C224,'Master Data'!$F$3:$K$3,0)),2)</f>
        <v>26912</v>
      </c>
      <c r="U224" s="147">
        <f>INDEX('Master Data'!$C$75:$O$299,MATCH(A224,'Master Data'!$B$75:$B$299,0),MATCH($U$1,'Master Data'!$C$74:$O$74,0))</f>
        <v>0.3</v>
      </c>
      <c r="V224" s="148">
        <f>ROUND(U224*INDEX('Master Data'!$F$4:$K$12,MATCH($U$1,'Master Data'!$E$4:$E$12,0),MATCH(C224,'Master Data'!$F$3:$K$3,0)),2)</f>
        <v>25959.99</v>
      </c>
      <c r="W224" s="149">
        <f t="shared" si="37"/>
        <v>1269157.8400000001</v>
      </c>
      <c r="X224" s="148">
        <f>ROUND(W224*('Master Data'!$B$54),2)</f>
        <v>316908.71000000002</v>
      </c>
      <c r="Y224" s="149">
        <f t="shared" si="30"/>
        <v>1586066.55</v>
      </c>
      <c r="Z224" s="147">
        <f>52*INDEX('Master Data'!$C$75:$O$299,MATCH(A224,'Master Data'!$B$75:$B$299,0),MATCH($Z$1,'Master Data'!$C$74:$O$74,0))</f>
        <v>208</v>
      </c>
      <c r="AA224" s="148">
        <f>Z224*('Master Data'!$F$15)</f>
        <v>15683.2</v>
      </c>
      <c r="AB224" s="147">
        <f>52*INDEX('Master Data'!$C$75:$O$299,MATCH(A224,'Master Data'!$B$75:$B$299,0),MATCH($AB$1,'Master Data'!$C$74:$O$74,0))</f>
        <v>0</v>
      </c>
      <c r="AC224" s="148">
        <f>AB224*('Master Data'!$F$16)</f>
        <v>0</v>
      </c>
      <c r="AD224" s="149">
        <f t="shared" si="31"/>
        <v>15683.2</v>
      </c>
      <c r="AE224" s="148">
        <f>INDEX('Master Data'!$D$58:$D$60,MATCH(D224,'Master Data'!$B$58:$B$60,0))</f>
        <v>24321.56</v>
      </c>
      <c r="AF224" s="148">
        <f>INDEX('Master Data'!$E$58:$E$60,MATCH(D224,'Master Data'!$B$58:$B$60,0))</f>
        <v>2233.8000000000002</v>
      </c>
      <c r="AG224" s="148">
        <f>INDEX('Master Data'!$F$58:$F$60,MATCH(D224,'Master Data'!$B$58:$B$60,0))</f>
        <v>6471.45</v>
      </c>
      <c r="AH224" s="149">
        <f t="shared" si="32"/>
        <v>1634776.56</v>
      </c>
      <c r="AI224" s="148">
        <f>ROUND(AH224*('Master Data'!$C$54),2)</f>
        <v>196173.19</v>
      </c>
      <c r="AJ224" s="148">
        <f>ROUND(SUM(AH224:AI224,AK224)*('Master Data'!$E$54),2)</f>
        <v>54853.5</v>
      </c>
      <c r="AK224" s="148">
        <f>ROUND(W224*('Master Data'!$F$54),2)</f>
        <v>0</v>
      </c>
      <c r="AL224" s="149">
        <f t="shared" si="33"/>
        <v>1885803.25</v>
      </c>
      <c r="AM224" s="140">
        <f t="shared" si="34"/>
        <v>5434.59</v>
      </c>
    </row>
    <row r="225" spans="1:39">
      <c r="A225" s="232" t="s">
        <v>475</v>
      </c>
      <c r="B225" s="121" t="str">
        <f t="shared" si="35"/>
        <v xml:space="preserve"> </v>
      </c>
      <c r="C225" s="121" t="str">
        <f t="shared" si="36"/>
        <v xml:space="preserve">Specialty  </v>
      </c>
      <c r="D225" s="121" t="str">
        <f>INDEX('Master Data'!$C$75:$C$299,MATCH(A225,'Master Data'!$B$75:$B$299,0))</f>
        <v>4+</v>
      </c>
      <c r="E225" s="147">
        <f>INDEX('Master Data'!$C$75:$O$299,MATCH(A225,'Master Data'!$B$75:$B$299,0),MATCH($E$1,'Master Data'!$C$74:$O$74,0))</f>
        <v>0.41</v>
      </c>
      <c r="F225" s="148">
        <f>ROUND(E225*INDEX('Master Data'!$F$4:$K$12,MATCH($E$1,'Master Data'!$E$4:$E$12,0),MATCH(C225,'Master Data'!$F$3:$K$3,0)),2)</f>
        <v>33409.629999999997</v>
      </c>
      <c r="G225" s="147">
        <f>INDEX('Master Data'!$C$75:$O$299,MATCH(A225,'Master Data'!$B$75:$B$299,0),MATCH($G$1,'Master Data'!$C$74:$O$74,0))</f>
        <v>1</v>
      </c>
      <c r="H225" s="148">
        <f>ROUND(G225*INDEX('Master Data'!$F$4:$K$12,MATCH($G$1,'Master Data'!$E$4:$E$12,0),MATCH(C225,'Master Data'!$F$3:$K$3,0)),2)</f>
        <v>75175.149999999994</v>
      </c>
      <c r="I225" s="147">
        <f>INDEX('Master Data'!$C$75:$O$299,MATCH(A225,'Master Data'!$B$75:$B$299,0),MATCH($I$1,'Master Data'!$C$74:$O$74,0))</f>
        <v>13.6</v>
      </c>
      <c r="J225" s="148">
        <f>ROUND(I225*INDEX('Master Data'!$F$4:$K$12,MATCH($I$1,'Master Data'!$E$4:$E$12,0),MATCH(C225,'Master Data'!$F$3:$K$3,0)),2)</f>
        <v>870399.98</v>
      </c>
      <c r="K225" s="147">
        <f>INDEX('Master Data'!$C$75:$O$299,MATCH(A225,'Master Data'!$B$75:$B$299,0),MATCH($K$1,'Master Data'!$C$74:$O$74,0))</f>
        <v>1.4</v>
      </c>
      <c r="L225" s="148">
        <f>ROUND(K225*INDEX('Master Data'!$F$4:$K$12,MATCH($K$1,'Master Data'!$E$4:$E$12,0),MATCH(C225,'Master Data'!$F$3:$K$3,0)),2)</f>
        <v>89600</v>
      </c>
      <c r="M225" s="147">
        <f>INDEX('Master Data'!$C$75:$O$299,MATCH(A225,'Master Data'!$B$75:$B$299,0),MATCH($M$1,'Master Data'!$C$74:$O$74,0))</f>
        <v>2.56</v>
      </c>
      <c r="N225" s="148">
        <f>ROUND(M225*INDEX('Master Data'!$F$4:$K$12,MATCH($M$1,'Master Data'!$E$4:$E$12,0),MATCH(C225,'Master Data'!$F$3:$K$3,0)),2)</f>
        <v>163840</v>
      </c>
      <c r="O225" s="147">
        <f>INDEX('Master Data'!$C$75:$O$299,MATCH(A225,'Master Data'!$B$75:$B$299,0),MATCH($O$1,'Master Data'!$C$74:$O$74,0))</f>
        <v>0.26</v>
      </c>
      <c r="P225" s="148">
        <f>ROUND(O225*INDEX('Master Data'!$F$4:$K$12,MATCH($O$1,'Master Data'!$E$4:$E$12,0),MATCH(C225,'Master Data'!$F$3:$K$3,0)),2)</f>
        <v>16640</v>
      </c>
      <c r="Q225" s="147">
        <f>INDEX('Master Data'!$C$75:$O$299,MATCH(A225,'Master Data'!$B$75:$B$299,0),MATCH($Q$1,'Master Data'!$C$74:$O$74,0))</f>
        <v>0.12</v>
      </c>
      <c r="R225" s="148">
        <f>ROUND(Q225*INDEX('Master Data'!$F$4:$K$12,MATCH($Q$1,'Master Data'!$E$4:$E$12,0),MATCH(C225,'Master Data'!$F$3:$K$3,0)),2)</f>
        <v>5621.09</v>
      </c>
      <c r="S225" s="147">
        <f>INDEX('Master Data'!$C$75:$O$299,MATCH(A225,'Master Data'!$B$75:$B$299,0),MATCH($S$1,'Master Data'!$C$74:$O$74,0))</f>
        <v>0.1</v>
      </c>
      <c r="T225" s="148">
        <f>ROUND(S225*INDEX('Master Data'!$F$4:$K$12,MATCH($S$1,'Master Data'!$E$4:$E$12,0),MATCH(C225,'Master Data'!$F$3:$K$3,0)),2)</f>
        <v>26912</v>
      </c>
      <c r="U225" s="147">
        <f>INDEX('Master Data'!$C$75:$O$299,MATCH(A225,'Master Data'!$B$75:$B$299,0),MATCH($U$1,'Master Data'!$C$74:$O$74,0))</f>
        <v>0.3</v>
      </c>
      <c r="V225" s="148">
        <f>ROUND(U225*INDEX('Master Data'!$F$4:$K$12,MATCH($U$1,'Master Data'!$E$4:$E$12,0),MATCH(C225,'Master Data'!$F$3:$K$3,0)),2)</f>
        <v>25959.99</v>
      </c>
      <c r="W225" s="149">
        <f t="shared" si="37"/>
        <v>1307557.8400000001</v>
      </c>
      <c r="X225" s="148">
        <f>ROUND(W225*('Master Data'!$B$54),2)</f>
        <v>326497.19</v>
      </c>
      <c r="Y225" s="149">
        <f t="shared" si="30"/>
        <v>1634055.03</v>
      </c>
      <c r="Z225" s="147">
        <f>52*INDEX('Master Data'!$C$75:$O$299,MATCH(A225,'Master Data'!$B$75:$B$299,0),MATCH($Z$1,'Master Data'!$C$74:$O$74,0))</f>
        <v>208</v>
      </c>
      <c r="AA225" s="148">
        <f>Z225*('Master Data'!$F$15)</f>
        <v>15683.2</v>
      </c>
      <c r="AB225" s="147">
        <f>52*INDEX('Master Data'!$C$75:$O$299,MATCH(A225,'Master Data'!$B$75:$B$299,0),MATCH($AB$1,'Master Data'!$C$74:$O$74,0))</f>
        <v>0</v>
      </c>
      <c r="AC225" s="148">
        <f>AB225*('Master Data'!$F$16)</f>
        <v>0</v>
      </c>
      <c r="AD225" s="149">
        <f t="shared" si="31"/>
        <v>15683.2</v>
      </c>
      <c r="AE225" s="148">
        <f>INDEX('Master Data'!$D$58:$D$60,MATCH(D225,'Master Data'!$B$58:$B$60,0))</f>
        <v>24321.56</v>
      </c>
      <c r="AF225" s="148">
        <f>INDEX('Master Data'!$E$58:$E$60,MATCH(D225,'Master Data'!$B$58:$B$60,0))</f>
        <v>2233.8000000000002</v>
      </c>
      <c r="AG225" s="148">
        <f>INDEX('Master Data'!$F$58:$F$60,MATCH(D225,'Master Data'!$B$58:$B$60,0))</f>
        <v>6471.45</v>
      </c>
      <c r="AH225" s="149">
        <f t="shared" si="32"/>
        <v>1682765.04</v>
      </c>
      <c r="AI225" s="148">
        <f>ROUND(AH225*('Master Data'!$C$54),2)</f>
        <v>201931.8</v>
      </c>
      <c r="AJ225" s="148">
        <f>ROUND(SUM(AH225:AI225,AK225)*('Master Data'!$E$54),2)</f>
        <v>56463.71</v>
      </c>
      <c r="AK225" s="148">
        <f>ROUND(W225*('Master Data'!$F$54),2)</f>
        <v>0</v>
      </c>
      <c r="AL225" s="149">
        <f t="shared" si="33"/>
        <v>1941160.55</v>
      </c>
      <c r="AM225" s="140">
        <f t="shared" si="34"/>
        <v>5594.12</v>
      </c>
    </row>
    <row r="226" spans="1:39">
      <c r="A226" s="232" t="s">
        <v>476</v>
      </c>
      <c r="B226" s="121" t="str">
        <f t="shared" si="35"/>
        <v xml:space="preserve"> </v>
      </c>
      <c r="C226" s="121" t="str">
        <f t="shared" si="36"/>
        <v xml:space="preserve">Specialty  </v>
      </c>
      <c r="D226" s="121" t="str">
        <f>INDEX('Master Data'!$C$75:$C$299,MATCH(A226,'Master Data'!$B$75:$B$299,0))</f>
        <v>4+</v>
      </c>
      <c r="E226" s="147">
        <f>INDEX('Master Data'!$C$75:$O$299,MATCH(A226,'Master Data'!$B$75:$B$299,0),MATCH($E$1,'Master Data'!$C$74:$O$74,0))</f>
        <v>0.41</v>
      </c>
      <c r="F226" s="148">
        <f>ROUND(E226*INDEX('Master Data'!$F$4:$K$12,MATCH($E$1,'Master Data'!$E$4:$E$12,0),MATCH(C226,'Master Data'!$F$3:$K$3,0)),2)</f>
        <v>33409.629999999997</v>
      </c>
      <c r="G226" s="147">
        <f>INDEX('Master Data'!$C$75:$O$299,MATCH(A226,'Master Data'!$B$75:$B$299,0),MATCH($G$1,'Master Data'!$C$74:$O$74,0))</f>
        <v>1</v>
      </c>
      <c r="H226" s="148">
        <f>ROUND(G226*INDEX('Master Data'!$F$4:$K$12,MATCH($G$1,'Master Data'!$E$4:$E$12,0),MATCH(C226,'Master Data'!$F$3:$K$3,0)),2)</f>
        <v>75175.149999999994</v>
      </c>
      <c r="I226" s="147">
        <f>INDEX('Master Data'!$C$75:$O$299,MATCH(A226,'Master Data'!$B$75:$B$299,0),MATCH($I$1,'Master Data'!$C$74:$O$74,0))</f>
        <v>14.1</v>
      </c>
      <c r="J226" s="148">
        <f>ROUND(I226*INDEX('Master Data'!$F$4:$K$12,MATCH($I$1,'Master Data'!$E$4:$E$12,0),MATCH(C226,'Master Data'!$F$3:$K$3,0)),2)</f>
        <v>902399.98</v>
      </c>
      <c r="K226" s="147">
        <f>INDEX('Master Data'!$C$75:$O$299,MATCH(A226,'Master Data'!$B$75:$B$299,0),MATCH($K$1,'Master Data'!$C$74:$O$74,0))</f>
        <v>1.4</v>
      </c>
      <c r="L226" s="148">
        <f>ROUND(K226*INDEX('Master Data'!$F$4:$K$12,MATCH($K$1,'Master Data'!$E$4:$E$12,0),MATCH(C226,'Master Data'!$F$3:$K$3,0)),2)</f>
        <v>89600</v>
      </c>
      <c r="M226" s="147">
        <f>INDEX('Master Data'!$C$75:$O$299,MATCH(A226,'Master Data'!$B$75:$B$299,0),MATCH($M$1,'Master Data'!$C$74:$O$74,0))</f>
        <v>2.65</v>
      </c>
      <c r="N226" s="148">
        <f>ROUND(M226*INDEX('Master Data'!$F$4:$K$12,MATCH($M$1,'Master Data'!$E$4:$E$12,0),MATCH(C226,'Master Data'!$F$3:$K$3,0)),2)</f>
        <v>169600</v>
      </c>
      <c r="O226" s="147">
        <f>INDEX('Master Data'!$C$75:$O$299,MATCH(A226,'Master Data'!$B$75:$B$299,0),MATCH($O$1,'Master Data'!$C$74:$O$74,0))</f>
        <v>0.26</v>
      </c>
      <c r="P226" s="148">
        <f>ROUND(O226*INDEX('Master Data'!$F$4:$K$12,MATCH($O$1,'Master Data'!$E$4:$E$12,0),MATCH(C226,'Master Data'!$F$3:$K$3,0)),2)</f>
        <v>16640</v>
      </c>
      <c r="Q226" s="147">
        <f>INDEX('Master Data'!$C$75:$O$299,MATCH(A226,'Master Data'!$B$75:$B$299,0),MATCH($Q$1,'Master Data'!$C$74:$O$74,0))</f>
        <v>0.12</v>
      </c>
      <c r="R226" s="148">
        <f>ROUND(Q226*INDEX('Master Data'!$F$4:$K$12,MATCH($Q$1,'Master Data'!$E$4:$E$12,0),MATCH(C226,'Master Data'!$F$3:$K$3,0)),2)</f>
        <v>5621.09</v>
      </c>
      <c r="S226" s="147">
        <f>INDEX('Master Data'!$C$75:$O$299,MATCH(A226,'Master Data'!$B$75:$B$299,0),MATCH($S$1,'Master Data'!$C$74:$O$74,0))</f>
        <v>0.1</v>
      </c>
      <c r="T226" s="148">
        <f>ROUND(S226*INDEX('Master Data'!$F$4:$K$12,MATCH($S$1,'Master Data'!$E$4:$E$12,0),MATCH(C226,'Master Data'!$F$3:$K$3,0)),2)</f>
        <v>26912</v>
      </c>
      <c r="U226" s="147">
        <f>INDEX('Master Data'!$C$75:$O$299,MATCH(A226,'Master Data'!$B$75:$B$299,0),MATCH($U$1,'Master Data'!$C$74:$O$74,0))</f>
        <v>0.3</v>
      </c>
      <c r="V226" s="148">
        <f>ROUND(U226*INDEX('Master Data'!$F$4:$K$12,MATCH($U$1,'Master Data'!$E$4:$E$12,0),MATCH(C226,'Master Data'!$F$3:$K$3,0)),2)</f>
        <v>25959.99</v>
      </c>
      <c r="W226" s="149">
        <f t="shared" si="37"/>
        <v>1345317.84</v>
      </c>
      <c r="X226" s="148">
        <f>ROUND(W226*('Master Data'!$B$54),2)</f>
        <v>335925.86</v>
      </c>
      <c r="Y226" s="149">
        <f t="shared" si="30"/>
        <v>1681243.7000000002</v>
      </c>
      <c r="Z226" s="147">
        <f>52*INDEX('Master Data'!$C$75:$O$299,MATCH(A226,'Master Data'!$B$75:$B$299,0),MATCH($Z$1,'Master Data'!$C$74:$O$74,0))</f>
        <v>208</v>
      </c>
      <c r="AA226" s="148">
        <f>Z226*('Master Data'!$F$15)</f>
        <v>15683.2</v>
      </c>
      <c r="AB226" s="147">
        <f>52*INDEX('Master Data'!$C$75:$O$299,MATCH(A226,'Master Data'!$B$75:$B$299,0),MATCH($AB$1,'Master Data'!$C$74:$O$74,0))</f>
        <v>0</v>
      </c>
      <c r="AC226" s="148">
        <f>AB226*('Master Data'!$F$16)</f>
        <v>0</v>
      </c>
      <c r="AD226" s="149">
        <f t="shared" si="31"/>
        <v>15683.2</v>
      </c>
      <c r="AE226" s="148">
        <f>INDEX('Master Data'!$D$58:$D$60,MATCH(D226,'Master Data'!$B$58:$B$60,0))</f>
        <v>24321.56</v>
      </c>
      <c r="AF226" s="148">
        <f>INDEX('Master Data'!$E$58:$E$60,MATCH(D226,'Master Data'!$B$58:$B$60,0))</f>
        <v>2233.8000000000002</v>
      </c>
      <c r="AG226" s="148">
        <f>INDEX('Master Data'!$F$58:$F$60,MATCH(D226,'Master Data'!$B$58:$B$60,0))</f>
        <v>6471.45</v>
      </c>
      <c r="AH226" s="149">
        <f t="shared" si="32"/>
        <v>1729953.7100000002</v>
      </c>
      <c r="AI226" s="148">
        <f>ROUND(AH226*('Master Data'!$C$54),2)</f>
        <v>207594.45</v>
      </c>
      <c r="AJ226" s="148">
        <f>ROUND(SUM(AH226:AI226,AK226)*('Master Data'!$E$54),2)</f>
        <v>58047.09</v>
      </c>
      <c r="AK226" s="148">
        <f>ROUND(W226*('Master Data'!$F$54),2)</f>
        <v>0</v>
      </c>
      <c r="AL226" s="149">
        <f t="shared" si="33"/>
        <v>1995595.2500000002</v>
      </c>
      <c r="AM226" s="140">
        <f t="shared" si="34"/>
        <v>5750.99</v>
      </c>
    </row>
  </sheetData>
  <autoFilter ref="A1:AM226" xr:uid="{89393C08-ED0C-4989-9EC5-A26F1C2BB06D}"/>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AEC7-3FC5-4873-86F7-52286C692FF3}">
  <dimension ref="D2:I11"/>
  <sheetViews>
    <sheetView zoomScale="80" zoomScaleNormal="80" workbookViewId="0">
      <selection activeCell="M30" sqref="M30"/>
    </sheetView>
  </sheetViews>
  <sheetFormatPr defaultRowHeight="15"/>
  <cols>
    <col min="4" max="4" width="20.5703125" customWidth="1"/>
    <col min="5" max="5" width="24.85546875" customWidth="1"/>
    <col min="7" max="7" width="12.5703125" customWidth="1"/>
  </cols>
  <sheetData>
    <row r="2" spans="4:9">
      <c r="D2" s="205">
        <v>46020</v>
      </c>
    </row>
    <row r="4" spans="4:9">
      <c r="E4" t="s">
        <v>781</v>
      </c>
    </row>
    <row r="5" spans="4:9">
      <c r="E5" t="s">
        <v>771</v>
      </c>
    </row>
    <row r="6" spans="4:9">
      <c r="F6" t="s">
        <v>772</v>
      </c>
      <c r="G6" t="s">
        <v>773</v>
      </c>
      <c r="H6" t="s">
        <v>774</v>
      </c>
      <c r="I6" t="s">
        <v>775</v>
      </c>
    </row>
    <row r="7" spans="4:9">
      <c r="E7" t="s">
        <v>776</v>
      </c>
      <c r="F7" s="290">
        <v>2.968</v>
      </c>
      <c r="G7" s="290">
        <v>3.5960000000000001</v>
      </c>
      <c r="H7" s="290">
        <v>3.95</v>
      </c>
      <c r="I7" s="290">
        <v>3.8330000000000002</v>
      </c>
    </row>
    <row r="8" spans="4:9">
      <c r="E8" t="s">
        <v>777</v>
      </c>
      <c r="F8" s="290">
        <v>2.9660000000000002</v>
      </c>
      <c r="G8" s="290">
        <v>3.5960000000000001</v>
      </c>
      <c r="H8" s="290">
        <v>3.968</v>
      </c>
      <c r="I8" s="290">
        <v>3.8330000000000002</v>
      </c>
    </row>
    <row r="9" spans="4:9">
      <c r="E9" t="s">
        <v>778</v>
      </c>
      <c r="F9" s="290">
        <v>2.976</v>
      </c>
      <c r="G9" s="290">
        <v>3.6080000000000001</v>
      </c>
      <c r="H9" s="290">
        <v>3.9710000000000001</v>
      </c>
      <c r="I9" s="290">
        <v>3.8359999999999999</v>
      </c>
    </row>
    <row r="10" spans="4:9">
      <c r="E10" t="s">
        <v>779</v>
      </c>
      <c r="F10" s="290">
        <v>3.0350000000000001</v>
      </c>
      <c r="G10" s="290">
        <v>3.6419999999999999</v>
      </c>
      <c r="H10" s="290">
        <v>4.0049999999999999</v>
      </c>
      <c r="I10" s="290">
        <v>3.8650000000000002</v>
      </c>
    </row>
    <row r="11" spans="4:9">
      <c r="E11" t="s">
        <v>780</v>
      </c>
      <c r="F11" s="290">
        <v>3.0230000000000001</v>
      </c>
      <c r="G11" s="290">
        <v>3.6030000000000002</v>
      </c>
      <c r="H11" s="290">
        <v>3.9649999999999999</v>
      </c>
      <c r="I11" s="290">
        <v>3.6859999999999999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D4F7-EE57-42DC-B312-BB5CBCC41D81}">
  <dimension ref="A1:DJ44"/>
  <sheetViews>
    <sheetView zoomScale="80" zoomScaleNormal="80" workbookViewId="0">
      <selection activeCell="CL18" sqref="CL18"/>
    </sheetView>
  </sheetViews>
  <sheetFormatPr defaultColWidth="9.42578125" defaultRowHeight="12.75"/>
  <cols>
    <col min="1" max="1" width="38.42578125" style="348" customWidth="1"/>
    <col min="2" max="2" width="12.5703125" style="353" customWidth="1"/>
    <col min="3" max="78" width="7.5703125" style="348" hidden="1" customWidth="1"/>
    <col min="79" max="82" width="7.5703125" style="348" customWidth="1"/>
    <col min="83" max="16384" width="9.42578125" style="348"/>
  </cols>
  <sheetData>
    <row r="1" spans="1:114" ht="18">
      <c r="A1" s="686" t="s">
        <v>594</v>
      </c>
      <c r="B1" s="687"/>
    </row>
    <row r="2" spans="1:114" ht="15.75">
      <c r="A2" s="349" t="s">
        <v>751</v>
      </c>
      <c r="B2" s="350"/>
    </row>
    <row r="3" spans="1:114" ht="15.75" thickBot="1">
      <c r="A3" s="351" t="s">
        <v>595</v>
      </c>
      <c r="B3" s="352"/>
    </row>
    <row r="6" spans="1:114">
      <c r="CG6" s="354" t="s">
        <v>752</v>
      </c>
      <c r="CH6" s="354" t="s">
        <v>752</v>
      </c>
      <c r="CI6" s="354" t="s">
        <v>752</v>
      </c>
      <c r="CJ6" s="354" t="s">
        <v>752</v>
      </c>
      <c r="CK6" s="355" t="s">
        <v>596</v>
      </c>
      <c r="CL6" s="355" t="s">
        <v>596</v>
      </c>
      <c r="CM6" s="355" t="s">
        <v>596</v>
      </c>
      <c r="CN6" s="355" t="s">
        <v>596</v>
      </c>
      <c r="CO6" s="356" t="s">
        <v>597</v>
      </c>
      <c r="CP6" s="356" t="s">
        <v>597</v>
      </c>
      <c r="CQ6" s="356" t="s">
        <v>597</v>
      </c>
      <c r="CR6" s="356" t="s">
        <v>597</v>
      </c>
      <c r="CS6" s="357" t="s">
        <v>713</v>
      </c>
      <c r="CT6" s="357" t="s">
        <v>713</v>
      </c>
      <c r="CU6" s="357" t="s">
        <v>713</v>
      </c>
      <c r="CV6" s="357" t="s">
        <v>713</v>
      </c>
    </row>
    <row r="7" spans="1:114" s="353" customFormat="1">
      <c r="B7" s="353" t="s">
        <v>598</v>
      </c>
      <c r="C7" s="358" t="s">
        <v>599</v>
      </c>
      <c r="D7" s="358" t="s">
        <v>600</v>
      </c>
      <c r="E7" s="358" t="s">
        <v>601</v>
      </c>
      <c r="F7" s="358" t="s">
        <v>602</v>
      </c>
      <c r="G7" s="358" t="s">
        <v>603</v>
      </c>
      <c r="H7" s="358" t="s">
        <v>604</v>
      </c>
      <c r="I7" s="358" t="s">
        <v>605</v>
      </c>
      <c r="J7" s="358" t="s">
        <v>606</v>
      </c>
      <c r="K7" s="358" t="s">
        <v>607</v>
      </c>
      <c r="L7" s="358" t="s">
        <v>608</v>
      </c>
      <c r="M7" s="358" t="s">
        <v>609</v>
      </c>
      <c r="N7" s="358" t="s">
        <v>610</v>
      </c>
      <c r="O7" s="358" t="s">
        <v>611</v>
      </c>
      <c r="P7" s="358" t="s">
        <v>612</v>
      </c>
      <c r="Q7" s="358" t="s">
        <v>613</v>
      </c>
      <c r="R7" s="358" t="s">
        <v>614</v>
      </c>
      <c r="S7" s="358" t="s">
        <v>615</v>
      </c>
      <c r="T7" s="358" t="s">
        <v>616</v>
      </c>
      <c r="U7" s="358" t="s">
        <v>617</v>
      </c>
      <c r="V7" s="358" t="s">
        <v>618</v>
      </c>
      <c r="W7" s="358" t="s">
        <v>619</v>
      </c>
      <c r="X7" s="358" t="s">
        <v>620</v>
      </c>
      <c r="Y7" s="358" t="s">
        <v>621</v>
      </c>
      <c r="Z7" s="358" t="s">
        <v>622</v>
      </c>
      <c r="AA7" s="358" t="s">
        <v>623</v>
      </c>
      <c r="AB7" s="358" t="s">
        <v>624</v>
      </c>
      <c r="AC7" s="358" t="s">
        <v>625</v>
      </c>
      <c r="AD7" s="358" t="s">
        <v>626</v>
      </c>
      <c r="AE7" s="358" t="s">
        <v>627</v>
      </c>
      <c r="AF7" s="358" t="s">
        <v>628</v>
      </c>
      <c r="AG7" s="358" t="s">
        <v>629</v>
      </c>
      <c r="AH7" s="358" t="s">
        <v>630</v>
      </c>
      <c r="AI7" s="358" t="s">
        <v>631</v>
      </c>
      <c r="AJ7" s="358" t="s">
        <v>632</v>
      </c>
      <c r="AK7" s="358" t="s">
        <v>633</v>
      </c>
      <c r="AL7" s="358" t="s">
        <v>634</v>
      </c>
      <c r="AM7" s="358" t="s">
        <v>635</v>
      </c>
      <c r="AN7" s="358" t="s">
        <v>636</v>
      </c>
      <c r="AO7" s="358" t="s">
        <v>637</v>
      </c>
      <c r="AP7" s="358" t="s">
        <v>638</v>
      </c>
      <c r="AQ7" s="358" t="s">
        <v>639</v>
      </c>
      <c r="AR7" s="358" t="s">
        <v>640</v>
      </c>
      <c r="AS7" s="358" t="s">
        <v>641</v>
      </c>
      <c r="AT7" s="358" t="s">
        <v>642</v>
      </c>
      <c r="AU7" s="353" t="s">
        <v>643</v>
      </c>
      <c r="AV7" s="353" t="s">
        <v>644</v>
      </c>
      <c r="AW7" s="353" t="s">
        <v>645</v>
      </c>
      <c r="AX7" s="353" t="s">
        <v>646</v>
      </c>
      <c r="AY7" s="353" t="s">
        <v>647</v>
      </c>
      <c r="AZ7" s="353" t="s">
        <v>648</v>
      </c>
      <c r="BA7" s="353" t="s">
        <v>649</v>
      </c>
      <c r="BB7" s="353" t="s">
        <v>650</v>
      </c>
      <c r="BC7" s="353" t="s">
        <v>651</v>
      </c>
      <c r="BD7" s="353" t="s">
        <v>652</v>
      </c>
      <c r="BE7" s="353" t="s">
        <v>653</v>
      </c>
      <c r="BF7" s="353" t="s">
        <v>654</v>
      </c>
      <c r="BG7" s="353" t="s">
        <v>655</v>
      </c>
      <c r="BH7" s="353" t="s">
        <v>656</v>
      </c>
      <c r="BI7" s="353" t="s">
        <v>657</v>
      </c>
      <c r="BJ7" s="353" t="s">
        <v>658</v>
      </c>
      <c r="BK7" s="353" t="s">
        <v>659</v>
      </c>
      <c r="BL7" s="353" t="s">
        <v>660</v>
      </c>
      <c r="BM7" s="353" t="s">
        <v>661</v>
      </c>
      <c r="BN7" s="353" t="s">
        <v>662</v>
      </c>
      <c r="BO7" s="353" t="s">
        <v>663</v>
      </c>
      <c r="BP7" s="353" t="s">
        <v>664</v>
      </c>
      <c r="BQ7" s="353" t="s">
        <v>665</v>
      </c>
      <c r="BR7" s="353" t="s">
        <v>666</v>
      </c>
      <c r="BS7" s="353" t="s">
        <v>667</v>
      </c>
      <c r="BT7" s="353" t="s">
        <v>668</v>
      </c>
      <c r="BU7" s="353" t="s">
        <v>669</v>
      </c>
      <c r="BV7" s="353" t="s">
        <v>670</v>
      </c>
      <c r="BW7" s="353" t="s">
        <v>671</v>
      </c>
      <c r="BX7" s="353" t="s">
        <v>672</v>
      </c>
      <c r="BY7" s="353" t="s">
        <v>673</v>
      </c>
      <c r="BZ7" s="353" t="s">
        <v>674</v>
      </c>
      <c r="CA7" s="353" t="s">
        <v>675</v>
      </c>
      <c r="CB7" s="353" t="s">
        <v>676</v>
      </c>
      <c r="CC7" s="353" t="s">
        <v>677</v>
      </c>
      <c r="CD7" s="353" t="s">
        <v>678</v>
      </c>
      <c r="CE7" s="353" t="s">
        <v>679</v>
      </c>
      <c r="CF7" s="353" t="s">
        <v>680</v>
      </c>
      <c r="CG7" s="353" t="s">
        <v>681</v>
      </c>
      <c r="CH7" s="353" t="s">
        <v>682</v>
      </c>
      <c r="CI7" s="353" t="s">
        <v>683</v>
      </c>
      <c r="CJ7" s="353" t="s">
        <v>684</v>
      </c>
      <c r="CK7" s="353" t="s">
        <v>685</v>
      </c>
      <c r="CL7" s="353" t="s">
        <v>686</v>
      </c>
      <c r="CM7" s="353" t="s">
        <v>687</v>
      </c>
      <c r="CN7" s="353" t="s">
        <v>688</v>
      </c>
      <c r="CO7" s="353" t="s">
        <v>689</v>
      </c>
      <c r="CP7" s="353" t="s">
        <v>690</v>
      </c>
      <c r="CQ7" s="353" t="s">
        <v>691</v>
      </c>
      <c r="CR7" s="353" t="s">
        <v>692</v>
      </c>
      <c r="CS7" s="353" t="s">
        <v>693</v>
      </c>
      <c r="CT7" s="353" t="s">
        <v>694</v>
      </c>
      <c r="CU7" s="353" t="s">
        <v>695</v>
      </c>
      <c r="CV7" s="353" t="s">
        <v>696</v>
      </c>
      <c r="CW7" s="353" t="s">
        <v>697</v>
      </c>
      <c r="CX7" s="353" t="s">
        <v>698</v>
      </c>
      <c r="CY7" s="353" t="s">
        <v>699</v>
      </c>
      <c r="CZ7" s="353" t="s">
        <v>700</v>
      </c>
      <c r="DA7" s="353" t="s">
        <v>701</v>
      </c>
      <c r="DB7" s="353" t="s">
        <v>702</v>
      </c>
      <c r="DC7" s="353" t="s">
        <v>714</v>
      </c>
      <c r="DD7" s="353" t="s">
        <v>715</v>
      </c>
      <c r="DE7" s="353" t="s">
        <v>716</v>
      </c>
      <c r="DF7" s="353" t="s">
        <v>717</v>
      </c>
      <c r="DG7" s="353" t="s">
        <v>753</v>
      </c>
      <c r="DH7" s="353" t="s">
        <v>754</v>
      </c>
      <c r="DI7" s="353" t="s">
        <v>755</v>
      </c>
      <c r="DJ7" s="353" t="s">
        <v>756</v>
      </c>
    </row>
    <row r="8" spans="1:114">
      <c r="A8" s="353" t="s">
        <v>703</v>
      </c>
      <c r="B8" s="353" t="s">
        <v>704</v>
      </c>
      <c r="C8" s="359">
        <v>2.00636724585048</v>
      </c>
      <c r="D8" s="359">
        <v>2.0291650874162701</v>
      </c>
      <c r="E8" s="359">
        <v>2.03757968920663</v>
      </c>
      <c r="F8" s="359">
        <v>2.0606142945993899</v>
      </c>
      <c r="G8" s="359">
        <v>2.0745370690741001</v>
      </c>
      <c r="H8" s="359">
        <v>2.0847825323862401</v>
      </c>
      <c r="I8" s="359">
        <v>2.1206860135604901</v>
      </c>
      <c r="J8" s="359">
        <v>2.1424966802388901</v>
      </c>
      <c r="K8" s="359">
        <v>2.1578163861285402</v>
      </c>
      <c r="L8" s="359">
        <v>2.1832138994825101</v>
      </c>
      <c r="M8" s="359">
        <v>2.20421171618483</v>
      </c>
      <c r="N8" s="359">
        <v>2.1896212296401001</v>
      </c>
      <c r="O8" s="359">
        <v>2.20803013839891</v>
      </c>
      <c r="P8" s="359">
        <v>2.22770508501555</v>
      </c>
      <c r="Q8" s="359">
        <v>2.2460289904441102</v>
      </c>
      <c r="R8" s="359">
        <v>2.2733243234402698</v>
      </c>
      <c r="S8" s="359">
        <v>2.2978727440896298</v>
      </c>
      <c r="T8" s="359">
        <v>2.33464757476135</v>
      </c>
      <c r="U8" s="359">
        <v>2.3735745419461698</v>
      </c>
      <c r="V8" s="359">
        <v>2.3215865251415799</v>
      </c>
      <c r="W8" s="359">
        <v>2.3038606165018001</v>
      </c>
      <c r="X8" s="359">
        <v>2.3146322553388998</v>
      </c>
      <c r="Y8" s="359">
        <v>2.3340236320998402</v>
      </c>
      <c r="Z8" s="359">
        <v>2.3521234651093201</v>
      </c>
      <c r="AA8" s="359">
        <v>2.3568893012599399</v>
      </c>
      <c r="AB8" s="359">
        <v>2.3598587637925301</v>
      </c>
      <c r="AC8" s="359">
        <v>2.36770399877773</v>
      </c>
      <c r="AD8" s="359">
        <v>2.38955809384764</v>
      </c>
      <c r="AE8" s="359">
        <v>2.4084022153037701</v>
      </c>
      <c r="AF8" s="359">
        <v>2.4444685874859502</v>
      </c>
      <c r="AG8" s="359">
        <v>2.4605086632613302</v>
      </c>
      <c r="AH8" s="359">
        <v>2.4674418556211899</v>
      </c>
      <c r="AI8" s="359">
        <v>2.48047055705287</v>
      </c>
      <c r="AJ8" s="359">
        <v>2.4868301554203001</v>
      </c>
      <c r="AK8" s="359">
        <v>2.4980039898718398</v>
      </c>
      <c r="AL8" s="359">
        <v>2.5174915991773301</v>
      </c>
      <c r="AM8" s="359">
        <v>2.5233669038241602</v>
      </c>
      <c r="AN8" s="359">
        <v>2.5236484225090998</v>
      </c>
      <c r="AO8" s="359">
        <v>2.5385387932097001</v>
      </c>
      <c r="AP8" s="359">
        <v>2.5493614834078802</v>
      </c>
      <c r="AQ8" s="359">
        <v>2.56413842425306</v>
      </c>
      <c r="AR8" s="359">
        <v>2.5682595344004202</v>
      </c>
      <c r="AS8" s="359">
        <v>2.5745815760815098</v>
      </c>
      <c r="AT8" s="359">
        <v>2.5704046529659599</v>
      </c>
      <c r="AU8" s="359">
        <v>2.5621353989770399</v>
      </c>
      <c r="AV8" s="359">
        <v>2.5738294568645199</v>
      </c>
      <c r="AW8" s="359">
        <v>2.5764114663554598</v>
      </c>
      <c r="AX8" s="359">
        <v>2.5767502329649301</v>
      </c>
      <c r="AY8" s="359">
        <v>2.5717413107399598</v>
      </c>
      <c r="AZ8" s="359">
        <v>2.5921620600181798</v>
      </c>
      <c r="BA8" s="359">
        <v>2.6070176064225401</v>
      </c>
      <c r="BB8" s="359">
        <v>2.6253915835400998</v>
      </c>
      <c r="BC8" s="359">
        <v>2.6431333690427099</v>
      </c>
      <c r="BD8" s="359">
        <v>2.64546336636419</v>
      </c>
      <c r="BE8" s="359">
        <v>2.6516697947452901</v>
      </c>
      <c r="BF8" s="359">
        <v>2.6731235139351899</v>
      </c>
      <c r="BG8" s="359">
        <v>2.7026167667051602</v>
      </c>
      <c r="BH8" s="359">
        <v>2.7193001657199298</v>
      </c>
      <c r="BI8" s="359">
        <v>2.7260426960930002</v>
      </c>
      <c r="BJ8" s="359">
        <v>2.7399178823535002</v>
      </c>
      <c r="BK8" s="359">
        <v>2.75033882552344</v>
      </c>
      <c r="BL8" s="359">
        <v>2.7691255542531601</v>
      </c>
      <c r="BM8" s="359">
        <v>2.7814380326339401</v>
      </c>
      <c r="BN8" s="359">
        <v>2.7939506416860498</v>
      </c>
      <c r="BO8" s="359">
        <v>2.8070587081190901</v>
      </c>
      <c r="BP8" s="359">
        <v>2.7896042146639002</v>
      </c>
      <c r="BQ8" s="359">
        <v>2.8000632487604</v>
      </c>
      <c r="BR8" s="359">
        <v>2.8135749304701099</v>
      </c>
      <c r="BS8" s="359">
        <v>2.84473365656154</v>
      </c>
      <c r="BT8" s="359">
        <v>2.8776899530551501</v>
      </c>
      <c r="BU8" s="359">
        <v>2.91846987961046</v>
      </c>
      <c r="BV8" s="359">
        <v>2.9745336047687898</v>
      </c>
      <c r="BW8" s="359">
        <v>3.0363632095510602</v>
      </c>
      <c r="BX8" s="359">
        <v>3.0937945903717101</v>
      </c>
      <c r="BY8" s="359">
        <v>3.12914302923721</v>
      </c>
      <c r="BZ8" s="359">
        <v>3.1622983158543199</v>
      </c>
      <c r="CA8" s="359">
        <v>3.1733517442999202</v>
      </c>
      <c r="CB8" s="359">
        <v>3.1738971093723101</v>
      </c>
      <c r="CC8" s="359">
        <v>3.1967043068674501</v>
      </c>
      <c r="CD8" s="359">
        <v>3.2211287408653502</v>
      </c>
      <c r="CE8" s="359">
        <v>3.2551615727335901</v>
      </c>
      <c r="CF8" s="359">
        <v>3.3025430744967199</v>
      </c>
      <c r="CG8" s="359">
        <v>3.3164535747380799</v>
      </c>
      <c r="CH8" s="359">
        <v>3.3311271452806199</v>
      </c>
      <c r="CI8" s="359">
        <v>3.3805574761649502</v>
      </c>
      <c r="CJ8" s="359">
        <v>3.3911358817845798</v>
      </c>
      <c r="CK8" s="359">
        <v>3.42090476912849</v>
      </c>
      <c r="CL8" s="359">
        <v>3.45086054139498</v>
      </c>
      <c r="CM8" s="359">
        <v>3.47803660088959</v>
      </c>
      <c r="CN8" s="359">
        <v>3.5036364440878298</v>
      </c>
      <c r="CO8" s="359">
        <v>3.52842418661261</v>
      </c>
      <c r="CP8" s="359">
        <v>3.5518223377445399</v>
      </c>
      <c r="CQ8" s="359">
        <v>3.5704329661040499</v>
      </c>
      <c r="CR8" s="359">
        <v>3.59431879867507</v>
      </c>
      <c r="CS8" s="359">
        <v>3.6197296850457299</v>
      </c>
      <c r="CT8" s="359">
        <v>3.6489463470633501</v>
      </c>
      <c r="CU8" s="359">
        <v>3.6687124556605899</v>
      </c>
      <c r="CV8" s="359">
        <v>3.6864294893499601</v>
      </c>
      <c r="CW8" s="359">
        <v>3.7035919425396702</v>
      </c>
      <c r="CX8" s="359">
        <v>3.7218910658414801</v>
      </c>
      <c r="CY8" s="359">
        <v>3.74450228718245</v>
      </c>
      <c r="CZ8" s="359">
        <v>3.7641038893052801</v>
      </c>
      <c r="DA8" s="359">
        <v>3.7859306337552399</v>
      </c>
      <c r="DB8" s="359">
        <v>3.8070680913635799</v>
      </c>
      <c r="DC8" s="359">
        <v>3.8276570325017798</v>
      </c>
      <c r="DD8" s="359">
        <v>3.8498962905440401</v>
      </c>
      <c r="DE8" s="359">
        <v>3.8736036928645801</v>
      </c>
      <c r="DF8" s="359">
        <v>3.8983395136939598</v>
      </c>
      <c r="DG8" s="359">
        <v>3.9240204269381902</v>
      </c>
      <c r="DH8" s="359">
        <v>3.9478359999447599</v>
      </c>
      <c r="DI8" s="359">
        <v>3.9699190088239602</v>
      </c>
      <c r="DJ8" s="359">
        <v>3.9923073910680298</v>
      </c>
    </row>
    <row r="9" spans="1:114">
      <c r="A9" s="353" t="s">
        <v>705</v>
      </c>
      <c r="B9" s="353" t="s">
        <v>706</v>
      </c>
      <c r="C9" s="359">
        <v>2.00636724585048</v>
      </c>
      <c r="D9" s="359">
        <v>2.0291650874162701</v>
      </c>
      <c r="E9" s="359">
        <v>2.03757968920663</v>
      </c>
      <c r="F9" s="359">
        <v>2.0606142945993899</v>
      </c>
      <c r="G9" s="359">
        <v>2.0745370690741001</v>
      </c>
      <c r="H9" s="359">
        <v>2.0847825323862401</v>
      </c>
      <c r="I9" s="359">
        <v>2.1206860135604901</v>
      </c>
      <c r="J9" s="359">
        <v>2.1424966802388901</v>
      </c>
      <c r="K9" s="359">
        <v>2.1578163861285402</v>
      </c>
      <c r="L9" s="359">
        <v>2.1832138994825101</v>
      </c>
      <c r="M9" s="359">
        <v>2.20421171618483</v>
      </c>
      <c r="N9" s="359">
        <v>2.1896212296401001</v>
      </c>
      <c r="O9" s="359">
        <v>2.20803013839891</v>
      </c>
      <c r="P9" s="359">
        <v>2.22770508501555</v>
      </c>
      <c r="Q9" s="359">
        <v>2.2460289904441102</v>
      </c>
      <c r="R9" s="359">
        <v>2.2733243234402698</v>
      </c>
      <c r="S9" s="359">
        <v>2.2978727440896298</v>
      </c>
      <c r="T9" s="359">
        <v>2.33464757476135</v>
      </c>
      <c r="U9" s="359">
        <v>2.3735745419461698</v>
      </c>
      <c r="V9" s="359">
        <v>2.3215865251415799</v>
      </c>
      <c r="W9" s="359">
        <v>2.3038606165018001</v>
      </c>
      <c r="X9" s="359">
        <v>2.3146322553388998</v>
      </c>
      <c r="Y9" s="359">
        <v>2.3340236320998402</v>
      </c>
      <c r="Z9" s="359">
        <v>2.3521234651093201</v>
      </c>
      <c r="AA9" s="359">
        <v>2.3568893012599399</v>
      </c>
      <c r="AB9" s="359">
        <v>2.3598587637925301</v>
      </c>
      <c r="AC9" s="359">
        <v>2.36770399877773</v>
      </c>
      <c r="AD9" s="359">
        <v>2.38955809384764</v>
      </c>
      <c r="AE9" s="359">
        <v>2.4084022153037701</v>
      </c>
      <c r="AF9" s="359">
        <v>2.4444685874859502</v>
      </c>
      <c r="AG9" s="359">
        <v>2.4605086632613302</v>
      </c>
      <c r="AH9" s="359">
        <v>2.4674418556211899</v>
      </c>
      <c r="AI9" s="359">
        <v>2.48047055705287</v>
      </c>
      <c r="AJ9" s="359">
        <v>2.4868301554203001</v>
      </c>
      <c r="AK9" s="359">
        <v>2.4980039898718398</v>
      </c>
      <c r="AL9" s="359">
        <v>2.5174915991773301</v>
      </c>
      <c r="AM9" s="359">
        <v>2.5233669038241602</v>
      </c>
      <c r="AN9" s="359">
        <v>2.5236484225090998</v>
      </c>
      <c r="AO9" s="359">
        <v>2.5385387932097001</v>
      </c>
      <c r="AP9" s="359">
        <v>2.5493614834078802</v>
      </c>
      <c r="AQ9" s="359">
        <v>2.56413842425306</v>
      </c>
      <c r="AR9" s="359">
        <v>2.5682595344004202</v>
      </c>
      <c r="AS9" s="359">
        <v>2.5745815760815098</v>
      </c>
      <c r="AT9" s="359">
        <v>2.5704046529659599</v>
      </c>
      <c r="AU9" s="359">
        <v>2.5621353989770399</v>
      </c>
      <c r="AV9" s="359">
        <v>2.5738294568645199</v>
      </c>
      <c r="AW9" s="359">
        <v>2.5764114663554598</v>
      </c>
      <c r="AX9" s="359">
        <v>2.5767502329649301</v>
      </c>
      <c r="AY9" s="359">
        <v>2.5717413107399598</v>
      </c>
      <c r="AZ9" s="359">
        <v>2.5921620600181798</v>
      </c>
      <c r="BA9" s="359">
        <v>2.6070176064225401</v>
      </c>
      <c r="BB9" s="359">
        <v>2.6253915835400998</v>
      </c>
      <c r="BC9" s="359">
        <v>2.6431333690427099</v>
      </c>
      <c r="BD9" s="359">
        <v>2.64546336636419</v>
      </c>
      <c r="BE9" s="359">
        <v>2.6516697947452901</v>
      </c>
      <c r="BF9" s="359">
        <v>2.6731235139351899</v>
      </c>
      <c r="BG9" s="359">
        <v>2.7026167667051602</v>
      </c>
      <c r="BH9" s="359">
        <v>2.7193001657199298</v>
      </c>
      <c r="BI9" s="359">
        <v>2.7260426960930002</v>
      </c>
      <c r="BJ9" s="359">
        <v>2.7399178823535002</v>
      </c>
      <c r="BK9" s="359">
        <v>2.75033882552344</v>
      </c>
      <c r="BL9" s="359">
        <v>2.7691255542531601</v>
      </c>
      <c r="BM9" s="359">
        <v>2.7814380326339401</v>
      </c>
      <c r="BN9" s="359">
        <v>2.7939506416860498</v>
      </c>
      <c r="BO9" s="359">
        <v>2.8070587081190901</v>
      </c>
      <c r="BP9" s="359">
        <v>2.7896042146639002</v>
      </c>
      <c r="BQ9" s="359">
        <v>2.8000632487604</v>
      </c>
      <c r="BR9" s="359">
        <v>2.8135749304701099</v>
      </c>
      <c r="BS9" s="359">
        <v>2.84473365656154</v>
      </c>
      <c r="BT9" s="359">
        <v>2.8776899530551501</v>
      </c>
      <c r="BU9" s="359">
        <v>2.91846987961046</v>
      </c>
      <c r="BV9" s="359">
        <v>2.9745336047687898</v>
      </c>
      <c r="BW9" s="359">
        <v>3.0363632095510602</v>
      </c>
      <c r="BX9" s="359">
        <v>3.0937945903717101</v>
      </c>
      <c r="BY9" s="359">
        <v>3.12914302923721</v>
      </c>
      <c r="BZ9" s="359">
        <v>3.1622983158543199</v>
      </c>
      <c r="CA9" s="359">
        <v>3.1733517442999202</v>
      </c>
      <c r="CB9" s="359">
        <v>3.1738971093723101</v>
      </c>
      <c r="CC9" s="359">
        <v>3.1967043068674501</v>
      </c>
      <c r="CD9" s="359">
        <v>3.2211287408653502</v>
      </c>
      <c r="CE9" s="359">
        <v>3.2551615727335901</v>
      </c>
      <c r="CF9" s="359">
        <v>3.3025430744967199</v>
      </c>
      <c r="CG9" s="359">
        <v>3.3164535747380799</v>
      </c>
      <c r="CH9" s="359">
        <v>3.3311271452806199</v>
      </c>
      <c r="CI9" s="359">
        <v>3.3805574761649502</v>
      </c>
      <c r="CJ9" s="359">
        <v>3.3911358817845798</v>
      </c>
      <c r="CK9" s="359">
        <v>3.4129396874642501</v>
      </c>
      <c r="CL9" s="359">
        <v>3.4423382271101</v>
      </c>
      <c r="CM9" s="359">
        <v>3.46890008614267</v>
      </c>
      <c r="CN9" s="359">
        <v>3.4930740830614599</v>
      </c>
      <c r="CO9" s="359">
        <v>3.5166970181017101</v>
      </c>
      <c r="CP9" s="359">
        <v>3.5391359576809802</v>
      </c>
      <c r="CQ9" s="359">
        <v>3.5557031093286899</v>
      </c>
      <c r="CR9" s="359">
        <v>3.5777375244542702</v>
      </c>
      <c r="CS9" s="359">
        <v>3.6014165177855402</v>
      </c>
      <c r="CT9" s="359">
        <v>3.6290949288132999</v>
      </c>
      <c r="CU9" s="359">
        <v>3.64749988924493</v>
      </c>
      <c r="CV9" s="359">
        <v>3.6637983633625799</v>
      </c>
      <c r="CW9" s="359">
        <v>3.67946031335625</v>
      </c>
      <c r="CX9" s="359">
        <v>3.69601435345478</v>
      </c>
      <c r="CY9" s="359">
        <v>3.7168997226776899</v>
      </c>
      <c r="CZ9" s="359">
        <v>3.7344956092559798</v>
      </c>
      <c r="DA9" s="359">
        <v>3.7540706664004899</v>
      </c>
      <c r="DB9" s="359">
        <v>3.77273346934117</v>
      </c>
      <c r="DC9" s="359">
        <v>3.7907940045364898</v>
      </c>
      <c r="DD9" s="359">
        <v>3.8101573763498902</v>
      </c>
      <c r="DE9" s="359">
        <v>3.8308082193872899</v>
      </c>
      <c r="DF9" s="359">
        <v>3.8522751254059902</v>
      </c>
      <c r="DG9" s="359">
        <v>3.8744699506176801</v>
      </c>
      <c r="DH9" s="359">
        <v>3.89466682958804</v>
      </c>
      <c r="DI9" s="359">
        <v>3.9130606540209301</v>
      </c>
      <c r="DJ9" s="359">
        <v>3.9317160575227601</v>
      </c>
    </row>
    <row r="10" spans="1:114">
      <c r="A10" s="353" t="s">
        <v>707</v>
      </c>
      <c r="B10" s="353" t="s">
        <v>708</v>
      </c>
      <c r="C10" s="359">
        <v>2.00636724585048</v>
      </c>
      <c r="D10" s="359">
        <v>2.0291650874162701</v>
      </c>
      <c r="E10" s="359">
        <v>2.03757968920663</v>
      </c>
      <c r="F10" s="359">
        <v>2.0606142945993899</v>
      </c>
      <c r="G10" s="359">
        <v>2.0745370690741001</v>
      </c>
      <c r="H10" s="359">
        <v>2.0847825323862401</v>
      </c>
      <c r="I10" s="359">
        <v>2.1206860135604901</v>
      </c>
      <c r="J10" s="359">
        <v>2.1424966802388901</v>
      </c>
      <c r="K10" s="359">
        <v>2.1578163861285402</v>
      </c>
      <c r="L10" s="359">
        <v>2.1832138994825101</v>
      </c>
      <c r="M10" s="359">
        <v>2.20421171618483</v>
      </c>
      <c r="N10" s="359">
        <v>2.1896212296401001</v>
      </c>
      <c r="O10" s="359">
        <v>2.20803013839891</v>
      </c>
      <c r="P10" s="359">
        <v>2.22770508501555</v>
      </c>
      <c r="Q10" s="359">
        <v>2.2460289904441102</v>
      </c>
      <c r="R10" s="359">
        <v>2.2733243234402698</v>
      </c>
      <c r="S10" s="359">
        <v>2.2978727440896298</v>
      </c>
      <c r="T10" s="359">
        <v>2.33464757476135</v>
      </c>
      <c r="U10" s="359">
        <v>2.3735745419461698</v>
      </c>
      <c r="V10" s="359">
        <v>2.3215865251415799</v>
      </c>
      <c r="W10" s="359">
        <v>2.3038606165018001</v>
      </c>
      <c r="X10" s="359">
        <v>2.3146322553388998</v>
      </c>
      <c r="Y10" s="359">
        <v>2.3340236320998402</v>
      </c>
      <c r="Z10" s="359">
        <v>2.3521234651093201</v>
      </c>
      <c r="AA10" s="359">
        <v>2.3568893012599399</v>
      </c>
      <c r="AB10" s="359">
        <v>2.3598587637925301</v>
      </c>
      <c r="AC10" s="359">
        <v>2.36770399877773</v>
      </c>
      <c r="AD10" s="359">
        <v>2.38955809384764</v>
      </c>
      <c r="AE10" s="359">
        <v>2.4084022153037701</v>
      </c>
      <c r="AF10" s="359">
        <v>2.4444685874859502</v>
      </c>
      <c r="AG10" s="359">
        <v>2.4605086632613302</v>
      </c>
      <c r="AH10" s="359">
        <v>2.4674418556211899</v>
      </c>
      <c r="AI10" s="359">
        <v>2.48047055705287</v>
      </c>
      <c r="AJ10" s="359">
        <v>2.4868301554203001</v>
      </c>
      <c r="AK10" s="359">
        <v>2.4980039898718398</v>
      </c>
      <c r="AL10" s="359">
        <v>2.5174915991773301</v>
      </c>
      <c r="AM10" s="359">
        <v>2.5233669038241602</v>
      </c>
      <c r="AN10" s="359">
        <v>2.5236484225090998</v>
      </c>
      <c r="AO10" s="359">
        <v>2.5385387932097001</v>
      </c>
      <c r="AP10" s="359">
        <v>2.5493614834078802</v>
      </c>
      <c r="AQ10" s="359">
        <v>2.56413842425306</v>
      </c>
      <c r="AR10" s="359">
        <v>2.5682595344004202</v>
      </c>
      <c r="AS10" s="359">
        <v>2.5745815760815098</v>
      </c>
      <c r="AT10" s="359">
        <v>2.5704046529659599</v>
      </c>
      <c r="AU10" s="359">
        <v>2.5621353989770399</v>
      </c>
      <c r="AV10" s="359">
        <v>2.5738294568645199</v>
      </c>
      <c r="AW10" s="359">
        <v>2.5764114663554598</v>
      </c>
      <c r="AX10" s="359">
        <v>2.5767502329649301</v>
      </c>
      <c r="AY10" s="359">
        <v>2.5717413107399598</v>
      </c>
      <c r="AZ10" s="359">
        <v>2.5921620600181798</v>
      </c>
      <c r="BA10" s="359">
        <v>2.6070176064225401</v>
      </c>
      <c r="BB10" s="359">
        <v>2.6253915835400998</v>
      </c>
      <c r="BC10" s="359">
        <v>2.6431333690427099</v>
      </c>
      <c r="BD10" s="359">
        <v>2.64546336636419</v>
      </c>
      <c r="BE10" s="359">
        <v>2.6516697947452901</v>
      </c>
      <c r="BF10" s="359">
        <v>2.6731235139351899</v>
      </c>
      <c r="BG10" s="359">
        <v>2.7026167667051602</v>
      </c>
      <c r="BH10" s="359">
        <v>2.7193001657199298</v>
      </c>
      <c r="BI10" s="359">
        <v>2.7260426960930002</v>
      </c>
      <c r="BJ10" s="359">
        <v>2.7399178823535002</v>
      </c>
      <c r="BK10" s="359">
        <v>2.75033882552344</v>
      </c>
      <c r="BL10" s="359">
        <v>2.7691255542531601</v>
      </c>
      <c r="BM10" s="359">
        <v>2.7814380326339401</v>
      </c>
      <c r="BN10" s="359">
        <v>2.7939506416860498</v>
      </c>
      <c r="BO10" s="359">
        <v>2.8070587081190901</v>
      </c>
      <c r="BP10" s="359">
        <v>2.7896042146639002</v>
      </c>
      <c r="BQ10" s="359">
        <v>2.8000632487604</v>
      </c>
      <c r="BR10" s="359">
        <v>2.8135749304701099</v>
      </c>
      <c r="BS10" s="359">
        <v>2.84473365656154</v>
      </c>
      <c r="BT10" s="359">
        <v>2.8776899530551501</v>
      </c>
      <c r="BU10" s="359">
        <v>2.91846987961046</v>
      </c>
      <c r="BV10" s="359">
        <v>2.9745336047687898</v>
      </c>
      <c r="BW10" s="359">
        <v>3.0363632095510602</v>
      </c>
      <c r="BX10" s="359">
        <v>3.0937945903717101</v>
      </c>
      <c r="BY10" s="359">
        <v>3.12914302923721</v>
      </c>
      <c r="BZ10" s="359">
        <v>3.1622983158543199</v>
      </c>
      <c r="CA10" s="359">
        <v>3.1733517442999202</v>
      </c>
      <c r="CB10" s="359">
        <v>3.1738971093723101</v>
      </c>
      <c r="CC10" s="359">
        <v>3.1967043068674501</v>
      </c>
      <c r="CD10" s="359">
        <v>3.2211287408653502</v>
      </c>
      <c r="CE10" s="359">
        <v>3.2551615727335901</v>
      </c>
      <c r="CF10" s="359">
        <v>3.3025430744967199</v>
      </c>
      <c r="CG10" s="359">
        <v>3.3164535747380799</v>
      </c>
      <c r="CH10" s="359">
        <v>3.3311271452806199</v>
      </c>
      <c r="CI10" s="359">
        <v>3.3805574761649502</v>
      </c>
      <c r="CJ10" s="359">
        <v>3.3911358817845798</v>
      </c>
      <c r="CK10" s="359">
        <v>3.4482396013578702</v>
      </c>
      <c r="CL10" s="359">
        <v>3.4966037747232601</v>
      </c>
      <c r="CM10" s="359">
        <v>3.54362736030878</v>
      </c>
      <c r="CN10" s="359">
        <v>3.5857187728199</v>
      </c>
      <c r="CO10" s="359">
        <v>3.62604709604717</v>
      </c>
      <c r="CP10" s="359">
        <v>3.6643486233431299</v>
      </c>
      <c r="CQ10" s="359">
        <v>3.6980170366307901</v>
      </c>
      <c r="CR10" s="359">
        <v>3.7362281271879301</v>
      </c>
      <c r="CS10" s="359">
        <v>3.7757697845651199</v>
      </c>
      <c r="CT10" s="359">
        <v>3.81923417762482</v>
      </c>
      <c r="CU10" s="359">
        <v>3.8534226123102799</v>
      </c>
      <c r="CV10" s="359">
        <v>3.8859361075079502</v>
      </c>
      <c r="CW10" s="359">
        <v>3.9170381719442302</v>
      </c>
      <c r="CX10" s="359">
        <v>3.94938548648082</v>
      </c>
      <c r="CY10" s="359">
        <v>3.9865861807148399</v>
      </c>
      <c r="CZ10" s="359">
        <v>4.0205021207341201</v>
      </c>
      <c r="DA10" s="359">
        <v>4.0568191595857499</v>
      </c>
      <c r="DB10" s="359">
        <v>4.0924681799454303</v>
      </c>
      <c r="DC10" s="359">
        <v>4.12795213201019</v>
      </c>
      <c r="DD10" s="359">
        <v>4.1652868322002803</v>
      </c>
      <c r="DE10" s="359">
        <v>4.2041024076852</v>
      </c>
      <c r="DF10" s="359">
        <v>4.2443210505388498</v>
      </c>
      <c r="DG10" s="359">
        <v>4.2859112182827701</v>
      </c>
      <c r="DH10" s="359">
        <v>4.3254014106558101</v>
      </c>
      <c r="DI10" s="359">
        <v>4.3631521810086404</v>
      </c>
      <c r="DJ10" s="359">
        <v>4.4015594728248102</v>
      </c>
    </row>
    <row r="12" spans="1:114">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0"/>
      <c r="AM12" s="360"/>
      <c r="AN12" s="360"/>
      <c r="AO12" s="360"/>
      <c r="AP12" s="360"/>
      <c r="AQ12" s="360"/>
      <c r="AR12" s="360"/>
      <c r="AS12" s="360"/>
      <c r="AT12" s="360"/>
    </row>
    <row r="13" spans="1:114">
      <c r="C13" s="360"/>
      <c r="D13" s="360"/>
      <c r="E13" s="360"/>
      <c r="F13" s="360"/>
      <c r="G13" s="360"/>
      <c r="H13" s="360"/>
      <c r="I13" s="360"/>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0"/>
      <c r="AK13" s="360"/>
      <c r="AL13" s="360"/>
      <c r="AM13" s="360"/>
      <c r="AN13" s="360"/>
      <c r="AO13" s="360"/>
      <c r="AP13" s="360"/>
      <c r="AQ13" s="360"/>
      <c r="AR13" s="360"/>
      <c r="AS13" s="360"/>
      <c r="AT13" s="360"/>
    </row>
    <row r="14" spans="1:114">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row>
    <row r="15" spans="1:114">
      <c r="C15" s="359"/>
      <c r="D15" s="359"/>
      <c r="E15" s="359"/>
      <c r="F15" s="359"/>
    </row>
    <row r="16" spans="1:114">
      <c r="C16" s="359"/>
      <c r="D16" s="359"/>
      <c r="E16" s="359"/>
      <c r="F16" s="359"/>
    </row>
    <row r="17" spans="3:98">
      <c r="C17" s="359"/>
      <c r="D17" s="359"/>
      <c r="E17" s="359"/>
      <c r="F17" s="359"/>
    </row>
    <row r="18" spans="3:98">
      <c r="CI18" s="303" t="s">
        <v>718</v>
      </c>
      <c r="CJ18" s="304"/>
      <c r="CK18" s="304"/>
      <c r="CL18" s="570" t="s">
        <v>757</v>
      </c>
      <c r="CM18" s="306"/>
      <c r="CN18" s="306"/>
      <c r="CO18" s="306"/>
      <c r="CP18" s="306"/>
      <c r="CQ18" s="306"/>
      <c r="CR18" s="304"/>
      <c r="CS18" s="304" t="s">
        <v>758</v>
      </c>
      <c r="CT18" s="304"/>
    </row>
    <row r="19" spans="3:98">
      <c r="CI19" s="307"/>
      <c r="CJ19" s="308"/>
      <c r="CK19" s="308"/>
      <c r="CL19" s="308"/>
      <c r="CM19" s="308"/>
      <c r="CN19" s="308"/>
      <c r="CO19" s="308"/>
      <c r="CP19" s="308"/>
      <c r="CQ19" s="308"/>
      <c r="CR19" s="308"/>
      <c r="CS19" s="308"/>
      <c r="CT19" s="309"/>
    </row>
    <row r="20" spans="3:98">
      <c r="CI20" s="310"/>
      <c r="CJ20" s="311" t="s">
        <v>709</v>
      </c>
      <c r="CK20" s="312" t="s">
        <v>596</v>
      </c>
      <c r="CL20" s="304"/>
      <c r="CM20" s="304"/>
      <c r="CN20" s="304"/>
      <c r="CO20" s="304"/>
      <c r="CP20" s="304"/>
      <c r="CQ20" s="304"/>
      <c r="CR20" s="304"/>
      <c r="CS20" s="304"/>
      <c r="CT20" s="313"/>
    </row>
    <row r="21" spans="3:98">
      <c r="CI21" s="310"/>
      <c r="CJ21" s="304"/>
      <c r="CK21" s="353" t="s">
        <v>688</v>
      </c>
      <c r="CL21" s="314"/>
      <c r="CM21" s="314"/>
      <c r="CN21" s="314"/>
      <c r="CO21" s="304"/>
      <c r="CP21" s="304"/>
      <c r="CQ21" s="304"/>
      <c r="CR21" s="304"/>
      <c r="CS21" s="304"/>
      <c r="CT21" s="315" t="s">
        <v>418</v>
      </c>
    </row>
    <row r="22" spans="3:98">
      <c r="CI22" s="310"/>
      <c r="CJ22" s="304"/>
      <c r="CK22" s="359">
        <v>3.5036364440878298</v>
      </c>
      <c r="CL22" s="316"/>
      <c r="CM22" s="316"/>
      <c r="CN22" s="316"/>
      <c r="CO22" s="304"/>
      <c r="CP22" s="304"/>
      <c r="CQ22" s="304"/>
      <c r="CR22" s="304"/>
      <c r="CS22" s="304"/>
      <c r="CT22" s="317">
        <f>AVERAGE(CK22:CN22)</f>
        <v>3.5036364440878298</v>
      </c>
    </row>
    <row r="23" spans="3:98">
      <c r="CI23" s="310"/>
      <c r="CJ23" s="304"/>
      <c r="CK23" s="304"/>
      <c r="CL23" s="304"/>
      <c r="CM23" s="304"/>
      <c r="CN23" s="304"/>
      <c r="CO23" s="304"/>
      <c r="CP23" s="304"/>
      <c r="CQ23" s="304"/>
      <c r="CR23" s="304"/>
      <c r="CS23" s="304"/>
      <c r="CT23" s="318"/>
    </row>
    <row r="24" spans="3:98">
      <c r="CI24" s="361"/>
      <c r="CJ24" s="319" t="s">
        <v>710</v>
      </c>
      <c r="CK24" s="311"/>
      <c r="CL24" s="304" t="s">
        <v>759</v>
      </c>
      <c r="CM24" s="304"/>
      <c r="CN24" s="304"/>
      <c r="CO24" s="304"/>
      <c r="CP24" s="304"/>
      <c r="CQ24" s="304"/>
      <c r="CR24" s="304"/>
      <c r="CS24" s="304"/>
      <c r="CT24" s="318"/>
    </row>
    <row r="25" spans="3:98">
      <c r="CI25" s="319"/>
      <c r="CJ25" s="311"/>
      <c r="CK25" s="353" t="s">
        <v>689</v>
      </c>
      <c r="CL25" s="353" t="s">
        <v>690</v>
      </c>
      <c r="CM25" s="353" t="s">
        <v>691</v>
      </c>
      <c r="CN25" s="353" t="s">
        <v>692</v>
      </c>
      <c r="CO25" s="353" t="s">
        <v>693</v>
      </c>
      <c r="CP25" s="353" t="s">
        <v>694</v>
      </c>
      <c r="CQ25" s="353" t="s">
        <v>695</v>
      </c>
      <c r="CR25" s="353" t="s">
        <v>696</v>
      </c>
      <c r="CS25" s="304"/>
      <c r="CT25" s="318"/>
    </row>
    <row r="26" spans="3:98">
      <c r="CI26" s="310"/>
      <c r="CJ26" s="304"/>
      <c r="CK26" s="359">
        <v>3.52842418661261</v>
      </c>
      <c r="CL26" s="359">
        <v>3.5518223377445399</v>
      </c>
      <c r="CM26" s="359">
        <v>3.5704329661040499</v>
      </c>
      <c r="CN26" s="359">
        <v>3.59431879867507</v>
      </c>
      <c r="CO26" s="359">
        <v>3.6197296850457299</v>
      </c>
      <c r="CP26" s="359">
        <v>3.6489463470633501</v>
      </c>
      <c r="CQ26" s="359">
        <v>3.6687124556605899</v>
      </c>
      <c r="CR26" s="359">
        <v>3.6864294893499601</v>
      </c>
      <c r="CS26" s="304"/>
      <c r="CT26" s="317">
        <f>AVERAGE(CK26:CR26)</f>
        <v>3.6086020332819881</v>
      </c>
    </row>
    <row r="27" spans="3:98">
      <c r="CI27" s="310"/>
      <c r="CJ27" s="304"/>
      <c r="CK27" s="304"/>
      <c r="CL27" s="304"/>
      <c r="CM27" s="304"/>
      <c r="CN27" s="304"/>
      <c r="CO27" s="304"/>
      <c r="CP27" s="304"/>
      <c r="CQ27" s="304"/>
      <c r="CR27" s="304"/>
      <c r="CS27" s="304"/>
      <c r="CT27" s="318"/>
    </row>
    <row r="28" spans="3:98">
      <c r="CI28" s="310"/>
      <c r="CJ28" s="304"/>
      <c r="CK28" s="304"/>
      <c r="CL28" s="304"/>
      <c r="CM28" s="304"/>
      <c r="CN28" s="304"/>
      <c r="CO28" s="304"/>
      <c r="CP28" s="304"/>
      <c r="CQ28" s="304"/>
      <c r="CR28" s="304"/>
      <c r="CS28" s="320" t="s">
        <v>711</v>
      </c>
      <c r="CT28" s="321">
        <f>(CT26-CT22)/CT22</f>
        <v>2.9959041375791508E-2</v>
      </c>
    </row>
    <row r="29" spans="3:98">
      <c r="CI29" s="322"/>
      <c r="CJ29" s="323"/>
      <c r="CK29" s="323"/>
      <c r="CL29" s="323"/>
      <c r="CM29" s="323"/>
      <c r="CN29" s="323"/>
      <c r="CO29" s="323"/>
      <c r="CP29" s="323"/>
      <c r="CQ29" s="323"/>
      <c r="CR29" s="323"/>
      <c r="CS29" s="323"/>
      <c r="CT29" s="324"/>
    </row>
    <row r="33" spans="87:98" hidden="1">
      <c r="CI33" s="303" t="s">
        <v>718</v>
      </c>
      <c r="CJ33" s="304"/>
      <c r="CK33" s="304"/>
      <c r="CL33" s="305" t="s">
        <v>757</v>
      </c>
      <c r="CM33" s="306"/>
      <c r="CN33" s="306"/>
      <c r="CO33" s="306"/>
      <c r="CP33" s="306"/>
      <c r="CQ33" s="306"/>
      <c r="CR33" s="304"/>
      <c r="CS33" s="304" t="s">
        <v>760</v>
      </c>
      <c r="CT33" s="304"/>
    </row>
    <row r="34" spans="87:98" hidden="1">
      <c r="CI34" s="307"/>
      <c r="CJ34" s="308"/>
      <c r="CK34" s="308"/>
      <c r="CL34" s="308"/>
      <c r="CM34" s="308"/>
      <c r="CN34" s="308"/>
      <c r="CO34" s="308"/>
      <c r="CP34" s="308"/>
      <c r="CQ34" s="308"/>
      <c r="CR34" s="308"/>
      <c r="CS34" s="308"/>
      <c r="CT34" s="309"/>
    </row>
    <row r="35" spans="87:98" hidden="1">
      <c r="CI35" s="310"/>
      <c r="CJ35" s="311" t="s">
        <v>709</v>
      </c>
      <c r="CK35" s="312" t="s">
        <v>596</v>
      </c>
      <c r="CL35" s="304"/>
      <c r="CM35" s="304"/>
      <c r="CN35" s="304"/>
      <c r="CO35" s="304"/>
      <c r="CP35" s="304"/>
      <c r="CQ35" s="304"/>
      <c r="CR35" s="304"/>
      <c r="CS35" s="304"/>
      <c r="CT35" s="313"/>
    </row>
    <row r="36" spans="87:98" hidden="1">
      <c r="CI36" s="310"/>
      <c r="CJ36" s="304"/>
      <c r="CK36" s="353" t="s">
        <v>688</v>
      </c>
      <c r="CL36" s="314"/>
      <c r="CM36" s="314"/>
      <c r="CN36" s="314"/>
      <c r="CO36" s="304"/>
      <c r="CP36" s="304"/>
      <c r="CQ36" s="304"/>
      <c r="CR36" s="304"/>
      <c r="CS36" s="304"/>
      <c r="CT36" s="315" t="s">
        <v>418</v>
      </c>
    </row>
    <row r="37" spans="87:98" hidden="1">
      <c r="CI37" s="310"/>
      <c r="CJ37" s="304"/>
      <c r="CK37" s="359">
        <v>3.4930740830614599</v>
      </c>
      <c r="CL37" s="316"/>
      <c r="CM37" s="316"/>
      <c r="CN37" s="316"/>
      <c r="CO37" s="304"/>
      <c r="CP37" s="304"/>
      <c r="CQ37" s="304"/>
      <c r="CR37" s="304"/>
      <c r="CS37" s="304"/>
      <c r="CT37" s="317">
        <f>AVERAGE(CK37:CN37)</f>
        <v>3.4930740830614599</v>
      </c>
    </row>
    <row r="38" spans="87:98" hidden="1">
      <c r="CI38" s="310"/>
      <c r="CJ38" s="304"/>
      <c r="CK38" s="304"/>
      <c r="CL38" s="304"/>
      <c r="CM38" s="304"/>
      <c r="CN38" s="304"/>
      <c r="CO38" s="304"/>
      <c r="CP38" s="304"/>
      <c r="CQ38" s="304"/>
      <c r="CR38" s="304"/>
      <c r="CS38" s="304"/>
      <c r="CT38" s="318"/>
    </row>
    <row r="39" spans="87:98" hidden="1">
      <c r="CI39" s="361" t="s">
        <v>761</v>
      </c>
      <c r="CJ39" s="361"/>
      <c r="CK39" s="311"/>
      <c r="CL39" s="304" t="s">
        <v>759</v>
      </c>
      <c r="CM39" s="304"/>
      <c r="CN39" s="304"/>
      <c r="CO39" s="304"/>
      <c r="CP39" s="304"/>
      <c r="CQ39" s="304"/>
      <c r="CR39" s="304"/>
      <c r="CS39" s="304"/>
      <c r="CT39" s="318"/>
    </row>
    <row r="40" spans="87:98" hidden="1">
      <c r="CI40" s="319"/>
      <c r="CJ40" s="311"/>
      <c r="CK40" s="353" t="s">
        <v>689</v>
      </c>
      <c r="CL40" s="353" t="s">
        <v>690</v>
      </c>
      <c r="CM40" s="353" t="s">
        <v>691</v>
      </c>
      <c r="CN40" s="353" t="s">
        <v>692</v>
      </c>
      <c r="CO40" s="353" t="s">
        <v>693</v>
      </c>
      <c r="CP40" s="353" t="s">
        <v>694</v>
      </c>
      <c r="CQ40" s="353" t="s">
        <v>695</v>
      </c>
      <c r="CR40" s="353" t="s">
        <v>696</v>
      </c>
      <c r="CS40" s="304"/>
      <c r="CT40" s="318"/>
    </row>
    <row r="41" spans="87:98" hidden="1">
      <c r="CI41" s="310"/>
      <c r="CJ41" s="304"/>
      <c r="CK41" s="359">
        <v>3.5166970181017101</v>
      </c>
      <c r="CL41" s="359">
        <v>3.5391359576809802</v>
      </c>
      <c r="CM41" s="359">
        <v>3.5557031093286899</v>
      </c>
      <c r="CN41" s="359">
        <v>3.5777375244542702</v>
      </c>
      <c r="CO41" s="359">
        <v>3.6014165177855402</v>
      </c>
      <c r="CP41" s="359">
        <v>3.6290949288132999</v>
      </c>
      <c r="CQ41" s="359">
        <v>3.64749988924493</v>
      </c>
      <c r="CR41" s="359">
        <v>3.6637983633625799</v>
      </c>
      <c r="CS41" s="304"/>
      <c r="CT41" s="317">
        <f>AVERAGE(CK41:CR41)</f>
        <v>3.5913854135965</v>
      </c>
    </row>
    <row r="42" spans="87:98" hidden="1">
      <c r="CI42" s="310"/>
      <c r="CJ42" s="304"/>
      <c r="CK42" s="304"/>
      <c r="CL42" s="304"/>
      <c r="CM42" s="304"/>
      <c r="CN42" s="304"/>
      <c r="CO42" s="304"/>
      <c r="CP42" s="304"/>
      <c r="CQ42" s="304"/>
      <c r="CR42" s="304"/>
      <c r="CS42" s="304"/>
      <c r="CT42" s="318"/>
    </row>
    <row r="43" spans="87:98" hidden="1">
      <c r="CI43" s="310"/>
      <c r="CJ43" s="304"/>
      <c r="CK43" s="304"/>
      <c r="CL43" s="304"/>
      <c r="CM43" s="304"/>
      <c r="CN43" s="304"/>
      <c r="CO43" s="304"/>
      <c r="CP43" s="304"/>
      <c r="CQ43" s="304"/>
      <c r="CR43" s="304"/>
      <c r="CS43" s="320" t="s">
        <v>711</v>
      </c>
      <c r="CT43" s="321">
        <f>(CT41-CT37)/CT37</f>
        <v>2.8144645145595178E-2</v>
      </c>
    </row>
    <row r="44" spans="87:98" hidden="1">
      <c r="CI44" s="322"/>
      <c r="CJ44" s="323"/>
      <c r="CK44" s="323"/>
      <c r="CL44" s="323"/>
      <c r="CM44" s="323"/>
      <c r="CN44" s="323"/>
      <c r="CO44" s="323"/>
      <c r="CP44" s="323"/>
      <c r="CQ44" s="323"/>
      <c r="CR44" s="323"/>
      <c r="CS44" s="323"/>
      <c r="CT44" s="324"/>
    </row>
  </sheetData>
  <mergeCells count="1">
    <mergeCell ref="A1:B1"/>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8064-9138-4E5F-BA4A-7123A7D45701}">
  <dimension ref="A1:L30"/>
  <sheetViews>
    <sheetView zoomScale="80" zoomScaleNormal="80" workbookViewId="0">
      <selection activeCell="H20" sqref="H20"/>
    </sheetView>
  </sheetViews>
  <sheetFormatPr defaultColWidth="8.5703125" defaultRowHeight="15"/>
  <cols>
    <col min="1" max="2" width="8.5703125" style="137"/>
    <col min="3" max="3" width="17" style="137" bestFit="1" customWidth="1"/>
    <col min="4" max="5" width="18.140625" style="137" bestFit="1" customWidth="1"/>
    <col min="6" max="7" width="16.5703125" style="137" bestFit="1" customWidth="1"/>
    <col min="8" max="8" width="20.5703125" style="137" customWidth="1"/>
    <col min="9" max="9" width="16.5703125" style="137" bestFit="1" customWidth="1"/>
    <col min="10" max="10" width="8.42578125" style="137" bestFit="1" customWidth="1"/>
    <col min="11" max="11" width="8.5703125" style="137"/>
    <col min="12" max="12" width="13.42578125" style="137" bestFit="1" customWidth="1"/>
    <col min="13" max="16384" width="8.5703125" style="137"/>
  </cols>
  <sheetData>
    <row r="1" spans="3:12">
      <c r="J1" s="134"/>
    </row>
    <row r="2" spans="3:12">
      <c r="C2" s="170"/>
      <c r="D2" s="688" t="s">
        <v>763</v>
      </c>
      <c r="E2" s="689"/>
      <c r="F2" s="690"/>
      <c r="G2" s="688" t="s">
        <v>741</v>
      </c>
      <c r="H2" s="689"/>
      <c r="I2" s="690"/>
      <c r="J2" s="170"/>
    </row>
    <row r="3" spans="3:12">
      <c r="C3" s="171" t="s">
        <v>383</v>
      </c>
      <c r="D3" s="171" t="s">
        <v>384</v>
      </c>
      <c r="E3" s="172" t="s">
        <v>24</v>
      </c>
      <c r="F3" s="173" t="s">
        <v>366</v>
      </c>
      <c r="G3" s="171" t="s">
        <v>384</v>
      </c>
      <c r="H3" s="172" t="s">
        <v>24</v>
      </c>
      <c r="I3" s="173" t="s">
        <v>366</v>
      </c>
      <c r="J3" s="173" t="s">
        <v>388</v>
      </c>
    </row>
    <row r="4" spans="3:12">
      <c r="C4" s="174" t="s">
        <v>386</v>
      </c>
      <c r="D4" s="185">
        <v>224548204.6015</v>
      </c>
      <c r="E4" s="185">
        <v>27200777.400000002</v>
      </c>
      <c r="F4" s="185">
        <f>E4+D4</f>
        <v>251748982.00150001</v>
      </c>
      <c r="G4" s="186" t="e">
        <f>#REF!</f>
        <v>#REF!</v>
      </c>
      <c r="H4" s="185" t="e">
        <f>#REF!</f>
        <v>#REF!</v>
      </c>
      <c r="I4" s="185" t="e">
        <f>SUM(G4:H4)</f>
        <v>#REF!</v>
      </c>
      <c r="J4" s="182" t="e">
        <f>(I4-F4)/F4</f>
        <v>#REF!</v>
      </c>
      <c r="L4" s="161"/>
    </row>
    <row r="5" spans="3:12">
      <c r="C5" s="175" t="s">
        <v>387</v>
      </c>
      <c r="D5" s="187">
        <v>1506315705.9991667</v>
      </c>
      <c r="E5" s="187">
        <v>74208218.470000014</v>
      </c>
      <c r="F5" s="185">
        <f>E5+D5</f>
        <v>1580523924.4691668</v>
      </c>
      <c r="G5" s="188" t="e">
        <f>#REF!</f>
        <v>#REF!</v>
      </c>
      <c r="H5" s="187" t="e">
        <f>#REF!</f>
        <v>#REF!</v>
      </c>
      <c r="I5" s="187" t="e">
        <f>SUM(G5:H5)</f>
        <v>#REF!</v>
      </c>
      <c r="J5" s="183" t="e">
        <f t="shared" ref="J5:J13" si="0">(I5-F5)/F5</f>
        <v>#REF!</v>
      </c>
      <c r="K5" s="296" t="e">
        <f>AVERAGE(J4,J5,J8,J9)</f>
        <v>#REF!</v>
      </c>
      <c r="L5" s="161"/>
    </row>
    <row r="6" spans="3:12">
      <c r="C6" s="175" t="s">
        <v>392</v>
      </c>
      <c r="D6" s="187">
        <v>0</v>
      </c>
      <c r="E6" s="187">
        <v>0</v>
      </c>
      <c r="F6" s="187">
        <v>46054303.859999999</v>
      </c>
      <c r="G6" s="188">
        <v>0</v>
      </c>
      <c r="H6" s="187">
        <v>0</v>
      </c>
      <c r="I6" s="187">
        <f>ROUND(F6*(1+'Master Data'!$E$54),2)</f>
        <v>47434046.649999999</v>
      </c>
      <c r="J6" s="183">
        <f>(I6-F6)/F6</f>
        <v>2.9959041269937873E-2</v>
      </c>
      <c r="L6" s="161"/>
    </row>
    <row r="7" spans="3:12">
      <c r="C7" s="175" t="s">
        <v>393</v>
      </c>
      <c r="D7" s="187">
        <v>0</v>
      </c>
      <c r="E7" s="187">
        <v>0</v>
      </c>
      <c r="F7" s="187">
        <v>12515163.33</v>
      </c>
      <c r="G7" s="188">
        <v>0</v>
      </c>
      <c r="H7" s="187">
        <v>0</v>
      </c>
      <c r="I7" s="187">
        <f>ROUND(F7*(1+'Master Data'!$E$54),2)</f>
        <v>12890105.630000001</v>
      </c>
      <c r="J7" s="183">
        <f t="shared" si="0"/>
        <v>2.9959041693145904E-2</v>
      </c>
      <c r="L7" s="161"/>
    </row>
    <row r="8" spans="3:12">
      <c r="C8" s="175" t="s">
        <v>394</v>
      </c>
      <c r="D8" s="187"/>
      <c r="E8" s="187"/>
      <c r="F8" s="187">
        <v>13530824.793253103</v>
      </c>
      <c r="G8" s="188"/>
      <c r="H8" s="187"/>
      <c r="I8" s="187" t="e">
        <f>F8*(1+J8)</f>
        <v>#REF!</v>
      </c>
      <c r="J8" s="183" t="e">
        <f>J5</f>
        <v>#REF!</v>
      </c>
      <c r="K8" s="134"/>
      <c r="L8" s="161"/>
    </row>
    <row r="9" spans="3:12">
      <c r="C9" s="175" t="s">
        <v>399</v>
      </c>
      <c r="D9" s="187"/>
      <c r="E9" s="187"/>
      <c r="F9" s="187">
        <v>2182549.5205526412</v>
      </c>
      <c r="G9" s="188"/>
      <c r="H9" s="187"/>
      <c r="I9" s="187" t="e">
        <f>F9*(1+J9)</f>
        <v>#REF!</v>
      </c>
      <c r="J9" s="183" t="e">
        <f>J5</f>
        <v>#REF!</v>
      </c>
      <c r="K9" s="134"/>
      <c r="L9" s="161"/>
    </row>
    <row r="10" spans="3:12">
      <c r="C10" s="175" t="s">
        <v>744</v>
      </c>
      <c r="D10" s="344">
        <v>21760963.699999999</v>
      </c>
      <c r="E10" s="344">
        <v>128860.49</v>
      </c>
      <c r="F10" s="344">
        <f>D10+E10</f>
        <v>21889824.189999998</v>
      </c>
      <c r="G10" s="188" t="e">
        <f>D10*(1+K5)</f>
        <v>#REF!</v>
      </c>
      <c r="H10" s="187" t="e">
        <f>E10*(1+K5)</f>
        <v>#REF!</v>
      </c>
      <c r="I10" s="187" t="e">
        <f>SUM(G10:H10)</f>
        <v>#REF!</v>
      </c>
      <c r="J10" s="183" t="e">
        <f t="shared" si="0"/>
        <v>#REF!</v>
      </c>
      <c r="L10" s="134"/>
    </row>
    <row r="11" spans="3:12">
      <c r="C11" s="175" t="s">
        <v>745</v>
      </c>
      <c r="D11" s="187">
        <v>0</v>
      </c>
      <c r="E11" s="187">
        <v>0</v>
      </c>
      <c r="F11" s="187">
        <v>2113553.8199999998</v>
      </c>
      <c r="G11" s="188">
        <v>0</v>
      </c>
      <c r="H11" s="187">
        <v>0</v>
      </c>
      <c r="I11" s="187">
        <f>ROUND(F11*(1+'Master Data'!$E$54),2)</f>
        <v>2176873.87</v>
      </c>
      <c r="J11" s="183">
        <f t="shared" si="0"/>
        <v>2.9959043105890856E-2</v>
      </c>
    </row>
    <row r="12" spans="3:12">
      <c r="C12" s="175" t="s">
        <v>385</v>
      </c>
      <c r="D12" s="344" t="e">
        <f>#REF!</f>
        <v>#REF!</v>
      </c>
      <c r="E12" s="344" t="e">
        <f>#REF!</f>
        <v>#REF!</v>
      </c>
      <c r="F12" s="344" t="e">
        <f>D12+E12</f>
        <v>#REF!</v>
      </c>
      <c r="G12" s="188" t="e">
        <f>D12*(1+K5)</f>
        <v>#REF!</v>
      </c>
      <c r="H12" s="187" t="e">
        <f>E12*(1+K5)</f>
        <v>#REF!</v>
      </c>
      <c r="I12" s="187" t="e">
        <f>SUM(G12:H12)</f>
        <v>#REF!</v>
      </c>
      <c r="J12" s="183" t="e">
        <f t="shared" si="0"/>
        <v>#REF!</v>
      </c>
    </row>
    <row r="13" spans="3:12">
      <c r="C13" s="291" t="s">
        <v>395</v>
      </c>
      <c r="D13" s="345">
        <v>0</v>
      </c>
      <c r="E13" s="345">
        <v>0</v>
      </c>
      <c r="F13" s="345" t="e">
        <f>#REF!</f>
        <v>#REF!</v>
      </c>
      <c r="G13" s="293">
        <v>0</v>
      </c>
      <c r="H13" s="292">
        <v>0</v>
      </c>
      <c r="I13" s="292" t="e">
        <f>ROUND(F13*(1+'Master Data'!$E$54),2)</f>
        <v>#REF!</v>
      </c>
      <c r="J13" s="294" t="e">
        <f t="shared" si="0"/>
        <v>#REF!</v>
      </c>
    </row>
    <row r="14" spans="3:12" ht="15.75" thickBot="1">
      <c r="C14" s="176" t="s">
        <v>366</v>
      </c>
      <c r="D14" s="189" t="e">
        <f t="shared" ref="D14:I14" si="1">SUM(D4:D13)</f>
        <v>#REF!</v>
      </c>
      <c r="E14" s="189" t="e">
        <f t="shared" si="1"/>
        <v>#REF!</v>
      </c>
      <c r="F14" s="190" t="e">
        <f t="shared" si="1"/>
        <v>#REF!</v>
      </c>
      <c r="G14" s="191" t="e">
        <f t="shared" si="1"/>
        <v>#REF!</v>
      </c>
      <c r="H14" s="189" t="e">
        <f t="shared" si="1"/>
        <v>#REF!</v>
      </c>
      <c r="I14" s="190" t="e">
        <f t="shared" si="1"/>
        <v>#REF!</v>
      </c>
      <c r="J14" s="184" t="e">
        <f>(I14-F14)/F14</f>
        <v>#REF!</v>
      </c>
    </row>
    <row r="15" spans="3:12" ht="15.75" thickTop="1"/>
    <row r="18" spans="1:8" ht="15.75" thickBot="1"/>
    <row r="19" spans="1:8" ht="15.75" thickBot="1">
      <c r="A19" s="691" t="s">
        <v>397</v>
      </c>
      <c r="B19" s="692"/>
      <c r="C19" s="177"/>
      <c r="D19" s="178" t="s">
        <v>742</v>
      </c>
      <c r="E19" s="178" t="s">
        <v>743</v>
      </c>
      <c r="F19" s="178" t="s">
        <v>764</v>
      </c>
      <c r="G19" s="179" t="s">
        <v>396</v>
      </c>
    </row>
    <row r="20" spans="1:8">
      <c r="A20" s="693"/>
      <c r="B20" s="694"/>
      <c r="C20" s="338" t="s">
        <v>390</v>
      </c>
      <c r="D20" s="339">
        <f>SUM(F4:F9)</f>
        <v>1906555747.9744725</v>
      </c>
      <c r="E20" s="340" t="e">
        <f>SUM(I4:I9)</f>
        <v>#REF!</v>
      </c>
      <c r="F20" s="340" t="e">
        <f>E20-D20</f>
        <v>#REF!</v>
      </c>
      <c r="G20" s="341" t="e">
        <f>F20/D20</f>
        <v>#REF!</v>
      </c>
    </row>
    <row r="21" spans="1:8">
      <c r="A21" s="693"/>
      <c r="B21" s="694"/>
      <c r="C21" s="338" t="s">
        <v>744</v>
      </c>
      <c r="D21" s="342">
        <f>SUM(F10:F11)</f>
        <v>24003378.009999998</v>
      </c>
      <c r="E21" s="161" t="e">
        <f>SUM(I10:I11)</f>
        <v>#REF!</v>
      </c>
      <c r="F21" s="161" t="e">
        <f>E21-D21</f>
        <v>#REF!</v>
      </c>
      <c r="G21" s="343" t="e">
        <f>F21/D21</f>
        <v>#REF!</v>
      </c>
      <c r="H21" s="88"/>
    </row>
    <row r="22" spans="1:8" ht="15.75" thickBot="1">
      <c r="A22" s="695"/>
      <c r="B22" s="696"/>
      <c r="C22" s="299" t="s">
        <v>385</v>
      </c>
      <c r="D22" s="300" t="e">
        <f>SUM(F12:F13)</f>
        <v>#REF!</v>
      </c>
      <c r="E22" s="301" t="e">
        <f>SUM(I12:I13)</f>
        <v>#REF!</v>
      </c>
      <c r="F22" s="301" t="e">
        <f>E22-D22</f>
        <v>#REF!</v>
      </c>
      <c r="G22" s="302" t="e">
        <f>F22/D22</f>
        <v>#REF!</v>
      </c>
    </row>
    <row r="23" spans="1:8">
      <c r="D23" s="295" t="e">
        <f>SUM(D19:D22)</f>
        <v>#REF!</v>
      </c>
      <c r="E23" s="295" t="e">
        <f>SUM(E19:E22)</f>
        <v>#REF!</v>
      </c>
      <c r="F23" s="295" t="e">
        <f>SUM(F19:F22)</f>
        <v>#REF!</v>
      </c>
    </row>
    <row r="24" spans="1:8">
      <c r="F24" s="295"/>
    </row>
    <row r="26" spans="1:8">
      <c r="D26" s="297"/>
    </row>
    <row r="28" spans="1:8">
      <c r="D28" s="161"/>
      <c r="E28" s="161"/>
      <c r="G28" s="298"/>
    </row>
    <row r="29" spans="1:8">
      <c r="D29" s="161"/>
    </row>
    <row r="30" spans="1:8">
      <c r="D30" s="161"/>
    </row>
  </sheetData>
  <mergeCells count="3">
    <mergeCell ref="D2:F2"/>
    <mergeCell ref="G2:I2"/>
    <mergeCell ref="A19:B22"/>
  </mergeCells>
  <pageMargins left="0.7" right="0.7" top="0.75" bottom="0.75" header="0.3" footer="0.3"/>
  <pageSetup orientation="portrait" r:id="rId1"/>
  <ignoredErrors>
    <ignoredError sqref="I11"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E238-0ACF-4A1D-8D19-B81E7418D222}">
  <dimension ref="A1:AG299"/>
  <sheetViews>
    <sheetView tabSelected="1" zoomScale="80" zoomScaleNormal="80" workbookViewId="0">
      <selection activeCell="M22" sqref="M22"/>
    </sheetView>
  </sheetViews>
  <sheetFormatPr defaultColWidth="8.7109375" defaultRowHeight="15"/>
  <cols>
    <col min="1" max="1" width="5.5703125" style="583" customWidth="1"/>
    <col min="2" max="2" width="30.140625" style="583" customWidth="1"/>
    <col min="3" max="3" width="17" style="583" customWidth="1"/>
    <col min="4" max="4" width="14.42578125" style="583" bestFit="1" customWidth="1"/>
    <col min="5" max="5" width="19.42578125" style="583" customWidth="1"/>
    <col min="6" max="6" width="18.7109375" style="583" customWidth="1"/>
    <col min="7" max="7" width="15" style="583" customWidth="1"/>
    <col min="8" max="8" width="15.42578125" style="583" customWidth="1"/>
    <col min="9" max="9" width="19" style="583" customWidth="1"/>
    <col min="10" max="10" width="14.5703125" style="583" bestFit="1" customWidth="1"/>
    <col min="11" max="11" width="15.42578125" style="583" customWidth="1"/>
    <col min="12" max="12" width="16.5703125" style="583" customWidth="1"/>
    <col min="13" max="13" width="13.85546875" style="583" customWidth="1"/>
    <col min="14" max="14" width="15.5703125" style="583" customWidth="1"/>
    <col min="15" max="15" width="43.42578125" style="583" customWidth="1"/>
    <col min="16" max="16" width="8.7109375" style="583"/>
    <col min="17" max="17" width="11.140625" style="583" customWidth="1"/>
    <col min="18" max="18" width="15.85546875" style="583" bestFit="1" customWidth="1"/>
    <col min="19" max="19" width="12.140625" style="586" customWidth="1"/>
    <col min="20" max="20" width="13.42578125" style="586" customWidth="1"/>
    <col min="21" max="21" width="15.5703125" style="586" bestFit="1" customWidth="1"/>
    <col min="22" max="22" width="10.5703125" style="586" bestFit="1" customWidth="1"/>
    <col min="23" max="23" width="11.42578125" style="586" bestFit="1" customWidth="1"/>
    <col min="24" max="24" width="36.42578125" style="586" bestFit="1" customWidth="1"/>
    <col min="25" max="25" width="10.140625" style="586" bestFit="1" customWidth="1"/>
    <col min="26" max="26" width="9.5703125" style="586" bestFit="1" customWidth="1"/>
    <col min="27" max="27" width="5.140625" style="586" bestFit="1" customWidth="1"/>
    <col min="28" max="29" width="6.140625" style="586" bestFit="1" customWidth="1"/>
    <col min="30" max="33" width="10.5703125" style="583" bestFit="1" customWidth="1"/>
    <col min="34" max="16384" width="8.7109375" style="583"/>
  </cols>
  <sheetData>
    <row r="1" spans="1:33" ht="51.75" customHeight="1">
      <c r="B1" s="584" t="s">
        <v>750</v>
      </c>
      <c r="I1" s="585"/>
      <c r="J1" s="585"/>
      <c r="K1" s="585"/>
    </row>
    <row r="2" spans="1:33">
      <c r="S2" s="583"/>
      <c r="T2" s="583"/>
      <c r="U2" s="583"/>
      <c r="V2" s="583"/>
      <c r="Y2" s="587"/>
      <c r="Z2" s="587"/>
      <c r="AA2" s="672"/>
      <c r="AB2" s="672"/>
      <c r="AC2" s="672"/>
      <c r="AD2" s="672"/>
      <c r="AE2" s="586"/>
      <c r="AF2" s="586"/>
      <c r="AG2" s="586"/>
    </row>
    <row r="3" spans="1:33" ht="14.45" customHeight="1">
      <c r="B3" s="521" t="s">
        <v>346</v>
      </c>
      <c r="C3" s="521" t="s">
        <v>347</v>
      </c>
      <c r="D3" s="586"/>
      <c r="E3" s="521" t="s">
        <v>354</v>
      </c>
      <c r="F3" s="522" t="s">
        <v>355</v>
      </c>
      <c r="G3" s="522" t="s">
        <v>356</v>
      </c>
      <c r="H3" s="522" t="s">
        <v>110</v>
      </c>
      <c r="I3" s="522" t="s">
        <v>111</v>
      </c>
      <c r="J3" s="522" t="s">
        <v>112</v>
      </c>
      <c r="K3" s="523" t="s">
        <v>453</v>
      </c>
      <c r="L3" s="668" t="s">
        <v>376</v>
      </c>
      <c r="M3" s="669"/>
      <c r="N3" s="669"/>
      <c r="O3" s="670"/>
      <c r="S3" s="583"/>
      <c r="AD3" s="586"/>
    </row>
    <row r="4" spans="1:33">
      <c r="B4" s="588" t="s">
        <v>148</v>
      </c>
      <c r="C4" s="652">
        <f>'MAY 2024 BLS'!C6</f>
        <v>46842.432000000008</v>
      </c>
      <c r="D4" s="589"/>
      <c r="E4" s="524" t="s">
        <v>48</v>
      </c>
      <c r="F4" s="590">
        <f>C10</f>
        <v>81486.911999999997</v>
      </c>
      <c r="G4" s="590">
        <f>C10</f>
        <v>81486.911999999997</v>
      </c>
      <c r="H4" s="590">
        <f>C10</f>
        <v>81486.911999999997</v>
      </c>
      <c r="I4" s="590">
        <f>C10</f>
        <v>81486.911999999997</v>
      </c>
      <c r="J4" s="590">
        <f>C10</f>
        <v>81486.911999999997</v>
      </c>
      <c r="K4" s="591">
        <f>C10</f>
        <v>81486.911999999997</v>
      </c>
      <c r="L4" s="682" t="s">
        <v>377</v>
      </c>
      <c r="M4" s="683"/>
      <c r="N4" s="683"/>
      <c r="O4" s="684"/>
      <c r="S4" s="583"/>
      <c r="U4" s="592"/>
      <c r="AD4" s="586"/>
    </row>
    <row r="5" spans="1:33">
      <c r="B5" s="588" t="s">
        <v>348</v>
      </c>
      <c r="C5" s="652">
        <f>'MAY 2024 BLS'!C8</f>
        <v>56388.633600000001</v>
      </c>
      <c r="D5" s="589"/>
      <c r="E5" s="525" t="s">
        <v>0</v>
      </c>
      <c r="F5" s="593">
        <f>C5</f>
        <v>56388.633600000001</v>
      </c>
      <c r="G5" s="593">
        <f>C5</f>
        <v>56388.633600000001</v>
      </c>
      <c r="H5" s="593">
        <f>C5</f>
        <v>56388.633600000001</v>
      </c>
      <c r="I5" s="593">
        <f>C5</f>
        <v>56388.633600000001</v>
      </c>
      <c r="J5" s="593">
        <f>C5</f>
        <v>56388.633600000001</v>
      </c>
      <c r="K5" s="594">
        <f>C8</f>
        <v>75175.152000000002</v>
      </c>
      <c r="L5" s="657" t="s">
        <v>482</v>
      </c>
      <c r="M5" s="658"/>
      <c r="N5" s="658"/>
      <c r="O5" s="659"/>
      <c r="S5" s="583"/>
      <c r="U5" s="592"/>
      <c r="AD5" s="586"/>
    </row>
    <row r="6" spans="1:33">
      <c r="B6" s="588" t="s">
        <v>351</v>
      </c>
      <c r="C6" s="652">
        <f>'MAY 2024 BLS'!C10</f>
        <v>45763.328000000001</v>
      </c>
      <c r="D6" s="589"/>
      <c r="E6" s="525" t="s">
        <v>47</v>
      </c>
      <c r="F6" s="593">
        <f>C4</f>
        <v>46842.432000000008</v>
      </c>
      <c r="G6" s="593">
        <f>ROUND((C4*0.91)+(C5*0.09),2)</f>
        <v>47701.59</v>
      </c>
      <c r="H6" s="593">
        <f>M40</f>
        <v>56767.078259999995</v>
      </c>
      <c r="I6" s="593">
        <f>M41</f>
        <v>60361.735000000001</v>
      </c>
      <c r="J6" s="593">
        <f>M42</f>
        <v>64831.64978</v>
      </c>
      <c r="K6" s="594">
        <f>H26</f>
        <v>63999.998400000011</v>
      </c>
      <c r="L6" s="657" t="s">
        <v>483</v>
      </c>
      <c r="M6" s="658"/>
      <c r="N6" s="658"/>
      <c r="O6" s="659"/>
      <c r="Q6" s="585"/>
      <c r="R6" s="585"/>
      <c r="S6" s="583"/>
      <c r="U6" s="592"/>
      <c r="AD6" s="586"/>
    </row>
    <row r="7" spans="1:33">
      <c r="B7" s="588" t="s">
        <v>150</v>
      </c>
      <c r="C7" s="652">
        <f>'MAY 2024 BLS'!C12</f>
        <v>66537.12000000001</v>
      </c>
      <c r="D7" s="589"/>
      <c r="E7" s="525" t="s">
        <v>46</v>
      </c>
      <c r="F7" s="593">
        <f>C4</f>
        <v>46842.432000000008</v>
      </c>
      <c r="G7" s="593">
        <f>C4</f>
        <v>46842.432000000008</v>
      </c>
      <c r="H7" s="593">
        <f>C4</f>
        <v>46842.432000000008</v>
      </c>
      <c r="I7" s="593">
        <f>C4</f>
        <v>46842.432000000008</v>
      </c>
      <c r="J7" s="593">
        <f>C4</f>
        <v>46842.432000000008</v>
      </c>
      <c r="K7" s="594">
        <f>H26</f>
        <v>63999.998400000011</v>
      </c>
      <c r="L7" s="657" t="s">
        <v>484</v>
      </c>
      <c r="M7" s="658"/>
      <c r="N7" s="658"/>
      <c r="O7" s="659"/>
      <c r="S7" s="583"/>
      <c r="U7" s="592"/>
      <c r="AD7" s="586"/>
    </row>
    <row r="8" spans="1:33">
      <c r="B8" s="588" t="s">
        <v>151</v>
      </c>
      <c r="C8" s="652">
        <f>'MAY 2024 BLS'!C14</f>
        <v>75175.152000000002</v>
      </c>
      <c r="D8" s="589"/>
      <c r="E8" s="525" t="s">
        <v>357</v>
      </c>
      <c r="F8" s="593">
        <f>F6</f>
        <v>46842.432000000008</v>
      </c>
      <c r="G8" s="593">
        <f>G6</f>
        <v>47701.59</v>
      </c>
      <c r="H8" s="593">
        <f>N40</f>
        <v>56767.078259999995</v>
      </c>
      <c r="I8" s="593">
        <f>N41</f>
        <v>60361.735000000001</v>
      </c>
      <c r="J8" s="593">
        <f>N42</f>
        <v>64831.64978</v>
      </c>
      <c r="K8" s="594">
        <f>H26</f>
        <v>63999.998400000011</v>
      </c>
      <c r="L8" s="657" t="s">
        <v>485</v>
      </c>
      <c r="M8" s="658"/>
      <c r="N8" s="658"/>
      <c r="O8" s="659"/>
      <c r="S8" s="583"/>
      <c r="U8" s="592"/>
      <c r="AD8" s="586"/>
    </row>
    <row r="9" spans="1:33">
      <c r="B9" s="588" t="s">
        <v>349</v>
      </c>
      <c r="C9" s="652">
        <f>'MAY 2024 BLS'!C18</f>
        <v>84174.063999999998</v>
      </c>
      <c r="D9" s="589"/>
      <c r="E9" s="525" t="s">
        <v>358</v>
      </c>
      <c r="F9" s="593">
        <f>C17</f>
        <v>31200</v>
      </c>
      <c r="G9" s="593">
        <f>C17</f>
        <v>31200</v>
      </c>
      <c r="H9" s="593">
        <f>C17</f>
        <v>31200</v>
      </c>
      <c r="I9" s="593">
        <f>C17</f>
        <v>31200</v>
      </c>
      <c r="J9" s="593">
        <f>C17</f>
        <v>31200</v>
      </c>
      <c r="K9" s="594">
        <f>H26</f>
        <v>63999.998400000011</v>
      </c>
      <c r="L9" s="657" t="s">
        <v>486</v>
      </c>
      <c r="M9" s="658"/>
      <c r="N9" s="658"/>
      <c r="O9" s="659"/>
      <c r="S9" s="583"/>
      <c r="U9" s="592"/>
      <c r="AD9" s="586"/>
    </row>
    <row r="10" spans="1:33">
      <c r="B10" s="588" t="s">
        <v>152</v>
      </c>
      <c r="C10" s="652">
        <f>'MAY 2024 BLS'!C22</f>
        <v>81486.911999999997</v>
      </c>
      <c r="D10" s="589"/>
      <c r="E10" s="526" t="s">
        <v>1</v>
      </c>
      <c r="F10" s="595">
        <f>F6</f>
        <v>46842.432000000008</v>
      </c>
      <c r="G10" s="595">
        <f>C4</f>
        <v>46842.432000000008</v>
      </c>
      <c r="H10" s="595">
        <f>H7</f>
        <v>46842.432000000008</v>
      </c>
      <c r="I10" s="595">
        <f>I7</f>
        <v>46842.432000000008</v>
      </c>
      <c r="J10" s="595">
        <f>J7</f>
        <v>46842.432000000008</v>
      </c>
      <c r="K10" s="596">
        <f>C4</f>
        <v>46842.432000000008</v>
      </c>
      <c r="L10" s="660" t="s">
        <v>378</v>
      </c>
      <c r="M10" s="661"/>
      <c r="N10" s="661"/>
      <c r="O10" s="662"/>
      <c r="S10" s="583"/>
      <c r="U10" s="592"/>
      <c r="AD10" s="586"/>
    </row>
    <row r="11" spans="1:33">
      <c r="B11" s="588" t="s">
        <v>153</v>
      </c>
      <c r="C11" s="652">
        <f>'MAY 2024 BLS'!C28</f>
        <v>101383.77600000001</v>
      </c>
      <c r="D11" s="589"/>
      <c r="E11" s="526" t="s">
        <v>453</v>
      </c>
      <c r="F11" s="595">
        <f>G31</f>
        <v>86533.291519999999</v>
      </c>
      <c r="G11" s="595">
        <f>G31</f>
        <v>86533.291519999999</v>
      </c>
      <c r="H11" s="595">
        <f>G31</f>
        <v>86533.291519999999</v>
      </c>
      <c r="I11" s="595">
        <f>G31</f>
        <v>86533.291519999999</v>
      </c>
      <c r="J11" s="595">
        <f>G31</f>
        <v>86533.291519999999</v>
      </c>
      <c r="K11" s="595">
        <f>G31</f>
        <v>86533.291519999999</v>
      </c>
      <c r="L11" s="679" t="s">
        <v>487</v>
      </c>
      <c r="M11" s="680"/>
      <c r="N11" s="680"/>
      <c r="O11" s="681"/>
      <c r="P11" s="586"/>
      <c r="Q11" s="586"/>
      <c r="R11" s="586"/>
      <c r="U11" s="592"/>
      <c r="AA11" s="583"/>
      <c r="AB11" s="583"/>
      <c r="AC11" s="583"/>
    </row>
    <row r="12" spans="1:33">
      <c r="B12" s="588" t="s">
        <v>19</v>
      </c>
      <c r="C12" s="652">
        <f>'MAY 2024 BLS'!C16</f>
        <v>77098.944000000003</v>
      </c>
      <c r="D12" s="589"/>
      <c r="E12" s="526" t="s">
        <v>460</v>
      </c>
      <c r="F12" s="597">
        <f>C15</f>
        <v>269120</v>
      </c>
      <c r="G12" s="597">
        <f>C15</f>
        <v>269120</v>
      </c>
      <c r="H12" s="595">
        <f>C15</f>
        <v>269120</v>
      </c>
      <c r="I12" s="595">
        <f>C15</f>
        <v>269120</v>
      </c>
      <c r="J12" s="595">
        <f>C15</f>
        <v>269120</v>
      </c>
      <c r="K12" s="597">
        <f>C15</f>
        <v>269120</v>
      </c>
      <c r="L12" s="679" t="s">
        <v>462</v>
      </c>
      <c r="M12" s="680"/>
      <c r="N12" s="680"/>
      <c r="O12" s="681"/>
      <c r="U12" s="592"/>
    </row>
    <row r="13" spans="1:33">
      <c r="B13" s="588" t="s">
        <v>350</v>
      </c>
      <c r="C13" s="652">
        <f>'MAY 2024 BLS'!C32</f>
        <v>105701.44000000002</v>
      </c>
      <c r="D13" s="589"/>
      <c r="G13" s="586"/>
      <c r="H13" s="586"/>
      <c r="I13" s="586"/>
      <c r="J13" s="586"/>
      <c r="U13" s="592"/>
    </row>
    <row r="14" spans="1:33" ht="18.600000000000001" customHeight="1">
      <c r="B14" s="588" t="s">
        <v>154</v>
      </c>
      <c r="C14" s="652">
        <f>'MAY 2024 BLS'!C34</f>
        <v>141452.48000000001</v>
      </c>
      <c r="D14" s="589"/>
      <c r="E14" s="673" t="s">
        <v>352</v>
      </c>
      <c r="F14" s="675"/>
      <c r="H14" s="586"/>
      <c r="U14" s="592"/>
    </row>
    <row r="15" spans="1:33">
      <c r="A15" s="598"/>
      <c r="B15" s="588" t="s">
        <v>140</v>
      </c>
      <c r="C15" s="652">
        <f>'MAY 2024 BLS'!C46</f>
        <v>269120</v>
      </c>
      <c r="D15" s="589"/>
      <c r="E15" s="527" t="s">
        <v>20</v>
      </c>
      <c r="F15" s="278">
        <f>'Add Ons'!K7</f>
        <v>75.400000000000006</v>
      </c>
      <c r="G15" s="594"/>
      <c r="H15" s="586">
        <f>52*40</f>
        <v>2080</v>
      </c>
      <c r="I15" s="583" t="s">
        <v>838</v>
      </c>
      <c r="U15" s="592"/>
    </row>
    <row r="16" spans="1:33">
      <c r="A16" s="598"/>
      <c r="B16" s="588" t="s">
        <v>147</v>
      </c>
      <c r="C16" s="652">
        <f>'MAY 2024 BLS'!C28</f>
        <v>101383.77600000001</v>
      </c>
      <c r="D16" s="589"/>
      <c r="E16" s="527" t="s">
        <v>3</v>
      </c>
      <c r="F16" s="278">
        <f>'Add Ons'!K12</f>
        <v>72.319999999999993</v>
      </c>
      <c r="H16" s="599"/>
      <c r="U16" s="592"/>
    </row>
    <row r="17" spans="1:21">
      <c r="A17" s="598"/>
      <c r="B17" s="588" t="s">
        <v>389</v>
      </c>
      <c r="C17" s="652">
        <v>31200</v>
      </c>
      <c r="D17" s="589"/>
      <c r="E17" s="586"/>
      <c r="H17" s="599"/>
      <c r="U17" s="592"/>
    </row>
    <row r="18" spans="1:21">
      <c r="A18" s="598"/>
      <c r="B18" s="600" t="s">
        <v>456</v>
      </c>
      <c r="C18" s="652">
        <f>'MAY 2024 BLS'!C24</f>
        <v>85848.464000000007</v>
      </c>
      <c r="D18" s="589"/>
      <c r="E18" s="586"/>
      <c r="H18" s="599"/>
      <c r="U18" s="592"/>
    </row>
    <row r="19" spans="1:21">
      <c r="A19" s="598"/>
      <c r="B19" s="600" t="s">
        <v>457</v>
      </c>
      <c r="C19" s="652">
        <f>'MAY 2024 BLS'!C20</f>
        <v>82261.504000000001</v>
      </c>
      <c r="D19" s="589"/>
      <c r="E19" s="586"/>
      <c r="H19" s="599"/>
      <c r="U19" s="592"/>
    </row>
    <row r="20" spans="1:21">
      <c r="A20" s="598"/>
      <c r="B20" s="600" t="s">
        <v>458</v>
      </c>
      <c r="C20" s="652">
        <f>'MAY 2024 BLS'!C26</f>
        <v>91448.448000000004</v>
      </c>
      <c r="D20" s="589"/>
      <c r="E20" s="586"/>
      <c r="H20" s="599"/>
      <c r="U20" s="592"/>
    </row>
    <row r="21" spans="1:21">
      <c r="A21" s="598"/>
      <c r="B21" s="600" t="s">
        <v>459</v>
      </c>
      <c r="C21" s="652">
        <f>'MAY 2024 BLS'!C30</f>
        <v>88933.977599999998</v>
      </c>
      <c r="D21" s="589"/>
      <c r="E21" s="586"/>
      <c r="H21" s="599"/>
      <c r="J21" s="586"/>
      <c r="M21" s="601"/>
      <c r="N21" s="602"/>
      <c r="U21" s="592"/>
    </row>
    <row r="22" spans="1:21">
      <c r="A22" s="598"/>
      <c r="C22" s="589"/>
      <c r="D22" s="589"/>
      <c r="E22" s="586"/>
      <c r="H22" s="599"/>
    </row>
    <row r="23" spans="1:21">
      <c r="A23" s="598"/>
      <c r="C23" s="589"/>
      <c r="D23" s="589"/>
      <c r="E23" s="586"/>
      <c r="H23" s="599"/>
    </row>
    <row r="24" spans="1:21" ht="18.75">
      <c r="A24" s="598"/>
      <c r="B24" s="676" t="s">
        <v>480</v>
      </c>
      <c r="C24" s="677"/>
      <c r="D24" s="677"/>
      <c r="E24" s="677"/>
      <c r="F24" s="677"/>
      <c r="G24" s="677"/>
      <c r="H24" s="678"/>
    </row>
    <row r="25" spans="1:21" ht="30">
      <c r="A25" s="598"/>
      <c r="B25" s="603" t="s">
        <v>381</v>
      </c>
      <c r="C25" s="603" t="s">
        <v>346</v>
      </c>
      <c r="D25" s="603" t="s">
        <v>2</v>
      </c>
      <c r="E25" s="603" t="s">
        <v>8</v>
      </c>
      <c r="F25" s="603" t="s">
        <v>449</v>
      </c>
      <c r="G25" s="603" t="s">
        <v>366</v>
      </c>
      <c r="H25" s="603" t="s">
        <v>450</v>
      </c>
    </row>
    <row r="26" spans="1:21">
      <c r="A26" s="598"/>
      <c r="B26" s="600" t="s">
        <v>451</v>
      </c>
      <c r="C26" s="604" t="s">
        <v>348</v>
      </c>
      <c r="D26" s="653">
        <f>C5</f>
        <v>56388.633600000001</v>
      </c>
      <c r="E26" s="606">
        <v>0.25</v>
      </c>
      <c r="F26" s="606">
        <v>0.75</v>
      </c>
      <c r="G26" s="607">
        <f>SUM(E26:F26)</f>
        <v>1</v>
      </c>
      <c r="H26" s="597">
        <f>(($D$26*E26)+($D$27*F26))</f>
        <v>63999.998400000011</v>
      </c>
    </row>
    <row r="27" spans="1:21">
      <c r="A27" s="598"/>
      <c r="B27" s="600" t="s">
        <v>452</v>
      </c>
      <c r="C27" s="604" t="s">
        <v>150</v>
      </c>
      <c r="D27" s="653">
        <f>C7</f>
        <v>66537.12000000001</v>
      </c>
      <c r="E27" s="606"/>
      <c r="F27" s="606"/>
      <c r="G27" s="607"/>
      <c r="H27" s="597"/>
    </row>
    <row r="28" spans="1:21">
      <c r="A28" s="598"/>
      <c r="C28" s="589"/>
      <c r="D28" s="589"/>
      <c r="E28" s="586"/>
      <c r="H28" s="599"/>
    </row>
    <row r="29" spans="1:21" ht="18.75">
      <c r="A29" s="598"/>
      <c r="B29" s="671" t="s">
        <v>481</v>
      </c>
      <c r="C29" s="671"/>
      <c r="D29" s="671"/>
      <c r="E29" s="671"/>
      <c r="F29" s="671"/>
      <c r="G29" s="671"/>
      <c r="H29" s="599"/>
      <c r="J29" s="608"/>
      <c r="K29" s="608"/>
      <c r="L29" s="608"/>
      <c r="M29" s="608"/>
      <c r="N29" s="601"/>
      <c r="O29" s="602"/>
    </row>
    <row r="30" spans="1:21">
      <c r="A30" s="598"/>
      <c r="B30" s="667" t="s">
        <v>381</v>
      </c>
      <c r="C30" s="667"/>
      <c r="D30" s="667" t="s">
        <v>346</v>
      </c>
      <c r="E30" s="667"/>
      <c r="F30" s="603" t="s">
        <v>2</v>
      </c>
      <c r="G30" s="603" t="s">
        <v>455</v>
      </c>
      <c r="H30" s="599"/>
      <c r="J30" s="608"/>
      <c r="K30" s="608"/>
      <c r="L30" s="608"/>
      <c r="M30" s="608"/>
      <c r="N30" s="601"/>
      <c r="O30" s="602"/>
    </row>
    <row r="31" spans="1:21">
      <c r="A31" s="598"/>
      <c r="B31" s="666" t="s">
        <v>456</v>
      </c>
      <c r="C31" s="666"/>
      <c r="D31" s="666" t="s">
        <v>456</v>
      </c>
      <c r="E31" s="666"/>
      <c r="F31" s="605">
        <f>C18</f>
        <v>85848.464000000007</v>
      </c>
      <c r="G31" s="597">
        <f>(F31*0.2)+(F32*0.2)+(F33*0.2)+(F34*0.2)+(F35*0.2)</f>
        <v>86533.291519999999</v>
      </c>
      <c r="H31" s="599"/>
      <c r="J31" s="608"/>
      <c r="K31" s="608"/>
      <c r="L31" s="608"/>
      <c r="M31" s="608"/>
      <c r="N31" s="601"/>
      <c r="O31" s="602"/>
    </row>
    <row r="32" spans="1:21">
      <c r="A32" s="598"/>
      <c r="B32" s="666" t="s">
        <v>457</v>
      </c>
      <c r="C32" s="666"/>
      <c r="D32" s="666" t="s">
        <v>457</v>
      </c>
      <c r="E32" s="666"/>
      <c r="F32" s="605">
        <f>C19</f>
        <v>82261.504000000001</v>
      </c>
      <c r="G32" s="606"/>
      <c r="H32" s="599"/>
      <c r="J32" s="608"/>
      <c r="K32" s="608"/>
      <c r="L32" s="608"/>
      <c r="M32" s="608"/>
      <c r="N32" s="601"/>
      <c r="O32" s="602"/>
    </row>
    <row r="33" spans="1:21">
      <c r="A33" s="598"/>
      <c r="B33" s="666" t="s">
        <v>458</v>
      </c>
      <c r="C33" s="666"/>
      <c r="D33" s="666" t="s">
        <v>458</v>
      </c>
      <c r="E33" s="666"/>
      <c r="F33" s="605">
        <f>C20</f>
        <v>91448.448000000004</v>
      </c>
      <c r="G33" s="606"/>
      <c r="H33" s="599"/>
      <c r="J33" s="608"/>
      <c r="K33" s="608"/>
      <c r="L33" s="608"/>
      <c r="M33" s="608"/>
      <c r="N33" s="601"/>
      <c r="O33" s="602"/>
    </row>
    <row r="34" spans="1:21">
      <c r="A34" s="598"/>
      <c r="B34" s="666" t="s">
        <v>459</v>
      </c>
      <c r="C34" s="666"/>
      <c r="D34" s="666" t="s">
        <v>459</v>
      </c>
      <c r="E34" s="666"/>
      <c r="F34" s="605">
        <f>C21</f>
        <v>88933.977599999998</v>
      </c>
      <c r="G34" s="606"/>
      <c r="H34" s="599"/>
      <c r="J34" s="608"/>
      <c r="K34" s="608"/>
      <c r="L34" s="608"/>
      <c r="M34" s="608"/>
      <c r="N34" s="601"/>
      <c r="O34" s="602"/>
    </row>
    <row r="35" spans="1:21">
      <c r="A35" s="598"/>
      <c r="B35" s="666" t="s">
        <v>3</v>
      </c>
      <c r="C35" s="666"/>
      <c r="D35" s="666" t="s">
        <v>349</v>
      </c>
      <c r="E35" s="666"/>
      <c r="F35" s="605">
        <f>C9</f>
        <v>84174.063999999998</v>
      </c>
      <c r="G35" s="606"/>
      <c r="H35" s="599"/>
      <c r="J35" s="608"/>
      <c r="K35" s="608"/>
      <c r="L35" s="608"/>
      <c r="M35" s="608"/>
      <c r="N35" s="601"/>
      <c r="O35" s="602"/>
    </row>
    <row r="36" spans="1:21">
      <c r="A36" s="598"/>
      <c r="C36" s="589"/>
      <c r="D36" s="589"/>
      <c r="E36" s="586"/>
      <c r="H36" s="599"/>
      <c r="J36" s="608"/>
      <c r="K36" s="608"/>
      <c r="L36" s="608"/>
      <c r="M36" s="608"/>
      <c r="N36" s="601"/>
      <c r="O36" s="602"/>
    </row>
    <row r="37" spans="1:21">
      <c r="U37" s="135"/>
    </row>
    <row r="38" spans="1:21" ht="18.75">
      <c r="B38" s="673" t="s">
        <v>379</v>
      </c>
      <c r="C38" s="674"/>
      <c r="D38" s="674"/>
      <c r="E38" s="674"/>
      <c r="F38" s="674"/>
      <c r="G38" s="674"/>
      <c r="H38" s="674"/>
      <c r="I38" s="674"/>
      <c r="J38" s="674"/>
      <c r="K38" s="674"/>
      <c r="L38" s="674"/>
      <c r="M38" s="674"/>
      <c r="N38" s="675"/>
    </row>
    <row r="39" spans="1:21" ht="17.25">
      <c r="B39" s="609" t="s">
        <v>7</v>
      </c>
      <c r="C39" s="610" t="s">
        <v>2</v>
      </c>
      <c r="D39" s="158" t="s">
        <v>8</v>
      </c>
      <c r="E39" s="157" t="s">
        <v>9</v>
      </c>
      <c r="F39" s="157" t="s">
        <v>10</v>
      </c>
      <c r="G39" s="157" t="s">
        <v>11</v>
      </c>
      <c r="H39" s="157" t="s">
        <v>12</v>
      </c>
      <c r="I39" s="157" t="s">
        <v>10</v>
      </c>
      <c r="J39" s="528"/>
      <c r="K39" s="610" t="s">
        <v>13</v>
      </c>
      <c r="L39" s="610" t="s">
        <v>14</v>
      </c>
      <c r="M39" s="610" t="s">
        <v>15</v>
      </c>
      <c r="N39" s="611" t="s">
        <v>16</v>
      </c>
    </row>
    <row r="40" spans="1:21">
      <c r="B40" s="612" t="s">
        <v>17</v>
      </c>
      <c r="C40" s="613">
        <f>G6</f>
        <v>47701.59</v>
      </c>
      <c r="D40" s="203">
        <v>75</v>
      </c>
      <c r="E40" s="151">
        <v>0</v>
      </c>
      <c r="F40" s="151">
        <f>D40+E40</f>
        <v>75</v>
      </c>
      <c r="G40" s="151">
        <v>19</v>
      </c>
      <c r="H40" s="151">
        <v>6</v>
      </c>
      <c r="I40" s="151">
        <f>G40+H40</f>
        <v>25</v>
      </c>
      <c r="J40" s="529">
        <f>F40+I40</f>
        <v>100</v>
      </c>
      <c r="K40" s="613">
        <f>(($C$40*D40)+($C$41*E40))/F40</f>
        <v>47701.59</v>
      </c>
      <c r="L40" s="613">
        <f>(($C$42*G40)+($C$43*H40))/I40</f>
        <v>83963.543040000019</v>
      </c>
      <c r="M40" s="613">
        <f>((K40*F40)+(L40*I40))/J40</f>
        <v>56767.078259999995</v>
      </c>
      <c r="N40" s="614">
        <f>M40</f>
        <v>56767.078259999995</v>
      </c>
    </row>
    <row r="41" spans="1:21">
      <c r="B41" s="530" t="s">
        <v>18</v>
      </c>
      <c r="C41" s="613">
        <f>C4</f>
        <v>46842.432000000008</v>
      </c>
      <c r="D41" s="203">
        <v>58</v>
      </c>
      <c r="E41" s="151">
        <v>7</v>
      </c>
      <c r="F41" s="151">
        <f>D41+E41</f>
        <v>65</v>
      </c>
      <c r="G41" s="151">
        <v>26.5</v>
      </c>
      <c r="H41" s="151">
        <v>8.5</v>
      </c>
      <c r="I41" s="151">
        <f>G41+H41</f>
        <v>35</v>
      </c>
      <c r="J41" s="529">
        <f>F41+I41</f>
        <v>100</v>
      </c>
      <c r="K41" s="613">
        <f>(($C$40*D41)+($C$41*E41))/F41</f>
        <v>47609.065292307692</v>
      </c>
      <c r="L41" s="613">
        <f>(($C$42*G41)+($C$43*H41))/I41</f>
        <v>84045.264457142854</v>
      </c>
      <c r="M41" s="613">
        <f>((K41*F41)+(L41*I41))/J41</f>
        <v>60361.735000000001</v>
      </c>
      <c r="N41" s="614">
        <f>M41</f>
        <v>60361.735000000001</v>
      </c>
    </row>
    <row r="42" spans="1:21">
      <c r="B42" s="530" t="s">
        <v>19</v>
      </c>
      <c r="C42" s="613">
        <f>C12</f>
        <v>77098.944000000003</v>
      </c>
      <c r="D42" s="203">
        <v>43</v>
      </c>
      <c r="E42" s="151">
        <v>12</v>
      </c>
      <c r="F42" s="151">
        <f>D42+E42</f>
        <v>55</v>
      </c>
      <c r="G42" s="151">
        <v>31</v>
      </c>
      <c r="H42" s="151">
        <v>14</v>
      </c>
      <c r="I42" s="151">
        <f>G42+H42</f>
        <v>45</v>
      </c>
      <c r="J42" s="529">
        <f>F42+I42</f>
        <v>100</v>
      </c>
      <c r="K42" s="613">
        <f>(($C$40*D42)+($C$41*E42))/F42</f>
        <v>47514.137345454546</v>
      </c>
      <c r="L42" s="613">
        <f>(($C$42*G42)+($C$43*H42))/I42</f>
        <v>85997.498311111107</v>
      </c>
      <c r="M42" s="613">
        <f>((K42*F42)+(L42*I42))/J42</f>
        <v>64831.64978</v>
      </c>
      <c r="N42" s="614">
        <f>M42</f>
        <v>64831.64978</v>
      </c>
    </row>
    <row r="43" spans="1:21">
      <c r="B43" s="615" t="s">
        <v>20</v>
      </c>
      <c r="C43" s="616">
        <f>C13</f>
        <v>105701.44000000002</v>
      </c>
      <c r="D43" s="531">
        <v>24.5</v>
      </c>
      <c r="E43" s="532">
        <v>10.5</v>
      </c>
      <c r="F43" s="532">
        <f>D43+E43</f>
        <v>35</v>
      </c>
      <c r="G43" s="532">
        <v>45</v>
      </c>
      <c r="H43" s="532">
        <v>20</v>
      </c>
      <c r="I43" s="532">
        <f>G43+H43</f>
        <v>65</v>
      </c>
      <c r="J43" s="529">
        <f>F43+I43</f>
        <v>100</v>
      </c>
      <c r="K43" s="613">
        <f>(($C$40*D43)+($C$41*E43))/F43</f>
        <v>47443.842599999996</v>
      </c>
      <c r="L43" s="613">
        <f>(($C$42*G43)+($C$43*H43))/I43</f>
        <v>85899.712</v>
      </c>
      <c r="M43" s="616">
        <f>((K43*F43)+(L43*I43))/J43</f>
        <v>72440.157709999999</v>
      </c>
      <c r="N43" s="617">
        <f>M43*0.873</f>
        <v>63240.25768083</v>
      </c>
    </row>
    <row r="44" spans="1:21" ht="15.75" thickBot="1">
      <c r="B44" s="618"/>
      <c r="C44" s="613"/>
      <c r="D44" s="151"/>
      <c r="E44" s="151"/>
      <c r="F44" s="151"/>
      <c r="G44" s="151"/>
      <c r="H44" s="151"/>
      <c r="I44" s="151"/>
      <c r="J44" s="533"/>
      <c r="K44" s="613"/>
      <c r="L44" s="613"/>
      <c r="M44" s="613"/>
      <c r="N44" s="613"/>
    </row>
    <row r="45" spans="1:21" ht="15.75" thickBot="1">
      <c r="B45" s="586"/>
      <c r="C45" s="586"/>
      <c r="D45" s="586"/>
      <c r="E45" s="586"/>
      <c r="F45" s="586"/>
      <c r="G45" s="586"/>
      <c r="H45" s="586"/>
      <c r="I45" s="586"/>
      <c r="J45" s="663" t="s">
        <v>479</v>
      </c>
      <c r="K45" s="664"/>
      <c r="L45" s="665"/>
    </row>
    <row r="46" spans="1:21" ht="24.75">
      <c r="B46" s="586"/>
      <c r="C46" s="586"/>
      <c r="D46" s="586"/>
      <c r="E46" s="534" t="s">
        <v>367</v>
      </c>
      <c r="F46" s="535" t="s">
        <v>368</v>
      </c>
      <c r="G46" s="536" t="s">
        <v>369</v>
      </c>
      <c r="H46" s="586"/>
      <c r="I46" s="586"/>
      <c r="J46" s="537" t="s">
        <v>367</v>
      </c>
      <c r="K46" s="538" t="s">
        <v>368</v>
      </c>
      <c r="L46" s="539" t="s">
        <v>369</v>
      </c>
    </row>
    <row r="47" spans="1:21" ht="24.75">
      <c r="B47" s="586"/>
      <c r="C47" s="586"/>
      <c r="D47" s="586"/>
      <c r="E47" s="540" t="s">
        <v>370</v>
      </c>
      <c r="F47" s="541">
        <v>23</v>
      </c>
      <c r="G47" s="152">
        <f>F47*8</f>
        <v>184</v>
      </c>
      <c r="H47" s="586"/>
      <c r="I47" s="586"/>
      <c r="J47" s="540" t="s">
        <v>370</v>
      </c>
      <c r="K47" s="541">
        <v>23</v>
      </c>
      <c r="L47" s="152">
        <f>K47*8</f>
        <v>184</v>
      </c>
    </row>
    <row r="48" spans="1:21">
      <c r="B48" s="542" t="s">
        <v>4</v>
      </c>
      <c r="C48" s="543">
        <v>0.09</v>
      </c>
      <c r="D48" s="586"/>
      <c r="E48" s="544" t="s">
        <v>371</v>
      </c>
      <c r="F48" s="541">
        <v>12</v>
      </c>
      <c r="G48" s="153">
        <f>F48*8</f>
        <v>96</v>
      </c>
      <c r="H48" s="586"/>
      <c r="I48" s="586"/>
      <c r="J48" s="544" t="s">
        <v>371</v>
      </c>
      <c r="K48" s="541">
        <v>12</v>
      </c>
      <c r="L48" s="153">
        <f>K48*8</f>
        <v>96</v>
      </c>
    </row>
    <row r="49" spans="2:29" ht="24.75" thickBot="1">
      <c r="B49" s="542" t="s">
        <v>5</v>
      </c>
      <c r="C49" s="543">
        <v>0.03</v>
      </c>
      <c r="D49" s="586"/>
      <c r="E49" s="545" t="s">
        <v>372</v>
      </c>
      <c r="F49" s="546">
        <v>7</v>
      </c>
      <c r="G49" s="154">
        <f>F49*8</f>
        <v>56</v>
      </c>
      <c r="H49" s="586"/>
      <c r="I49" s="586"/>
      <c r="J49" s="545" t="s">
        <v>372</v>
      </c>
      <c r="K49" s="546">
        <v>14</v>
      </c>
      <c r="L49" s="154">
        <f>K49*8</f>
        <v>112</v>
      </c>
      <c r="O49" s="619"/>
    </row>
    <row r="50" spans="2:29" ht="15" customHeight="1" thickTop="1">
      <c r="B50" s="547" t="s">
        <v>6</v>
      </c>
      <c r="C50" s="620">
        <f>G51</f>
        <v>0.16200000000000001</v>
      </c>
      <c r="D50" s="586"/>
      <c r="E50" s="648" t="s">
        <v>373</v>
      </c>
      <c r="F50" s="649"/>
      <c r="G50" s="155">
        <f>SUM(G47:G49)</f>
        <v>336</v>
      </c>
      <c r="H50" s="586"/>
      <c r="I50" s="586"/>
      <c r="J50" s="648" t="s">
        <v>373</v>
      </c>
      <c r="K50" s="649"/>
      <c r="L50" s="155">
        <f>SUM(L47:L49)</f>
        <v>392</v>
      </c>
    </row>
    <row r="51" spans="2:29" ht="27.95" customHeight="1">
      <c r="B51" s="586"/>
      <c r="C51" s="586"/>
      <c r="D51" s="586"/>
      <c r="E51" s="650" t="s">
        <v>374</v>
      </c>
      <c r="F51" s="651"/>
      <c r="G51" s="156">
        <f>ROUND(G50/2080,3)</f>
        <v>0.16200000000000001</v>
      </c>
      <c r="H51" s="586"/>
      <c r="I51" s="586"/>
      <c r="J51" s="650" t="s">
        <v>427</v>
      </c>
      <c r="K51" s="651"/>
      <c r="L51" s="156">
        <f>ROUND(L50/2080,3)</f>
        <v>0.188</v>
      </c>
    </row>
    <row r="52" spans="2:29">
      <c r="B52" s="586"/>
      <c r="C52" s="586"/>
      <c r="D52" s="586"/>
      <c r="E52" s="586"/>
      <c r="F52" s="586"/>
      <c r="G52" s="586"/>
      <c r="H52" s="586"/>
      <c r="I52" s="586"/>
      <c r="J52" s="586"/>
    </row>
    <row r="53" spans="2:29" ht="30">
      <c r="B53" s="548" t="s">
        <v>21</v>
      </c>
      <c r="C53" s="548" t="s">
        <v>22</v>
      </c>
      <c r="D53" s="548" t="s">
        <v>23</v>
      </c>
      <c r="E53" s="548" t="s">
        <v>719</v>
      </c>
      <c r="F53" s="548" t="s">
        <v>55</v>
      </c>
      <c r="G53" s="586"/>
      <c r="H53" s="586"/>
      <c r="I53" s="586"/>
      <c r="J53" s="586"/>
      <c r="K53" s="621"/>
      <c r="L53" s="621"/>
    </row>
    <row r="54" spans="2:29">
      <c r="B54" s="622">
        <f>'MAY 2024 BLS'!C40</f>
        <v>0.24970000000000001</v>
      </c>
      <c r="C54" s="622">
        <v>0.12</v>
      </c>
      <c r="D54" s="623">
        <v>0.95</v>
      </c>
      <c r="E54" s="622">
        <f>'Fall CAF 2025'!CT28</f>
        <v>2.9959041375791508E-2</v>
      </c>
      <c r="F54" s="624">
        <v>0</v>
      </c>
      <c r="G54" s="586"/>
      <c r="H54" s="586"/>
      <c r="I54" s="586"/>
      <c r="J54" s="586"/>
    </row>
    <row r="55" spans="2:29">
      <c r="B55" s="586"/>
      <c r="C55" s="586"/>
      <c r="D55" s="586"/>
      <c r="E55" s="625"/>
      <c r="F55" s="586"/>
      <c r="G55" s="586"/>
      <c r="H55" s="586"/>
      <c r="I55" s="586"/>
      <c r="J55" s="586"/>
      <c r="K55" s="626"/>
    </row>
    <row r="56" spans="2:29">
      <c r="B56" s="654" t="s">
        <v>375</v>
      </c>
      <c r="C56" s="655"/>
      <c r="D56" s="655"/>
      <c r="E56" s="655"/>
      <c r="F56" s="656"/>
      <c r="G56" s="586"/>
      <c r="H56" s="586"/>
      <c r="I56" s="586"/>
      <c r="J56" s="586"/>
      <c r="K56" s="626"/>
    </row>
    <row r="57" spans="2:29">
      <c r="B57" s="527" t="s">
        <v>98</v>
      </c>
      <c r="C57" s="527" t="s">
        <v>58</v>
      </c>
      <c r="D57" s="527" t="s">
        <v>92</v>
      </c>
      <c r="E57" s="549" t="s">
        <v>89</v>
      </c>
      <c r="F57" s="548" t="s">
        <v>90</v>
      </c>
      <c r="G57" s="586"/>
      <c r="H57" s="586"/>
      <c r="I57" s="586"/>
      <c r="R57" s="586"/>
      <c r="AC57" s="583"/>
    </row>
    <row r="58" spans="2:29">
      <c r="B58" s="550">
        <v>1</v>
      </c>
      <c r="C58" s="551" t="s">
        <v>32</v>
      </c>
      <c r="D58" s="627">
        <f>'Vehicle Add-Ons'!B6</f>
        <v>13456.36</v>
      </c>
      <c r="E58" s="628">
        <v>496.4</v>
      </c>
      <c r="F58" s="595">
        <v>1438.1</v>
      </c>
      <c r="G58" s="586"/>
      <c r="H58" s="586"/>
      <c r="I58" s="586"/>
      <c r="R58" s="586"/>
      <c r="AC58" s="583"/>
    </row>
    <row r="59" spans="2:29">
      <c r="B59" s="550" t="s">
        <v>113</v>
      </c>
      <c r="C59" s="552" t="s">
        <v>33</v>
      </c>
      <c r="D59" s="627">
        <f>'Vehicle Add-Ons'!B7</f>
        <v>19577.099999999999</v>
      </c>
      <c r="E59" s="629">
        <v>992.8</v>
      </c>
      <c r="F59" s="627">
        <v>2876.2</v>
      </c>
      <c r="G59" s="586"/>
      <c r="H59" s="586"/>
      <c r="I59" s="586"/>
      <c r="R59" s="586"/>
      <c r="AC59" s="583"/>
    </row>
    <row r="60" spans="2:29">
      <c r="B60" s="550" t="s">
        <v>97</v>
      </c>
      <c r="C60" s="552" t="s">
        <v>34</v>
      </c>
      <c r="D60" s="627">
        <f>'Vehicle Add-Ons'!B8</f>
        <v>24321.56</v>
      </c>
      <c r="E60" s="629">
        <v>2233.8000000000002</v>
      </c>
      <c r="F60" s="627">
        <v>6471.45</v>
      </c>
      <c r="G60" s="586"/>
      <c r="H60" s="586"/>
      <c r="I60" s="586"/>
      <c r="R60" s="586"/>
      <c r="AC60" s="583"/>
    </row>
    <row r="64" spans="2:29">
      <c r="E64" s="630" t="s">
        <v>837</v>
      </c>
    </row>
    <row r="65" spans="2:31" ht="30">
      <c r="B65" s="603" t="s">
        <v>507</v>
      </c>
      <c r="C65" s="603" t="s">
        <v>597</v>
      </c>
      <c r="D65" s="603" t="s">
        <v>149</v>
      </c>
      <c r="E65" s="483">
        <v>2.58E-2</v>
      </c>
    </row>
    <row r="66" spans="2:31">
      <c r="B66" s="631" t="s">
        <v>494</v>
      </c>
      <c r="C66" s="605">
        <f>D66*(1+$E$65)</f>
        <v>5401.4524800000008</v>
      </c>
      <c r="D66" s="553">
        <v>5265.6</v>
      </c>
      <c r="E66" s="554"/>
    </row>
    <row r="67" spans="2:31" ht="14.45" customHeight="1">
      <c r="B67" s="631" t="s">
        <v>495</v>
      </c>
      <c r="C67" s="605">
        <f>D67*(1+$E$65)</f>
        <v>4362.2546813195822</v>
      </c>
      <c r="D67" s="553">
        <v>4252.5391707151321</v>
      </c>
      <c r="E67" s="554"/>
    </row>
    <row r="68" spans="2:31">
      <c r="B68" s="600" t="s">
        <v>496</v>
      </c>
      <c r="C68" s="605">
        <f t="shared" ref="C68:C71" si="0">D68*(1+$E$65)</f>
        <v>1265.8372000000002</v>
      </c>
      <c r="D68" s="553">
        <v>1234</v>
      </c>
      <c r="E68" s="554"/>
      <c r="F68" s="554"/>
    </row>
    <row r="69" spans="2:31">
      <c r="B69" s="600" t="s">
        <v>497</v>
      </c>
      <c r="C69" s="605">
        <f t="shared" si="0"/>
        <v>205.16</v>
      </c>
      <c r="D69" s="553">
        <v>200</v>
      </c>
      <c r="E69" s="554"/>
      <c r="F69" s="554"/>
    </row>
    <row r="70" spans="2:31">
      <c r="B70" s="600" t="s">
        <v>498</v>
      </c>
      <c r="C70" s="605">
        <f t="shared" si="0"/>
        <v>317.58768000000003</v>
      </c>
      <c r="D70" s="632">
        <v>309.60000000000002</v>
      </c>
      <c r="E70" s="586"/>
      <c r="F70" s="586"/>
    </row>
    <row r="71" spans="2:31">
      <c r="B71" s="600" t="s">
        <v>499</v>
      </c>
      <c r="C71" s="605">
        <f t="shared" si="0"/>
        <v>17.438600000000001</v>
      </c>
      <c r="D71" s="632">
        <v>17</v>
      </c>
      <c r="E71" s="586"/>
      <c r="F71" s="586"/>
    </row>
    <row r="72" spans="2:31" ht="15.75" thickBot="1">
      <c r="P72" s="583" t="s">
        <v>791</v>
      </c>
    </row>
    <row r="73" spans="2:31" ht="18.95" customHeight="1" thickBot="1">
      <c r="P73" s="645" t="s">
        <v>783</v>
      </c>
      <c r="Q73" s="646"/>
      <c r="R73" s="646"/>
      <c r="S73" s="646"/>
      <c r="T73" s="646"/>
      <c r="U73" s="646"/>
      <c r="V73" s="647"/>
    </row>
    <row r="74" spans="2:31" ht="60.75" thickBot="1">
      <c r="B74" s="95" t="s">
        <v>142</v>
      </c>
      <c r="C74" s="555" t="s">
        <v>98</v>
      </c>
      <c r="D74" s="633" t="s">
        <v>48</v>
      </c>
      <c r="E74" s="633" t="s">
        <v>0</v>
      </c>
      <c r="F74" s="633" t="s">
        <v>47</v>
      </c>
      <c r="G74" s="633" t="s">
        <v>46</v>
      </c>
      <c r="H74" s="633" t="s">
        <v>357</v>
      </c>
      <c r="I74" s="633" t="s">
        <v>358</v>
      </c>
      <c r="J74" s="633" t="s">
        <v>1</v>
      </c>
      <c r="K74" s="633" t="s">
        <v>460</v>
      </c>
      <c r="L74" s="633" t="s">
        <v>453</v>
      </c>
      <c r="M74" s="556" t="s">
        <v>341</v>
      </c>
      <c r="N74" s="556" t="s">
        <v>20</v>
      </c>
      <c r="O74" s="557" t="s">
        <v>3</v>
      </c>
      <c r="P74" s="558" t="s">
        <v>784</v>
      </c>
      <c r="Q74" s="559" t="s">
        <v>785</v>
      </c>
      <c r="R74" s="559" t="s">
        <v>786</v>
      </c>
      <c r="S74" s="559" t="s">
        <v>787</v>
      </c>
      <c r="T74" s="559" t="s">
        <v>788</v>
      </c>
      <c r="U74" s="559" t="s">
        <v>789</v>
      </c>
      <c r="V74" s="560" t="s">
        <v>790</v>
      </c>
      <c r="AD74" s="586"/>
      <c r="AE74" s="586"/>
    </row>
    <row r="75" spans="2:31">
      <c r="B75" s="561" t="s">
        <v>155</v>
      </c>
      <c r="C75" s="562">
        <v>1</v>
      </c>
      <c r="D75" s="571">
        <v>0.09</v>
      </c>
      <c r="E75" s="572">
        <v>0.25</v>
      </c>
      <c r="F75" s="634">
        <f t="shared" ref="F75:F138" si="1">M75-G75</f>
        <v>1.6</v>
      </c>
      <c r="G75" s="572">
        <v>1.4</v>
      </c>
      <c r="H75" s="572">
        <f>ROUND(F75*$C$50,2)</f>
        <v>0.26</v>
      </c>
      <c r="I75" s="572">
        <f>ROUND(G75*$C$50,2)</f>
        <v>0.23</v>
      </c>
      <c r="J75" s="572">
        <v>0.03</v>
      </c>
      <c r="K75" s="572">
        <v>0</v>
      </c>
      <c r="L75" s="572">
        <v>0</v>
      </c>
      <c r="M75" s="563">
        <v>3</v>
      </c>
      <c r="N75" s="577">
        <v>1</v>
      </c>
      <c r="O75" s="578">
        <v>1</v>
      </c>
      <c r="P75" s="635" t="str">
        <f>INDEX($C$58:$C$60,MATCH(C75,$B$58:$B$60,0))</f>
        <v>Sedan</v>
      </c>
      <c r="Q75" s="636">
        <f>SUM(F75:G75)</f>
        <v>3</v>
      </c>
      <c r="R75" s="637">
        <f>E75</f>
        <v>0.25</v>
      </c>
      <c r="S75" s="638">
        <f>IF(LEFT(B75,1)="M",IF(RIGHT(B75,1)="1",0.2,IF(RIGHT(B75,1)="2",0.3,IF(RIGHT(B75,1)="3",0.4,0))),0)</f>
        <v>0</v>
      </c>
      <c r="T75" s="564">
        <f>Q75*S75</f>
        <v>0</v>
      </c>
      <c r="U75" s="639">
        <f>N75</f>
        <v>1</v>
      </c>
      <c r="V75" s="639">
        <f>O75</f>
        <v>1</v>
      </c>
      <c r="AD75" s="586"/>
      <c r="AE75" s="586"/>
    </row>
    <row r="76" spans="2:31">
      <c r="B76" s="561" t="s">
        <v>156</v>
      </c>
      <c r="C76" s="561">
        <v>1</v>
      </c>
      <c r="D76" s="573">
        <v>0.09</v>
      </c>
      <c r="E76" s="574">
        <v>0.25</v>
      </c>
      <c r="F76" s="640">
        <f t="shared" si="1"/>
        <v>1.6</v>
      </c>
      <c r="G76" s="574">
        <v>1.4</v>
      </c>
      <c r="H76" s="574">
        <f t="shared" ref="H76:H139" si="2">ROUND(F76*$C$50,2)</f>
        <v>0.26</v>
      </c>
      <c r="I76" s="574">
        <f t="shared" ref="I76:I139" si="3">ROUND(G76*$C$50,2)</f>
        <v>0.23</v>
      </c>
      <c r="J76" s="574">
        <v>0.03</v>
      </c>
      <c r="K76" s="574">
        <v>0</v>
      </c>
      <c r="L76" s="574">
        <v>0</v>
      </c>
      <c r="M76" s="565">
        <v>3</v>
      </c>
      <c r="N76" s="579">
        <v>1</v>
      </c>
      <c r="O76" s="580">
        <v>1</v>
      </c>
      <c r="P76" s="635" t="str">
        <f t="shared" ref="P76:P139" si="4">INDEX($C$58:$C$60,MATCH(C76,$B$58:$B$60,0))</f>
        <v>Sedan</v>
      </c>
      <c r="Q76" s="636">
        <f t="shared" ref="Q76:Q139" si="5">SUM(F76:G76)</f>
        <v>3</v>
      </c>
      <c r="R76" s="637">
        <f t="shared" ref="R76:R139" si="6">E76</f>
        <v>0.25</v>
      </c>
      <c r="S76" s="638">
        <f t="shared" ref="S76:S139" si="7">IF(LEFT(B76,1)="M",IF(RIGHT(B76,1)="1",0.2,IF(RIGHT(B76,1)="2",0.3,IF(RIGHT(B76,1)="3",0.4,0))),0)</f>
        <v>0</v>
      </c>
      <c r="T76" s="564">
        <f t="shared" ref="T76:T139" si="8">Q76*S76</f>
        <v>0</v>
      </c>
      <c r="U76" s="639">
        <f t="shared" ref="U76:U139" si="9">N76</f>
        <v>1</v>
      </c>
      <c r="V76" s="639">
        <f t="shared" ref="V76:V139" si="10">O76</f>
        <v>1</v>
      </c>
      <c r="AD76" s="586"/>
      <c r="AE76" s="586"/>
    </row>
    <row r="77" spans="2:31">
      <c r="B77" s="561" t="s">
        <v>157</v>
      </c>
      <c r="C77" s="561">
        <v>1</v>
      </c>
      <c r="D77" s="573">
        <v>0.09</v>
      </c>
      <c r="E77" s="574">
        <v>0.25</v>
      </c>
      <c r="F77" s="640">
        <f t="shared" si="1"/>
        <v>2.1</v>
      </c>
      <c r="G77" s="574">
        <v>1.4</v>
      </c>
      <c r="H77" s="574">
        <f t="shared" si="2"/>
        <v>0.34</v>
      </c>
      <c r="I77" s="574">
        <f t="shared" si="3"/>
        <v>0.23</v>
      </c>
      <c r="J77" s="574">
        <v>0.03</v>
      </c>
      <c r="K77" s="574">
        <v>0</v>
      </c>
      <c r="L77" s="574">
        <v>0</v>
      </c>
      <c r="M77" s="565">
        <v>3.5</v>
      </c>
      <c r="N77" s="579">
        <v>1</v>
      </c>
      <c r="O77" s="580">
        <v>1</v>
      </c>
      <c r="P77" s="635" t="str">
        <f t="shared" si="4"/>
        <v>Sedan</v>
      </c>
      <c r="Q77" s="636">
        <f t="shared" si="5"/>
        <v>3.5</v>
      </c>
      <c r="R77" s="637">
        <f t="shared" si="6"/>
        <v>0.25</v>
      </c>
      <c r="S77" s="638">
        <f t="shared" si="7"/>
        <v>0</v>
      </c>
      <c r="T77" s="564">
        <f t="shared" si="8"/>
        <v>0</v>
      </c>
      <c r="U77" s="639">
        <f t="shared" si="9"/>
        <v>1</v>
      </c>
      <c r="V77" s="639">
        <f t="shared" si="10"/>
        <v>1</v>
      </c>
      <c r="AD77" s="586"/>
      <c r="AE77" s="586"/>
    </row>
    <row r="78" spans="2:31">
      <c r="B78" s="561" t="s">
        <v>158</v>
      </c>
      <c r="C78" s="561">
        <v>1</v>
      </c>
      <c r="D78" s="573">
        <v>0.09</v>
      </c>
      <c r="E78" s="574">
        <v>0.25</v>
      </c>
      <c r="F78" s="640">
        <f t="shared" si="1"/>
        <v>2.6</v>
      </c>
      <c r="G78" s="574">
        <v>1.4</v>
      </c>
      <c r="H78" s="574">
        <f t="shared" si="2"/>
        <v>0.42</v>
      </c>
      <c r="I78" s="574">
        <f t="shared" si="3"/>
        <v>0.23</v>
      </c>
      <c r="J78" s="574">
        <v>0.03</v>
      </c>
      <c r="K78" s="574">
        <v>0</v>
      </c>
      <c r="L78" s="574">
        <v>0</v>
      </c>
      <c r="M78" s="565">
        <v>4</v>
      </c>
      <c r="N78" s="579">
        <v>1</v>
      </c>
      <c r="O78" s="580">
        <v>1</v>
      </c>
      <c r="P78" s="635" t="str">
        <f t="shared" si="4"/>
        <v>Sedan</v>
      </c>
      <c r="Q78" s="636">
        <f t="shared" si="5"/>
        <v>4</v>
      </c>
      <c r="R78" s="637">
        <f t="shared" si="6"/>
        <v>0.25</v>
      </c>
      <c r="S78" s="638">
        <f t="shared" si="7"/>
        <v>0</v>
      </c>
      <c r="T78" s="564">
        <f t="shared" si="8"/>
        <v>0</v>
      </c>
      <c r="U78" s="639">
        <f t="shared" si="9"/>
        <v>1</v>
      </c>
      <c r="V78" s="639">
        <f t="shared" si="10"/>
        <v>1</v>
      </c>
      <c r="AD78" s="586"/>
      <c r="AE78" s="586"/>
    </row>
    <row r="79" spans="2:31">
      <c r="B79" s="561" t="s">
        <v>159</v>
      </c>
      <c r="C79" s="561">
        <v>1</v>
      </c>
      <c r="D79" s="573">
        <v>0.09</v>
      </c>
      <c r="E79" s="574">
        <v>0.25</v>
      </c>
      <c r="F79" s="640">
        <f t="shared" si="1"/>
        <v>3.1</v>
      </c>
      <c r="G79" s="574">
        <v>1.4</v>
      </c>
      <c r="H79" s="574">
        <f t="shared" si="2"/>
        <v>0.5</v>
      </c>
      <c r="I79" s="574">
        <f t="shared" si="3"/>
        <v>0.23</v>
      </c>
      <c r="J79" s="574">
        <v>0.03</v>
      </c>
      <c r="K79" s="574">
        <v>0</v>
      </c>
      <c r="L79" s="574">
        <v>0</v>
      </c>
      <c r="M79" s="565">
        <v>4.5</v>
      </c>
      <c r="N79" s="579">
        <v>1</v>
      </c>
      <c r="O79" s="580">
        <v>1</v>
      </c>
      <c r="P79" s="635" t="str">
        <f t="shared" si="4"/>
        <v>Sedan</v>
      </c>
      <c r="Q79" s="636">
        <f t="shared" si="5"/>
        <v>4.5</v>
      </c>
      <c r="R79" s="637">
        <f t="shared" si="6"/>
        <v>0.25</v>
      </c>
      <c r="S79" s="638">
        <f t="shared" si="7"/>
        <v>0</v>
      </c>
      <c r="T79" s="564">
        <f t="shared" si="8"/>
        <v>0</v>
      </c>
      <c r="U79" s="639">
        <f t="shared" si="9"/>
        <v>1</v>
      </c>
      <c r="V79" s="639">
        <f t="shared" si="10"/>
        <v>1</v>
      </c>
      <c r="AD79" s="586"/>
      <c r="AE79" s="586"/>
    </row>
    <row r="80" spans="2:31">
      <c r="B80" s="561" t="s">
        <v>160</v>
      </c>
      <c r="C80" s="561">
        <v>1</v>
      </c>
      <c r="D80" s="573">
        <v>0.09</v>
      </c>
      <c r="E80" s="574">
        <v>0.25</v>
      </c>
      <c r="F80" s="640">
        <f t="shared" si="1"/>
        <v>3.6</v>
      </c>
      <c r="G80" s="574">
        <v>1.4</v>
      </c>
      <c r="H80" s="574">
        <f t="shared" si="2"/>
        <v>0.57999999999999996</v>
      </c>
      <c r="I80" s="574">
        <f t="shared" si="3"/>
        <v>0.23</v>
      </c>
      <c r="J80" s="574">
        <v>0.03</v>
      </c>
      <c r="K80" s="574">
        <v>0</v>
      </c>
      <c r="L80" s="574">
        <v>0</v>
      </c>
      <c r="M80" s="565">
        <v>5</v>
      </c>
      <c r="N80" s="579">
        <v>1</v>
      </c>
      <c r="O80" s="580">
        <v>1</v>
      </c>
      <c r="P80" s="635" t="str">
        <f t="shared" si="4"/>
        <v>Sedan</v>
      </c>
      <c r="Q80" s="636">
        <f t="shared" si="5"/>
        <v>5</v>
      </c>
      <c r="R80" s="637">
        <f t="shared" si="6"/>
        <v>0.25</v>
      </c>
      <c r="S80" s="638">
        <f t="shared" si="7"/>
        <v>0</v>
      </c>
      <c r="T80" s="564">
        <f t="shared" si="8"/>
        <v>0</v>
      </c>
      <c r="U80" s="639">
        <f t="shared" si="9"/>
        <v>1</v>
      </c>
      <c r="V80" s="639">
        <f t="shared" si="10"/>
        <v>1</v>
      </c>
      <c r="AD80" s="586"/>
      <c r="AE80" s="586"/>
    </row>
    <row r="81" spans="2:31">
      <c r="B81" s="561" t="s">
        <v>161</v>
      </c>
      <c r="C81" s="561">
        <v>1</v>
      </c>
      <c r="D81" s="573">
        <v>0.09</v>
      </c>
      <c r="E81" s="574">
        <v>0.25</v>
      </c>
      <c r="F81" s="640">
        <f t="shared" si="1"/>
        <v>4.0999999999999996</v>
      </c>
      <c r="G81" s="574">
        <v>1.4</v>
      </c>
      <c r="H81" s="574">
        <f t="shared" si="2"/>
        <v>0.66</v>
      </c>
      <c r="I81" s="574">
        <f t="shared" si="3"/>
        <v>0.23</v>
      </c>
      <c r="J81" s="574">
        <v>0.03</v>
      </c>
      <c r="K81" s="574">
        <v>0</v>
      </c>
      <c r="L81" s="574">
        <v>0</v>
      </c>
      <c r="M81" s="565">
        <v>5.5</v>
      </c>
      <c r="N81" s="579">
        <v>1</v>
      </c>
      <c r="O81" s="580">
        <v>1</v>
      </c>
      <c r="P81" s="635" t="str">
        <f t="shared" si="4"/>
        <v>Sedan</v>
      </c>
      <c r="Q81" s="636">
        <f t="shared" si="5"/>
        <v>5.5</v>
      </c>
      <c r="R81" s="637">
        <f t="shared" si="6"/>
        <v>0.25</v>
      </c>
      <c r="S81" s="638">
        <f t="shared" si="7"/>
        <v>0</v>
      </c>
      <c r="T81" s="564">
        <f t="shared" si="8"/>
        <v>0</v>
      </c>
      <c r="U81" s="639">
        <f t="shared" si="9"/>
        <v>1</v>
      </c>
      <c r="V81" s="639">
        <f t="shared" si="10"/>
        <v>1</v>
      </c>
      <c r="AD81" s="586"/>
      <c r="AE81" s="586"/>
    </row>
    <row r="82" spans="2:31">
      <c r="B82" s="561" t="s">
        <v>162</v>
      </c>
      <c r="C82" s="561">
        <v>1</v>
      </c>
      <c r="D82" s="573">
        <v>0.09</v>
      </c>
      <c r="E82" s="574">
        <v>0.25</v>
      </c>
      <c r="F82" s="640">
        <f t="shared" si="1"/>
        <v>4.5999999999999996</v>
      </c>
      <c r="G82" s="574">
        <v>1.4</v>
      </c>
      <c r="H82" s="574">
        <f t="shared" si="2"/>
        <v>0.75</v>
      </c>
      <c r="I82" s="574">
        <f t="shared" si="3"/>
        <v>0.23</v>
      </c>
      <c r="J82" s="574">
        <v>0.03</v>
      </c>
      <c r="K82" s="574">
        <v>0</v>
      </c>
      <c r="L82" s="574">
        <v>0</v>
      </c>
      <c r="M82" s="565">
        <v>6</v>
      </c>
      <c r="N82" s="579">
        <v>1</v>
      </c>
      <c r="O82" s="580">
        <v>1</v>
      </c>
      <c r="P82" s="635" t="str">
        <f t="shared" si="4"/>
        <v>Sedan</v>
      </c>
      <c r="Q82" s="636">
        <f t="shared" si="5"/>
        <v>6</v>
      </c>
      <c r="R82" s="637">
        <f t="shared" si="6"/>
        <v>0.25</v>
      </c>
      <c r="S82" s="638">
        <f t="shared" si="7"/>
        <v>0</v>
      </c>
      <c r="T82" s="564">
        <f t="shared" si="8"/>
        <v>0</v>
      </c>
      <c r="U82" s="639">
        <f t="shared" si="9"/>
        <v>1</v>
      </c>
      <c r="V82" s="639">
        <f t="shared" si="10"/>
        <v>1</v>
      </c>
      <c r="AD82" s="586"/>
      <c r="AE82" s="586"/>
    </row>
    <row r="83" spans="2:31">
      <c r="B83" s="561" t="s">
        <v>163</v>
      </c>
      <c r="C83" s="561">
        <v>1</v>
      </c>
      <c r="D83" s="573">
        <v>0.09</v>
      </c>
      <c r="E83" s="574">
        <v>0.25</v>
      </c>
      <c r="F83" s="640">
        <f t="shared" si="1"/>
        <v>5.0999999999999996</v>
      </c>
      <c r="G83" s="574">
        <v>1.4</v>
      </c>
      <c r="H83" s="574">
        <f t="shared" si="2"/>
        <v>0.83</v>
      </c>
      <c r="I83" s="574">
        <f t="shared" si="3"/>
        <v>0.23</v>
      </c>
      <c r="J83" s="574">
        <v>0.03</v>
      </c>
      <c r="K83" s="574">
        <v>0</v>
      </c>
      <c r="L83" s="574">
        <v>0</v>
      </c>
      <c r="M83" s="565">
        <v>6.5</v>
      </c>
      <c r="N83" s="579">
        <v>1</v>
      </c>
      <c r="O83" s="580">
        <v>1</v>
      </c>
      <c r="P83" s="635" t="str">
        <f t="shared" si="4"/>
        <v>Sedan</v>
      </c>
      <c r="Q83" s="636">
        <f t="shared" si="5"/>
        <v>6.5</v>
      </c>
      <c r="R83" s="637">
        <f t="shared" si="6"/>
        <v>0.25</v>
      </c>
      <c r="S83" s="638">
        <f t="shared" si="7"/>
        <v>0</v>
      </c>
      <c r="T83" s="564">
        <f t="shared" si="8"/>
        <v>0</v>
      </c>
      <c r="U83" s="639">
        <f t="shared" si="9"/>
        <v>1</v>
      </c>
      <c r="V83" s="639">
        <f t="shared" si="10"/>
        <v>1</v>
      </c>
      <c r="AD83" s="586"/>
      <c r="AE83" s="586"/>
    </row>
    <row r="84" spans="2:31" ht="15.75" thickBot="1">
      <c r="B84" s="566" t="s">
        <v>164</v>
      </c>
      <c r="C84" s="566">
        <v>1</v>
      </c>
      <c r="D84" s="575">
        <v>0.09</v>
      </c>
      <c r="E84" s="576">
        <v>0.25</v>
      </c>
      <c r="F84" s="641">
        <f t="shared" si="1"/>
        <v>5.6</v>
      </c>
      <c r="G84" s="576">
        <v>1.4</v>
      </c>
      <c r="H84" s="576">
        <f t="shared" si="2"/>
        <v>0.91</v>
      </c>
      <c r="I84" s="576">
        <f t="shared" si="3"/>
        <v>0.23</v>
      </c>
      <c r="J84" s="576">
        <v>0.03</v>
      </c>
      <c r="K84" s="576">
        <v>0</v>
      </c>
      <c r="L84" s="576">
        <v>0</v>
      </c>
      <c r="M84" s="567">
        <v>7</v>
      </c>
      <c r="N84" s="581">
        <v>1</v>
      </c>
      <c r="O84" s="582">
        <v>1</v>
      </c>
      <c r="P84" s="635" t="str">
        <f t="shared" si="4"/>
        <v>Sedan</v>
      </c>
      <c r="Q84" s="636">
        <f t="shared" si="5"/>
        <v>7</v>
      </c>
      <c r="R84" s="637">
        <f t="shared" si="6"/>
        <v>0.25</v>
      </c>
      <c r="S84" s="638">
        <f t="shared" si="7"/>
        <v>0</v>
      </c>
      <c r="T84" s="564">
        <f t="shared" si="8"/>
        <v>0</v>
      </c>
      <c r="U84" s="639">
        <f t="shared" si="9"/>
        <v>1</v>
      </c>
      <c r="V84" s="639">
        <f t="shared" si="10"/>
        <v>1</v>
      </c>
      <c r="AD84" s="586"/>
      <c r="AE84" s="586"/>
    </row>
    <row r="85" spans="2:31">
      <c r="B85" s="562" t="s">
        <v>165</v>
      </c>
      <c r="C85" s="561" t="s">
        <v>113</v>
      </c>
      <c r="D85" s="574">
        <v>0.18</v>
      </c>
      <c r="E85" s="574">
        <v>0.66</v>
      </c>
      <c r="F85" s="640">
        <f t="shared" si="1"/>
        <v>2.1</v>
      </c>
      <c r="G85" s="574">
        <v>1.4</v>
      </c>
      <c r="H85" s="574">
        <f t="shared" si="2"/>
        <v>0.34</v>
      </c>
      <c r="I85" s="574">
        <f t="shared" si="3"/>
        <v>0.23</v>
      </c>
      <c r="J85" s="574">
        <v>0.12</v>
      </c>
      <c r="K85" s="574">
        <v>0</v>
      </c>
      <c r="L85" s="574">
        <v>0</v>
      </c>
      <c r="M85" s="565">
        <v>3.5</v>
      </c>
      <c r="N85" s="579">
        <v>1</v>
      </c>
      <c r="O85" s="580">
        <v>1</v>
      </c>
      <c r="P85" s="635" t="str">
        <f t="shared" si="4"/>
        <v>Minivan</v>
      </c>
      <c r="Q85" s="636">
        <f t="shared" si="5"/>
        <v>3.5</v>
      </c>
      <c r="R85" s="637">
        <f t="shared" si="6"/>
        <v>0.66</v>
      </c>
      <c r="S85" s="638">
        <f t="shared" si="7"/>
        <v>0</v>
      </c>
      <c r="T85" s="564">
        <f t="shared" si="8"/>
        <v>0</v>
      </c>
      <c r="U85" s="639">
        <f t="shared" si="9"/>
        <v>1</v>
      </c>
      <c r="V85" s="639">
        <f t="shared" si="10"/>
        <v>1</v>
      </c>
      <c r="AD85" s="586"/>
      <c r="AE85" s="586"/>
    </row>
    <row r="86" spans="2:31">
      <c r="B86" s="561" t="s">
        <v>166</v>
      </c>
      <c r="C86" s="561" t="s">
        <v>113</v>
      </c>
      <c r="D86" s="574">
        <v>0.18</v>
      </c>
      <c r="E86" s="574">
        <v>0.66</v>
      </c>
      <c r="F86" s="640">
        <f t="shared" si="1"/>
        <v>2.6</v>
      </c>
      <c r="G86" s="574">
        <v>1.4</v>
      </c>
      <c r="H86" s="574">
        <f t="shared" si="2"/>
        <v>0.42</v>
      </c>
      <c r="I86" s="574">
        <f t="shared" si="3"/>
        <v>0.23</v>
      </c>
      <c r="J86" s="574">
        <v>0.12</v>
      </c>
      <c r="K86" s="574">
        <v>0</v>
      </c>
      <c r="L86" s="574">
        <v>0</v>
      </c>
      <c r="M86" s="565">
        <v>4</v>
      </c>
      <c r="N86" s="579">
        <v>1</v>
      </c>
      <c r="O86" s="580">
        <v>1</v>
      </c>
      <c r="P86" s="635" t="str">
        <f t="shared" si="4"/>
        <v>Minivan</v>
      </c>
      <c r="Q86" s="636">
        <f t="shared" si="5"/>
        <v>4</v>
      </c>
      <c r="R86" s="637">
        <f t="shared" si="6"/>
        <v>0.66</v>
      </c>
      <c r="S86" s="638">
        <f t="shared" si="7"/>
        <v>0</v>
      </c>
      <c r="T86" s="564">
        <f t="shared" si="8"/>
        <v>0</v>
      </c>
      <c r="U86" s="639">
        <f t="shared" si="9"/>
        <v>1</v>
      </c>
      <c r="V86" s="639">
        <f t="shared" si="10"/>
        <v>1</v>
      </c>
      <c r="AD86" s="586"/>
      <c r="AE86" s="586"/>
    </row>
    <row r="87" spans="2:31">
      <c r="B87" s="561" t="s">
        <v>167</v>
      </c>
      <c r="C87" s="561" t="s">
        <v>113</v>
      </c>
      <c r="D87" s="574">
        <v>0.18</v>
      </c>
      <c r="E87" s="574">
        <v>0.66</v>
      </c>
      <c r="F87" s="640">
        <f t="shared" si="1"/>
        <v>3.1</v>
      </c>
      <c r="G87" s="574">
        <v>1.4</v>
      </c>
      <c r="H87" s="574">
        <f t="shared" si="2"/>
        <v>0.5</v>
      </c>
      <c r="I87" s="574">
        <f t="shared" si="3"/>
        <v>0.23</v>
      </c>
      <c r="J87" s="574">
        <v>0.12</v>
      </c>
      <c r="K87" s="574">
        <v>0</v>
      </c>
      <c r="L87" s="574">
        <v>0</v>
      </c>
      <c r="M87" s="565">
        <v>4.5</v>
      </c>
      <c r="N87" s="579">
        <v>1</v>
      </c>
      <c r="O87" s="580">
        <v>1</v>
      </c>
      <c r="P87" s="635" t="str">
        <f t="shared" si="4"/>
        <v>Minivan</v>
      </c>
      <c r="Q87" s="636">
        <f t="shared" si="5"/>
        <v>4.5</v>
      </c>
      <c r="R87" s="637">
        <f t="shared" si="6"/>
        <v>0.66</v>
      </c>
      <c r="S87" s="638">
        <f t="shared" si="7"/>
        <v>0</v>
      </c>
      <c r="T87" s="564">
        <f t="shared" si="8"/>
        <v>0</v>
      </c>
      <c r="U87" s="639">
        <f t="shared" si="9"/>
        <v>1</v>
      </c>
      <c r="V87" s="639">
        <f t="shared" si="10"/>
        <v>1</v>
      </c>
      <c r="AD87" s="586"/>
      <c r="AE87" s="586"/>
    </row>
    <row r="88" spans="2:31">
      <c r="B88" s="561" t="s">
        <v>168</v>
      </c>
      <c r="C88" s="561" t="s">
        <v>113</v>
      </c>
      <c r="D88" s="574">
        <v>0.18</v>
      </c>
      <c r="E88" s="574">
        <v>0.66</v>
      </c>
      <c r="F88" s="640">
        <f t="shared" si="1"/>
        <v>3.6</v>
      </c>
      <c r="G88" s="574">
        <v>1.4</v>
      </c>
      <c r="H88" s="574">
        <f t="shared" si="2"/>
        <v>0.57999999999999996</v>
      </c>
      <c r="I88" s="574">
        <f t="shared" si="3"/>
        <v>0.23</v>
      </c>
      <c r="J88" s="574">
        <v>0.12</v>
      </c>
      <c r="K88" s="574">
        <v>0</v>
      </c>
      <c r="L88" s="574">
        <v>0</v>
      </c>
      <c r="M88" s="565">
        <v>5</v>
      </c>
      <c r="N88" s="579">
        <v>1</v>
      </c>
      <c r="O88" s="580">
        <v>1</v>
      </c>
      <c r="P88" s="635" t="str">
        <f t="shared" si="4"/>
        <v>Minivan</v>
      </c>
      <c r="Q88" s="636">
        <f t="shared" si="5"/>
        <v>5</v>
      </c>
      <c r="R88" s="637">
        <f t="shared" si="6"/>
        <v>0.66</v>
      </c>
      <c r="S88" s="638">
        <f t="shared" si="7"/>
        <v>0</v>
      </c>
      <c r="T88" s="564">
        <f t="shared" si="8"/>
        <v>0</v>
      </c>
      <c r="U88" s="639">
        <f t="shared" si="9"/>
        <v>1</v>
      </c>
      <c r="V88" s="639">
        <f t="shared" si="10"/>
        <v>1</v>
      </c>
      <c r="AD88" s="586"/>
      <c r="AE88" s="586"/>
    </row>
    <row r="89" spans="2:31">
      <c r="B89" s="561" t="s">
        <v>169</v>
      </c>
      <c r="C89" s="561" t="s">
        <v>113</v>
      </c>
      <c r="D89" s="574">
        <v>0.18</v>
      </c>
      <c r="E89" s="574">
        <v>0.66</v>
      </c>
      <c r="F89" s="640">
        <f t="shared" si="1"/>
        <v>4.0999999999999996</v>
      </c>
      <c r="G89" s="574">
        <v>1.4</v>
      </c>
      <c r="H89" s="574">
        <f t="shared" si="2"/>
        <v>0.66</v>
      </c>
      <c r="I89" s="574">
        <f t="shared" si="3"/>
        <v>0.23</v>
      </c>
      <c r="J89" s="574">
        <v>0.12</v>
      </c>
      <c r="K89" s="574">
        <v>0</v>
      </c>
      <c r="L89" s="574">
        <v>0</v>
      </c>
      <c r="M89" s="565">
        <v>5.5</v>
      </c>
      <c r="N89" s="579">
        <v>1</v>
      </c>
      <c r="O89" s="580">
        <v>1</v>
      </c>
      <c r="P89" s="635" t="str">
        <f t="shared" si="4"/>
        <v>Minivan</v>
      </c>
      <c r="Q89" s="636">
        <f t="shared" si="5"/>
        <v>5.5</v>
      </c>
      <c r="R89" s="637">
        <f t="shared" si="6"/>
        <v>0.66</v>
      </c>
      <c r="S89" s="638">
        <f t="shared" si="7"/>
        <v>0</v>
      </c>
      <c r="T89" s="564">
        <f t="shared" si="8"/>
        <v>0</v>
      </c>
      <c r="U89" s="639">
        <f t="shared" si="9"/>
        <v>1</v>
      </c>
      <c r="V89" s="639">
        <f t="shared" si="10"/>
        <v>1</v>
      </c>
      <c r="AD89" s="586"/>
      <c r="AE89" s="586"/>
    </row>
    <row r="90" spans="2:31">
      <c r="B90" s="561" t="s">
        <v>170</v>
      </c>
      <c r="C90" s="561" t="s">
        <v>113</v>
      </c>
      <c r="D90" s="574">
        <v>0.18</v>
      </c>
      <c r="E90" s="574">
        <v>0.66</v>
      </c>
      <c r="F90" s="640">
        <f t="shared" si="1"/>
        <v>4.5999999999999996</v>
      </c>
      <c r="G90" s="574">
        <v>1.4</v>
      </c>
      <c r="H90" s="574">
        <f t="shared" si="2"/>
        <v>0.75</v>
      </c>
      <c r="I90" s="574">
        <f t="shared" si="3"/>
        <v>0.23</v>
      </c>
      <c r="J90" s="574">
        <v>0.12</v>
      </c>
      <c r="K90" s="574">
        <v>0</v>
      </c>
      <c r="L90" s="574">
        <v>0</v>
      </c>
      <c r="M90" s="565">
        <v>6</v>
      </c>
      <c r="N90" s="579">
        <v>1</v>
      </c>
      <c r="O90" s="580">
        <v>1</v>
      </c>
      <c r="P90" s="635" t="str">
        <f t="shared" si="4"/>
        <v>Minivan</v>
      </c>
      <c r="Q90" s="636">
        <f t="shared" si="5"/>
        <v>6</v>
      </c>
      <c r="R90" s="637">
        <f t="shared" si="6"/>
        <v>0.66</v>
      </c>
      <c r="S90" s="638">
        <f t="shared" si="7"/>
        <v>0</v>
      </c>
      <c r="T90" s="564">
        <f t="shared" si="8"/>
        <v>0</v>
      </c>
      <c r="U90" s="639">
        <f t="shared" si="9"/>
        <v>1</v>
      </c>
      <c r="V90" s="639">
        <f t="shared" si="10"/>
        <v>1</v>
      </c>
      <c r="AD90" s="586"/>
      <c r="AE90" s="586"/>
    </row>
    <row r="91" spans="2:31">
      <c r="B91" s="561" t="s">
        <v>171</v>
      </c>
      <c r="C91" s="561" t="s">
        <v>113</v>
      </c>
      <c r="D91" s="574">
        <v>0.18</v>
      </c>
      <c r="E91" s="574">
        <v>0.66</v>
      </c>
      <c r="F91" s="640">
        <f t="shared" si="1"/>
        <v>5.0999999999999996</v>
      </c>
      <c r="G91" s="574">
        <v>1.4</v>
      </c>
      <c r="H91" s="574">
        <f t="shared" si="2"/>
        <v>0.83</v>
      </c>
      <c r="I91" s="574">
        <f t="shared" si="3"/>
        <v>0.23</v>
      </c>
      <c r="J91" s="574">
        <v>0.12</v>
      </c>
      <c r="K91" s="574">
        <v>0</v>
      </c>
      <c r="L91" s="574">
        <v>0</v>
      </c>
      <c r="M91" s="565">
        <v>6.5</v>
      </c>
      <c r="N91" s="579">
        <v>1</v>
      </c>
      <c r="O91" s="580">
        <v>1</v>
      </c>
      <c r="P91" s="635" t="str">
        <f t="shared" si="4"/>
        <v>Minivan</v>
      </c>
      <c r="Q91" s="636">
        <f t="shared" si="5"/>
        <v>6.5</v>
      </c>
      <c r="R91" s="637">
        <f t="shared" si="6"/>
        <v>0.66</v>
      </c>
      <c r="S91" s="638">
        <f t="shared" si="7"/>
        <v>0</v>
      </c>
      <c r="T91" s="564">
        <f t="shared" si="8"/>
        <v>0</v>
      </c>
      <c r="U91" s="639">
        <f t="shared" si="9"/>
        <v>1</v>
      </c>
      <c r="V91" s="639">
        <f t="shared" si="10"/>
        <v>1</v>
      </c>
      <c r="AD91" s="586"/>
      <c r="AE91" s="586"/>
    </row>
    <row r="92" spans="2:31">
      <c r="B92" s="561" t="s">
        <v>172</v>
      </c>
      <c r="C92" s="561" t="s">
        <v>113</v>
      </c>
      <c r="D92" s="574">
        <v>0.18</v>
      </c>
      <c r="E92" s="574">
        <v>0.66</v>
      </c>
      <c r="F92" s="640">
        <f t="shared" si="1"/>
        <v>5.6</v>
      </c>
      <c r="G92" s="574">
        <v>1.4</v>
      </c>
      <c r="H92" s="574">
        <f t="shared" si="2"/>
        <v>0.91</v>
      </c>
      <c r="I92" s="574">
        <f t="shared" si="3"/>
        <v>0.23</v>
      </c>
      <c r="J92" s="574">
        <v>0.12</v>
      </c>
      <c r="K92" s="574">
        <v>0</v>
      </c>
      <c r="L92" s="574">
        <v>0</v>
      </c>
      <c r="M92" s="565">
        <v>7</v>
      </c>
      <c r="N92" s="579">
        <v>1</v>
      </c>
      <c r="O92" s="580">
        <v>1</v>
      </c>
      <c r="P92" s="635" t="str">
        <f t="shared" si="4"/>
        <v>Minivan</v>
      </c>
      <c r="Q92" s="636">
        <f t="shared" si="5"/>
        <v>7</v>
      </c>
      <c r="R92" s="637">
        <f t="shared" si="6"/>
        <v>0.66</v>
      </c>
      <c r="S92" s="638">
        <f t="shared" si="7"/>
        <v>0</v>
      </c>
      <c r="T92" s="564">
        <f t="shared" si="8"/>
        <v>0</v>
      </c>
      <c r="U92" s="639">
        <f t="shared" si="9"/>
        <v>1</v>
      </c>
      <c r="V92" s="639">
        <f t="shared" si="10"/>
        <v>1</v>
      </c>
      <c r="AD92" s="586"/>
      <c r="AE92" s="586"/>
    </row>
    <row r="93" spans="2:31">
      <c r="B93" s="561" t="s">
        <v>173</v>
      </c>
      <c r="C93" s="561" t="s">
        <v>113</v>
      </c>
      <c r="D93" s="574">
        <v>0.18</v>
      </c>
      <c r="E93" s="574">
        <v>0.66</v>
      </c>
      <c r="F93" s="640">
        <f t="shared" si="1"/>
        <v>6.1</v>
      </c>
      <c r="G93" s="574">
        <v>1.4</v>
      </c>
      <c r="H93" s="574">
        <f t="shared" si="2"/>
        <v>0.99</v>
      </c>
      <c r="I93" s="574">
        <f t="shared" si="3"/>
        <v>0.23</v>
      </c>
      <c r="J93" s="574">
        <v>0.12</v>
      </c>
      <c r="K93" s="574">
        <v>0</v>
      </c>
      <c r="L93" s="574">
        <v>0</v>
      </c>
      <c r="M93" s="565">
        <v>7.5</v>
      </c>
      <c r="N93" s="579">
        <v>1</v>
      </c>
      <c r="O93" s="580">
        <v>1</v>
      </c>
      <c r="P93" s="635" t="str">
        <f t="shared" si="4"/>
        <v>Minivan</v>
      </c>
      <c r="Q93" s="636">
        <f t="shared" si="5"/>
        <v>7.5</v>
      </c>
      <c r="R93" s="637">
        <f t="shared" si="6"/>
        <v>0.66</v>
      </c>
      <c r="S93" s="638">
        <f t="shared" si="7"/>
        <v>0</v>
      </c>
      <c r="T93" s="564">
        <f t="shared" si="8"/>
        <v>0</v>
      </c>
      <c r="U93" s="639">
        <f t="shared" si="9"/>
        <v>1</v>
      </c>
      <c r="V93" s="639">
        <f t="shared" si="10"/>
        <v>1</v>
      </c>
      <c r="AD93" s="586"/>
      <c r="AE93" s="586"/>
    </row>
    <row r="94" spans="2:31">
      <c r="B94" s="561" t="s">
        <v>174</v>
      </c>
      <c r="C94" s="561" t="s">
        <v>113</v>
      </c>
      <c r="D94" s="574">
        <v>0.18</v>
      </c>
      <c r="E94" s="574">
        <v>0.66</v>
      </c>
      <c r="F94" s="640">
        <f t="shared" si="1"/>
        <v>6.6</v>
      </c>
      <c r="G94" s="574">
        <v>1.4</v>
      </c>
      <c r="H94" s="574">
        <f t="shared" si="2"/>
        <v>1.07</v>
      </c>
      <c r="I94" s="574">
        <f t="shared" si="3"/>
        <v>0.23</v>
      </c>
      <c r="J94" s="574">
        <v>0.12</v>
      </c>
      <c r="K94" s="574">
        <v>0</v>
      </c>
      <c r="L94" s="574">
        <v>0</v>
      </c>
      <c r="M94" s="565">
        <v>8</v>
      </c>
      <c r="N94" s="579">
        <v>1</v>
      </c>
      <c r="O94" s="580">
        <v>1</v>
      </c>
      <c r="P94" s="635" t="str">
        <f t="shared" si="4"/>
        <v>Minivan</v>
      </c>
      <c r="Q94" s="636">
        <f t="shared" si="5"/>
        <v>8</v>
      </c>
      <c r="R94" s="637">
        <f t="shared" si="6"/>
        <v>0.66</v>
      </c>
      <c r="S94" s="638">
        <f t="shared" si="7"/>
        <v>0</v>
      </c>
      <c r="T94" s="564">
        <f t="shared" si="8"/>
        <v>0</v>
      </c>
      <c r="U94" s="639">
        <f t="shared" si="9"/>
        <v>1</v>
      </c>
      <c r="V94" s="639">
        <f t="shared" si="10"/>
        <v>1</v>
      </c>
      <c r="AD94" s="586"/>
      <c r="AE94" s="586"/>
    </row>
    <row r="95" spans="2:31">
      <c r="B95" s="561" t="s">
        <v>175</v>
      </c>
      <c r="C95" s="561" t="s">
        <v>113</v>
      </c>
      <c r="D95" s="574">
        <v>0.18</v>
      </c>
      <c r="E95" s="574">
        <v>0.66</v>
      </c>
      <c r="F95" s="640">
        <f t="shared" si="1"/>
        <v>7.1</v>
      </c>
      <c r="G95" s="574">
        <v>1.4</v>
      </c>
      <c r="H95" s="574">
        <f t="shared" si="2"/>
        <v>1.1499999999999999</v>
      </c>
      <c r="I95" s="574">
        <f t="shared" si="3"/>
        <v>0.23</v>
      </c>
      <c r="J95" s="574">
        <v>0.12</v>
      </c>
      <c r="K95" s="574">
        <v>0</v>
      </c>
      <c r="L95" s="574">
        <v>0</v>
      </c>
      <c r="M95" s="565">
        <v>8.5</v>
      </c>
      <c r="N95" s="579">
        <v>1</v>
      </c>
      <c r="O95" s="580">
        <v>1</v>
      </c>
      <c r="P95" s="635" t="str">
        <f t="shared" si="4"/>
        <v>Minivan</v>
      </c>
      <c r="Q95" s="636">
        <f t="shared" si="5"/>
        <v>8.5</v>
      </c>
      <c r="R95" s="637">
        <f t="shared" si="6"/>
        <v>0.66</v>
      </c>
      <c r="S95" s="638">
        <f t="shared" si="7"/>
        <v>0</v>
      </c>
      <c r="T95" s="564">
        <f t="shared" si="8"/>
        <v>0</v>
      </c>
      <c r="U95" s="639">
        <f t="shared" si="9"/>
        <v>1</v>
      </c>
      <c r="V95" s="639">
        <f t="shared" si="10"/>
        <v>1</v>
      </c>
      <c r="AD95" s="586"/>
      <c r="AE95" s="586"/>
    </row>
    <row r="96" spans="2:31">
      <c r="B96" s="561" t="s">
        <v>176</v>
      </c>
      <c r="C96" s="561" t="s">
        <v>113</v>
      </c>
      <c r="D96" s="574">
        <v>0.18</v>
      </c>
      <c r="E96" s="574">
        <v>0.66</v>
      </c>
      <c r="F96" s="640">
        <f t="shared" si="1"/>
        <v>7.6</v>
      </c>
      <c r="G96" s="574">
        <v>1.4</v>
      </c>
      <c r="H96" s="574">
        <f t="shared" si="2"/>
        <v>1.23</v>
      </c>
      <c r="I96" s="574">
        <f t="shared" si="3"/>
        <v>0.23</v>
      </c>
      <c r="J96" s="574">
        <v>0.12</v>
      </c>
      <c r="K96" s="574">
        <v>0</v>
      </c>
      <c r="L96" s="574">
        <v>0</v>
      </c>
      <c r="M96" s="565">
        <v>9</v>
      </c>
      <c r="N96" s="579">
        <v>1</v>
      </c>
      <c r="O96" s="580">
        <v>1</v>
      </c>
      <c r="P96" s="635" t="str">
        <f t="shared" si="4"/>
        <v>Minivan</v>
      </c>
      <c r="Q96" s="636">
        <f t="shared" si="5"/>
        <v>9</v>
      </c>
      <c r="R96" s="637">
        <f t="shared" si="6"/>
        <v>0.66</v>
      </c>
      <c r="S96" s="638">
        <f t="shared" si="7"/>
        <v>0</v>
      </c>
      <c r="T96" s="564">
        <f t="shared" si="8"/>
        <v>0</v>
      </c>
      <c r="U96" s="639">
        <f t="shared" si="9"/>
        <v>1</v>
      </c>
      <c r="V96" s="639">
        <f t="shared" si="10"/>
        <v>1</v>
      </c>
      <c r="AD96" s="586"/>
      <c r="AE96" s="586"/>
    </row>
    <row r="97" spans="2:31">
      <c r="B97" s="561" t="s">
        <v>177</v>
      </c>
      <c r="C97" s="561" t="s">
        <v>113</v>
      </c>
      <c r="D97" s="574">
        <v>0.18</v>
      </c>
      <c r="E97" s="574">
        <v>0.66</v>
      </c>
      <c r="F97" s="640">
        <f t="shared" si="1"/>
        <v>2.1</v>
      </c>
      <c r="G97" s="574">
        <v>1.4</v>
      </c>
      <c r="H97" s="574">
        <f t="shared" si="2"/>
        <v>0.34</v>
      </c>
      <c r="I97" s="574">
        <f t="shared" si="3"/>
        <v>0.23</v>
      </c>
      <c r="J97" s="574">
        <v>0.12</v>
      </c>
      <c r="K97" s="574">
        <v>0</v>
      </c>
      <c r="L97" s="574">
        <v>0</v>
      </c>
      <c r="M97" s="565">
        <v>3.5</v>
      </c>
      <c r="N97" s="579">
        <v>1</v>
      </c>
      <c r="O97" s="580">
        <v>3</v>
      </c>
      <c r="P97" s="635" t="str">
        <f t="shared" si="4"/>
        <v>Minivan</v>
      </c>
      <c r="Q97" s="636">
        <f t="shared" si="5"/>
        <v>3.5</v>
      </c>
      <c r="R97" s="637">
        <f t="shared" si="6"/>
        <v>0.66</v>
      </c>
      <c r="S97" s="638">
        <f t="shared" si="7"/>
        <v>0</v>
      </c>
      <c r="T97" s="564">
        <f t="shared" si="8"/>
        <v>0</v>
      </c>
      <c r="U97" s="639">
        <f t="shared" si="9"/>
        <v>1</v>
      </c>
      <c r="V97" s="639">
        <f t="shared" si="10"/>
        <v>3</v>
      </c>
      <c r="AD97" s="586"/>
      <c r="AE97" s="586"/>
    </row>
    <row r="98" spans="2:31">
      <c r="B98" s="561" t="s">
        <v>178</v>
      </c>
      <c r="C98" s="561" t="s">
        <v>113</v>
      </c>
      <c r="D98" s="574">
        <v>0.18</v>
      </c>
      <c r="E98" s="574">
        <v>0.66</v>
      </c>
      <c r="F98" s="640">
        <f t="shared" si="1"/>
        <v>2.6</v>
      </c>
      <c r="G98" s="574">
        <v>1.4</v>
      </c>
      <c r="H98" s="574">
        <f t="shared" si="2"/>
        <v>0.42</v>
      </c>
      <c r="I98" s="574">
        <f t="shared" si="3"/>
        <v>0.23</v>
      </c>
      <c r="J98" s="574">
        <v>0.12</v>
      </c>
      <c r="K98" s="574">
        <v>0</v>
      </c>
      <c r="L98" s="574">
        <v>0</v>
      </c>
      <c r="M98" s="565">
        <v>4</v>
      </c>
      <c r="N98" s="579">
        <v>1</v>
      </c>
      <c r="O98" s="580">
        <v>3</v>
      </c>
      <c r="P98" s="635" t="str">
        <f t="shared" si="4"/>
        <v>Minivan</v>
      </c>
      <c r="Q98" s="636">
        <f t="shared" si="5"/>
        <v>4</v>
      </c>
      <c r="R98" s="637">
        <f t="shared" si="6"/>
        <v>0.66</v>
      </c>
      <c r="S98" s="638">
        <f t="shared" si="7"/>
        <v>0</v>
      </c>
      <c r="T98" s="564">
        <f t="shared" si="8"/>
        <v>0</v>
      </c>
      <c r="U98" s="639">
        <f t="shared" si="9"/>
        <v>1</v>
      </c>
      <c r="V98" s="639">
        <f t="shared" si="10"/>
        <v>3</v>
      </c>
      <c r="AD98" s="586"/>
      <c r="AE98" s="586"/>
    </row>
    <row r="99" spans="2:31">
      <c r="B99" s="561" t="s">
        <v>179</v>
      </c>
      <c r="C99" s="561" t="s">
        <v>113</v>
      </c>
      <c r="D99" s="574">
        <v>0.18</v>
      </c>
      <c r="E99" s="574">
        <v>0.66</v>
      </c>
      <c r="F99" s="640">
        <f t="shared" si="1"/>
        <v>3.1</v>
      </c>
      <c r="G99" s="574">
        <v>1.4</v>
      </c>
      <c r="H99" s="574">
        <f t="shared" si="2"/>
        <v>0.5</v>
      </c>
      <c r="I99" s="574">
        <f t="shared" si="3"/>
        <v>0.23</v>
      </c>
      <c r="J99" s="574">
        <v>0.12</v>
      </c>
      <c r="K99" s="574">
        <v>0</v>
      </c>
      <c r="L99" s="574">
        <v>0</v>
      </c>
      <c r="M99" s="565">
        <v>4.5</v>
      </c>
      <c r="N99" s="579">
        <v>1</v>
      </c>
      <c r="O99" s="580">
        <v>3</v>
      </c>
      <c r="P99" s="635" t="str">
        <f t="shared" si="4"/>
        <v>Minivan</v>
      </c>
      <c r="Q99" s="636">
        <f t="shared" si="5"/>
        <v>4.5</v>
      </c>
      <c r="R99" s="637">
        <f t="shared" si="6"/>
        <v>0.66</v>
      </c>
      <c r="S99" s="638">
        <f t="shared" si="7"/>
        <v>0</v>
      </c>
      <c r="T99" s="564">
        <f t="shared" si="8"/>
        <v>0</v>
      </c>
      <c r="U99" s="639">
        <f t="shared" si="9"/>
        <v>1</v>
      </c>
      <c r="V99" s="639">
        <f t="shared" si="10"/>
        <v>3</v>
      </c>
      <c r="AD99" s="586"/>
      <c r="AE99" s="586"/>
    </row>
    <row r="100" spans="2:31">
      <c r="B100" s="561" t="s">
        <v>180</v>
      </c>
      <c r="C100" s="561" t="s">
        <v>113</v>
      </c>
      <c r="D100" s="574">
        <v>0.18</v>
      </c>
      <c r="E100" s="574">
        <v>0.66</v>
      </c>
      <c r="F100" s="640">
        <f t="shared" si="1"/>
        <v>3.6</v>
      </c>
      <c r="G100" s="574">
        <v>1.4</v>
      </c>
      <c r="H100" s="574">
        <f t="shared" si="2"/>
        <v>0.57999999999999996</v>
      </c>
      <c r="I100" s="574">
        <f t="shared" si="3"/>
        <v>0.23</v>
      </c>
      <c r="J100" s="574">
        <v>0.12</v>
      </c>
      <c r="K100" s="574">
        <v>0</v>
      </c>
      <c r="L100" s="574">
        <v>0</v>
      </c>
      <c r="M100" s="565">
        <v>5</v>
      </c>
      <c r="N100" s="579">
        <v>1</v>
      </c>
      <c r="O100" s="580">
        <v>3</v>
      </c>
      <c r="P100" s="635" t="str">
        <f t="shared" si="4"/>
        <v>Minivan</v>
      </c>
      <c r="Q100" s="636">
        <f t="shared" si="5"/>
        <v>5</v>
      </c>
      <c r="R100" s="637">
        <f t="shared" si="6"/>
        <v>0.66</v>
      </c>
      <c r="S100" s="638">
        <f t="shared" si="7"/>
        <v>0</v>
      </c>
      <c r="T100" s="564">
        <f t="shared" si="8"/>
        <v>0</v>
      </c>
      <c r="U100" s="639">
        <f t="shared" si="9"/>
        <v>1</v>
      </c>
      <c r="V100" s="639">
        <f t="shared" si="10"/>
        <v>3</v>
      </c>
      <c r="AD100" s="586"/>
      <c r="AE100" s="586"/>
    </row>
    <row r="101" spans="2:31">
      <c r="B101" s="561" t="s">
        <v>181</v>
      </c>
      <c r="C101" s="561" t="s">
        <v>113</v>
      </c>
      <c r="D101" s="574">
        <v>0.18</v>
      </c>
      <c r="E101" s="574">
        <v>0.66</v>
      </c>
      <c r="F101" s="640">
        <f t="shared" si="1"/>
        <v>4.0999999999999996</v>
      </c>
      <c r="G101" s="574">
        <v>1.4</v>
      </c>
      <c r="H101" s="574">
        <f t="shared" si="2"/>
        <v>0.66</v>
      </c>
      <c r="I101" s="574">
        <f t="shared" si="3"/>
        <v>0.23</v>
      </c>
      <c r="J101" s="574">
        <v>0.12</v>
      </c>
      <c r="K101" s="574">
        <v>0</v>
      </c>
      <c r="L101" s="574">
        <v>0</v>
      </c>
      <c r="M101" s="565">
        <v>5.5</v>
      </c>
      <c r="N101" s="579">
        <v>1</v>
      </c>
      <c r="O101" s="580">
        <v>3</v>
      </c>
      <c r="P101" s="635" t="str">
        <f t="shared" si="4"/>
        <v>Minivan</v>
      </c>
      <c r="Q101" s="636">
        <f t="shared" si="5"/>
        <v>5.5</v>
      </c>
      <c r="R101" s="637">
        <f t="shared" si="6"/>
        <v>0.66</v>
      </c>
      <c r="S101" s="638">
        <f t="shared" si="7"/>
        <v>0</v>
      </c>
      <c r="T101" s="564">
        <f t="shared" si="8"/>
        <v>0</v>
      </c>
      <c r="U101" s="639">
        <f t="shared" si="9"/>
        <v>1</v>
      </c>
      <c r="V101" s="639">
        <f t="shared" si="10"/>
        <v>3</v>
      </c>
      <c r="AD101" s="586"/>
      <c r="AE101" s="586"/>
    </row>
    <row r="102" spans="2:31">
      <c r="B102" s="561" t="s">
        <v>182</v>
      </c>
      <c r="C102" s="561" t="s">
        <v>113</v>
      </c>
      <c r="D102" s="574">
        <v>0.18</v>
      </c>
      <c r="E102" s="574">
        <v>0.66</v>
      </c>
      <c r="F102" s="640">
        <f t="shared" si="1"/>
        <v>4.5999999999999996</v>
      </c>
      <c r="G102" s="574">
        <v>1.4</v>
      </c>
      <c r="H102" s="574">
        <f t="shared" si="2"/>
        <v>0.75</v>
      </c>
      <c r="I102" s="574">
        <f t="shared" si="3"/>
        <v>0.23</v>
      </c>
      <c r="J102" s="574">
        <v>0.12</v>
      </c>
      <c r="K102" s="574">
        <v>0</v>
      </c>
      <c r="L102" s="574">
        <v>0</v>
      </c>
      <c r="M102" s="565">
        <v>6</v>
      </c>
      <c r="N102" s="579">
        <v>1</v>
      </c>
      <c r="O102" s="580">
        <v>3</v>
      </c>
      <c r="P102" s="635" t="str">
        <f t="shared" si="4"/>
        <v>Minivan</v>
      </c>
      <c r="Q102" s="636">
        <f t="shared" si="5"/>
        <v>6</v>
      </c>
      <c r="R102" s="637">
        <f t="shared" si="6"/>
        <v>0.66</v>
      </c>
      <c r="S102" s="638">
        <f t="shared" si="7"/>
        <v>0</v>
      </c>
      <c r="T102" s="564">
        <f t="shared" si="8"/>
        <v>0</v>
      </c>
      <c r="U102" s="639">
        <f t="shared" si="9"/>
        <v>1</v>
      </c>
      <c r="V102" s="639">
        <f t="shared" si="10"/>
        <v>3</v>
      </c>
      <c r="AD102" s="586"/>
      <c r="AE102" s="586"/>
    </row>
    <row r="103" spans="2:31">
      <c r="B103" s="561" t="s">
        <v>183</v>
      </c>
      <c r="C103" s="561" t="s">
        <v>113</v>
      </c>
      <c r="D103" s="574">
        <v>0.18</v>
      </c>
      <c r="E103" s="574">
        <v>0.66</v>
      </c>
      <c r="F103" s="640">
        <f t="shared" si="1"/>
        <v>5.0999999999999996</v>
      </c>
      <c r="G103" s="574">
        <v>1.4</v>
      </c>
      <c r="H103" s="574">
        <f t="shared" si="2"/>
        <v>0.83</v>
      </c>
      <c r="I103" s="574">
        <f t="shared" si="3"/>
        <v>0.23</v>
      </c>
      <c r="J103" s="574">
        <v>0.12</v>
      </c>
      <c r="K103" s="574">
        <v>0</v>
      </c>
      <c r="L103" s="574">
        <v>0</v>
      </c>
      <c r="M103" s="565">
        <v>6.5</v>
      </c>
      <c r="N103" s="579">
        <v>1</v>
      </c>
      <c r="O103" s="580">
        <v>3</v>
      </c>
      <c r="P103" s="635" t="str">
        <f t="shared" si="4"/>
        <v>Minivan</v>
      </c>
      <c r="Q103" s="636">
        <f t="shared" si="5"/>
        <v>6.5</v>
      </c>
      <c r="R103" s="637">
        <f t="shared" si="6"/>
        <v>0.66</v>
      </c>
      <c r="S103" s="638">
        <f t="shared" si="7"/>
        <v>0</v>
      </c>
      <c r="T103" s="564">
        <f t="shared" si="8"/>
        <v>0</v>
      </c>
      <c r="U103" s="639">
        <f t="shared" si="9"/>
        <v>1</v>
      </c>
      <c r="V103" s="639">
        <f t="shared" si="10"/>
        <v>3</v>
      </c>
      <c r="AD103" s="586"/>
      <c r="AE103" s="586"/>
    </row>
    <row r="104" spans="2:31">
      <c r="B104" s="561" t="s">
        <v>184</v>
      </c>
      <c r="C104" s="561" t="s">
        <v>113</v>
      </c>
      <c r="D104" s="574">
        <v>0.18</v>
      </c>
      <c r="E104" s="574">
        <v>0.66</v>
      </c>
      <c r="F104" s="640">
        <f t="shared" si="1"/>
        <v>5.6</v>
      </c>
      <c r="G104" s="574">
        <v>1.4</v>
      </c>
      <c r="H104" s="574">
        <f t="shared" si="2"/>
        <v>0.91</v>
      </c>
      <c r="I104" s="574">
        <f t="shared" si="3"/>
        <v>0.23</v>
      </c>
      <c r="J104" s="574">
        <v>0.12</v>
      </c>
      <c r="K104" s="574">
        <v>0</v>
      </c>
      <c r="L104" s="574">
        <v>0</v>
      </c>
      <c r="M104" s="565">
        <v>7</v>
      </c>
      <c r="N104" s="579">
        <v>1</v>
      </c>
      <c r="O104" s="580">
        <v>3</v>
      </c>
      <c r="P104" s="635" t="str">
        <f t="shared" si="4"/>
        <v>Minivan</v>
      </c>
      <c r="Q104" s="636">
        <f t="shared" si="5"/>
        <v>7</v>
      </c>
      <c r="R104" s="637">
        <f t="shared" si="6"/>
        <v>0.66</v>
      </c>
      <c r="S104" s="638">
        <f t="shared" si="7"/>
        <v>0</v>
      </c>
      <c r="T104" s="564">
        <f t="shared" si="8"/>
        <v>0</v>
      </c>
      <c r="U104" s="639">
        <f t="shared" si="9"/>
        <v>1</v>
      </c>
      <c r="V104" s="639">
        <f t="shared" si="10"/>
        <v>3</v>
      </c>
      <c r="AD104" s="586"/>
      <c r="AE104" s="586"/>
    </row>
    <row r="105" spans="2:31">
      <c r="B105" s="561" t="s">
        <v>185</v>
      </c>
      <c r="C105" s="561" t="s">
        <v>113</v>
      </c>
      <c r="D105" s="574">
        <v>0.18</v>
      </c>
      <c r="E105" s="574">
        <v>0.66</v>
      </c>
      <c r="F105" s="640">
        <f t="shared" si="1"/>
        <v>6.1</v>
      </c>
      <c r="G105" s="574">
        <v>1.4</v>
      </c>
      <c r="H105" s="574">
        <f t="shared" si="2"/>
        <v>0.99</v>
      </c>
      <c r="I105" s="574">
        <f t="shared" si="3"/>
        <v>0.23</v>
      </c>
      <c r="J105" s="574">
        <v>0.12</v>
      </c>
      <c r="K105" s="574">
        <v>0</v>
      </c>
      <c r="L105" s="574">
        <v>0</v>
      </c>
      <c r="M105" s="565">
        <v>7.5</v>
      </c>
      <c r="N105" s="579">
        <v>1</v>
      </c>
      <c r="O105" s="580">
        <v>3</v>
      </c>
      <c r="P105" s="635" t="str">
        <f t="shared" si="4"/>
        <v>Minivan</v>
      </c>
      <c r="Q105" s="636">
        <f t="shared" si="5"/>
        <v>7.5</v>
      </c>
      <c r="R105" s="637">
        <f t="shared" si="6"/>
        <v>0.66</v>
      </c>
      <c r="S105" s="638">
        <f t="shared" si="7"/>
        <v>0</v>
      </c>
      <c r="T105" s="564">
        <f t="shared" si="8"/>
        <v>0</v>
      </c>
      <c r="U105" s="639">
        <f t="shared" si="9"/>
        <v>1</v>
      </c>
      <c r="V105" s="639">
        <f t="shared" si="10"/>
        <v>3</v>
      </c>
      <c r="AD105" s="586"/>
      <c r="AE105" s="586"/>
    </row>
    <row r="106" spans="2:31">
      <c r="B106" s="561" t="s">
        <v>186</v>
      </c>
      <c r="C106" s="561" t="s">
        <v>113</v>
      </c>
      <c r="D106" s="574">
        <v>0.18</v>
      </c>
      <c r="E106" s="574">
        <v>0.66</v>
      </c>
      <c r="F106" s="640">
        <f t="shared" si="1"/>
        <v>6.6</v>
      </c>
      <c r="G106" s="574">
        <v>1.4</v>
      </c>
      <c r="H106" s="574">
        <f t="shared" si="2"/>
        <v>1.07</v>
      </c>
      <c r="I106" s="574">
        <f t="shared" si="3"/>
        <v>0.23</v>
      </c>
      <c r="J106" s="574">
        <v>0.12</v>
      </c>
      <c r="K106" s="574">
        <v>0</v>
      </c>
      <c r="L106" s="574">
        <v>0</v>
      </c>
      <c r="M106" s="565">
        <v>8</v>
      </c>
      <c r="N106" s="579">
        <v>1</v>
      </c>
      <c r="O106" s="580">
        <v>3</v>
      </c>
      <c r="P106" s="635" t="str">
        <f t="shared" si="4"/>
        <v>Minivan</v>
      </c>
      <c r="Q106" s="636">
        <f t="shared" si="5"/>
        <v>8</v>
      </c>
      <c r="R106" s="637">
        <f t="shared" si="6"/>
        <v>0.66</v>
      </c>
      <c r="S106" s="638">
        <f t="shared" si="7"/>
        <v>0</v>
      </c>
      <c r="T106" s="564">
        <f t="shared" si="8"/>
        <v>0</v>
      </c>
      <c r="U106" s="639">
        <f t="shared" si="9"/>
        <v>1</v>
      </c>
      <c r="V106" s="639">
        <f t="shared" si="10"/>
        <v>3</v>
      </c>
      <c r="AD106" s="586"/>
      <c r="AE106" s="586"/>
    </row>
    <row r="107" spans="2:31">
      <c r="B107" s="561" t="s">
        <v>187</v>
      </c>
      <c r="C107" s="561" t="s">
        <v>113</v>
      </c>
      <c r="D107" s="574">
        <v>0.18</v>
      </c>
      <c r="E107" s="574">
        <v>0.66</v>
      </c>
      <c r="F107" s="640">
        <f t="shared" si="1"/>
        <v>7.1</v>
      </c>
      <c r="G107" s="574">
        <v>1.4</v>
      </c>
      <c r="H107" s="574">
        <f t="shared" si="2"/>
        <v>1.1499999999999999</v>
      </c>
      <c r="I107" s="574">
        <f t="shared" si="3"/>
        <v>0.23</v>
      </c>
      <c r="J107" s="574">
        <v>0.12</v>
      </c>
      <c r="K107" s="574">
        <v>0</v>
      </c>
      <c r="L107" s="574">
        <v>0</v>
      </c>
      <c r="M107" s="565">
        <v>8.5</v>
      </c>
      <c r="N107" s="579">
        <v>1</v>
      </c>
      <c r="O107" s="580">
        <v>3</v>
      </c>
      <c r="P107" s="635" t="str">
        <f t="shared" si="4"/>
        <v>Minivan</v>
      </c>
      <c r="Q107" s="636">
        <f t="shared" si="5"/>
        <v>8.5</v>
      </c>
      <c r="R107" s="637">
        <f t="shared" si="6"/>
        <v>0.66</v>
      </c>
      <c r="S107" s="638">
        <f t="shared" si="7"/>
        <v>0</v>
      </c>
      <c r="T107" s="564">
        <f t="shared" si="8"/>
        <v>0</v>
      </c>
      <c r="U107" s="639">
        <f t="shared" si="9"/>
        <v>1</v>
      </c>
      <c r="V107" s="639">
        <f t="shared" si="10"/>
        <v>3</v>
      </c>
      <c r="AD107" s="586"/>
      <c r="AE107" s="586"/>
    </row>
    <row r="108" spans="2:31">
      <c r="B108" s="561" t="s">
        <v>188</v>
      </c>
      <c r="C108" s="561" t="s">
        <v>113</v>
      </c>
      <c r="D108" s="574">
        <v>0.18</v>
      </c>
      <c r="E108" s="574">
        <v>0.66</v>
      </c>
      <c r="F108" s="640">
        <f t="shared" si="1"/>
        <v>7.6</v>
      </c>
      <c r="G108" s="574">
        <v>1.4</v>
      </c>
      <c r="H108" s="574">
        <f t="shared" si="2"/>
        <v>1.23</v>
      </c>
      <c r="I108" s="574">
        <f t="shared" si="3"/>
        <v>0.23</v>
      </c>
      <c r="J108" s="574">
        <v>0.12</v>
      </c>
      <c r="K108" s="574">
        <v>0</v>
      </c>
      <c r="L108" s="574">
        <v>0</v>
      </c>
      <c r="M108" s="565">
        <v>9</v>
      </c>
      <c r="N108" s="579">
        <v>1</v>
      </c>
      <c r="O108" s="580">
        <v>3</v>
      </c>
      <c r="P108" s="635" t="str">
        <f t="shared" si="4"/>
        <v>Minivan</v>
      </c>
      <c r="Q108" s="636">
        <f t="shared" si="5"/>
        <v>9</v>
      </c>
      <c r="R108" s="637">
        <f t="shared" si="6"/>
        <v>0.66</v>
      </c>
      <c r="S108" s="638">
        <f t="shared" si="7"/>
        <v>0</v>
      </c>
      <c r="T108" s="564">
        <f t="shared" si="8"/>
        <v>0</v>
      </c>
      <c r="U108" s="639">
        <f t="shared" si="9"/>
        <v>1</v>
      </c>
      <c r="V108" s="639">
        <f t="shared" si="10"/>
        <v>3</v>
      </c>
      <c r="AD108" s="586"/>
      <c r="AE108" s="586"/>
    </row>
    <row r="109" spans="2:31">
      <c r="B109" s="561" t="s">
        <v>189</v>
      </c>
      <c r="C109" s="561" t="s">
        <v>113</v>
      </c>
      <c r="D109" s="574">
        <v>0.18</v>
      </c>
      <c r="E109" s="574">
        <v>0.66</v>
      </c>
      <c r="F109" s="640">
        <f t="shared" si="1"/>
        <v>8.1</v>
      </c>
      <c r="G109" s="574">
        <v>1.4</v>
      </c>
      <c r="H109" s="574">
        <f t="shared" si="2"/>
        <v>1.31</v>
      </c>
      <c r="I109" s="574">
        <f t="shared" si="3"/>
        <v>0.23</v>
      </c>
      <c r="J109" s="574">
        <v>0.12</v>
      </c>
      <c r="K109" s="574">
        <v>0</v>
      </c>
      <c r="L109" s="574">
        <v>0</v>
      </c>
      <c r="M109" s="565">
        <v>9.5</v>
      </c>
      <c r="N109" s="579">
        <v>1</v>
      </c>
      <c r="O109" s="580">
        <v>3</v>
      </c>
      <c r="P109" s="635" t="str">
        <f t="shared" si="4"/>
        <v>Minivan</v>
      </c>
      <c r="Q109" s="636">
        <f t="shared" si="5"/>
        <v>9.5</v>
      </c>
      <c r="R109" s="637">
        <f t="shared" si="6"/>
        <v>0.66</v>
      </c>
      <c r="S109" s="638">
        <f t="shared" si="7"/>
        <v>0</v>
      </c>
      <c r="T109" s="564">
        <f t="shared" si="8"/>
        <v>0</v>
      </c>
      <c r="U109" s="639">
        <f t="shared" si="9"/>
        <v>1</v>
      </c>
      <c r="V109" s="639">
        <f t="shared" si="10"/>
        <v>3</v>
      </c>
      <c r="AD109" s="586"/>
      <c r="AE109" s="586"/>
    </row>
    <row r="110" spans="2:31">
      <c r="B110" s="561" t="s">
        <v>190</v>
      </c>
      <c r="C110" s="561" t="s">
        <v>113</v>
      </c>
      <c r="D110" s="574">
        <v>0.18</v>
      </c>
      <c r="E110" s="574">
        <v>0.66</v>
      </c>
      <c r="F110" s="640">
        <f t="shared" si="1"/>
        <v>8.6</v>
      </c>
      <c r="G110" s="574">
        <v>1.4</v>
      </c>
      <c r="H110" s="574">
        <f t="shared" si="2"/>
        <v>1.39</v>
      </c>
      <c r="I110" s="574">
        <f t="shared" si="3"/>
        <v>0.23</v>
      </c>
      <c r="J110" s="574">
        <v>0.12</v>
      </c>
      <c r="K110" s="574">
        <v>0</v>
      </c>
      <c r="L110" s="574">
        <v>0</v>
      </c>
      <c r="M110" s="565">
        <v>10</v>
      </c>
      <c r="N110" s="579">
        <v>1</v>
      </c>
      <c r="O110" s="580">
        <v>3</v>
      </c>
      <c r="P110" s="635" t="str">
        <f t="shared" si="4"/>
        <v>Minivan</v>
      </c>
      <c r="Q110" s="636">
        <f t="shared" si="5"/>
        <v>10</v>
      </c>
      <c r="R110" s="637">
        <f t="shared" si="6"/>
        <v>0.66</v>
      </c>
      <c r="S110" s="638">
        <f t="shared" si="7"/>
        <v>0</v>
      </c>
      <c r="T110" s="564">
        <f t="shared" si="8"/>
        <v>0</v>
      </c>
      <c r="U110" s="639">
        <f t="shared" si="9"/>
        <v>1</v>
      </c>
      <c r="V110" s="639">
        <f t="shared" si="10"/>
        <v>3</v>
      </c>
      <c r="AD110" s="586"/>
      <c r="AE110" s="586"/>
    </row>
    <row r="111" spans="2:31">
      <c r="B111" s="561" t="s">
        <v>191</v>
      </c>
      <c r="C111" s="561" t="s">
        <v>113</v>
      </c>
      <c r="D111" s="574">
        <v>0.18</v>
      </c>
      <c r="E111" s="574">
        <v>0.66</v>
      </c>
      <c r="F111" s="640">
        <f t="shared" si="1"/>
        <v>9.1</v>
      </c>
      <c r="G111" s="574">
        <v>1.4</v>
      </c>
      <c r="H111" s="574">
        <f t="shared" si="2"/>
        <v>1.47</v>
      </c>
      <c r="I111" s="574">
        <f t="shared" si="3"/>
        <v>0.23</v>
      </c>
      <c r="J111" s="574">
        <v>0.12</v>
      </c>
      <c r="K111" s="574">
        <v>0</v>
      </c>
      <c r="L111" s="574">
        <v>0</v>
      </c>
      <c r="M111" s="565">
        <v>10.5</v>
      </c>
      <c r="N111" s="579">
        <v>1</v>
      </c>
      <c r="O111" s="580">
        <v>3</v>
      </c>
      <c r="P111" s="635" t="str">
        <f t="shared" si="4"/>
        <v>Minivan</v>
      </c>
      <c r="Q111" s="636">
        <f t="shared" si="5"/>
        <v>10.5</v>
      </c>
      <c r="R111" s="637">
        <f t="shared" si="6"/>
        <v>0.66</v>
      </c>
      <c r="S111" s="638">
        <f t="shared" si="7"/>
        <v>0</v>
      </c>
      <c r="T111" s="564">
        <f t="shared" si="8"/>
        <v>0</v>
      </c>
      <c r="U111" s="639">
        <f t="shared" si="9"/>
        <v>1</v>
      </c>
      <c r="V111" s="639">
        <f t="shared" si="10"/>
        <v>3</v>
      </c>
      <c r="AD111" s="586"/>
      <c r="AE111" s="586"/>
    </row>
    <row r="112" spans="2:31">
      <c r="B112" s="561" t="s">
        <v>192</v>
      </c>
      <c r="C112" s="561" t="s">
        <v>113</v>
      </c>
      <c r="D112" s="574">
        <v>0.18</v>
      </c>
      <c r="E112" s="574">
        <v>0.66</v>
      </c>
      <c r="F112" s="640">
        <f t="shared" si="1"/>
        <v>9.6</v>
      </c>
      <c r="G112" s="574">
        <v>1.4</v>
      </c>
      <c r="H112" s="574">
        <f t="shared" si="2"/>
        <v>1.56</v>
      </c>
      <c r="I112" s="574">
        <f t="shared" si="3"/>
        <v>0.23</v>
      </c>
      <c r="J112" s="574">
        <v>0.12</v>
      </c>
      <c r="K112" s="574">
        <v>0</v>
      </c>
      <c r="L112" s="574">
        <v>0</v>
      </c>
      <c r="M112" s="565">
        <v>11</v>
      </c>
      <c r="N112" s="579">
        <v>1</v>
      </c>
      <c r="O112" s="580">
        <v>3</v>
      </c>
      <c r="P112" s="635" t="str">
        <f t="shared" si="4"/>
        <v>Minivan</v>
      </c>
      <c r="Q112" s="636">
        <f t="shared" si="5"/>
        <v>11</v>
      </c>
      <c r="R112" s="637">
        <f t="shared" si="6"/>
        <v>0.66</v>
      </c>
      <c r="S112" s="638">
        <f t="shared" si="7"/>
        <v>0</v>
      </c>
      <c r="T112" s="564">
        <f t="shared" si="8"/>
        <v>0</v>
      </c>
      <c r="U112" s="639">
        <f t="shared" si="9"/>
        <v>1</v>
      </c>
      <c r="V112" s="639">
        <f t="shared" si="10"/>
        <v>3</v>
      </c>
      <c r="AD112" s="586"/>
      <c r="AE112" s="586"/>
    </row>
    <row r="113" spans="2:31">
      <c r="B113" s="561" t="s">
        <v>193</v>
      </c>
      <c r="C113" s="561" t="s">
        <v>113</v>
      </c>
      <c r="D113" s="574">
        <v>0.18</v>
      </c>
      <c r="E113" s="574">
        <v>0.66</v>
      </c>
      <c r="F113" s="640">
        <f t="shared" si="1"/>
        <v>2.1</v>
      </c>
      <c r="G113" s="574">
        <v>1.4</v>
      </c>
      <c r="H113" s="574">
        <f t="shared" si="2"/>
        <v>0.34</v>
      </c>
      <c r="I113" s="574">
        <f t="shared" si="3"/>
        <v>0.23</v>
      </c>
      <c r="J113" s="574">
        <v>0.12</v>
      </c>
      <c r="K113" s="574">
        <v>0</v>
      </c>
      <c r="L113" s="574">
        <v>0</v>
      </c>
      <c r="M113" s="565">
        <v>3.5</v>
      </c>
      <c r="N113" s="579">
        <v>1</v>
      </c>
      <c r="O113" s="580">
        <v>3</v>
      </c>
      <c r="P113" s="635" t="str">
        <f t="shared" si="4"/>
        <v>Minivan</v>
      </c>
      <c r="Q113" s="636">
        <f t="shared" si="5"/>
        <v>3.5</v>
      </c>
      <c r="R113" s="637">
        <f t="shared" si="6"/>
        <v>0.66</v>
      </c>
      <c r="S113" s="638">
        <f t="shared" si="7"/>
        <v>0.2</v>
      </c>
      <c r="T113" s="564">
        <f t="shared" si="8"/>
        <v>0.70000000000000007</v>
      </c>
      <c r="U113" s="639">
        <f t="shared" si="9"/>
        <v>1</v>
      </c>
      <c r="V113" s="639">
        <f t="shared" si="10"/>
        <v>3</v>
      </c>
      <c r="AD113" s="586"/>
      <c r="AE113" s="586"/>
    </row>
    <row r="114" spans="2:31">
      <c r="B114" s="561" t="s">
        <v>194</v>
      </c>
      <c r="C114" s="561" t="s">
        <v>113</v>
      </c>
      <c r="D114" s="574">
        <v>0.18</v>
      </c>
      <c r="E114" s="574">
        <v>0.66</v>
      </c>
      <c r="F114" s="640">
        <f t="shared" si="1"/>
        <v>2.6</v>
      </c>
      <c r="G114" s="574">
        <v>1.4</v>
      </c>
      <c r="H114" s="574">
        <f t="shared" si="2"/>
        <v>0.42</v>
      </c>
      <c r="I114" s="574">
        <f t="shared" si="3"/>
        <v>0.23</v>
      </c>
      <c r="J114" s="574">
        <v>0.12</v>
      </c>
      <c r="K114" s="574">
        <v>0</v>
      </c>
      <c r="L114" s="574">
        <v>0</v>
      </c>
      <c r="M114" s="565">
        <v>4</v>
      </c>
      <c r="N114" s="579">
        <v>1</v>
      </c>
      <c r="O114" s="580">
        <v>3</v>
      </c>
      <c r="P114" s="635" t="str">
        <f t="shared" si="4"/>
        <v>Minivan</v>
      </c>
      <c r="Q114" s="636">
        <f t="shared" si="5"/>
        <v>4</v>
      </c>
      <c r="R114" s="637">
        <f t="shared" si="6"/>
        <v>0.66</v>
      </c>
      <c r="S114" s="638">
        <f t="shared" si="7"/>
        <v>0.2</v>
      </c>
      <c r="T114" s="564">
        <f t="shared" si="8"/>
        <v>0.8</v>
      </c>
      <c r="U114" s="639">
        <f t="shared" si="9"/>
        <v>1</v>
      </c>
      <c r="V114" s="639">
        <f t="shared" si="10"/>
        <v>3</v>
      </c>
      <c r="AD114" s="586"/>
      <c r="AE114" s="586"/>
    </row>
    <row r="115" spans="2:31">
      <c r="B115" s="561" t="s">
        <v>195</v>
      </c>
      <c r="C115" s="561" t="s">
        <v>113</v>
      </c>
      <c r="D115" s="574">
        <v>0.18</v>
      </c>
      <c r="E115" s="574">
        <v>0.66</v>
      </c>
      <c r="F115" s="640">
        <f t="shared" si="1"/>
        <v>3.1</v>
      </c>
      <c r="G115" s="574">
        <v>1.4</v>
      </c>
      <c r="H115" s="574">
        <f t="shared" si="2"/>
        <v>0.5</v>
      </c>
      <c r="I115" s="574">
        <f t="shared" si="3"/>
        <v>0.23</v>
      </c>
      <c r="J115" s="574">
        <v>0.12</v>
      </c>
      <c r="K115" s="574">
        <v>0</v>
      </c>
      <c r="L115" s="574">
        <v>0</v>
      </c>
      <c r="M115" s="565">
        <v>4.5</v>
      </c>
      <c r="N115" s="579">
        <v>1</v>
      </c>
      <c r="O115" s="580">
        <v>3</v>
      </c>
      <c r="P115" s="635" t="str">
        <f t="shared" si="4"/>
        <v>Minivan</v>
      </c>
      <c r="Q115" s="636">
        <f t="shared" si="5"/>
        <v>4.5</v>
      </c>
      <c r="R115" s="637">
        <f t="shared" si="6"/>
        <v>0.66</v>
      </c>
      <c r="S115" s="638">
        <f t="shared" si="7"/>
        <v>0.2</v>
      </c>
      <c r="T115" s="564">
        <f t="shared" si="8"/>
        <v>0.9</v>
      </c>
      <c r="U115" s="639">
        <f t="shared" si="9"/>
        <v>1</v>
      </c>
      <c r="V115" s="639">
        <f t="shared" si="10"/>
        <v>3</v>
      </c>
      <c r="AD115" s="586"/>
      <c r="AE115" s="586"/>
    </row>
    <row r="116" spans="2:31">
      <c r="B116" s="561" t="s">
        <v>196</v>
      </c>
      <c r="C116" s="561" t="s">
        <v>113</v>
      </c>
      <c r="D116" s="574">
        <v>0.18</v>
      </c>
      <c r="E116" s="574">
        <v>0.66</v>
      </c>
      <c r="F116" s="640">
        <f t="shared" si="1"/>
        <v>3.6</v>
      </c>
      <c r="G116" s="574">
        <v>1.4</v>
      </c>
      <c r="H116" s="574">
        <f t="shared" si="2"/>
        <v>0.57999999999999996</v>
      </c>
      <c r="I116" s="574">
        <f t="shared" si="3"/>
        <v>0.23</v>
      </c>
      <c r="J116" s="574">
        <v>0.12</v>
      </c>
      <c r="K116" s="574">
        <v>0</v>
      </c>
      <c r="L116" s="574">
        <v>0</v>
      </c>
      <c r="M116" s="565">
        <v>5</v>
      </c>
      <c r="N116" s="579">
        <v>1</v>
      </c>
      <c r="O116" s="580">
        <v>3</v>
      </c>
      <c r="P116" s="635" t="str">
        <f t="shared" si="4"/>
        <v>Minivan</v>
      </c>
      <c r="Q116" s="636">
        <f t="shared" si="5"/>
        <v>5</v>
      </c>
      <c r="R116" s="637">
        <f t="shared" si="6"/>
        <v>0.66</v>
      </c>
      <c r="S116" s="638">
        <f t="shared" si="7"/>
        <v>0.2</v>
      </c>
      <c r="T116" s="564">
        <f t="shared" si="8"/>
        <v>1</v>
      </c>
      <c r="U116" s="639">
        <f t="shared" si="9"/>
        <v>1</v>
      </c>
      <c r="V116" s="639">
        <f t="shared" si="10"/>
        <v>3</v>
      </c>
      <c r="AD116" s="586"/>
      <c r="AE116" s="586"/>
    </row>
    <row r="117" spans="2:31">
      <c r="B117" s="561" t="s">
        <v>197</v>
      </c>
      <c r="C117" s="561" t="s">
        <v>113</v>
      </c>
      <c r="D117" s="574">
        <v>0.18</v>
      </c>
      <c r="E117" s="574">
        <v>0.66</v>
      </c>
      <c r="F117" s="640">
        <f t="shared" si="1"/>
        <v>4.0999999999999996</v>
      </c>
      <c r="G117" s="574">
        <v>1.4</v>
      </c>
      <c r="H117" s="574">
        <f t="shared" si="2"/>
        <v>0.66</v>
      </c>
      <c r="I117" s="574">
        <f t="shared" si="3"/>
        <v>0.23</v>
      </c>
      <c r="J117" s="574">
        <v>0.12</v>
      </c>
      <c r="K117" s="574">
        <v>0</v>
      </c>
      <c r="L117" s="574">
        <v>0</v>
      </c>
      <c r="M117" s="565">
        <v>5.5</v>
      </c>
      <c r="N117" s="579">
        <v>1</v>
      </c>
      <c r="O117" s="580">
        <v>3</v>
      </c>
      <c r="P117" s="635" t="str">
        <f t="shared" si="4"/>
        <v>Minivan</v>
      </c>
      <c r="Q117" s="636">
        <f t="shared" si="5"/>
        <v>5.5</v>
      </c>
      <c r="R117" s="637">
        <f t="shared" si="6"/>
        <v>0.66</v>
      </c>
      <c r="S117" s="638">
        <f t="shared" si="7"/>
        <v>0.2</v>
      </c>
      <c r="T117" s="564">
        <f t="shared" si="8"/>
        <v>1.1000000000000001</v>
      </c>
      <c r="U117" s="639">
        <f t="shared" si="9"/>
        <v>1</v>
      </c>
      <c r="V117" s="639">
        <f t="shared" si="10"/>
        <v>3</v>
      </c>
      <c r="AD117" s="586"/>
      <c r="AE117" s="586"/>
    </row>
    <row r="118" spans="2:31">
      <c r="B118" s="561" t="s">
        <v>198</v>
      </c>
      <c r="C118" s="561" t="s">
        <v>113</v>
      </c>
      <c r="D118" s="574">
        <v>0.18</v>
      </c>
      <c r="E118" s="574">
        <v>0.66</v>
      </c>
      <c r="F118" s="640">
        <f t="shared" si="1"/>
        <v>4.5999999999999996</v>
      </c>
      <c r="G118" s="574">
        <v>1.4</v>
      </c>
      <c r="H118" s="574">
        <f t="shared" si="2"/>
        <v>0.75</v>
      </c>
      <c r="I118" s="574">
        <f t="shared" si="3"/>
        <v>0.23</v>
      </c>
      <c r="J118" s="574">
        <v>0.12</v>
      </c>
      <c r="K118" s="574">
        <v>0</v>
      </c>
      <c r="L118" s="574">
        <v>0</v>
      </c>
      <c r="M118" s="565">
        <v>6</v>
      </c>
      <c r="N118" s="579">
        <v>1</v>
      </c>
      <c r="O118" s="580">
        <v>3</v>
      </c>
      <c r="P118" s="635" t="str">
        <f t="shared" si="4"/>
        <v>Minivan</v>
      </c>
      <c r="Q118" s="636">
        <f t="shared" si="5"/>
        <v>6</v>
      </c>
      <c r="R118" s="637">
        <f t="shared" si="6"/>
        <v>0.66</v>
      </c>
      <c r="S118" s="638">
        <f t="shared" si="7"/>
        <v>0.2</v>
      </c>
      <c r="T118" s="564">
        <f t="shared" si="8"/>
        <v>1.2000000000000002</v>
      </c>
      <c r="U118" s="639">
        <f t="shared" si="9"/>
        <v>1</v>
      </c>
      <c r="V118" s="639">
        <f t="shared" si="10"/>
        <v>3</v>
      </c>
      <c r="AD118" s="586"/>
      <c r="AE118" s="586"/>
    </row>
    <row r="119" spans="2:31">
      <c r="B119" s="561" t="s">
        <v>199</v>
      </c>
      <c r="C119" s="561" t="s">
        <v>113</v>
      </c>
      <c r="D119" s="574">
        <v>0.18</v>
      </c>
      <c r="E119" s="574">
        <v>0.66</v>
      </c>
      <c r="F119" s="640">
        <f t="shared" si="1"/>
        <v>5.0999999999999996</v>
      </c>
      <c r="G119" s="574">
        <v>1.4</v>
      </c>
      <c r="H119" s="574">
        <f t="shared" si="2"/>
        <v>0.83</v>
      </c>
      <c r="I119" s="574">
        <f t="shared" si="3"/>
        <v>0.23</v>
      </c>
      <c r="J119" s="574">
        <v>0.12</v>
      </c>
      <c r="K119" s="574">
        <v>0</v>
      </c>
      <c r="L119" s="574">
        <v>0</v>
      </c>
      <c r="M119" s="565">
        <v>6.5</v>
      </c>
      <c r="N119" s="579">
        <v>1</v>
      </c>
      <c r="O119" s="580">
        <v>3</v>
      </c>
      <c r="P119" s="635" t="str">
        <f t="shared" si="4"/>
        <v>Minivan</v>
      </c>
      <c r="Q119" s="636">
        <f t="shared" si="5"/>
        <v>6.5</v>
      </c>
      <c r="R119" s="637">
        <f t="shared" si="6"/>
        <v>0.66</v>
      </c>
      <c r="S119" s="638">
        <f t="shared" si="7"/>
        <v>0.2</v>
      </c>
      <c r="T119" s="564">
        <f t="shared" si="8"/>
        <v>1.3</v>
      </c>
      <c r="U119" s="639">
        <f t="shared" si="9"/>
        <v>1</v>
      </c>
      <c r="V119" s="639">
        <f t="shared" si="10"/>
        <v>3</v>
      </c>
      <c r="AD119" s="586"/>
      <c r="AE119" s="586"/>
    </row>
    <row r="120" spans="2:31">
      <c r="B120" s="561" t="s">
        <v>200</v>
      </c>
      <c r="C120" s="561" t="s">
        <v>113</v>
      </c>
      <c r="D120" s="574">
        <v>0.18</v>
      </c>
      <c r="E120" s="574">
        <v>0.66</v>
      </c>
      <c r="F120" s="640">
        <f t="shared" si="1"/>
        <v>5.6</v>
      </c>
      <c r="G120" s="574">
        <v>1.4</v>
      </c>
      <c r="H120" s="574">
        <f t="shared" si="2"/>
        <v>0.91</v>
      </c>
      <c r="I120" s="574">
        <f t="shared" si="3"/>
        <v>0.23</v>
      </c>
      <c r="J120" s="574">
        <v>0.12</v>
      </c>
      <c r="K120" s="574">
        <v>0</v>
      </c>
      <c r="L120" s="574">
        <v>0</v>
      </c>
      <c r="M120" s="565">
        <v>7</v>
      </c>
      <c r="N120" s="579">
        <v>1</v>
      </c>
      <c r="O120" s="580">
        <v>3</v>
      </c>
      <c r="P120" s="635" t="str">
        <f t="shared" si="4"/>
        <v>Minivan</v>
      </c>
      <c r="Q120" s="636">
        <f t="shared" si="5"/>
        <v>7</v>
      </c>
      <c r="R120" s="637">
        <f t="shared" si="6"/>
        <v>0.66</v>
      </c>
      <c r="S120" s="638">
        <f t="shared" si="7"/>
        <v>0.2</v>
      </c>
      <c r="T120" s="564">
        <f t="shared" si="8"/>
        <v>1.4000000000000001</v>
      </c>
      <c r="U120" s="639">
        <f t="shared" si="9"/>
        <v>1</v>
      </c>
      <c r="V120" s="639">
        <f t="shared" si="10"/>
        <v>3</v>
      </c>
      <c r="AD120" s="586"/>
      <c r="AE120" s="586"/>
    </row>
    <row r="121" spans="2:31">
      <c r="B121" s="561" t="s">
        <v>201</v>
      </c>
      <c r="C121" s="561" t="s">
        <v>113</v>
      </c>
      <c r="D121" s="574">
        <v>0.18</v>
      </c>
      <c r="E121" s="574">
        <v>0.66</v>
      </c>
      <c r="F121" s="640">
        <f t="shared" si="1"/>
        <v>6.1</v>
      </c>
      <c r="G121" s="574">
        <v>1.4</v>
      </c>
      <c r="H121" s="574">
        <f t="shared" si="2"/>
        <v>0.99</v>
      </c>
      <c r="I121" s="574">
        <f t="shared" si="3"/>
        <v>0.23</v>
      </c>
      <c r="J121" s="574">
        <v>0.12</v>
      </c>
      <c r="K121" s="574">
        <v>0</v>
      </c>
      <c r="L121" s="574">
        <v>0</v>
      </c>
      <c r="M121" s="565">
        <v>7.5</v>
      </c>
      <c r="N121" s="579">
        <v>1</v>
      </c>
      <c r="O121" s="580">
        <v>3</v>
      </c>
      <c r="P121" s="635" t="str">
        <f t="shared" si="4"/>
        <v>Minivan</v>
      </c>
      <c r="Q121" s="636">
        <f t="shared" si="5"/>
        <v>7.5</v>
      </c>
      <c r="R121" s="637">
        <f t="shared" si="6"/>
        <v>0.66</v>
      </c>
      <c r="S121" s="638">
        <f t="shared" si="7"/>
        <v>0.2</v>
      </c>
      <c r="T121" s="564">
        <f t="shared" si="8"/>
        <v>1.5</v>
      </c>
      <c r="U121" s="639">
        <f t="shared" si="9"/>
        <v>1</v>
      </c>
      <c r="V121" s="639">
        <f t="shared" si="10"/>
        <v>3</v>
      </c>
      <c r="AD121" s="586"/>
      <c r="AE121" s="586"/>
    </row>
    <row r="122" spans="2:31">
      <c r="B122" s="561" t="s">
        <v>202</v>
      </c>
      <c r="C122" s="561" t="s">
        <v>113</v>
      </c>
      <c r="D122" s="574">
        <v>0.18</v>
      </c>
      <c r="E122" s="574">
        <v>0.66</v>
      </c>
      <c r="F122" s="640">
        <f t="shared" si="1"/>
        <v>6.6</v>
      </c>
      <c r="G122" s="574">
        <v>1.4</v>
      </c>
      <c r="H122" s="574">
        <f t="shared" si="2"/>
        <v>1.07</v>
      </c>
      <c r="I122" s="574">
        <f t="shared" si="3"/>
        <v>0.23</v>
      </c>
      <c r="J122" s="574">
        <v>0.12</v>
      </c>
      <c r="K122" s="574">
        <v>0</v>
      </c>
      <c r="L122" s="574">
        <v>0</v>
      </c>
      <c r="M122" s="565">
        <v>8</v>
      </c>
      <c r="N122" s="579">
        <v>1</v>
      </c>
      <c r="O122" s="580">
        <v>3</v>
      </c>
      <c r="P122" s="635" t="str">
        <f t="shared" si="4"/>
        <v>Minivan</v>
      </c>
      <c r="Q122" s="636">
        <f t="shared" si="5"/>
        <v>8</v>
      </c>
      <c r="R122" s="637">
        <f t="shared" si="6"/>
        <v>0.66</v>
      </c>
      <c r="S122" s="638">
        <f t="shared" si="7"/>
        <v>0.2</v>
      </c>
      <c r="T122" s="564">
        <f t="shared" si="8"/>
        <v>1.6</v>
      </c>
      <c r="U122" s="639">
        <f t="shared" si="9"/>
        <v>1</v>
      </c>
      <c r="V122" s="639">
        <f t="shared" si="10"/>
        <v>3</v>
      </c>
      <c r="AD122" s="586"/>
      <c r="AE122" s="586"/>
    </row>
    <row r="123" spans="2:31">
      <c r="B123" s="561" t="s">
        <v>203</v>
      </c>
      <c r="C123" s="561" t="s">
        <v>113</v>
      </c>
      <c r="D123" s="574">
        <v>0.18</v>
      </c>
      <c r="E123" s="574">
        <v>0.66</v>
      </c>
      <c r="F123" s="640">
        <f t="shared" si="1"/>
        <v>7.1</v>
      </c>
      <c r="G123" s="574">
        <v>1.4</v>
      </c>
      <c r="H123" s="574">
        <f t="shared" si="2"/>
        <v>1.1499999999999999</v>
      </c>
      <c r="I123" s="574">
        <f t="shared" si="3"/>
        <v>0.23</v>
      </c>
      <c r="J123" s="574">
        <v>0.12</v>
      </c>
      <c r="K123" s="574">
        <v>0</v>
      </c>
      <c r="L123" s="574">
        <v>0</v>
      </c>
      <c r="M123" s="565">
        <v>8.5</v>
      </c>
      <c r="N123" s="579">
        <v>1</v>
      </c>
      <c r="O123" s="580">
        <v>3</v>
      </c>
      <c r="P123" s="635" t="str">
        <f t="shared" si="4"/>
        <v>Minivan</v>
      </c>
      <c r="Q123" s="636">
        <f t="shared" si="5"/>
        <v>8.5</v>
      </c>
      <c r="R123" s="637">
        <f t="shared" si="6"/>
        <v>0.66</v>
      </c>
      <c r="S123" s="638">
        <f t="shared" si="7"/>
        <v>0.2</v>
      </c>
      <c r="T123" s="564">
        <f t="shared" si="8"/>
        <v>1.7000000000000002</v>
      </c>
      <c r="U123" s="639">
        <f t="shared" si="9"/>
        <v>1</v>
      </c>
      <c r="V123" s="639">
        <f t="shared" si="10"/>
        <v>3</v>
      </c>
      <c r="AD123" s="586"/>
      <c r="AE123" s="586"/>
    </row>
    <row r="124" spans="2:31">
      <c r="B124" s="561" t="s">
        <v>204</v>
      </c>
      <c r="C124" s="561" t="s">
        <v>113</v>
      </c>
      <c r="D124" s="574">
        <v>0.18</v>
      </c>
      <c r="E124" s="574">
        <v>0.66</v>
      </c>
      <c r="F124" s="640">
        <f t="shared" si="1"/>
        <v>7.6</v>
      </c>
      <c r="G124" s="574">
        <v>1.4</v>
      </c>
      <c r="H124" s="574">
        <f t="shared" si="2"/>
        <v>1.23</v>
      </c>
      <c r="I124" s="574">
        <f t="shared" si="3"/>
        <v>0.23</v>
      </c>
      <c r="J124" s="574">
        <v>0.12</v>
      </c>
      <c r="K124" s="574">
        <v>0</v>
      </c>
      <c r="L124" s="574">
        <v>0</v>
      </c>
      <c r="M124" s="565">
        <v>9</v>
      </c>
      <c r="N124" s="579">
        <v>1</v>
      </c>
      <c r="O124" s="580">
        <v>3</v>
      </c>
      <c r="P124" s="635" t="str">
        <f t="shared" si="4"/>
        <v>Minivan</v>
      </c>
      <c r="Q124" s="636">
        <f t="shared" si="5"/>
        <v>9</v>
      </c>
      <c r="R124" s="637">
        <f t="shared" si="6"/>
        <v>0.66</v>
      </c>
      <c r="S124" s="638">
        <f t="shared" si="7"/>
        <v>0.2</v>
      </c>
      <c r="T124" s="564">
        <f t="shared" si="8"/>
        <v>1.8</v>
      </c>
      <c r="U124" s="639">
        <f t="shared" si="9"/>
        <v>1</v>
      </c>
      <c r="V124" s="639">
        <f t="shared" si="10"/>
        <v>3</v>
      </c>
      <c r="AD124" s="586"/>
      <c r="AE124" s="586"/>
    </row>
    <row r="125" spans="2:31">
      <c r="B125" s="561" t="s">
        <v>205</v>
      </c>
      <c r="C125" s="561" t="s">
        <v>113</v>
      </c>
      <c r="D125" s="574">
        <v>0.18</v>
      </c>
      <c r="E125" s="574">
        <v>0.66</v>
      </c>
      <c r="F125" s="640">
        <f t="shared" si="1"/>
        <v>8.1</v>
      </c>
      <c r="G125" s="574">
        <v>1.4</v>
      </c>
      <c r="H125" s="574">
        <f t="shared" si="2"/>
        <v>1.31</v>
      </c>
      <c r="I125" s="574">
        <f t="shared" si="3"/>
        <v>0.23</v>
      </c>
      <c r="J125" s="574">
        <v>0.12</v>
      </c>
      <c r="K125" s="574">
        <v>0</v>
      </c>
      <c r="L125" s="574">
        <v>0</v>
      </c>
      <c r="M125" s="565">
        <v>9.5</v>
      </c>
      <c r="N125" s="579">
        <v>1</v>
      </c>
      <c r="O125" s="580">
        <v>3</v>
      </c>
      <c r="P125" s="635" t="str">
        <f t="shared" si="4"/>
        <v>Minivan</v>
      </c>
      <c r="Q125" s="636">
        <f t="shared" si="5"/>
        <v>9.5</v>
      </c>
      <c r="R125" s="637">
        <f t="shared" si="6"/>
        <v>0.66</v>
      </c>
      <c r="S125" s="638">
        <f t="shared" si="7"/>
        <v>0.2</v>
      </c>
      <c r="T125" s="564">
        <f t="shared" si="8"/>
        <v>1.9000000000000001</v>
      </c>
      <c r="U125" s="639">
        <f t="shared" si="9"/>
        <v>1</v>
      </c>
      <c r="V125" s="639">
        <f t="shared" si="10"/>
        <v>3</v>
      </c>
      <c r="AD125" s="586"/>
      <c r="AE125" s="586"/>
    </row>
    <row r="126" spans="2:31">
      <c r="B126" s="561" t="s">
        <v>206</v>
      </c>
      <c r="C126" s="561" t="s">
        <v>113</v>
      </c>
      <c r="D126" s="574">
        <v>0.18</v>
      </c>
      <c r="E126" s="574">
        <v>0.66</v>
      </c>
      <c r="F126" s="640">
        <f t="shared" si="1"/>
        <v>8.6</v>
      </c>
      <c r="G126" s="574">
        <v>1.4</v>
      </c>
      <c r="H126" s="574">
        <f t="shared" si="2"/>
        <v>1.39</v>
      </c>
      <c r="I126" s="574">
        <f t="shared" si="3"/>
        <v>0.23</v>
      </c>
      <c r="J126" s="574">
        <v>0.12</v>
      </c>
      <c r="K126" s="574">
        <v>0</v>
      </c>
      <c r="L126" s="574">
        <v>0</v>
      </c>
      <c r="M126" s="565">
        <v>10</v>
      </c>
      <c r="N126" s="579">
        <v>1</v>
      </c>
      <c r="O126" s="580">
        <v>3</v>
      </c>
      <c r="P126" s="635" t="str">
        <f t="shared" si="4"/>
        <v>Minivan</v>
      </c>
      <c r="Q126" s="636">
        <f t="shared" si="5"/>
        <v>10</v>
      </c>
      <c r="R126" s="637">
        <f t="shared" si="6"/>
        <v>0.66</v>
      </c>
      <c r="S126" s="638">
        <f t="shared" si="7"/>
        <v>0.2</v>
      </c>
      <c r="T126" s="564">
        <f t="shared" si="8"/>
        <v>2</v>
      </c>
      <c r="U126" s="639">
        <f t="shared" si="9"/>
        <v>1</v>
      </c>
      <c r="V126" s="639">
        <f t="shared" si="10"/>
        <v>3</v>
      </c>
      <c r="AD126" s="586"/>
      <c r="AE126" s="586"/>
    </row>
    <row r="127" spans="2:31">
      <c r="B127" s="561" t="s">
        <v>207</v>
      </c>
      <c r="C127" s="561" t="s">
        <v>113</v>
      </c>
      <c r="D127" s="574">
        <v>0.18</v>
      </c>
      <c r="E127" s="574">
        <v>0.66</v>
      </c>
      <c r="F127" s="640">
        <f t="shared" si="1"/>
        <v>9.1</v>
      </c>
      <c r="G127" s="574">
        <v>1.4</v>
      </c>
      <c r="H127" s="574">
        <f t="shared" si="2"/>
        <v>1.47</v>
      </c>
      <c r="I127" s="574">
        <f t="shared" si="3"/>
        <v>0.23</v>
      </c>
      <c r="J127" s="574">
        <v>0.12</v>
      </c>
      <c r="K127" s="574">
        <v>0</v>
      </c>
      <c r="L127" s="574">
        <v>0</v>
      </c>
      <c r="M127" s="565">
        <v>10.5</v>
      </c>
      <c r="N127" s="579">
        <v>1</v>
      </c>
      <c r="O127" s="580">
        <v>3</v>
      </c>
      <c r="P127" s="635" t="str">
        <f t="shared" si="4"/>
        <v>Minivan</v>
      </c>
      <c r="Q127" s="636">
        <f t="shared" si="5"/>
        <v>10.5</v>
      </c>
      <c r="R127" s="637">
        <f t="shared" si="6"/>
        <v>0.66</v>
      </c>
      <c r="S127" s="638">
        <f t="shared" si="7"/>
        <v>0.2</v>
      </c>
      <c r="T127" s="564">
        <f t="shared" si="8"/>
        <v>2.1</v>
      </c>
      <c r="U127" s="639">
        <f t="shared" si="9"/>
        <v>1</v>
      </c>
      <c r="V127" s="639">
        <f t="shared" si="10"/>
        <v>3</v>
      </c>
      <c r="AD127" s="586"/>
      <c r="AE127" s="586"/>
    </row>
    <row r="128" spans="2:31">
      <c r="B128" s="561" t="s">
        <v>208</v>
      </c>
      <c r="C128" s="561" t="s">
        <v>113</v>
      </c>
      <c r="D128" s="574">
        <v>0.18</v>
      </c>
      <c r="E128" s="574">
        <v>0.66</v>
      </c>
      <c r="F128" s="640">
        <f t="shared" si="1"/>
        <v>9.6</v>
      </c>
      <c r="G128" s="574">
        <v>1.4</v>
      </c>
      <c r="H128" s="574">
        <f t="shared" si="2"/>
        <v>1.56</v>
      </c>
      <c r="I128" s="574">
        <f t="shared" si="3"/>
        <v>0.23</v>
      </c>
      <c r="J128" s="574">
        <v>0.12</v>
      </c>
      <c r="K128" s="574">
        <v>0</v>
      </c>
      <c r="L128" s="574">
        <v>0</v>
      </c>
      <c r="M128" s="565">
        <v>11</v>
      </c>
      <c r="N128" s="579">
        <v>1</v>
      </c>
      <c r="O128" s="580">
        <v>3</v>
      </c>
      <c r="P128" s="635" t="str">
        <f t="shared" si="4"/>
        <v>Minivan</v>
      </c>
      <c r="Q128" s="636">
        <f t="shared" si="5"/>
        <v>11</v>
      </c>
      <c r="R128" s="637">
        <f t="shared" si="6"/>
        <v>0.66</v>
      </c>
      <c r="S128" s="638">
        <f t="shared" si="7"/>
        <v>0.2</v>
      </c>
      <c r="T128" s="564">
        <f t="shared" si="8"/>
        <v>2.2000000000000002</v>
      </c>
      <c r="U128" s="639">
        <f t="shared" si="9"/>
        <v>1</v>
      </c>
      <c r="V128" s="639">
        <f t="shared" si="10"/>
        <v>3</v>
      </c>
      <c r="AD128" s="586"/>
      <c r="AE128" s="586"/>
    </row>
    <row r="129" spans="2:31">
      <c r="B129" s="561" t="s">
        <v>209</v>
      </c>
      <c r="C129" s="561" t="s">
        <v>113</v>
      </c>
      <c r="D129" s="574">
        <v>0.18</v>
      </c>
      <c r="E129" s="574">
        <v>0.66</v>
      </c>
      <c r="F129" s="640">
        <f t="shared" si="1"/>
        <v>2.1</v>
      </c>
      <c r="G129" s="574">
        <v>1.4</v>
      </c>
      <c r="H129" s="574">
        <f t="shared" si="2"/>
        <v>0.34</v>
      </c>
      <c r="I129" s="574">
        <f t="shared" si="3"/>
        <v>0.23</v>
      </c>
      <c r="J129" s="574">
        <v>0.12</v>
      </c>
      <c r="K129" s="574">
        <v>0</v>
      </c>
      <c r="L129" s="574">
        <v>0</v>
      </c>
      <c r="M129" s="565">
        <v>3.5</v>
      </c>
      <c r="N129" s="579">
        <v>1</v>
      </c>
      <c r="O129" s="580">
        <v>3</v>
      </c>
      <c r="P129" s="635" t="str">
        <f t="shared" si="4"/>
        <v>Minivan</v>
      </c>
      <c r="Q129" s="636">
        <f t="shared" si="5"/>
        <v>3.5</v>
      </c>
      <c r="R129" s="637">
        <f t="shared" si="6"/>
        <v>0.66</v>
      </c>
      <c r="S129" s="638">
        <f t="shared" si="7"/>
        <v>0.3</v>
      </c>
      <c r="T129" s="564">
        <f t="shared" si="8"/>
        <v>1.05</v>
      </c>
      <c r="U129" s="639">
        <f t="shared" si="9"/>
        <v>1</v>
      </c>
      <c r="V129" s="639">
        <f t="shared" si="10"/>
        <v>3</v>
      </c>
      <c r="AD129" s="586"/>
      <c r="AE129" s="586"/>
    </row>
    <row r="130" spans="2:31">
      <c r="B130" s="561" t="s">
        <v>210</v>
      </c>
      <c r="C130" s="561" t="s">
        <v>113</v>
      </c>
      <c r="D130" s="574">
        <v>0.18</v>
      </c>
      <c r="E130" s="574">
        <v>0.66</v>
      </c>
      <c r="F130" s="640">
        <f t="shared" si="1"/>
        <v>2.6</v>
      </c>
      <c r="G130" s="574">
        <v>1.4</v>
      </c>
      <c r="H130" s="574">
        <f t="shared" si="2"/>
        <v>0.42</v>
      </c>
      <c r="I130" s="574">
        <f t="shared" si="3"/>
        <v>0.23</v>
      </c>
      <c r="J130" s="574">
        <v>0.12</v>
      </c>
      <c r="K130" s="574">
        <v>0</v>
      </c>
      <c r="L130" s="574">
        <v>0</v>
      </c>
      <c r="M130" s="565">
        <v>4</v>
      </c>
      <c r="N130" s="579">
        <v>1</v>
      </c>
      <c r="O130" s="580">
        <v>3</v>
      </c>
      <c r="P130" s="635" t="str">
        <f t="shared" si="4"/>
        <v>Minivan</v>
      </c>
      <c r="Q130" s="636">
        <f t="shared" si="5"/>
        <v>4</v>
      </c>
      <c r="R130" s="637">
        <f t="shared" si="6"/>
        <v>0.66</v>
      </c>
      <c r="S130" s="638">
        <f t="shared" si="7"/>
        <v>0.3</v>
      </c>
      <c r="T130" s="564">
        <f t="shared" si="8"/>
        <v>1.2</v>
      </c>
      <c r="U130" s="639">
        <f t="shared" si="9"/>
        <v>1</v>
      </c>
      <c r="V130" s="639">
        <f t="shared" si="10"/>
        <v>3</v>
      </c>
      <c r="AD130" s="586"/>
      <c r="AE130" s="586"/>
    </row>
    <row r="131" spans="2:31">
      <c r="B131" s="561" t="s">
        <v>211</v>
      </c>
      <c r="C131" s="561" t="s">
        <v>113</v>
      </c>
      <c r="D131" s="574">
        <v>0.18</v>
      </c>
      <c r="E131" s="574">
        <v>0.66</v>
      </c>
      <c r="F131" s="640">
        <f t="shared" si="1"/>
        <v>3.1</v>
      </c>
      <c r="G131" s="574">
        <v>1.4</v>
      </c>
      <c r="H131" s="574">
        <f t="shared" si="2"/>
        <v>0.5</v>
      </c>
      <c r="I131" s="574">
        <f t="shared" si="3"/>
        <v>0.23</v>
      </c>
      <c r="J131" s="574">
        <v>0.12</v>
      </c>
      <c r="K131" s="574">
        <v>0</v>
      </c>
      <c r="L131" s="574">
        <v>0</v>
      </c>
      <c r="M131" s="565">
        <v>4.5</v>
      </c>
      <c r="N131" s="579">
        <v>1</v>
      </c>
      <c r="O131" s="580">
        <v>3</v>
      </c>
      <c r="P131" s="635" t="str">
        <f t="shared" si="4"/>
        <v>Minivan</v>
      </c>
      <c r="Q131" s="636">
        <f t="shared" si="5"/>
        <v>4.5</v>
      </c>
      <c r="R131" s="637">
        <f t="shared" si="6"/>
        <v>0.66</v>
      </c>
      <c r="S131" s="638">
        <f t="shared" si="7"/>
        <v>0.3</v>
      </c>
      <c r="T131" s="564">
        <f t="shared" si="8"/>
        <v>1.3499999999999999</v>
      </c>
      <c r="U131" s="639">
        <f t="shared" si="9"/>
        <v>1</v>
      </c>
      <c r="V131" s="639">
        <f t="shared" si="10"/>
        <v>3</v>
      </c>
      <c r="AD131" s="586"/>
      <c r="AE131" s="586"/>
    </row>
    <row r="132" spans="2:31">
      <c r="B132" s="561" t="s">
        <v>212</v>
      </c>
      <c r="C132" s="561" t="s">
        <v>113</v>
      </c>
      <c r="D132" s="574">
        <v>0.18</v>
      </c>
      <c r="E132" s="574">
        <v>0.66</v>
      </c>
      <c r="F132" s="640">
        <f t="shared" si="1"/>
        <v>3.6</v>
      </c>
      <c r="G132" s="574">
        <v>1.4</v>
      </c>
      <c r="H132" s="574">
        <f t="shared" si="2"/>
        <v>0.57999999999999996</v>
      </c>
      <c r="I132" s="574">
        <f t="shared" si="3"/>
        <v>0.23</v>
      </c>
      <c r="J132" s="574">
        <v>0.12</v>
      </c>
      <c r="K132" s="574">
        <v>0</v>
      </c>
      <c r="L132" s="574">
        <v>0</v>
      </c>
      <c r="M132" s="565">
        <v>5</v>
      </c>
      <c r="N132" s="579">
        <v>1</v>
      </c>
      <c r="O132" s="580">
        <v>3</v>
      </c>
      <c r="P132" s="635" t="str">
        <f t="shared" si="4"/>
        <v>Minivan</v>
      </c>
      <c r="Q132" s="636">
        <f t="shared" si="5"/>
        <v>5</v>
      </c>
      <c r="R132" s="637">
        <f t="shared" si="6"/>
        <v>0.66</v>
      </c>
      <c r="S132" s="638">
        <f t="shared" si="7"/>
        <v>0.3</v>
      </c>
      <c r="T132" s="564">
        <f t="shared" si="8"/>
        <v>1.5</v>
      </c>
      <c r="U132" s="639">
        <f t="shared" si="9"/>
        <v>1</v>
      </c>
      <c r="V132" s="639">
        <f t="shared" si="10"/>
        <v>3</v>
      </c>
      <c r="AD132" s="586"/>
      <c r="AE132" s="586"/>
    </row>
    <row r="133" spans="2:31">
      <c r="B133" s="561" t="s">
        <v>213</v>
      </c>
      <c r="C133" s="561" t="s">
        <v>113</v>
      </c>
      <c r="D133" s="574">
        <v>0.18</v>
      </c>
      <c r="E133" s="574">
        <v>0.66</v>
      </c>
      <c r="F133" s="640">
        <f t="shared" si="1"/>
        <v>4.0999999999999996</v>
      </c>
      <c r="G133" s="574">
        <v>1.4</v>
      </c>
      <c r="H133" s="574">
        <f t="shared" si="2"/>
        <v>0.66</v>
      </c>
      <c r="I133" s="574">
        <f t="shared" si="3"/>
        <v>0.23</v>
      </c>
      <c r="J133" s="574">
        <v>0.12</v>
      </c>
      <c r="K133" s="574">
        <v>0</v>
      </c>
      <c r="L133" s="574">
        <v>0</v>
      </c>
      <c r="M133" s="565">
        <v>5.5</v>
      </c>
      <c r="N133" s="579">
        <v>1</v>
      </c>
      <c r="O133" s="580">
        <v>3</v>
      </c>
      <c r="P133" s="635" t="str">
        <f t="shared" si="4"/>
        <v>Minivan</v>
      </c>
      <c r="Q133" s="636">
        <f t="shared" si="5"/>
        <v>5.5</v>
      </c>
      <c r="R133" s="637">
        <f t="shared" si="6"/>
        <v>0.66</v>
      </c>
      <c r="S133" s="638">
        <f t="shared" si="7"/>
        <v>0.3</v>
      </c>
      <c r="T133" s="564">
        <f t="shared" si="8"/>
        <v>1.65</v>
      </c>
      <c r="U133" s="639">
        <f t="shared" si="9"/>
        <v>1</v>
      </c>
      <c r="V133" s="639">
        <f t="shared" si="10"/>
        <v>3</v>
      </c>
      <c r="AD133" s="586"/>
      <c r="AE133" s="586"/>
    </row>
    <row r="134" spans="2:31">
      <c r="B134" s="561" t="s">
        <v>214</v>
      </c>
      <c r="C134" s="561" t="s">
        <v>113</v>
      </c>
      <c r="D134" s="574">
        <v>0.18</v>
      </c>
      <c r="E134" s="574">
        <v>0.66</v>
      </c>
      <c r="F134" s="640">
        <f t="shared" si="1"/>
        <v>4.5999999999999996</v>
      </c>
      <c r="G134" s="574">
        <v>1.4</v>
      </c>
      <c r="H134" s="574">
        <f t="shared" si="2"/>
        <v>0.75</v>
      </c>
      <c r="I134" s="574">
        <f t="shared" si="3"/>
        <v>0.23</v>
      </c>
      <c r="J134" s="574">
        <v>0.12</v>
      </c>
      <c r="K134" s="574">
        <v>0</v>
      </c>
      <c r="L134" s="574">
        <v>0</v>
      </c>
      <c r="M134" s="565">
        <v>6</v>
      </c>
      <c r="N134" s="579">
        <v>1</v>
      </c>
      <c r="O134" s="580">
        <v>3</v>
      </c>
      <c r="P134" s="635" t="str">
        <f t="shared" si="4"/>
        <v>Minivan</v>
      </c>
      <c r="Q134" s="636">
        <f t="shared" si="5"/>
        <v>6</v>
      </c>
      <c r="R134" s="637">
        <f t="shared" si="6"/>
        <v>0.66</v>
      </c>
      <c r="S134" s="638">
        <f t="shared" si="7"/>
        <v>0.3</v>
      </c>
      <c r="T134" s="564">
        <f t="shared" si="8"/>
        <v>1.7999999999999998</v>
      </c>
      <c r="U134" s="639">
        <f t="shared" si="9"/>
        <v>1</v>
      </c>
      <c r="V134" s="639">
        <f t="shared" si="10"/>
        <v>3</v>
      </c>
      <c r="AD134" s="586"/>
      <c r="AE134" s="586"/>
    </row>
    <row r="135" spans="2:31">
      <c r="B135" s="561" t="s">
        <v>215</v>
      </c>
      <c r="C135" s="561" t="s">
        <v>113</v>
      </c>
      <c r="D135" s="574">
        <v>0.18</v>
      </c>
      <c r="E135" s="574">
        <v>0.66</v>
      </c>
      <c r="F135" s="640">
        <f t="shared" si="1"/>
        <v>5.0999999999999996</v>
      </c>
      <c r="G135" s="574">
        <v>1.4</v>
      </c>
      <c r="H135" s="574">
        <f t="shared" si="2"/>
        <v>0.83</v>
      </c>
      <c r="I135" s="574">
        <f t="shared" si="3"/>
        <v>0.23</v>
      </c>
      <c r="J135" s="574">
        <v>0.12</v>
      </c>
      <c r="K135" s="574">
        <v>0</v>
      </c>
      <c r="L135" s="574">
        <v>0</v>
      </c>
      <c r="M135" s="565">
        <v>6.5</v>
      </c>
      <c r="N135" s="579">
        <v>1</v>
      </c>
      <c r="O135" s="580">
        <v>3</v>
      </c>
      <c r="P135" s="635" t="str">
        <f t="shared" si="4"/>
        <v>Minivan</v>
      </c>
      <c r="Q135" s="636">
        <f t="shared" si="5"/>
        <v>6.5</v>
      </c>
      <c r="R135" s="637">
        <f t="shared" si="6"/>
        <v>0.66</v>
      </c>
      <c r="S135" s="638">
        <f t="shared" si="7"/>
        <v>0.3</v>
      </c>
      <c r="T135" s="564">
        <f t="shared" si="8"/>
        <v>1.95</v>
      </c>
      <c r="U135" s="639">
        <f t="shared" si="9"/>
        <v>1</v>
      </c>
      <c r="V135" s="639">
        <f t="shared" si="10"/>
        <v>3</v>
      </c>
      <c r="AD135" s="586"/>
      <c r="AE135" s="586"/>
    </row>
    <row r="136" spans="2:31">
      <c r="B136" s="561" t="s">
        <v>216</v>
      </c>
      <c r="C136" s="561" t="s">
        <v>113</v>
      </c>
      <c r="D136" s="574">
        <v>0.18</v>
      </c>
      <c r="E136" s="574">
        <v>0.66</v>
      </c>
      <c r="F136" s="640">
        <f t="shared" si="1"/>
        <v>5.6</v>
      </c>
      <c r="G136" s="574">
        <v>1.4</v>
      </c>
      <c r="H136" s="574">
        <f t="shared" si="2"/>
        <v>0.91</v>
      </c>
      <c r="I136" s="574">
        <f t="shared" si="3"/>
        <v>0.23</v>
      </c>
      <c r="J136" s="574">
        <v>0.12</v>
      </c>
      <c r="K136" s="574">
        <v>0</v>
      </c>
      <c r="L136" s="574">
        <v>0</v>
      </c>
      <c r="M136" s="565">
        <v>7</v>
      </c>
      <c r="N136" s="579">
        <v>1</v>
      </c>
      <c r="O136" s="580">
        <v>3</v>
      </c>
      <c r="P136" s="635" t="str">
        <f t="shared" si="4"/>
        <v>Minivan</v>
      </c>
      <c r="Q136" s="636">
        <f t="shared" si="5"/>
        <v>7</v>
      </c>
      <c r="R136" s="637">
        <f t="shared" si="6"/>
        <v>0.66</v>
      </c>
      <c r="S136" s="638">
        <f t="shared" si="7"/>
        <v>0.3</v>
      </c>
      <c r="T136" s="564">
        <f t="shared" si="8"/>
        <v>2.1</v>
      </c>
      <c r="U136" s="639">
        <f t="shared" si="9"/>
        <v>1</v>
      </c>
      <c r="V136" s="639">
        <f t="shared" si="10"/>
        <v>3</v>
      </c>
      <c r="AD136" s="586"/>
      <c r="AE136" s="586"/>
    </row>
    <row r="137" spans="2:31">
      <c r="B137" s="561" t="s">
        <v>217</v>
      </c>
      <c r="C137" s="561" t="s">
        <v>113</v>
      </c>
      <c r="D137" s="574">
        <v>0.18</v>
      </c>
      <c r="E137" s="574">
        <v>0.66</v>
      </c>
      <c r="F137" s="640">
        <f t="shared" si="1"/>
        <v>6.1</v>
      </c>
      <c r="G137" s="574">
        <v>1.4</v>
      </c>
      <c r="H137" s="574">
        <f t="shared" si="2"/>
        <v>0.99</v>
      </c>
      <c r="I137" s="574">
        <f t="shared" si="3"/>
        <v>0.23</v>
      </c>
      <c r="J137" s="574">
        <v>0.12</v>
      </c>
      <c r="K137" s="574">
        <v>0</v>
      </c>
      <c r="L137" s="574">
        <v>0</v>
      </c>
      <c r="M137" s="565">
        <v>7.5</v>
      </c>
      <c r="N137" s="579">
        <v>1</v>
      </c>
      <c r="O137" s="580">
        <v>3</v>
      </c>
      <c r="P137" s="635" t="str">
        <f t="shared" si="4"/>
        <v>Minivan</v>
      </c>
      <c r="Q137" s="636">
        <f t="shared" si="5"/>
        <v>7.5</v>
      </c>
      <c r="R137" s="637">
        <f t="shared" si="6"/>
        <v>0.66</v>
      </c>
      <c r="S137" s="638">
        <f t="shared" si="7"/>
        <v>0.3</v>
      </c>
      <c r="T137" s="564">
        <f t="shared" si="8"/>
        <v>2.25</v>
      </c>
      <c r="U137" s="639">
        <f t="shared" si="9"/>
        <v>1</v>
      </c>
      <c r="V137" s="639">
        <f t="shared" si="10"/>
        <v>3</v>
      </c>
      <c r="AD137" s="586"/>
      <c r="AE137" s="586"/>
    </row>
    <row r="138" spans="2:31">
      <c r="B138" s="561" t="s">
        <v>218</v>
      </c>
      <c r="C138" s="561" t="s">
        <v>113</v>
      </c>
      <c r="D138" s="574">
        <v>0.18</v>
      </c>
      <c r="E138" s="574">
        <v>0.66</v>
      </c>
      <c r="F138" s="640">
        <f t="shared" si="1"/>
        <v>6.6</v>
      </c>
      <c r="G138" s="574">
        <v>1.4</v>
      </c>
      <c r="H138" s="574">
        <f t="shared" si="2"/>
        <v>1.07</v>
      </c>
      <c r="I138" s="574">
        <f t="shared" si="3"/>
        <v>0.23</v>
      </c>
      <c r="J138" s="574">
        <v>0.12</v>
      </c>
      <c r="K138" s="574">
        <v>0</v>
      </c>
      <c r="L138" s="574">
        <v>0</v>
      </c>
      <c r="M138" s="565">
        <v>8</v>
      </c>
      <c r="N138" s="579">
        <v>1</v>
      </c>
      <c r="O138" s="580">
        <v>3</v>
      </c>
      <c r="P138" s="635" t="str">
        <f t="shared" si="4"/>
        <v>Minivan</v>
      </c>
      <c r="Q138" s="636">
        <f t="shared" si="5"/>
        <v>8</v>
      </c>
      <c r="R138" s="637">
        <f t="shared" si="6"/>
        <v>0.66</v>
      </c>
      <c r="S138" s="638">
        <f t="shared" si="7"/>
        <v>0.3</v>
      </c>
      <c r="T138" s="564">
        <f t="shared" si="8"/>
        <v>2.4</v>
      </c>
      <c r="U138" s="639">
        <f t="shared" si="9"/>
        <v>1</v>
      </c>
      <c r="V138" s="639">
        <f t="shared" si="10"/>
        <v>3</v>
      </c>
      <c r="AD138" s="586"/>
      <c r="AE138" s="586"/>
    </row>
    <row r="139" spans="2:31">
      <c r="B139" s="561" t="s">
        <v>219</v>
      </c>
      <c r="C139" s="561" t="s">
        <v>113</v>
      </c>
      <c r="D139" s="574">
        <v>0.18</v>
      </c>
      <c r="E139" s="574">
        <v>0.66</v>
      </c>
      <c r="F139" s="640">
        <f t="shared" ref="F139:F202" si="11">M139-G139</f>
        <v>7.1</v>
      </c>
      <c r="G139" s="574">
        <v>1.4</v>
      </c>
      <c r="H139" s="574">
        <f t="shared" si="2"/>
        <v>1.1499999999999999</v>
      </c>
      <c r="I139" s="574">
        <f t="shared" si="3"/>
        <v>0.23</v>
      </c>
      <c r="J139" s="574">
        <v>0.12</v>
      </c>
      <c r="K139" s="574">
        <v>0</v>
      </c>
      <c r="L139" s="574">
        <v>0</v>
      </c>
      <c r="M139" s="565">
        <v>8.5</v>
      </c>
      <c r="N139" s="579">
        <v>1</v>
      </c>
      <c r="O139" s="580">
        <v>3</v>
      </c>
      <c r="P139" s="635" t="str">
        <f t="shared" si="4"/>
        <v>Minivan</v>
      </c>
      <c r="Q139" s="636">
        <f t="shared" si="5"/>
        <v>8.5</v>
      </c>
      <c r="R139" s="637">
        <f t="shared" si="6"/>
        <v>0.66</v>
      </c>
      <c r="S139" s="638">
        <f t="shared" si="7"/>
        <v>0.3</v>
      </c>
      <c r="T139" s="564">
        <f t="shared" si="8"/>
        <v>2.5499999999999998</v>
      </c>
      <c r="U139" s="639">
        <f t="shared" si="9"/>
        <v>1</v>
      </c>
      <c r="V139" s="639">
        <f t="shared" si="10"/>
        <v>3</v>
      </c>
      <c r="AD139" s="586"/>
      <c r="AE139" s="586"/>
    </row>
    <row r="140" spans="2:31">
      <c r="B140" s="561" t="s">
        <v>220</v>
      </c>
      <c r="C140" s="561" t="s">
        <v>113</v>
      </c>
      <c r="D140" s="574">
        <v>0.18</v>
      </c>
      <c r="E140" s="574">
        <v>0.66</v>
      </c>
      <c r="F140" s="640">
        <f t="shared" si="11"/>
        <v>7.6</v>
      </c>
      <c r="G140" s="574">
        <v>1.4</v>
      </c>
      <c r="H140" s="574">
        <f t="shared" ref="H140:H219" si="12">ROUND(F140*$C$50,2)</f>
        <v>1.23</v>
      </c>
      <c r="I140" s="574">
        <f t="shared" ref="I140:I219" si="13">ROUND(G140*$C$50,2)</f>
        <v>0.23</v>
      </c>
      <c r="J140" s="574">
        <v>0.12</v>
      </c>
      <c r="K140" s="574">
        <v>0</v>
      </c>
      <c r="L140" s="574">
        <v>0</v>
      </c>
      <c r="M140" s="565">
        <v>9</v>
      </c>
      <c r="N140" s="579">
        <v>1</v>
      </c>
      <c r="O140" s="580">
        <v>3</v>
      </c>
      <c r="P140" s="635" t="str">
        <f t="shared" ref="P140:P203" si="14">INDEX($C$58:$C$60,MATCH(C140,$B$58:$B$60,0))</f>
        <v>Minivan</v>
      </c>
      <c r="Q140" s="636">
        <f t="shared" ref="Q140:Q203" si="15">SUM(F140:G140)</f>
        <v>9</v>
      </c>
      <c r="R140" s="637">
        <f t="shared" ref="R140:R203" si="16">E140</f>
        <v>0.66</v>
      </c>
      <c r="S140" s="638">
        <f t="shared" ref="S140:S203" si="17">IF(LEFT(B140,1)="M",IF(RIGHT(B140,1)="1",0.2,IF(RIGHT(B140,1)="2",0.3,IF(RIGHT(B140,1)="3",0.4,0))),0)</f>
        <v>0.3</v>
      </c>
      <c r="T140" s="564">
        <f t="shared" ref="T140:T203" si="18">Q140*S140</f>
        <v>2.6999999999999997</v>
      </c>
      <c r="U140" s="639">
        <f t="shared" ref="U140:U203" si="19">N140</f>
        <v>1</v>
      </c>
      <c r="V140" s="639">
        <f t="shared" ref="V140:V203" si="20">O140</f>
        <v>3</v>
      </c>
      <c r="AD140" s="586"/>
      <c r="AE140" s="586"/>
    </row>
    <row r="141" spans="2:31">
      <c r="B141" s="561" t="s">
        <v>221</v>
      </c>
      <c r="C141" s="561" t="s">
        <v>113</v>
      </c>
      <c r="D141" s="574">
        <v>0.18</v>
      </c>
      <c r="E141" s="574">
        <v>0.66</v>
      </c>
      <c r="F141" s="640">
        <f t="shared" si="11"/>
        <v>8.1</v>
      </c>
      <c r="G141" s="574">
        <v>1.4</v>
      </c>
      <c r="H141" s="574">
        <f t="shared" si="12"/>
        <v>1.31</v>
      </c>
      <c r="I141" s="574">
        <f t="shared" si="13"/>
        <v>0.23</v>
      </c>
      <c r="J141" s="574">
        <v>0.12</v>
      </c>
      <c r="K141" s="574">
        <v>0</v>
      </c>
      <c r="L141" s="574">
        <v>0</v>
      </c>
      <c r="M141" s="565">
        <v>9.5</v>
      </c>
      <c r="N141" s="579">
        <v>1</v>
      </c>
      <c r="O141" s="580">
        <v>3</v>
      </c>
      <c r="P141" s="635" t="str">
        <f t="shared" si="14"/>
        <v>Minivan</v>
      </c>
      <c r="Q141" s="636">
        <f t="shared" si="15"/>
        <v>9.5</v>
      </c>
      <c r="R141" s="637">
        <f t="shared" si="16"/>
        <v>0.66</v>
      </c>
      <c r="S141" s="638">
        <f t="shared" si="17"/>
        <v>0.3</v>
      </c>
      <c r="T141" s="564">
        <f t="shared" si="18"/>
        <v>2.85</v>
      </c>
      <c r="U141" s="639">
        <f t="shared" si="19"/>
        <v>1</v>
      </c>
      <c r="V141" s="639">
        <f t="shared" si="20"/>
        <v>3</v>
      </c>
      <c r="AD141" s="586"/>
      <c r="AE141" s="586"/>
    </row>
    <row r="142" spans="2:31">
      <c r="B142" s="561" t="s">
        <v>222</v>
      </c>
      <c r="C142" s="561" t="s">
        <v>113</v>
      </c>
      <c r="D142" s="574">
        <v>0.18</v>
      </c>
      <c r="E142" s="574">
        <v>0.66</v>
      </c>
      <c r="F142" s="640">
        <f t="shared" si="11"/>
        <v>8.6</v>
      </c>
      <c r="G142" s="574">
        <v>1.4</v>
      </c>
      <c r="H142" s="574">
        <f t="shared" si="12"/>
        <v>1.39</v>
      </c>
      <c r="I142" s="574">
        <f t="shared" si="13"/>
        <v>0.23</v>
      </c>
      <c r="J142" s="574">
        <v>0.12</v>
      </c>
      <c r="K142" s="574">
        <v>0</v>
      </c>
      <c r="L142" s="574">
        <v>0</v>
      </c>
      <c r="M142" s="565">
        <v>10</v>
      </c>
      <c r="N142" s="579">
        <v>1</v>
      </c>
      <c r="O142" s="580">
        <v>3</v>
      </c>
      <c r="P142" s="635" t="str">
        <f t="shared" si="14"/>
        <v>Minivan</v>
      </c>
      <c r="Q142" s="636">
        <f t="shared" si="15"/>
        <v>10</v>
      </c>
      <c r="R142" s="637">
        <f t="shared" si="16"/>
        <v>0.66</v>
      </c>
      <c r="S142" s="638">
        <f t="shared" si="17"/>
        <v>0.3</v>
      </c>
      <c r="T142" s="564">
        <f t="shared" si="18"/>
        <v>3</v>
      </c>
      <c r="U142" s="639">
        <f t="shared" si="19"/>
        <v>1</v>
      </c>
      <c r="V142" s="639">
        <f t="shared" si="20"/>
        <v>3</v>
      </c>
      <c r="AD142" s="586"/>
      <c r="AE142" s="586"/>
    </row>
    <row r="143" spans="2:31">
      <c r="B143" s="561" t="s">
        <v>223</v>
      </c>
      <c r="C143" s="561" t="s">
        <v>113</v>
      </c>
      <c r="D143" s="574">
        <v>0.18</v>
      </c>
      <c r="E143" s="574">
        <v>0.66</v>
      </c>
      <c r="F143" s="640">
        <f t="shared" si="11"/>
        <v>9.1</v>
      </c>
      <c r="G143" s="574">
        <v>1.4</v>
      </c>
      <c r="H143" s="574">
        <f t="shared" si="12"/>
        <v>1.47</v>
      </c>
      <c r="I143" s="574">
        <f t="shared" si="13"/>
        <v>0.23</v>
      </c>
      <c r="J143" s="574">
        <v>0.12</v>
      </c>
      <c r="K143" s="574">
        <v>0</v>
      </c>
      <c r="L143" s="574">
        <v>0</v>
      </c>
      <c r="M143" s="565">
        <v>10.5</v>
      </c>
      <c r="N143" s="579">
        <v>1</v>
      </c>
      <c r="O143" s="580">
        <v>3</v>
      </c>
      <c r="P143" s="635" t="str">
        <f t="shared" si="14"/>
        <v>Minivan</v>
      </c>
      <c r="Q143" s="636">
        <f t="shared" si="15"/>
        <v>10.5</v>
      </c>
      <c r="R143" s="637">
        <f t="shared" si="16"/>
        <v>0.66</v>
      </c>
      <c r="S143" s="638">
        <f t="shared" si="17"/>
        <v>0.3</v>
      </c>
      <c r="T143" s="564">
        <f t="shared" si="18"/>
        <v>3.15</v>
      </c>
      <c r="U143" s="639">
        <f t="shared" si="19"/>
        <v>1</v>
      </c>
      <c r="V143" s="639">
        <f t="shared" si="20"/>
        <v>3</v>
      </c>
      <c r="AD143" s="586"/>
      <c r="AE143" s="586"/>
    </row>
    <row r="144" spans="2:31">
      <c r="B144" s="561" t="s">
        <v>224</v>
      </c>
      <c r="C144" s="561" t="s">
        <v>113</v>
      </c>
      <c r="D144" s="574">
        <v>0.18</v>
      </c>
      <c r="E144" s="574">
        <v>0.66</v>
      </c>
      <c r="F144" s="640">
        <f t="shared" si="11"/>
        <v>9.6</v>
      </c>
      <c r="G144" s="574">
        <v>1.4</v>
      </c>
      <c r="H144" s="574">
        <f t="shared" si="12"/>
        <v>1.56</v>
      </c>
      <c r="I144" s="574">
        <f t="shared" si="13"/>
        <v>0.23</v>
      </c>
      <c r="J144" s="574">
        <v>0.12</v>
      </c>
      <c r="K144" s="574">
        <v>0</v>
      </c>
      <c r="L144" s="574">
        <v>0</v>
      </c>
      <c r="M144" s="565">
        <v>11</v>
      </c>
      <c r="N144" s="579">
        <v>1</v>
      </c>
      <c r="O144" s="580">
        <v>3</v>
      </c>
      <c r="P144" s="635" t="str">
        <f t="shared" si="14"/>
        <v>Minivan</v>
      </c>
      <c r="Q144" s="636">
        <f t="shared" si="15"/>
        <v>11</v>
      </c>
      <c r="R144" s="637">
        <f t="shared" si="16"/>
        <v>0.66</v>
      </c>
      <c r="S144" s="638">
        <f t="shared" si="17"/>
        <v>0.3</v>
      </c>
      <c r="T144" s="564">
        <f t="shared" si="18"/>
        <v>3.3</v>
      </c>
      <c r="U144" s="639">
        <f t="shared" si="19"/>
        <v>1</v>
      </c>
      <c r="V144" s="639">
        <f t="shared" si="20"/>
        <v>3</v>
      </c>
      <c r="AD144" s="586"/>
      <c r="AE144" s="586"/>
    </row>
    <row r="145" spans="2:31">
      <c r="B145" s="561" t="s">
        <v>225</v>
      </c>
      <c r="C145" s="561" t="s">
        <v>113</v>
      </c>
      <c r="D145" s="574">
        <v>0.18</v>
      </c>
      <c r="E145" s="574">
        <v>0.66</v>
      </c>
      <c r="F145" s="640">
        <f t="shared" si="11"/>
        <v>2.1</v>
      </c>
      <c r="G145" s="574">
        <v>1.4</v>
      </c>
      <c r="H145" s="574">
        <f t="shared" si="12"/>
        <v>0.34</v>
      </c>
      <c r="I145" s="574">
        <f t="shared" si="13"/>
        <v>0.23</v>
      </c>
      <c r="J145" s="574">
        <v>0.12</v>
      </c>
      <c r="K145" s="574">
        <v>0</v>
      </c>
      <c r="L145" s="574">
        <v>0</v>
      </c>
      <c r="M145" s="565">
        <v>3.5</v>
      </c>
      <c r="N145" s="579">
        <v>1</v>
      </c>
      <c r="O145" s="580">
        <v>3</v>
      </c>
      <c r="P145" s="635" t="str">
        <f t="shared" si="14"/>
        <v>Minivan</v>
      </c>
      <c r="Q145" s="636">
        <f t="shared" si="15"/>
        <v>3.5</v>
      </c>
      <c r="R145" s="637">
        <f t="shared" si="16"/>
        <v>0.66</v>
      </c>
      <c r="S145" s="638">
        <f t="shared" si="17"/>
        <v>0.4</v>
      </c>
      <c r="T145" s="564">
        <f t="shared" si="18"/>
        <v>1.4000000000000001</v>
      </c>
      <c r="U145" s="639">
        <f t="shared" si="19"/>
        <v>1</v>
      </c>
      <c r="V145" s="639">
        <f t="shared" si="20"/>
        <v>3</v>
      </c>
      <c r="AD145" s="586"/>
      <c r="AE145" s="586"/>
    </row>
    <row r="146" spans="2:31">
      <c r="B146" s="561" t="s">
        <v>226</v>
      </c>
      <c r="C146" s="561" t="s">
        <v>113</v>
      </c>
      <c r="D146" s="574">
        <v>0.18</v>
      </c>
      <c r="E146" s="574">
        <v>0.66</v>
      </c>
      <c r="F146" s="640">
        <f t="shared" si="11"/>
        <v>2.6</v>
      </c>
      <c r="G146" s="574">
        <v>1.4</v>
      </c>
      <c r="H146" s="574">
        <f t="shared" si="12"/>
        <v>0.42</v>
      </c>
      <c r="I146" s="574">
        <f t="shared" si="13"/>
        <v>0.23</v>
      </c>
      <c r="J146" s="574">
        <v>0.12</v>
      </c>
      <c r="K146" s="574">
        <v>0</v>
      </c>
      <c r="L146" s="574">
        <v>0</v>
      </c>
      <c r="M146" s="565">
        <v>4</v>
      </c>
      <c r="N146" s="579">
        <v>1</v>
      </c>
      <c r="O146" s="580">
        <v>3</v>
      </c>
      <c r="P146" s="635" t="str">
        <f t="shared" si="14"/>
        <v>Minivan</v>
      </c>
      <c r="Q146" s="636">
        <f t="shared" si="15"/>
        <v>4</v>
      </c>
      <c r="R146" s="637">
        <f t="shared" si="16"/>
        <v>0.66</v>
      </c>
      <c r="S146" s="638">
        <f t="shared" si="17"/>
        <v>0.4</v>
      </c>
      <c r="T146" s="564">
        <f t="shared" si="18"/>
        <v>1.6</v>
      </c>
      <c r="U146" s="639">
        <f t="shared" si="19"/>
        <v>1</v>
      </c>
      <c r="V146" s="639">
        <f t="shared" si="20"/>
        <v>3</v>
      </c>
      <c r="AD146" s="586"/>
      <c r="AE146" s="586"/>
    </row>
    <row r="147" spans="2:31">
      <c r="B147" s="561" t="s">
        <v>227</v>
      </c>
      <c r="C147" s="561" t="s">
        <v>113</v>
      </c>
      <c r="D147" s="574">
        <v>0.18</v>
      </c>
      <c r="E147" s="574">
        <v>0.66</v>
      </c>
      <c r="F147" s="640">
        <f t="shared" si="11"/>
        <v>3.1</v>
      </c>
      <c r="G147" s="574">
        <v>1.4</v>
      </c>
      <c r="H147" s="574">
        <f t="shared" si="12"/>
        <v>0.5</v>
      </c>
      <c r="I147" s="574">
        <f t="shared" si="13"/>
        <v>0.23</v>
      </c>
      <c r="J147" s="574">
        <v>0.12</v>
      </c>
      <c r="K147" s="574">
        <v>0</v>
      </c>
      <c r="L147" s="574">
        <v>0</v>
      </c>
      <c r="M147" s="565">
        <v>4.5</v>
      </c>
      <c r="N147" s="579">
        <v>1</v>
      </c>
      <c r="O147" s="580">
        <v>3</v>
      </c>
      <c r="P147" s="635" t="str">
        <f t="shared" si="14"/>
        <v>Minivan</v>
      </c>
      <c r="Q147" s="636">
        <f t="shared" si="15"/>
        <v>4.5</v>
      </c>
      <c r="R147" s="637">
        <f t="shared" si="16"/>
        <v>0.66</v>
      </c>
      <c r="S147" s="638">
        <f t="shared" si="17"/>
        <v>0.4</v>
      </c>
      <c r="T147" s="564">
        <f t="shared" si="18"/>
        <v>1.8</v>
      </c>
      <c r="U147" s="639">
        <f t="shared" si="19"/>
        <v>1</v>
      </c>
      <c r="V147" s="639">
        <f t="shared" si="20"/>
        <v>3</v>
      </c>
      <c r="AD147" s="586"/>
      <c r="AE147" s="586"/>
    </row>
    <row r="148" spans="2:31">
      <c r="B148" s="561" t="s">
        <v>228</v>
      </c>
      <c r="C148" s="561" t="s">
        <v>113</v>
      </c>
      <c r="D148" s="574">
        <v>0.18</v>
      </c>
      <c r="E148" s="574">
        <v>0.66</v>
      </c>
      <c r="F148" s="640">
        <f t="shared" si="11"/>
        <v>3.6</v>
      </c>
      <c r="G148" s="574">
        <v>1.4</v>
      </c>
      <c r="H148" s="574">
        <f t="shared" si="12"/>
        <v>0.57999999999999996</v>
      </c>
      <c r="I148" s="574">
        <f t="shared" si="13"/>
        <v>0.23</v>
      </c>
      <c r="J148" s="574">
        <v>0.12</v>
      </c>
      <c r="K148" s="574">
        <v>0</v>
      </c>
      <c r="L148" s="574">
        <v>0</v>
      </c>
      <c r="M148" s="565">
        <v>5</v>
      </c>
      <c r="N148" s="579">
        <v>1</v>
      </c>
      <c r="O148" s="580">
        <v>3</v>
      </c>
      <c r="P148" s="635" t="str">
        <f t="shared" si="14"/>
        <v>Minivan</v>
      </c>
      <c r="Q148" s="636">
        <f t="shared" si="15"/>
        <v>5</v>
      </c>
      <c r="R148" s="637">
        <f t="shared" si="16"/>
        <v>0.66</v>
      </c>
      <c r="S148" s="638">
        <f t="shared" si="17"/>
        <v>0.4</v>
      </c>
      <c r="T148" s="564">
        <f t="shared" si="18"/>
        <v>2</v>
      </c>
      <c r="U148" s="639">
        <f t="shared" si="19"/>
        <v>1</v>
      </c>
      <c r="V148" s="639">
        <f t="shared" si="20"/>
        <v>3</v>
      </c>
      <c r="AD148" s="586"/>
      <c r="AE148" s="586"/>
    </row>
    <row r="149" spans="2:31">
      <c r="B149" s="561" t="s">
        <v>229</v>
      </c>
      <c r="C149" s="561" t="s">
        <v>113</v>
      </c>
      <c r="D149" s="574">
        <v>0.18</v>
      </c>
      <c r="E149" s="574">
        <v>0.66</v>
      </c>
      <c r="F149" s="640">
        <f t="shared" si="11"/>
        <v>4.0999999999999996</v>
      </c>
      <c r="G149" s="574">
        <v>1.4</v>
      </c>
      <c r="H149" s="574">
        <f t="shared" si="12"/>
        <v>0.66</v>
      </c>
      <c r="I149" s="574">
        <f t="shared" si="13"/>
        <v>0.23</v>
      </c>
      <c r="J149" s="574">
        <v>0.12</v>
      </c>
      <c r="K149" s="574">
        <v>0</v>
      </c>
      <c r="L149" s="574">
        <v>0</v>
      </c>
      <c r="M149" s="565">
        <v>5.5</v>
      </c>
      <c r="N149" s="579">
        <v>1</v>
      </c>
      <c r="O149" s="580">
        <v>3</v>
      </c>
      <c r="P149" s="635" t="str">
        <f t="shared" si="14"/>
        <v>Minivan</v>
      </c>
      <c r="Q149" s="636">
        <f t="shared" si="15"/>
        <v>5.5</v>
      </c>
      <c r="R149" s="637">
        <f t="shared" si="16"/>
        <v>0.66</v>
      </c>
      <c r="S149" s="638">
        <f t="shared" si="17"/>
        <v>0.4</v>
      </c>
      <c r="T149" s="564">
        <f t="shared" si="18"/>
        <v>2.2000000000000002</v>
      </c>
      <c r="U149" s="639">
        <f t="shared" si="19"/>
        <v>1</v>
      </c>
      <c r="V149" s="639">
        <f t="shared" si="20"/>
        <v>3</v>
      </c>
      <c r="AD149" s="586"/>
      <c r="AE149" s="586"/>
    </row>
    <row r="150" spans="2:31">
      <c r="B150" s="561" t="s">
        <v>230</v>
      </c>
      <c r="C150" s="561" t="s">
        <v>113</v>
      </c>
      <c r="D150" s="574">
        <v>0.18</v>
      </c>
      <c r="E150" s="574">
        <v>0.66</v>
      </c>
      <c r="F150" s="640">
        <f t="shared" si="11"/>
        <v>4.5999999999999996</v>
      </c>
      <c r="G150" s="574">
        <v>1.4</v>
      </c>
      <c r="H150" s="574">
        <f t="shared" si="12"/>
        <v>0.75</v>
      </c>
      <c r="I150" s="574">
        <f t="shared" si="13"/>
        <v>0.23</v>
      </c>
      <c r="J150" s="574">
        <v>0.12</v>
      </c>
      <c r="K150" s="574">
        <v>0</v>
      </c>
      <c r="L150" s="574">
        <v>0</v>
      </c>
      <c r="M150" s="565">
        <v>6</v>
      </c>
      <c r="N150" s="579">
        <v>1</v>
      </c>
      <c r="O150" s="580">
        <v>3</v>
      </c>
      <c r="P150" s="635" t="str">
        <f t="shared" si="14"/>
        <v>Minivan</v>
      </c>
      <c r="Q150" s="636">
        <f t="shared" si="15"/>
        <v>6</v>
      </c>
      <c r="R150" s="637">
        <f t="shared" si="16"/>
        <v>0.66</v>
      </c>
      <c r="S150" s="638">
        <f t="shared" si="17"/>
        <v>0.4</v>
      </c>
      <c r="T150" s="564">
        <f t="shared" si="18"/>
        <v>2.4000000000000004</v>
      </c>
      <c r="U150" s="639">
        <f t="shared" si="19"/>
        <v>1</v>
      </c>
      <c r="V150" s="639">
        <f t="shared" si="20"/>
        <v>3</v>
      </c>
      <c r="AD150" s="586"/>
      <c r="AE150" s="586"/>
    </row>
    <row r="151" spans="2:31">
      <c r="B151" s="561" t="s">
        <v>231</v>
      </c>
      <c r="C151" s="561" t="s">
        <v>113</v>
      </c>
      <c r="D151" s="574">
        <v>0.18</v>
      </c>
      <c r="E151" s="574">
        <v>0.66</v>
      </c>
      <c r="F151" s="640">
        <f t="shared" si="11"/>
        <v>5.0999999999999996</v>
      </c>
      <c r="G151" s="574">
        <v>1.4</v>
      </c>
      <c r="H151" s="574">
        <f t="shared" si="12"/>
        <v>0.83</v>
      </c>
      <c r="I151" s="574">
        <f t="shared" si="13"/>
        <v>0.23</v>
      </c>
      <c r="J151" s="574">
        <v>0.12</v>
      </c>
      <c r="K151" s="574">
        <v>0</v>
      </c>
      <c r="L151" s="574">
        <v>0</v>
      </c>
      <c r="M151" s="565">
        <v>6.5</v>
      </c>
      <c r="N151" s="579">
        <v>1</v>
      </c>
      <c r="O151" s="580">
        <v>3</v>
      </c>
      <c r="P151" s="635" t="str">
        <f t="shared" si="14"/>
        <v>Minivan</v>
      </c>
      <c r="Q151" s="636">
        <f t="shared" si="15"/>
        <v>6.5</v>
      </c>
      <c r="R151" s="637">
        <f t="shared" si="16"/>
        <v>0.66</v>
      </c>
      <c r="S151" s="638">
        <f t="shared" si="17"/>
        <v>0.4</v>
      </c>
      <c r="T151" s="564">
        <f t="shared" si="18"/>
        <v>2.6</v>
      </c>
      <c r="U151" s="639">
        <f t="shared" si="19"/>
        <v>1</v>
      </c>
      <c r="V151" s="639">
        <f t="shared" si="20"/>
        <v>3</v>
      </c>
      <c r="AD151" s="586"/>
      <c r="AE151" s="586"/>
    </row>
    <row r="152" spans="2:31">
      <c r="B152" s="561" t="s">
        <v>232</v>
      </c>
      <c r="C152" s="561" t="s">
        <v>113</v>
      </c>
      <c r="D152" s="574">
        <v>0.18</v>
      </c>
      <c r="E152" s="574">
        <v>0.66</v>
      </c>
      <c r="F152" s="640">
        <f t="shared" si="11"/>
        <v>5.6</v>
      </c>
      <c r="G152" s="574">
        <v>1.4</v>
      </c>
      <c r="H152" s="574">
        <f t="shared" si="12"/>
        <v>0.91</v>
      </c>
      <c r="I152" s="574">
        <f t="shared" si="13"/>
        <v>0.23</v>
      </c>
      <c r="J152" s="574">
        <v>0.12</v>
      </c>
      <c r="K152" s="574">
        <v>0</v>
      </c>
      <c r="L152" s="574">
        <v>0</v>
      </c>
      <c r="M152" s="565">
        <v>7</v>
      </c>
      <c r="N152" s="579">
        <v>1</v>
      </c>
      <c r="O152" s="580">
        <v>3</v>
      </c>
      <c r="P152" s="635" t="str">
        <f t="shared" si="14"/>
        <v>Minivan</v>
      </c>
      <c r="Q152" s="636">
        <f t="shared" si="15"/>
        <v>7</v>
      </c>
      <c r="R152" s="637">
        <f t="shared" si="16"/>
        <v>0.66</v>
      </c>
      <c r="S152" s="638">
        <f t="shared" si="17"/>
        <v>0.4</v>
      </c>
      <c r="T152" s="564">
        <f t="shared" si="18"/>
        <v>2.8000000000000003</v>
      </c>
      <c r="U152" s="639">
        <f t="shared" si="19"/>
        <v>1</v>
      </c>
      <c r="V152" s="639">
        <f t="shared" si="20"/>
        <v>3</v>
      </c>
      <c r="AD152" s="586"/>
      <c r="AE152" s="586"/>
    </row>
    <row r="153" spans="2:31">
      <c r="B153" s="561" t="s">
        <v>233</v>
      </c>
      <c r="C153" s="561" t="s">
        <v>113</v>
      </c>
      <c r="D153" s="574">
        <v>0.18</v>
      </c>
      <c r="E153" s="574">
        <v>0.66</v>
      </c>
      <c r="F153" s="640">
        <f t="shared" si="11"/>
        <v>6.1</v>
      </c>
      <c r="G153" s="574">
        <v>1.4</v>
      </c>
      <c r="H153" s="574">
        <f t="shared" si="12"/>
        <v>0.99</v>
      </c>
      <c r="I153" s="574">
        <f t="shared" si="13"/>
        <v>0.23</v>
      </c>
      <c r="J153" s="574">
        <v>0.12</v>
      </c>
      <c r="K153" s="574">
        <v>0</v>
      </c>
      <c r="L153" s="574">
        <v>0</v>
      </c>
      <c r="M153" s="565">
        <v>7.5</v>
      </c>
      <c r="N153" s="579">
        <v>1</v>
      </c>
      <c r="O153" s="580">
        <v>3</v>
      </c>
      <c r="P153" s="635" t="str">
        <f t="shared" si="14"/>
        <v>Minivan</v>
      </c>
      <c r="Q153" s="636">
        <f t="shared" si="15"/>
        <v>7.5</v>
      </c>
      <c r="R153" s="637">
        <f t="shared" si="16"/>
        <v>0.66</v>
      </c>
      <c r="S153" s="638">
        <f t="shared" si="17"/>
        <v>0.4</v>
      </c>
      <c r="T153" s="564">
        <f t="shared" si="18"/>
        <v>3</v>
      </c>
      <c r="U153" s="639">
        <f t="shared" si="19"/>
        <v>1</v>
      </c>
      <c r="V153" s="639">
        <f t="shared" si="20"/>
        <v>3</v>
      </c>
      <c r="AD153" s="586"/>
      <c r="AE153" s="586"/>
    </row>
    <row r="154" spans="2:31">
      <c r="B154" s="561" t="s">
        <v>234</v>
      </c>
      <c r="C154" s="561" t="s">
        <v>113</v>
      </c>
      <c r="D154" s="574">
        <v>0.18</v>
      </c>
      <c r="E154" s="574">
        <v>0.66</v>
      </c>
      <c r="F154" s="640">
        <f t="shared" si="11"/>
        <v>6.6</v>
      </c>
      <c r="G154" s="574">
        <v>1.4</v>
      </c>
      <c r="H154" s="574">
        <f t="shared" si="12"/>
        <v>1.07</v>
      </c>
      <c r="I154" s="574">
        <f t="shared" si="13"/>
        <v>0.23</v>
      </c>
      <c r="J154" s="574">
        <v>0.12</v>
      </c>
      <c r="K154" s="574">
        <v>0</v>
      </c>
      <c r="L154" s="574">
        <v>0</v>
      </c>
      <c r="M154" s="565">
        <v>8</v>
      </c>
      <c r="N154" s="579">
        <v>1</v>
      </c>
      <c r="O154" s="580">
        <v>3</v>
      </c>
      <c r="P154" s="635" t="str">
        <f t="shared" si="14"/>
        <v>Minivan</v>
      </c>
      <c r="Q154" s="636">
        <f t="shared" si="15"/>
        <v>8</v>
      </c>
      <c r="R154" s="637">
        <f t="shared" si="16"/>
        <v>0.66</v>
      </c>
      <c r="S154" s="638">
        <f t="shared" si="17"/>
        <v>0.4</v>
      </c>
      <c r="T154" s="564">
        <f t="shared" si="18"/>
        <v>3.2</v>
      </c>
      <c r="U154" s="639">
        <f t="shared" si="19"/>
        <v>1</v>
      </c>
      <c r="V154" s="639">
        <f t="shared" si="20"/>
        <v>3</v>
      </c>
      <c r="AD154" s="586"/>
      <c r="AE154" s="586"/>
    </row>
    <row r="155" spans="2:31">
      <c r="B155" s="561" t="s">
        <v>235</v>
      </c>
      <c r="C155" s="561" t="s">
        <v>113</v>
      </c>
      <c r="D155" s="574">
        <v>0.18</v>
      </c>
      <c r="E155" s="574">
        <v>0.66</v>
      </c>
      <c r="F155" s="640">
        <f t="shared" si="11"/>
        <v>7.1</v>
      </c>
      <c r="G155" s="574">
        <v>1.4</v>
      </c>
      <c r="H155" s="574">
        <f t="shared" si="12"/>
        <v>1.1499999999999999</v>
      </c>
      <c r="I155" s="574">
        <f t="shared" si="13"/>
        <v>0.23</v>
      </c>
      <c r="J155" s="574">
        <v>0.12</v>
      </c>
      <c r="K155" s="574">
        <v>0</v>
      </c>
      <c r="L155" s="574">
        <v>0</v>
      </c>
      <c r="M155" s="565">
        <v>8.5</v>
      </c>
      <c r="N155" s="579">
        <v>1</v>
      </c>
      <c r="O155" s="580">
        <v>3</v>
      </c>
      <c r="P155" s="635" t="str">
        <f t="shared" si="14"/>
        <v>Minivan</v>
      </c>
      <c r="Q155" s="636">
        <f t="shared" si="15"/>
        <v>8.5</v>
      </c>
      <c r="R155" s="637">
        <f t="shared" si="16"/>
        <v>0.66</v>
      </c>
      <c r="S155" s="638">
        <f t="shared" si="17"/>
        <v>0.4</v>
      </c>
      <c r="T155" s="564">
        <f t="shared" si="18"/>
        <v>3.4000000000000004</v>
      </c>
      <c r="U155" s="639">
        <f t="shared" si="19"/>
        <v>1</v>
      </c>
      <c r="V155" s="639">
        <f t="shared" si="20"/>
        <v>3</v>
      </c>
      <c r="AD155" s="586"/>
      <c r="AE155" s="586"/>
    </row>
    <row r="156" spans="2:31">
      <c r="B156" s="561" t="s">
        <v>236</v>
      </c>
      <c r="C156" s="561" t="s">
        <v>113</v>
      </c>
      <c r="D156" s="574">
        <v>0.18</v>
      </c>
      <c r="E156" s="574">
        <v>0.66</v>
      </c>
      <c r="F156" s="640">
        <f t="shared" si="11"/>
        <v>7.6</v>
      </c>
      <c r="G156" s="574">
        <v>1.4</v>
      </c>
      <c r="H156" s="574">
        <f t="shared" si="12"/>
        <v>1.23</v>
      </c>
      <c r="I156" s="574">
        <f t="shared" si="13"/>
        <v>0.23</v>
      </c>
      <c r="J156" s="574">
        <v>0.12</v>
      </c>
      <c r="K156" s="574">
        <v>0</v>
      </c>
      <c r="L156" s="574">
        <v>0</v>
      </c>
      <c r="M156" s="565">
        <v>9</v>
      </c>
      <c r="N156" s="579">
        <v>1</v>
      </c>
      <c r="O156" s="580">
        <v>3</v>
      </c>
      <c r="P156" s="635" t="str">
        <f t="shared" si="14"/>
        <v>Minivan</v>
      </c>
      <c r="Q156" s="636">
        <f t="shared" si="15"/>
        <v>9</v>
      </c>
      <c r="R156" s="637">
        <f t="shared" si="16"/>
        <v>0.66</v>
      </c>
      <c r="S156" s="638">
        <f t="shared" si="17"/>
        <v>0.4</v>
      </c>
      <c r="T156" s="564">
        <f t="shared" si="18"/>
        <v>3.6</v>
      </c>
      <c r="U156" s="639">
        <f t="shared" si="19"/>
        <v>1</v>
      </c>
      <c r="V156" s="639">
        <f t="shared" si="20"/>
        <v>3</v>
      </c>
      <c r="AD156" s="586"/>
      <c r="AE156" s="586"/>
    </row>
    <row r="157" spans="2:31">
      <c r="B157" s="561" t="s">
        <v>237</v>
      </c>
      <c r="C157" s="561" t="s">
        <v>113</v>
      </c>
      <c r="D157" s="574">
        <v>0.18</v>
      </c>
      <c r="E157" s="574">
        <v>0.66</v>
      </c>
      <c r="F157" s="640">
        <f t="shared" si="11"/>
        <v>8.1</v>
      </c>
      <c r="G157" s="574">
        <v>1.4</v>
      </c>
      <c r="H157" s="574">
        <f t="shared" si="12"/>
        <v>1.31</v>
      </c>
      <c r="I157" s="574">
        <f t="shared" si="13"/>
        <v>0.23</v>
      </c>
      <c r="J157" s="574">
        <v>0.12</v>
      </c>
      <c r="K157" s="574">
        <v>0</v>
      </c>
      <c r="L157" s="574">
        <v>0</v>
      </c>
      <c r="M157" s="565">
        <v>9.5</v>
      </c>
      <c r="N157" s="579">
        <v>1</v>
      </c>
      <c r="O157" s="580">
        <v>3</v>
      </c>
      <c r="P157" s="635" t="str">
        <f t="shared" si="14"/>
        <v>Minivan</v>
      </c>
      <c r="Q157" s="636">
        <f t="shared" si="15"/>
        <v>9.5</v>
      </c>
      <c r="R157" s="637">
        <f t="shared" si="16"/>
        <v>0.66</v>
      </c>
      <c r="S157" s="638">
        <f t="shared" si="17"/>
        <v>0.4</v>
      </c>
      <c r="T157" s="564">
        <f t="shared" si="18"/>
        <v>3.8000000000000003</v>
      </c>
      <c r="U157" s="639">
        <f t="shared" si="19"/>
        <v>1</v>
      </c>
      <c r="V157" s="639">
        <f t="shared" si="20"/>
        <v>3</v>
      </c>
      <c r="AD157" s="586"/>
      <c r="AE157" s="586"/>
    </row>
    <row r="158" spans="2:31">
      <c r="B158" s="561" t="s">
        <v>238</v>
      </c>
      <c r="C158" s="561" t="s">
        <v>113</v>
      </c>
      <c r="D158" s="574">
        <v>0.18</v>
      </c>
      <c r="E158" s="574">
        <v>0.66</v>
      </c>
      <c r="F158" s="640">
        <f t="shared" si="11"/>
        <v>8.6</v>
      </c>
      <c r="G158" s="574">
        <v>1.4</v>
      </c>
      <c r="H158" s="574">
        <f t="shared" si="12"/>
        <v>1.39</v>
      </c>
      <c r="I158" s="574">
        <f t="shared" si="13"/>
        <v>0.23</v>
      </c>
      <c r="J158" s="574">
        <v>0.12</v>
      </c>
      <c r="K158" s="574">
        <v>0</v>
      </c>
      <c r="L158" s="574">
        <v>0</v>
      </c>
      <c r="M158" s="565">
        <v>10</v>
      </c>
      <c r="N158" s="579">
        <v>1</v>
      </c>
      <c r="O158" s="580">
        <v>3</v>
      </c>
      <c r="P158" s="635" t="str">
        <f t="shared" si="14"/>
        <v>Minivan</v>
      </c>
      <c r="Q158" s="636">
        <f t="shared" si="15"/>
        <v>10</v>
      </c>
      <c r="R158" s="637">
        <f t="shared" si="16"/>
        <v>0.66</v>
      </c>
      <c r="S158" s="638">
        <f t="shared" si="17"/>
        <v>0.4</v>
      </c>
      <c r="T158" s="564">
        <f t="shared" si="18"/>
        <v>4</v>
      </c>
      <c r="U158" s="639">
        <f t="shared" si="19"/>
        <v>1</v>
      </c>
      <c r="V158" s="639">
        <f t="shared" si="20"/>
        <v>3</v>
      </c>
      <c r="AD158" s="586"/>
      <c r="AE158" s="586"/>
    </row>
    <row r="159" spans="2:31">
      <c r="B159" s="561" t="s">
        <v>239</v>
      </c>
      <c r="C159" s="561" t="s">
        <v>113</v>
      </c>
      <c r="D159" s="574">
        <v>0.18</v>
      </c>
      <c r="E159" s="574">
        <v>0.66</v>
      </c>
      <c r="F159" s="640">
        <f t="shared" si="11"/>
        <v>9.1</v>
      </c>
      <c r="G159" s="574">
        <v>1.4</v>
      </c>
      <c r="H159" s="574">
        <f>ROUND(F159*$C$50,2)</f>
        <v>1.47</v>
      </c>
      <c r="I159" s="574">
        <f>ROUND(G159*$C$50,2)</f>
        <v>0.23</v>
      </c>
      <c r="J159" s="574">
        <v>0.12</v>
      </c>
      <c r="K159" s="574">
        <v>0</v>
      </c>
      <c r="L159" s="574">
        <v>0</v>
      </c>
      <c r="M159" s="565">
        <v>10.5</v>
      </c>
      <c r="N159" s="579">
        <v>1</v>
      </c>
      <c r="O159" s="580">
        <v>3</v>
      </c>
      <c r="P159" s="635" t="str">
        <f t="shared" si="14"/>
        <v>Minivan</v>
      </c>
      <c r="Q159" s="636">
        <f t="shared" si="15"/>
        <v>10.5</v>
      </c>
      <c r="R159" s="637">
        <f t="shared" si="16"/>
        <v>0.66</v>
      </c>
      <c r="S159" s="638">
        <f t="shared" si="17"/>
        <v>0.4</v>
      </c>
      <c r="T159" s="564">
        <f t="shared" si="18"/>
        <v>4.2</v>
      </c>
      <c r="U159" s="639">
        <f t="shared" si="19"/>
        <v>1</v>
      </c>
      <c r="V159" s="639">
        <f t="shared" si="20"/>
        <v>3</v>
      </c>
      <c r="AD159" s="586"/>
      <c r="AE159" s="586"/>
    </row>
    <row r="160" spans="2:31" ht="15.75" thickBot="1">
      <c r="B160" s="561" t="s">
        <v>240</v>
      </c>
      <c r="C160" s="566" t="s">
        <v>113</v>
      </c>
      <c r="D160" s="576">
        <v>0.18</v>
      </c>
      <c r="E160" s="576">
        <v>0.66</v>
      </c>
      <c r="F160" s="641">
        <f t="shared" si="11"/>
        <v>9.6</v>
      </c>
      <c r="G160" s="576">
        <v>1.4</v>
      </c>
      <c r="H160" s="576">
        <f t="shared" si="12"/>
        <v>1.56</v>
      </c>
      <c r="I160" s="576">
        <f t="shared" si="13"/>
        <v>0.23</v>
      </c>
      <c r="J160" s="576">
        <v>0.12</v>
      </c>
      <c r="K160" s="576">
        <v>0</v>
      </c>
      <c r="L160" s="576">
        <v>0</v>
      </c>
      <c r="M160" s="567">
        <v>11</v>
      </c>
      <c r="N160" s="581">
        <v>1</v>
      </c>
      <c r="O160" s="582">
        <v>3</v>
      </c>
      <c r="P160" s="635" t="str">
        <f t="shared" si="14"/>
        <v>Minivan</v>
      </c>
      <c r="Q160" s="636">
        <f t="shared" si="15"/>
        <v>11</v>
      </c>
      <c r="R160" s="637">
        <f t="shared" si="16"/>
        <v>0.66</v>
      </c>
      <c r="S160" s="638">
        <f t="shared" si="17"/>
        <v>0.4</v>
      </c>
      <c r="T160" s="564">
        <f t="shared" si="18"/>
        <v>4.4000000000000004</v>
      </c>
      <c r="U160" s="639">
        <f t="shared" si="19"/>
        <v>1</v>
      </c>
      <c r="V160" s="639">
        <f t="shared" si="20"/>
        <v>3</v>
      </c>
      <c r="AD160" s="586"/>
      <c r="AE160" s="586"/>
    </row>
    <row r="161" spans="2:31">
      <c r="B161" s="562" t="s">
        <v>428</v>
      </c>
      <c r="C161" s="562" t="s">
        <v>113</v>
      </c>
      <c r="D161" s="572">
        <v>0.18</v>
      </c>
      <c r="E161" s="572">
        <v>0.66</v>
      </c>
      <c r="F161" s="634">
        <f t="shared" si="11"/>
        <v>2.1</v>
      </c>
      <c r="G161" s="572">
        <v>1.4</v>
      </c>
      <c r="H161" s="572">
        <f>ROUND(F161*$L$51,2)</f>
        <v>0.39</v>
      </c>
      <c r="I161" s="572">
        <f>ROUND(G161*$L$51,2)</f>
        <v>0.26</v>
      </c>
      <c r="J161" s="572">
        <v>0.12</v>
      </c>
      <c r="K161" s="572">
        <v>0.1</v>
      </c>
      <c r="L161" s="572">
        <v>0.3</v>
      </c>
      <c r="M161" s="563">
        <v>3.5</v>
      </c>
      <c r="N161" s="577">
        <v>4</v>
      </c>
      <c r="O161" s="578">
        <v>0</v>
      </c>
      <c r="P161" s="635" t="str">
        <f t="shared" si="14"/>
        <v>Minivan</v>
      </c>
      <c r="Q161" s="636">
        <f t="shared" si="15"/>
        <v>3.5</v>
      </c>
      <c r="R161" s="637">
        <f t="shared" si="16"/>
        <v>0.66</v>
      </c>
      <c r="S161" s="638">
        <f t="shared" si="17"/>
        <v>0</v>
      </c>
      <c r="T161" s="564">
        <f t="shared" si="18"/>
        <v>0</v>
      </c>
      <c r="U161" s="639">
        <f t="shared" si="19"/>
        <v>4</v>
      </c>
      <c r="V161" s="639">
        <f t="shared" si="20"/>
        <v>0</v>
      </c>
      <c r="AD161" s="586"/>
      <c r="AE161" s="586"/>
    </row>
    <row r="162" spans="2:31">
      <c r="B162" s="561" t="s">
        <v>430</v>
      </c>
      <c r="C162" s="561" t="s">
        <v>113</v>
      </c>
      <c r="D162" s="574">
        <v>0.18</v>
      </c>
      <c r="E162" s="574">
        <v>0.66</v>
      </c>
      <c r="F162" s="640">
        <f t="shared" si="11"/>
        <v>2.6</v>
      </c>
      <c r="G162" s="574">
        <v>1.4</v>
      </c>
      <c r="H162" s="574">
        <f t="shared" ref="H162:H176" si="21">ROUND(F162*$L$51,2)</f>
        <v>0.49</v>
      </c>
      <c r="I162" s="574">
        <f t="shared" ref="I162:I176" si="22">ROUND(G162*$L$51,2)</f>
        <v>0.26</v>
      </c>
      <c r="J162" s="574">
        <v>0.12</v>
      </c>
      <c r="K162" s="574">
        <v>0.1</v>
      </c>
      <c r="L162" s="574">
        <v>0.3</v>
      </c>
      <c r="M162" s="565">
        <v>4</v>
      </c>
      <c r="N162" s="579">
        <v>4</v>
      </c>
      <c r="O162" s="580">
        <v>0</v>
      </c>
      <c r="P162" s="635" t="str">
        <f t="shared" si="14"/>
        <v>Minivan</v>
      </c>
      <c r="Q162" s="636">
        <f t="shared" si="15"/>
        <v>4</v>
      </c>
      <c r="R162" s="637">
        <f t="shared" si="16"/>
        <v>0.66</v>
      </c>
      <c r="S162" s="638">
        <f t="shared" si="17"/>
        <v>0</v>
      </c>
      <c r="T162" s="564">
        <f t="shared" si="18"/>
        <v>0</v>
      </c>
      <c r="U162" s="639">
        <f t="shared" si="19"/>
        <v>4</v>
      </c>
      <c r="V162" s="639">
        <f t="shared" si="20"/>
        <v>0</v>
      </c>
      <c r="AD162" s="586"/>
      <c r="AE162" s="586"/>
    </row>
    <row r="163" spans="2:31">
      <c r="B163" s="561" t="s">
        <v>431</v>
      </c>
      <c r="C163" s="561" t="s">
        <v>113</v>
      </c>
      <c r="D163" s="574">
        <v>0.18</v>
      </c>
      <c r="E163" s="574">
        <v>0.66</v>
      </c>
      <c r="F163" s="640">
        <f t="shared" si="11"/>
        <v>3.1</v>
      </c>
      <c r="G163" s="574">
        <v>1.4</v>
      </c>
      <c r="H163" s="574">
        <f t="shared" si="21"/>
        <v>0.57999999999999996</v>
      </c>
      <c r="I163" s="574">
        <f t="shared" si="22"/>
        <v>0.26</v>
      </c>
      <c r="J163" s="574">
        <v>0.12</v>
      </c>
      <c r="K163" s="574">
        <v>0.1</v>
      </c>
      <c r="L163" s="574">
        <v>0.3</v>
      </c>
      <c r="M163" s="565">
        <v>4.5</v>
      </c>
      <c r="N163" s="579">
        <v>4</v>
      </c>
      <c r="O163" s="580">
        <v>0</v>
      </c>
      <c r="P163" s="635" t="str">
        <f t="shared" si="14"/>
        <v>Minivan</v>
      </c>
      <c r="Q163" s="636">
        <f t="shared" si="15"/>
        <v>4.5</v>
      </c>
      <c r="R163" s="637">
        <f t="shared" si="16"/>
        <v>0.66</v>
      </c>
      <c r="S163" s="638">
        <f t="shared" si="17"/>
        <v>0</v>
      </c>
      <c r="T163" s="564">
        <f t="shared" si="18"/>
        <v>0</v>
      </c>
      <c r="U163" s="639">
        <f t="shared" si="19"/>
        <v>4</v>
      </c>
      <c r="V163" s="639">
        <f t="shared" si="20"/>
        <v>0</v>
      </c>
      <c r="AD163" s="586"/>
      <c r="AE163" s="586"/>
    </row>
    <row r="164" spans="2:31">
      <c r="B164" s="561" t="s">
        <v>432</v>
      </c>
      <c r="C164" s="561" t="s">
        <v>113</v>
      </c>
      <c r="D164" s="574">
        <v>0.18</v>
      </c>
      <c r="E164" s="574">
        <v>0.66</v>
      </c>
      <c r="F164" s="640">
        <f t="shared" si="11"/>
        <v>3.6</v>
      </c>
      <c r="G164" s="574">
        <v>1.4</v>
      </c>
      <c r="H164" s="574">
        <f t="shared" si="21"/>
        <v>0.68</v>
      </c>
      <c r="I164" s="574">
        <f t="shared" si="22"/>
        <v>0.26</v>
      </c>
      <c r="J164" s="574">
        <v>0.12</v>
      </c>
      <c r="K164" s="574">
        <v>0.1</v>
      </c>
      <c r="L164" s="574">
        <v>0.3</v>
      </c>
      <c r="M164" s="565">
        <v>5</v>
      </c>
      <c r="N164" s="579">
        <v>4</v>
      </c>
      <c r="O164" s="580">
        <v>0</v>
      </c>
      <c r="P164" s="635" t="str">
        <f t="shared" si="14"/>
        <v>Minivan</v>
      </c>
      <c r="Q164" s="636">
        <f t="shared" si="15"/>
        <v>5</v>
      </c>
      <c r="R164" s="637">
        <f t="shared" si="16"/>
        <v>0.66</v>
      </c>
      <c r="S164" s="638">
        <f t="shared" si="17"/>
        <v>0</v>
      </c>
      <c r="T164" s="564">
        <f t="shared" si="18"/>
        <v>0</v>
      </c>
      <c r="U164" s="639">
        <f t="shared" si="19"/>
        <v>4</v>
      </c>
      <c r="V164" s="639">
        <f t="shared" si="20"/>
        <v>0</v>
      </c>
      <c r="AD164" s="586"/>
      <c r="AE164" s="586"/>
    </row>
    <row r="165" spans="2:31">
      <c r="B165" s="561" t="s">
        <v>433</v>
      </c>
      <c r="C165" s="561" t="s">
        <v>113</v>
      </c>
      <c r="D165" s="574">
        <v>0.18</v>
      </c>
      <c r="E165" s="574">
        <v>0.66</v>
      </c>
      <c r="F165" s="640">
        <f t="shared" si="11"/>
        <v>4.0999999999999996</v>
      </c>
      <c r="G165" s="574">
        <v>1.4</v>
      </c>
      <c r="H165" s="574">
        <f t="shared" si="21"/>
        <v>0.77</v>
      </c>
      <c r="I165" s="574">
        <f t="shared" si="22"/>
        <v>0.26</v>
      </c>
      <c r="J165" s="574">
        <v>0.12</v>
      </c>
      <c r="K165" s="574">
        <v>0.1</v>
      </c>
      <c r="L165" s="574">
        <v>0.3</v>
      </c>
      <c r="M165" s="565">
        <v>5.5</v>
      </c>
      <c r="N165" s="579">
        <v>4</v>
      </c>
      <c r="O165" s="580">
        <v>0</v>
      </c>
      <c r="P165" s="635" t="str">
        <f t="shared" si="14"/>
        <v>Minivan</v>
      </c>
      <c r="Q165" s="636">
        <f t="shared" si="15"/>
        <v>5.5</v>
      </c>
      <c r="R165" s="637">
        <f t="shared" si="16"/>
        <v>0.66</v>
      </c>
      <c r="S165" s="638">
        <f t="shared" si="17"/>
        <v>0</v>
      </c>
      <c r="T165" s="564">
        <f t="shared" si="18"/>
        <v>0</v>
      </c>
      <c r="U165" s="639">
        <f t="shared" si="19"/>
        <v>4</v>
      </c>
      <c r="V165" s="639">
        <f t="shared" si="20"/>
        <v>0</v>
      </c>
      <c r="AD165" s="586"/>
      <c r="AE165" s="586"/>
    </row>
    <row r="166" spans="2:31">
      <c r="B166" s="561" t="s">
        <v>434</v>
      </c>
      <c r="C166" s="561" t="s">
        <v>113</v>
      </c>
      <c r="D166" s="574">
        <v>0.18</v>
      </c>
      <c r="E166" s="574">
        <v>0.66</v>
      </c>
      <c r="F166" s="640">
        <f t="shared" si="11"/>
        <v>4.5999999999999996</v>
      </c>
      <c r="G166" s="574">
        <v>1.4</v>
      </c>
      <c r="H166" s="574">
        <f t="shared" si="21"/>
        <v>0.86</v>
      </c>
      <c r="I166" s="574">
        <f t="shared" si="22"/>
        <v>0.26</v>
      </c>
      <c r="J166" s="574">
        <v>0.12</v>
      </c>
      <c r="K166" s="574">
        <v>0.1</v>
      </c>
      <c r="L166" s="574">
        <v>0.3</v>
      </c>
      <c r="M166" s="565">
        <v>6</v>
      </c>
      <c r="N166" s="579">
        <v>4</v>
      </c>
      <c r="O166" s="580">
        <v>0</v>
      </c>
      <c r="P166" s="635" t="str">
        <f t="shared" si="14"/>
        <v>Minivan</v>
      </c>
      <c r="Q166" s="636">
        <f t="shared" si="15"/>
        <v>6</v>
      </c>
      <c r="R166" s="637">
        <f t="shared" si="16"/>
        <v>0.66</v>
      </c>
      <c r="S166" s="638">
        <f t="shared" si="17"/>
        <v>0</v>
      </c>
      <c r="T166" s="564">
        <f t="shared" si="18"/>
        <v>0</v>
      </c>
      <c r="U166" s="639">
        <f t="shared" si="19"/>
        <v>4</v>
      </c>
      <c r="V166" s="639">
        <f t="shared" si="20"/>
        <v>0</v>
      </c>
      <c r="AD166" s="586"/>
      <c r="AE166" s="586"/>
    </row>
    <row r="167" spans="2:31">
      <c r="B167" s="561" t="s">
        <v>435</v>
      </c>
      <c r="C167" s="561" t="s">
        <v>113</v>
      </c>
      <c r="D167" s="574">
        <v>0.18</v>
      </c>
      <c r="E167" s="574">
        <v>0.66</v>
      </c>
      <c r="F167" s="640">
        <f t="shared" si="11"/>
        <v>5.0999999999999996</v>
      </c>
      <c r="G167" s="574">
        <v>1.4</v>
      </c>
      <c r="H167" s="574">
        <f t="shared" si="21"/>
        <v>0.96</v>
      </c>
      <c r="I167" s="574">
        <f t="shared" si="22"/>
        <v>0.26</v>
      </c>
      <c r="J167" s="574">
        <v>0.12</v>
      </c>
      <c r="K167" s="574">
        <v>0.1</v>
      </c>
      <c r="L167" s="574">
        <v>0.3</v>
      </c>
      <c r="M167" s="565">
        <v>6.5</v>
      </c>
      <c r="N167" s="579">
        <v>4</v>
      </c>
      <c r="O167" s="580">
        <v>0</v>
      </c>
      <c r="P167" s="635" t="str">
        <f t="shared" si="14"/>
        <v>Minivan</v>
      </c>
      <c r="Q167" s="636">
        <f t="shared" si="15"/>
        <v>6.5</v>
      </c>
      <c r="R167" s="637">
        <f t="shared" si="16"/>
        <v>0.66</v>
      </c>
      <c r="S167" s="638">
        <f t="shared" si="17"/>
        <v>0</v>
      </c>
      <c r="T167" s="564">
        <f t="shared" si="18"/>
        <v>0</v>
      </c>
      <c r="U167" s="639">
        <f t="shared" si="19"/>
        <v>4</v>
      </c>
      <c r="V167" s="639">
        <f t="shared" si="20"/>
        <v>0</v>
      </c>
      <c r="AD167" s="586"/>
      <c r="AE167" s="586"/>
    </row>
    <row r="168" spans="2:31">
      <c r="B168" s="561" t="s">
        <v>436</v>
      </c>
      <c r="C168" s="561" t="s">
        <v>113</v>
      </c>
      <c r="D168" s="574">
        <v>0.18</v>
      </c>
      <c r="E168" s="574">
        <v>0.66</v>
      </c>
      <c r="F168" s="640">
        <f t="shared" si="11"/>
        <v>5.6</v>
      </c>
      <c r="G168" s="574">
        <v>1.4</v>
      </c>
      <c r="H168" s="574">
        <f t="shared" si="21"/>
        <v>1.05</v>
      </c>
      <c r="I168" s="574">
        <f t="shared" si="22"/>
        <v>0.26</v>
      </c>
      <c r="J168" s="574">
        <v>0.12</v>
      </c>
      <c r="K168" s="574">
        <v>0.1</v>
      </c>
      <c r="L168" s="574">
        <v>0.3</v>
      </c>
      <c r="M168" s="565">
        <v>7</v>
      </c>
      <c r="N168" s="579">
        <v>4</v>
      </c>
      <c r="O168" s="580">
        <v>0</v>
      </c>
      <c r="P168" s="635" t="str">
        <f t="shared" si="14"/>
        <v>Minivan</v>
      </c>
      <c r="Q168" s="636">
        <f t="shared" si="15"/>
        <v>7</v>
      </c>
      <c r="R168" s="637">
        <f t="shared" si="16"/>
        <v>0.66</v>
      </c>
      <c r="S168" s="638">
        <f t="shared" si="17"/>
        <v>0</v>
      </c>
      <c r="T168" s="564">
        <f t="shared" si="18"/>
        <v>0</v>
      </c>
      <c r="U168" s="639">
        <f t="shared" si="19"/>
        <v>4</v>
      </c>
      <c r="V168" s="639">
        <f t="shared" si="20"/>
        <v>0</v>
      </c>
      <c r="AD168" s="586"/>
      <c r="AE168" s="586"/>
    </row>
    <row r="169" spans="2:31">
      <c r="B169" s="561" t="s">
        <v>437</v>
      </c>
      <c r="C169" s="561" t="s">
        <v>113</v>
      </c>
      <c r="D169" s="574">
        <v>0.18</v>
      </c>
      <c r="E169" s="574">
        <v>0.66</v>
      </c>
      <c r="F169" s="640">
        <f t="shared" si="11"/>
        <v>6.1</v>
      </c>
      <c r="G169" s="574">
        <v>1.4</v>
      </c>
      <c r="H169" s="574">
        <f t="shared" si="21"/>
        <v>1.1499999999999999</v>
      </c>
      <c r="I169" s="574">
        <f t="shared" si="22"/>
        <v>0.26</v>
      </c>
      <c r="J169" s="574">
        <v>0.12</v>
      </c>
      <c r="K169" s="574">
        <v>0.1</v>
      </c>
      <c r="L169" s="574">
        <v>0.3</v>
      </c>
      <c r="M169" s="565">
        <v>7.5</v>
      </c>
      <c r="N169" s="579">
        <v>4</v>
      </c>
      <c r="O169" s="580">
        <v>0</v>
      </c>
      <c r="P169" s="635" t="str">
        <f t="shared" si="14"/>
        <v>Minivan</v>
      </c>
      <c r="Q169" s="636">
        <f t="shared" si="15"/>
        <v>7.5</v>
      </c>
      <c r="R169" s="637">
        <f t="shared" si="16"/>
        <v>0.66</v>
      </c>
      <c r="S169" s="638">
        <f t="shared" si="17"/>
        <v>0</v>
      </c>
      <c r="T169" s="564">
        <f t="shared" si="18"/>
        <v>0</v>
      </c>
      <c r="U169" s="639">
        <f t="shared" si="19"/>
        <v>4</v>
      </c>
      <c r="V169" s="639">
        <f t="shared" si="20"/>
        <v>0</v>
      </c>
      <c r="AD169" s="586"/>
      <c r="AE169" s="586"/>
    </row>
    <row r="170" spans="2:31">
      <c r="B170" s="561" t="s">
        <v>438</v>
      </c>
      <c r="C170" s="561" t="s">
        <v>113</v>
      </c>
      <c r="D170" s="574">
        <v>0.18</v>
      </c>
      <c r="E170" s="574">
        <v>0.66</v>
      </c>
      <c r="F170" s="640">
        <f t="shared" si="11"/>
        <v>6.6</v>
      </c>
      <c r="G170" s="574">
        <v>1.4</v>
      </c>
      <c r="H170" s="574">
        <f t="shared" si="21"/>
        <v>1.24</v>
      </c>
      <c r="I170" s="574">
        <f t="shared" si="22"/>
        <v>0.26</v>
      </c>
      <c r="J170" s="574">
        <v>0.12</v>
      </c>
      <c r="K170" s="574">
        <v>0.1</v>
      </c>
      <c r="L170" s="574">
        <v>0.3</v>
      </c>
      <c r="M170" s="565">
        <v>8</v>
      </c>
      <c r="N170" s="579">
        <v>4</v>
      </c>
      <c r="O170" s="580">
        <v>0</v>
      </c>
      <c r="P170" s="635" t="str">
        <f t="shared" si="14"/>
        <v>Minivan</v>
      </c>
      <c r="Q170" s="636">
        <f t="shared" si="15"/>
        <v>8</v>
      </c>
      <c r="R170" s="637">
        <f t="shared" si="16"/>
        <v>0.66</v>
      </c>
      <c r="S170" s="638">
        <f t="shared" si="17"/>
        <v>0</v>
      </c>
      <c r="T170" s="564">
        <f t="shared" si="18"/>
        <v>0</v>
      </c>
      <c r="U170" s="639">
        <f t="shared" si="19"/>
        <v>4</v>
      </c>
      <c r="V170" s="639">
        <f t="shared" si="20"/>
        <v>0</v>
      </c>
      <c r="AD170" s="586"/>
      <c r="AE170" s="586"/>
    </row>
    <row r="171" spans="2:31">
      <c r="B171" s="561" t="s">
        <v>439</v>
      </c>
      <c r="C171" s="561" t="s">
        <v>113</v>
      </c>
      <c r="D171" s="574">
        <v>0.18</v>
      </c>
      <c r="E171" s="574">
        <v>0.66</v>
      </c>
      <c r="F171" s="640">
        <f t="shared" si="11"/>
        <v>7.1</v>
      </c>
      <c r="G171" s="574">
        <v>1.4</v>
      </c>
      <c r="H171" s="574">
        <f t="shared" si="21"/>
        <v>1.33</v>
      </c>
      <c r="I171" s="574">
        <f t="shared" si="22"/>
        <v>0.26</v>
      </c>
      <c r="J171" s="574">
        <v>0.12</v>
      </c>
      <c r="K171" s="574">
        <v>0.1</v>
      </c>
      <c r="L171" s="574">
        <v>0.3</v>
      </c>
      <c r="M171" s="565">
        <v>8.5</v>
      </c>
      <c r="N171" s="579">
        <v>4</v>
      </c>
      <c r="O171" s="580">
        <v>0</v>
      </c>
      <c r="P171" s="635" t="str">
        <f t="shared" si="14"/>
        <v>Minivan</v>
      </c>
      <c r="Q171" s="636">
        <f t="shared" si="15"/>
        <v>8.5</v>
      </c>
      <c r="R171" s="637">
        <f t="shared" si="16"/>
        <v>0.66</v>
      </c>
      <c r="S171" s="638">
        <f t="shared" si="17"/>
        <v>0</v>
      </c>
      <c r="T171" s="564">
        <f t="shared" si="18"/>
        <v>0</v>
      </c>
      <c r="U171" s="639">
        <f t="shared" si="19"/>
        <v>4</v>
      </c>
      <c r="V171" s="639">
        <f t="shared" si="20"/>
        <v>0</v>
      </c>
      <c r="AD171" s="586"/>
      <c r="AE171" s="586"/>
    </row>
    <row r="172" spans="2:31">
      <c r="B172" s="561" t="s">
        <v>440</v>
      </c>
      <c r="C172" s="561" t="s">
        <v>113</v>
      </c>
      <c r="D172" s="574">
        <v>0.18</v>
      </c>
      <c r="E172" s="574">
        <v>0.66</v>
      </c>
      <c r="F172" s="640">
        <f t="shared" si="11"/>
        <v>7.6</v>
      </c>
      <c r="G172" s="574">
        <v>1.4</v>
      </c>
      <c r="H172" s="574">
        <f t="shared" si="21"/>
        <v>1.43</v>
      </c>
      <c r="I172" s="574">
        <f t="shared" si="22"/>
        <v>0.26</v>
      </c>
      <c r="J172" s="574">
        <v>0.12</v>
      </c>
      <c r="K172" s="574">
        <v>0.1</v>
      </c>
      <c r="L172" s="574">
        <v>0.3</v>
      </c>
      <c r="M172" s="565">
        <v>9</v>
      </c>
      <c r="N172" s="579">
        <v>4</v>
      </c>
      <c r="O172" s="580">
        <v>0</v>
      </c>
      <c r="P172" s="635" t="str">
        <f t="shared" si="14"/>
        <v>Minivan</v>
      </c>
      <c r="Q172" s="636">
        <f t="shared" si="15"/>
        <v>9</v>
      </c>
      <c r="R172" s="637">
        <f t="shared" si="16"/>
        <v>0.66</v>
      </c>
      <c r="S172" s="638">
        <f t="shared" si="17"/>
        <v>0</v>
      </c>
      <c r="T172" s="564">
        <f t="shared" si="18"/>
        <v>0</v>
      </c>
      <c r="U172" s="639">
        <f t="shared" si="19"/>
        <v>4</v>
      </c>
      <c r="V172" s="639">
        <f t="shared" si="20"/>
        <v>0</v>
      </c>
      <c r="AD172" s="586"/>
      <c r="AE172" s="586"/>
    </row>
    <row r="173" spans="2:31">
      <c r="B173" s="561" t="s">
        <v>441</v>
      </c>
      <c r="C173" s="561" t="s">
        <v>113</v>
      </c>
      <c r="D173" s="574">
        <v>0.18</v>
      </c>
      <c r="E173" s="574">
        <v>0.66</v>
      </c>
      <c r="F173" s="640">
        <f t="shared" si="11"/>
        <v>8.1</v>
      </c>
      <c r="G173" s="574">
        <v>1.4</v>
      </c>
      <c r="H173" s="574">
        <f t="shared" si="21"/>
        <v>1.52</v>
      </c>
      <c r="I173" s="574">
        <f t="shared" si="22"/>
        <v>0.26</v>
      </c>
      <c r="J173" s="574">
        <v>0.12</v>
      </c>
      <c r="K173" s="574">
        <v>0.1</v>
      </c>
      <c r="L173" s="574">
        <v>0.3</v>
      </c>
      <c r="M173" s="565">
        <v>9.5</v>
      </c>
      <c r="N173" s="579">
        <v>4</v>
      </c>
      <c r="O173" s="580">
        <v>0</v>
      </c>
      <c r="P173" s="635" t="str">
        <f t="shared" si="14"/>
        <v>Minivan</v>
      </c>
      <c r="Q173" s="636">
        <f t="shared" si="15"/>
        <v>9.5</v>
      </c>
      <c r="R173" s="637">
        <f t="shared" si="16"/>
        <v>0.66</v>
      </c>
      <c r="S173" s="638">
        <f t="shared" si="17"/>
        <v>0</v>
      </c>
      <c r="T173" s="564">
        <f t="shared" si="18"/>
        <v>0</v>
      </c>
      <c r="U173" s="639">
        <f t="shared" si="19"/>
        <v>4</v>
      </c>
      <c r="V173" s="639">
        <f t="shared" si="20"/>
        <v>0</v>
      </c>
      <c r="AD173" s="586"/>
      <c r="AE173" s="586"/>
    </row>
    <row r="174" spans="2:31">
      <c r="B174" s="561" t="s">
        <v>463</v>
      </c>
      <c r="C174" s="561" t="s">
        <v>113</v>
      </c>
      <c r="D174" s="574">
        <v>0.18</v>
      </c>
      <c r="E174" s="574">
        <v>0.66</v>
      </c>
      <c r="F174" s="640">
        <f t="shared" si="11"/>
        <v>8.6</v>
      </c>
      <c r="G174" s="574">
        <v>1.4</v>
      </c>
      <c r="H174" s="574">
        <f t="shared" si="21"/>
        <v>1.62</v>
      </c>
      <c r="I174" s="574">
        <f t="shared" si="22"/>
        <v>0.26</v>
      </c>
      <c r="J174" s="574">
        <v>0.12</v>
      </c>
      <c r="K174" s="574">
        <v>0.1</v>
      </c>
      <c r="L174" s="574">
        <v>0.3</v>
      </c>
      <c r="M174" s="565">
        <v>10</v>
      </c>
      <c r="N174" s="579">
        <v>4</v>
      </c>
      <c r="O174" s="580">
        <v>0</v>
      </c>
      <c r="P174" s="635" t="str">
        <f t="shared" si="14"/>
        <v>Minivan</v>
      </c>
      <c r="Q174" s="636">
        <f t="shared" si="15"/>
        <v>10</v>
      </c>
      <c r="R174" s="637">
        <f t="shared" si="16"/>
        <v>0.66</v>
      </c>
      <c r="S174" s="638">
        <f t="shared" si="17"/>
        <v>0</v>
      </c>
      <c r="T174" s="564">
        <f t="shared" si="18"/>
        <v>0</v>
      </c>
      <c r="U174" s="639">
        <f t="shared" si="19"/>
        <v>4</v>
      </c>
      <c r="V174" s="639">
        <f t="shared" si="20"/>
        <v>0</v>
      </c>
      <c r="AD174" s="586"/>
      <c r="AE174" s="586"/>
    </row>
    <row r="175" spans="2:31">
      <c r="B175" s="561" t="s">
        <v>464</v>
      </c>
      <c r="C175" s="561" t="s">
        <v>113</v>
      </c>
      <c r="D175" s="574">
        <v>0.18</v>
      </c>
      <c r="E175" s="574">
        <v>0.66</v>
      </c>
      <c r="F175" s="640">
        <f t="shared" si="11"/>
        <v>9.1</v>
      </c>
      <c r="G175" s="574">
        <v>1.4</v>
      </c>
      <c r="H175" s="574">
        <f t="shared" si="21"/>
        <v>1.71</v>
      </c>
      <c r="I175" s="574">
        <f t="shared" si="22"/>
        <v>0.26</v>
      </c>
      <c r="J175" s="574">
        <v>0.12</v>
      </c>
      <c r="K175" s="574">
        <v>0.1</v>
      </c>
      <c r="L175" s="574">
        <v>0.3</v>
      </c>
      <c r="M175" s="565">
        <v>10.5</v>
      </c>
      <c r="N175" s="579">
        <v>4</v>
      </c>
      <c r="O175" s="580">
        <v>0</v>
      </c>
      <c r="P175" s="635" t="str">
        <f t="shared" si="14"/>
        <v>Minivan</v>
      </c>
      <c r="Q175" s="636">
        <f t="shared" si="15"/>
        <v>10.5</v>
      </c>
      <c r="R175" s="637">
        <f t="shared" si="16"/>
        <v>0.66</v>
      </c>
      <c r="S175" s="638">
        <f t="shared" si="17"/>
        <v>0</v>
      </c>
      <c r="T175" s="564">
        <f t="shared" si="18"/>
        <v>0</v>
      </c>
      <c r="U175" s="639">
        <f t="shared" si="19"/>
        <v>4</v>
      </c>
      <c r="V175" s="639">
        <f t="shared" si="20"/>
        <v>0</v>
      </c>
      <c r="AD175" s="586"/>
      <c r="AE175" s="586"/>
    </row>
    <row r="176" spans="2:31" ht="15.75" thickBot="1">
      <c r="B176" s="566" t="s">
        <v>465</v>
      </c>
      <c r="C176" s="566" t="s">
        <v>113</v>
      </c>
      <c r="D176" s="576">
        <v>0.18</v>
      </c>
      <c r="E176" s="576">
        <v>0.66</v>
      </c>
      <c r="F176" s="641">
        <f t="shared" si="11"/>
        <v>9.6</v>
      </c>
      <c r="G176" s="576">
        <v>1.4</v>
      </c>
      <c r="H176" s="576">
        <f t="shared" si="21"/>
        <v>1.8</v>
      </c>
      <c r="I176" s="576">
        <f t="shared" si="22"/>
        <v>0.26</v>
      </c>
      <c r="J176" s="576">
        <v>0.12</v>
      </c>
      <c r="K176" s="576">
        <v>0.1</v>
      </c>
      <c r="L176" s="576">
        <v>0.3</v>
      </c>
      <c r="M176" s="567">
        <v>11</v>
      </c>
      <c r="N176" s="581">
        <v>4</v>
      </c>
      <c r="O176" s="582">
        <v>0</v>
      </c>
      <c r="P176" s="635" t="str">
        <f t="shared" si="14"/>
        <v>Minivan</v>
      </c>
      <c r="Q176" s="636">
        <f t="shared" si="15"/>
        <v>11</v>
      </c>
      <c r="R176" s="637">
        <f t="shared" si="16"/>
        <v>0.66</v>
      </c>
      <c r="S176" s="638">
        <f t="shared" si="17"/>
        <v>0</v>
      </c>
      <c r="T176" s="564">
        <f t="shared" si="18"/>
        <v>0</v>
      </c>
      <c r="U176" s="639">
        <f t="shared" si="19"/>
        <v>4</v>
      </c>
      <c r="V176" s="639">
        <f t="shared" si="20"/>
        <v>0</v>
      </c>
      <c r="AD176" s="586"/>
      <c r="AE176" s="586"/>
    </row>
    <row r="177" spans="2:31">
      <c r="B177" s="561" t="s">
        <v>241</v>
      </c>
      <c r="C177" s="561" t="s">
        <v>97</v>
      </c>
      <c r="D177" s="574">
        <v>0.41</v>
      </c>
      <c r="E177" s="574">
        <v>1</v>
      </c>
      <c r="F177" s="640">
        <f t="shared" si="11"/>
        <v>2.1</v>
      </c>
      <c r="G177" s="574">
        <v>1.4</v>
      </c>
      <c r="H177" s="574">
        <f t="shared" si="12"/>
        <v>0.34</v>
      </c>
      <c r="I177" s="574">
        <f t="shared" si="13"/>
        <v>0.23</v>
      </c>
      <c r="J177" s="574">
        <v>0.12</v>
      </c>
      <c r="K177" s="574">
        <v>0</v>
      </c>
      <c r="L177" s="574">
        <v>0</v>
      </c>
      <c r="M177" s="565">
        <v>3.5</v>
      </c>
      <c r="N177" s="579">
        <v>1</v>
      </c>
      <c r="O177" s="580">
        <v>1</v>
      </c>
      <c r="P177" s="635" t="str">
        <f t="shared" si="14"/>
        <v>Van</v>
      </c>
      <c r="Q177" s="636">
        <f t="shared" si="15"/>
        <v>3.5</v>
      </c>
      <c r="R177" s="637">
        <f t="shared" si="16"/>
        <v>1</v>
      </c>
      <c r="S177" s="638">
        <f t="shared" si="17"/>
        <v>0</v>
      </c>
      <c r="T177" s="564">
        <f t="shared" si="18"/>
        <v>0</v>
      </c>
      <c r="U177" s="639">
        <f t="shared" si="19"/>
        <v>1</v>
      </c>
      <c r="V177" s="639">
        <f t="shared" si="20"/>
        <v>1</v>
      </c>
      <c r="AD177" s="586"/>
      <c r="AE177" s="586"/>
    </row>
    <row r="178" spans="2:31">
      <c r="B178" s="561" t="s">
        <v>242</v>
      </c>
      <c r="C178" s="561" t="s">
        <v>97</v>
      </c>
      <c r="D178" s="574">
        <v>0.41</v>
      </c>
      <c r="E178" s="574">
        <v>1</v>
      </c>
      <c r="F178" s="640">
        <f t="shared" si="11"/>
        <v>2.6</v>
      </c>
      <c r="G178" s="574">
        <v>1.4</v>
      </c>
      <c r="H178" s="574">
        <f t="shared" si="12"/>
        <v>0.42</v>
      </c>
      <c r="I178" s="574">
        <f t="shared" si="13"/>
        <v>0.23</v>
      </c>
      <c r="J178" s="574">
        <v>0.12</v>
      </c>
      <c r="K178" s="574">
        <v>0</v>
      </c>
      <c r="L178" s="574">
        <v>0</v>
      </c>
      <c r="M178" s="565">
        <v>4</v>
      </c>
      <c r="N178" s="579">
        <v>1</v>
      </c>
      <c r="O178" s="580">
        <v>1</v>
      </c>
      <c r="P178" s="635" t="str">
        <f t="shared" si="14"/>
        <v>Van</v>
      </c>
      <c r="Q178" s="636">
        <f t="shared" si="15"/>
        <v>4</v>
      </c>
      <c r="R178" s="637">
        <f t="shared" si="16"/>
        <v>1</v>
      </c>
      <c r="S178" s="638">
        <f t="shared" si="17"/>
        <v>0</v>
      </c>
      <c r="T178" s="564">
        <f t="shared" si="18"/>
        <v>0</v>
      </c>
      <c r="U178" s="639">
        <f t="shared" si="19"/>
        <v>1</v>
      </c>
      <c r="V178" s="639">
        <f t="shared" si="20"/>
        <v>1</v>
      </c>
      <c r="AD178" s="586"/>
      <c r="AE178" s="586"/>
    </row>
    <row r="179" spans="2:31">
      <c r="B179" s="561" t="s">
        <v>243</v>
      </c>
      <c r="C179" s="561" t="s">
        <v>97</v>
      </c>
      <c r="D179" s="574">
        <v>0.41</v>
      </c>
      <c r="E179" s="574">
        <v>1</v>
      </c>
      <c r="F179" s="640">
        <f t="shared" si="11"/>
        <v>3.1</v>
      </c>
      <c r="G179" s="574">
        <v>1.4</v>
      </c>
      <c r="H179" s="574">
        <f t="shared" si="12"/>
        <v>0.5</v>
      </c>
      <c r="I179" s="574">
        <f t="shared" si="13"/>
        <v>0.23</v>
      </c>
      <c r="J179" s="574">
        <v>0.12</v>
      </c>
      <c r="K179" s="574">
        <v>0</v>
      </c>
      <c r="L179" s="574">
        <v>0</v>
      </c>
      <c r="M179" s="565">
        <v>4.5</v>
      </c>
      <c r="N179" s="579">
        <v>1</v>
      </c>
      <c r="O179" s="580">
        <v>1</v>
      </c>
      <c r="P179" s="635" t="str">
        <f t="shared" si="14"/>
        <v>Van</v>
      </c>
      <c r="Q179" s="636">
        <f t="shared" si="15"/>
        <v>4.5</v>
      </c>
      <c r="R179" s="637">
        <f t="shared" si="16"/>
        <v>1</v>
      </c>
      <c r="S179" s="638">
        <f t="shared" si="17"/>
        <v>0</v>
      </c>
      <c r="T179" s="564">
        <f t="shared" si="18"/>
        <v>0</v>
      </c>
      <c r="U179" s="639">
        <f t="shared" si="19"/>
        <v>1</v>
      </c>
      <c r="V179" s="639">
        <f t="shared" si="20"/>
        <v>1</v>
      </c>
      <c r="AD179" s="586"/>
      <c r="AE179" s="586"/>
    </row>
    <row r="180" spans="2:31">
      <c r="B180" s="561" t="s">
        <v>244</v>
      </c>
      <c r="C180" s="561" t="s">
        <v>97</v>
      </c>
      <c r="D180" s="574">
        <v>0.41</v>
      </c>
      <c r="E180" s="574">
        <v>1</v>
      </c>
      <c r="F180" s="640">
        <f t="shared" si="11"/>
        <v>3.6</v>
      </c>
      <c r="G180" s="574">
        <v>1.4</v>
      </c>
      <c r="H180" s="574">
        <f t="shared" si="12"/>
        <v>0.57999999999999996</v>
      </c>
      <c r="I180" s="574">
        <f t="shared" si="13"/>
        <v>0.23</v>
      </c>
      <c r="J180" s="574">
        <v>0.12</v>
      </c>
      <c r="K180" s="574">
        <v>0</v>
      </c>
      <c r="L180" s="574">
        <v>0</v>
      </c>
      <c r="M180" s="565">
        <v>5</v>
      </c>
      <c r="N180" s="579">
        <v>1</v>
      </c>
      <c r="O180" s="580">
        <v>1</v>
      </c>
      <c r="P180" s="635" t="str">
        <f t="shared" si="14"/>
        <v>Van</v>
      </c>
      <c r="Q180" s="636">
        <f t="shared" si="15"/>
        <v>5</v>
      </c>
      <c r="R180" s="637">
        <f t="shared" si="16"/>
        <v>1</v>
      </c>
      <c r="S180" s="638">
        <f t="shared" si="17"/>
        <v>0</v>
      </c>
      <c r="T180" s="564">
        <f t="shared" si="18"/>
        <v>0</v>
      </c>
      <c r="U180" s="639">
        <f t="shared" si="19"/>
        <v>1</v>
      </c>
      <c r="V180" s="639">
        <f t="shared" si="20"/>
        <v>1</v>
      </c>
      <c r="AD180" s="586"/>
      <c r="AE180" s="586"/>
    </row>
    <row r="181" spans="2:31">
      <c r="B181" s="561" t="s">
        <v>245</v>
      </c>
      <c r="C181" s="561" t="s">
        <v>97</v>
      </c>
      <c r="D181" s="574">
        <v>0.41</v>
      </c>
      <c r="E181" s="574">
        <v>1</v>
      </c>
      <c r="F181" s="640">
        <f t="shared" si="11"/>
        <v>4.0999999999999996</v>
      </c>
      <c r="G181" s="574">
        <v>1.4</v>
      </c>
      <c r="H181" s="574">
        <f t="shared" si="12"/>
        <v>0.66</v>
      </c>
      <c r="I181" s="574">
        <f t="shared" si="13"/>
        <v>0.23</v>
      </c>
      <c r="J181" s="574">
        <v>0.12</v>
      </c>
      <c r="K181" s="574">
        <v>0</v>
      </c>
      <c r="L181" s="574">
        <v>0</v>
      </c>
      <c r="M181" s="565">
        <v>5.5</v>
      </c>
      <c r="N181" s="579">
        <v>1</v>
      </c>
      <c r="O181" s="580">
        <v>1</v>
      </c>
      <c r="P181" s="635" t="str">
        <f t="shared" si="14"/>
        <v>Van</v>
      </c>
      <c r="Q181" s="636">
        <f t="shared" si="15"/>
        <v>5.5</v>
      </c>
      <c r="R181" s="637">
        <f t="shared" si="16"/>
        <v>1</v>
      </c>
      <c r="S181" s="638">
        <f t="shared" si="17"/>
        <v>0</v>
      </c>
      <c r="T181" s="564">
        <f t="shared" si="18"/>
        <v>0</v>
      </c>
      <c r="U181" s="639">
        <f t="shared" si="19"/>
        <v>1</v>
      </c>
      <c r="V181" s="639">
        <f t="shared" si="20"/>
        <v>1</v>
      </c>
      <c r="AD181" s="586"/>
      <c r="AE181" s="586"/>
    </row>
    <row r="182" spans="2:31">
      <c r="B182" s="561" t="s">
        <v>246</v>
      </c>
      <c r="C182" s="561" t="s">
        <v>97</v>
      </c>
      <c r="D182" s="574">
        <v>0.41</v>
      </c>
      <c r="E182" s="574">
        <v>1</v>
      </c>
      <c r="F182" s="640">
        <f t="shared" si="11"/>
        <v>4.5999999999999996</v>
      </c>
      <c r="G182" s="574">
        <v>1.4</v>
      </c>
      <c r="H182" s="574">
        <f t="shared" si="12"/>
        <v>0.75</v>
      </c>
      <c r="I182" s="574">
        <f t="shared" si="13"/>
        <v>0.23</v>
      </c>
      <c r="J182" s="574">
        <v>0.12</v>
      </c>
      <c r="K182" s="574">
        <v>0</v>
      </c>
      <c r="L182" s="574">
        <v>0</v>
      </c>
      <c r="M182" s="565">
        <v>6</v>
      </c>
      <c r="N182" s="579">
        <v>1</v>
      </c>
      <c r="O182" s="580">
        <v>1</v>
      </c>
      <c r="P182" s="635" t="str">
        <f t="shared" si="14"/>
        <v>Van</v>
      </c>
      <c r="Q182" s="636">
        <f t="shared" si="15"/>
        <v>6</v>
      </c>
      <c r="R182" s="637">
        <f t="shared" si="16"/>
        <v>1</v>
      </c>
      <c r="S182" s="638">
        <f t="shared" si="17"/>
        <v>0</v>
      </c>
      <c r="T182" s="564">
        <f t="shared" si="18"/>
        <v>0</v>
      </c>
      <c r="U182" s="639">
        <f t="shared" si="19"/>
        <v>1</v>
      </c>
      <c r="V182" s="639">
        <f t="shared" si="20"/>
        <v>1</v>
      </c>
      <c r="AD182" s="586"/>
      <c r="AE182" s="586"/>
    </row>
    <row r="183" spans="2:31">
      <c r="B183" s="561" t="s">
        <v>247</v>
      </c>
      <c r="C183" s="561" t="s">
        <v>97</v>
      </c>
      <c r="D183" s="574">
        <v>0.41</v>
      </c>
      <c r="E183" s="574">
        <v>1</v>
      </c>
      <c r="F183" s="640">
        <f t="shared" si="11"/>
        <v>5.0999999999999996</v>
      </c>
      <c r="G183" s="574">
        <v>1.4</v>
      </c>
      <c r="H183" s="574">
        <f t="shared" si="12"/>
        <v>0.83</v>
      </c>
      <c r="I183" s="574">
        <f t="shared" si="13"/>
        <v>0.23</v>
      </c>
      <c r="J183" s="574">
        <v>0.12</v>
      </c>
      <c r="K183" s="574">
        <v>0</v>
      </c>
      <c r="L183" s="574">
        <v>0</v>
      </c>
      <c r="M183" s="565">
        <v>6.5</v>
      </c>
      <c r="N183" s="579">
        <v>1</v>
      </c>
      <c r="O183" s="580">
        <v>1</v>
      </c>
      <c r="P183" s="635" t="str">
        <f t="shared" si="14"/>
        <v>Van</v>
      </c>
      <c r="Q183" s="636">
        <f t="shared" si="15"/>
        <v>6.5</v>
      </c>
      <c r="R183" s="637">
        <f t="shared" si="16"/>
        <v>1</v>
      </c>
      <c r="S183" s="638">
        <f t="shared" si="17"/>
        <v>0</v>
      </c>
      <c r="T183" s="564">
        <f t="shared" si="18"/>
        <v>0</v>
      </c>
      <c r="U183" s="639">
        <f t="shared" si="19"/>
        <v>1</v>
      </c>
      <c r="V183" s="639">
        <f t="shared" si="20"/>
        <v>1</v>
      </c>
      <c r="AD183" s="586"/>
      <c r="AE183" s="586"/>
    </row>
    <row r="184" spans="2:31">
      <c r="B184" s="561" t="s">
        <v>248</v>
      </c>
      <c r="C184" s="561" t="s">
        <v>97</v>
      </c>
      <c r="D184" s="574">
        <v>0.41</v>
      </c>
      <c r="E184" s="574">
        <v>1</v>
      </c>
      <c r="F184" s="640">
        <f t="shared" si="11"/>
        <v>5.6</v>
      </c>
      <c r="G184" s="574">
        <v>1.4</v>
      </c>
      <c r="H184" s="574">
        <f t="shared" si="12"/>
        <v>0.91</v>
      </c>
      <c r="I184" s="574">
        <f t="shared" si="13"/>
        <v>0.23</v>
      </c>
      <c r="J184" s="574">
        <v>0.12</v>
      </c>
      <c r="K184" s="574">
        <v>0</v>
      </c>
      <c r="L184" s="574">
        <v>0</v>
      </c>
      <c r="M184" s="565">
        <v>7</v>
      </c>
      <c r="N184" s="579">
        <v>1</v>
      </c>
      <c r="O184" s="580">
        <v>1</v>
      </c>
      <c r="P184" s="635" t="str">
        <f t="shared" si="14"/>
        <v>Van</v>
      </c>
      <c r="Q184" s="636">
        <f t="shared" si="15"/>
        <v>7</v>
      </c>
      <c r="R184" s="637">
        <f t="shared" si="16"/>
        <v>1</v>
      </c>
      <c r="S184" s="638">
        <f t="shared" si="17"/>
        <v>0</v>
      </c>
      <c r="T184" s="564">
        <f t="shared" si="18"/>
        <v>0</v>
      </c>
      <c r="U184" s="639">
        <f t="shared" si="19"/>
        <v>1</v>
      </c>
      <c r="V184" s="639">
        <f t="shared" si="20"/>
        <v>1</v>
      </c>
      <c r="AD184" s="586"/>
      <c r="AE184" s="586"/>
    </row>
    <row r="185" spans="2:31">
      <c r="B185" s="561" t="s">
        <v>249</v>
      </c>
      <c r="C185" s="561" t="s">
        <v>97</v>
      </c>
      <c r="D185" s="574">
        <v>0.41</v>
      </c>
      <c r="E185" s="574">
        <v>1</v>
      </c>
      <c r="F185" s="640">
        <f t="shared" si="11"/>
        <v>6.1</v>
      </c>
      <c r="G185" s="574">
        <v>1.4</v>
      </c>
      <c r="H185" s="574">
        <f t="shared" si="12"/>
        <v>0.99</v>
      </c>
      <c r="I185" s="574">
        <f t="shared" si="13"/>
        <v>0.23</v>
      </c>
      <c r="J185" s="574">
        <v>0.12</v>
      </c>
      <c r="K185" s="574">
        <v>0</v>
      </c>
      <c r="L185" s="574">
        <v>0</v>
      </c>
      <c r="M185" s="565">
        <v>7.5</v>
      </c>
      <c r="N185" s="579">
        <v>1</v>
      </c>
      <c r="O185" s="580">
        <v>1</v>
      </c>
      <c r="P185" s="635" t="str">
        <f t="shared" si="14"/>
        <v>Van</v>
      </c>
      <c r="Q185" s="636">
        <f t="shared" si="15"/>
        <v>7.5</v>
      </c>
      <c r="R185" s="637">
        <f t="shared" si="16"/>
        <v>1</v>
      </c>
      <c r="S185" s="638">
        <f t="shared" si="17"/>
        <v>0</v>
      </c>
      <c r="T185" s="564">
        <f t="shared" si="18"/>
        <v>0</v>
      </c>
      <c r="U185" s="639">
        <f t="shared" si="19"/>
        <v>1</v>
      </c>
      <c r="V185" s="639">
        <f t="shared" si="20"/>
        <v>1</v>
      </c>
      <c r="AD185" s="586"/>
      <c r="AE185" s="586"/>
    </row>
    <row r="186" spans="2:31">
      <c r="B186" s="561" t="s">
        <v>250</v>
      </c>
      <c r="C186" s="561" t="s">
        <v>97</v>
      </c>
      <c r="D186" s="574">
        <v>0.41</v>
      </c>
      <c r="E186" s="574">
        <v>1</v>
      </c>
      <c r="F186" s="640">
        <f t="shared" si="11"/>
        <v>6.6</v>
      </c>
      <c r="G186" s="574">
        <v>1.4</v>
      </c>
      <c r="H186" s="574">
        <f t="shared" si="12"/>
        <v>1.07</v>
      </c>
      <c r="I186" s="574">
        <f t="shared" si="13"/>
        <v>0.23</v>
      </c>
      <c r="J186" s="574">
        <v>0.12</v>
      </c>
      <c r="K186" s="574">
        <v>0</v>
      </c>
      <c r="L186" s="574">
        <v>0</v>
      </c>
      <c r="M186" s="565">
        <v>8</v>
      </c>
      <c r="N186" s="579">
        <v>1</v>
      </c>
      <c r="O186" s="580">
        <v>1</v>
      </c>
      <c r="P186" s="635" t="str">
        <f t="shared" si="14"/>
        <v>Van</v>
      </c>
      <c r="Q186" s="636">
        <f t="shared" si="15"/>
        <v>8</v>
      </c>
      <c r="R186" s="637">
        <f t="shared" si="16"/>
        <v>1</v>
      </c>
      <c r="S186" s="638">
        <f t="shared" si="17"/>
        <v>0</v>
      </c>
      <c r="T186" s="564">
        <f t="shared" si="18"/>
        <v>0</v>
      </c>
      <c r="U186" s="639">
        <f t="shared" si="19"/>
        <v>1</v>
      </c>
      <c r="V186" s="639">
        <f t="shared" si="20"/>
        <v>1</v>
      </c>
      <c r="AD186" s="586"/>
      <c r="AE186" s="586"/>
    </row>
    <row r="187" spans="2:31">
      <c r="B187" s="561" t="s">
        <v>251</v>
      </c>
      <c r="C187" s="561" t="s">
        <v>97</v>
      </c>
      <c r="D187" s="574">
        <v>0.41</v>
      </c>
      <c r="E187" s="574">
        <v>1</v>
      </c>
      <c r="F187" s="640">
        <f t="shared" si="11"/>
        <v>7.1</v>
      </c>
      <c r="G187" s="574">
        <v>1.4</v>
      </c>
      <c r="H187" s="574">
        <f t="shared" si="12"/>
        <v>1.1499999999999999</v>
      </c>
      <c r="I187" s="574">
        <f t="shared" si="13"/>
        <v>0.23</v>
      </c>
      <c r="J187" s="574">
        <v>0.12</v>
      </c>
      <c r="K187" s="574">
        <v>0</v>
      </c>
      <c r="L187" s="574">
        <v>0</v>
      </c>
      <c r="M187" s="565">
        <v>8.5</v>
      </c>
      <c r="N187" s="579">
        <v>1</v>
      </c>
      <c r="O187" s="580">
        <v>1</v>
      </c>
      <c r="P187" s="635" t="str">
        <f t="shared" si="14"/>
        <v>Van</v>
      </c>
      <c r="Q187" s="636">
        <f t="shared" si="15"/>
        <v>8.5</v>
      </c>
      <c r="R187" s="637">
        <f t="shared" si="16"/>
        <v>1</v>
      </c>
      <c r="S187" s="638">
        <f t="shared" si="17"/>
        <v>0</v>
      </c>
      <c r="T187" s="564">
        <f t="shared" si="18"/>
        <v>0</v>
      </c>
      <c r="U187" s="639">
        <f t="shared" si="19"/>
        <v>1</v>
      </c>
      <c r="V187" s="639">
        <f t="shared" si="20"/>
        <v>1</v>
      </c>
      <c r="AD187" s="586"/>
      <c r="AE187" s="586"/>
    </row>
    <row r="188" spans="2:31">
      <c r="B188" s="561" t="s">
        <v>252</v>
      </c>
      <c r="C188" s="561" t="s">
        <v>97</v>
      </c>
      <c r="D188" s="574">
        <v>0.41</v>
      </c>
      <c r="E188" s="574">
        <v>1</v>
      </c>
      <c r="F188" s="640">
        <f t="shared" si="11"/>
        <v>7.6</v>
      </c>
      <c r="G188" s="574">
        <v>1.4</v>
      </c>
      <c r="H188" s="574">
        <f t="shared" si="12"/>
        <v>1.23</v>
      </c>
      <c r="I188" s="574">
        <f t="shared" si="13"/>
        <v>0.23</v>
      </c>
      <c r="J188" s="574">
        <v>0.12</v>
      </c>
      <c r="K188" s="574">
        <v>0</v>
      </c>
      <c r="L188" s="574">
        <v>0</v>
      </c>
      <c r="M188" s="565">
        <v>9</v>
      </c>
      <c r="N188" s="579">
        <v>1</v>
      </c>
      <c r="O188" s="580">
        <v>1</v>
      </c>
      <c r="P188" s="635" t="str">
        <f t="shared" si="14"/>
        <v>Van</v>
      </c>
      <c r="Q188" s="636">
        <f t="shared" si="15"/>
        <v>9</v>
      </c>
      <c r="R188" s="637">
        <f t="shared" si="16"/>
        <v>1</v>
      </c>
      <c r="S188" s="638">
        <f t="shared" si="17"/>
        <v>0</v>
      </c>
      <c r="T188" s="564">
        <f t="shared" si="18"/>
        <v>0</v>
      </c>
      <c r="U188" s="639">
        <f t="shared" si="19"/>
        <v>1</v>
      </c>
      <c r="V188" s="639">
        <f t="shared" si="20"/>
        <v>1</v>
      </c>
      <c r="AD188" s="586"/>
      <c r="AE188" s="586"/>
    </row>
    <row r="189" spans="2:31">
      <c r="B189" s="561" t="s">
        <v>253</v>
      </c>
      <c r="C189" s="561" t="s">
        <v>97</v>
      </c>
      <c r="D189" s="574">
        <v>0.41</v>
      </c>
      <c r="E189" s="574">
        <v>1</v>
      </c>
      <c r="F189" s="640">
        <f t="shared" si="11"/>
        <v>8.1</v>
      </c>
      <c r="G189" s="574">
        <v>1.4</v>
      </c>
      <c r="H189" s="574">
        <f t="shared" si="12"/>
        <v>1.31</v>
      </c>
      <c r="I189" s="574">
        <f t="shared" si="13"/>
        <v>0.23</v>
      </c>
      <c r="J189" s="574">
        <v>0.12</v>
      </c>
      <c r="K189" s="574">
        <v>0</v>
      </c>
      <c r="L189" s="574">
        <v>0</v>
      </c>
      <c r="M189" s="565">
        <v>9.5</v>
      </c>
      <c r="N189" s="579">
        <v>1</v>
      </c>
      <c r="O189" s="580">
        <v>1</v>
      </c>
      <c r="P189" s="635" t="str">
        <f t="shared" si="14"/>
        <v>Van</v>
      </c>
      <c r="Q189" s="636">
        <f t="shared" si="15"/>
        <v>9.5</v>
      </c>
      <c r="R189" s="637">
        <f t="shared" si="16"/>
        <v>1</v>
      </c>
      <c r="S189" s="638">
        <f t="shared" si="17"/>
        <v>0</v>
      </c>
      <c r="T189" s="564">
        <f t="shared" si="18"/>
        <v>0</v>
      </c>
      <c r="U189" s="639">
        <f t="shared" si="19"/>
        <v>1</v>
      </c>
      <c r="V189" s="639">
        <f t="shared" si="20"/>
        <v>1</v>
      </c>
      <c r="AD189" s="586"/>
      <c r="AE189" s="586"/>
    </row>
    <row r="190" spans="2:31">
      <c r="B190" s="561" t="s">
        <v>254</v>
      </c>
      <c r="C190" s="561" t="s">
        <v>97</v>
      </c>
      <c r="D190" s="574">
        <v>0.41</v>
      </c>
      <c r="E190" s="574">
        <v>1</v>
      </c>
      <c r="F190" s="640">
        <f t="shared" si="11"/>
        <v>8.6</v>
      </c>
      <c r="G190" s="574">
        <v>1.4</v>
      </c>
      <c r="H190" s="574">
        <f t="shared" si="12"/>
        <v>1.39</v>
      </c>
      <c r="I190" s="574">
        <f t="shared" si="13"/>
        <v>0.23</v>
      </c>
      <c r="J190" s="574">
        <v>0.12</v>
      </c>
      <c r="K190" s="574">
        <v>0</v>
      </c>
      <c r="L190" s="574">
        <v>0</v>
      </c>
      <c r="M190" s="565">
        <v>10</v>
      </c>
      <c r="N190" s="579">
        <v>1</v>
      </c>
      <c r="O190" s="580">
        <v>1</v>
      </c>
      <c r="P190" s="635" t="str">
        <f t="shared" si="14"/>
        <v>Van</v>
      </c>
      <c r="Q190" s="636">
        <f t="shared" si="15"/>
        <v>10</v>
      </c>
      <c r="R190" s="637">
        <f t="shared" si="16"/>
        <v>1</v>
      </c>
      <c r="S190" s="638">
        <f t="shared" si="17"/>
        <v>0</v>
      </c>
      <c r="T190" s="564">
        <f t="shared" si="18"/>
        <v>0</v>
      </c>
      <c r="U190" s="639">
        <f t="shared" si="19"/>
        <v>1</v>
      </c>
      <c r="V190" s="639">
        <f t="shared" si="20"/>
        <v>1</v>
      </c>
      <c r="AD190" s="586"/>
      <c r="AE190" s="586"/>
    </row>
    <row r="191" spans="2:31">
      <c r="B191" s="561" t="s">
        <v>255</v>
      </c>
      <c r="C191" s="561" t="s">
        <v>97</v>
      </c>
      <c r="D191" s="574">
        <v>0.41</v>
      </c>
      <c r="E191" s="574">
        <v>1</v>
      </c>
      <c r="F191" s="640">
        <f t="shared" si="11"/>
        <v>9.1</v>
      </c>
      <c r="G191" s="574">
        <v>1.4</v>
      </c>
      <c r="H191" s="574">
        <f t="shared" si="12"/>
        <v>1.47</v>
      </c>
      <c r="I191" s="574">
        <f t="shared" si="13"/>
        <v>0.23</v>
      </c>
      <c r="J191" s="574">
        <v>0.12</v>
      </c>
      <c r="K191" s="574">
        <v>0</v>
      </c>
      <c r="L191" s="574">
        <v>0</v>
      </c>
      <c r="M191" s="565">
        <v>10.5</v>
      </c>
      <c r="N191" s="579">
        <v>1</v>
      </c>
      <c r="O191" s="580">
        <v>1</v>
      </c>
      <c r="P191" s="635" t="str">
        <f t="shared" si="14"/>
        <v>Van</v>
      </c>
      <c r="Q191" s="636">
        <f t="shared" si="15"/>
        <v>10.5</v>
      </c>
      <c r="R191" s="637">
        <f t="shared" si="16"/>
        <v>1</v>
      </c>
      <c r="S191" s="638">
        <f t="shared" si="17"/>
        <v>0</v>
      </c>
      <c r="T191" s="564">
        <f t="shared" si="18"/>
        <v>0</v>
      </c>
      <c r="U191" s="639">
        <f t="shared" si="19"/>
        <v>1</v>
      </c>
      <c r="V191" s="639">
        <f t="shared" si="20"/>
        <v>1</v>
      </c>
      <c r="AD191" s="586"/>
      <c r="AE191" s="586"/>
    </row>
    <row r="192" spans="2:31">
      <c r="B192" s="561" t="s">
        <v>256</v>
      </c>
      <c r="C192" s="561" t="s">
        <v>97</v>
      </c>
      <c r="D192" s="574">
        <v>0.41</v>
      </c>
      <c r="E192" s="574">
        <v>1</v>
      </c>
      <c r="F192" s="640">
        <f t="shared" si="11"/>
        <v>9.6</v>
      </c>
      <c r="G192" s="574">
        <v>1.4</v>
      </c>
      <c r="H192" s="574">
        <f t="shared" si="12"/>
        <v>1.56</v>
      </c>
      <c r="I192" s="574">
        <f t="shared" si="13"/>
        <v>0.23</v>
      </c>
      <c r="J192" s="574">
        <v>0.12</v>
      </c>
      <c r="K192" s="574">
        <v>0</v>
      </c>
      <c r="L192" s="574">
        <v>0</v>
      </c>
      <c r="M192" s="565">
        <v>11</v>
      </c>
      <c r="N192" s="579">
        <v>1</v>
      </c>
      <c r="O192" s="580">
        <v>1</v>
      </c>
      <c r="P192" s="635" t="str">
        <f t="shared" si="14"/>
        <v>Van</v>
      </c>
      <c r="Q192" s="636">
        <f t="shared" si="15"/>
        <v>11</v>
      </c>
      <c r="R192" s="637">
        <f t="shared" si="16"/>
        <v>1</v>
      </c>
      <c r="S192" s="638">
        <f t="shared" si="17"/>
        <v>0</v>
      </c>
      <c r="T192" s="564">
        <f t="shared" si="18"/>
        <v>0</v>
      </c>
      <c r="U192" s="639">
        <f t="shared" si="19"/>
        <v>1</v>
      </c>
      <c r="V192" s="639">
        <f t="shared" si="20"/>
        <v>1</v>
      </c>
      <c r="AD192" s="586"/>
      <c r="AE192" s="586"/>
    </row>
    <row r="193" spans="2:31">
      <c r="B193" s="561" t="s">
        <v>257</v>
      </c>
      <c r="C193" s="561" t="s">
        <v>97</v>
      </c>
      <c r="D193" s="574">
        <v>0.41</v>
      </c>
      <c r="E193" s="574">
        <v>1</v>
      </c>
      <c r="F193" s="640">
        <f t="shared" si="11"/>
        <v>10.1</v>
      </c>
      <c r="G193" s="574">
        <v>1.4</v>
      </c>
      <c r="H193" s="574">
        <f t="shared" si="12"/>
        <v>1.64</v>
      </c>
      <c r="I193" s="574">
        <f t="shared" si="13"/>
        <v>0.23</v>
      </c>
      <c r="J193" s="574">
        <v>0.12</v>
      </c>
      <c r="K193" s="574">
        <v>0</v>
      </c>
      <c r="L193" s="574">
        <v>0</v>
      </c>
      <c r="M193" s="565">
        <v>11.5</v>
      </c>
      <c r="N193" s="579">
        <v>1</v>
      </c>
      <c r="O193" s="580">
        <v>1</v>
      </c>
      <c r="P193" s="635" t="str">
        <f t="shared" si="14"/>
        <v>Van</v>
      </c>
      <c r="Q193" s="636">
        <f t="shared" si="15"/>
        <v>11.5</v>
      </c>
      <c r="R193" s="637">
        <f t="shared" si="16"/>
        <v>1</v>
      </c>
      <c r="S193" s="638">
        <f t="shared" si="17"/>
        <v>0</v>
      </c>
      <c r="T193" s="564">
        <f t="shared" si="18"/>
        <v>0</v>
      </c>
      <c r="U193" s="639">
        <f t="shared" si="19"/>
        <v>1</v>
      </c>
      <c r="V193" s="639">
        <f t="shared" si="20"/>
        <v>1</v>
      </c>
      <c r="AD193" s="586"/>
      <c r="AE193" s="586"/>
    </row>
    <row r="194" spans="2:31">
      <c r="B194" s="561" t="s">
        <v>258</v>
      </c>
      <c r="C194" s="561" t="s">
        <v>97</v>
      </c>
      <c r="D194" s="574">
        <v>0.41</v>
      </c>
      <c r="E194" s="574">
        <v>1</v>
      </c>
      <c r="F194" s="640">
        <f t="shared" si="11"/>
        <v>10.6</v>
      </c>
      <c r="G194" s="574">
        <v>1.4</v>
      </c>
      <c r="H194" s="574">
        <f t="shared" si="12"/>
        <v>1.72</v>
      </c>
      <c r="I194" s="574">
        <f t="shared" si="13"/>
        <v>0.23</v>
      </c>
      <c r="J194" s="574">
        <v>0.12</v>
      </c>
      <c r="K194" s="574">
        <v>0</v>
      </c>
      <c r="L194" s="574">
        <v>0</v>
      </c>
      <c r="M194" s="565">
        <v>12</v>
      </c>
      <c r="N194" s="579">
        <v>1</v>
      </c>
      <c r="O194" s="580">
        <v>1</v>
      </c>
      <c r="P194" s="635" t="str">
        <f t="shared" si="14"/>
        <v>Van</v>
      </c>
      <c r="Q194" s="636">
        <f t="shared" si="15"/>
        <v>12</v>
      </c>
      <c r="R194" s="637">
        <f t="shared" si="16"/>
        <v>1</v>
      </c>
      <c r="S194" s="638">
        <f t="shared" si="17"/>
        <v>0</v>
      </c>
      <c r="T194" s="564">
        <f t="shared" si="18"/>
        <v>0</v>
      </c>
      <c r="U194" s="639">
        <f t="shared" si="19"/>
        <v>1</v>
      </c>
      <c r="V194" s="639">
        <f t="shared" si="20"/>
        <v>1</v>
      </c>
      <c r="AD194" s="586"/>
      <c r="AE194" s="586"/>
    </row>
    <row r="195" spans="2:31">
      <c r="B195" s="561" t="s">
        <v>259</v>
      </c>
      <c r="C195" s="561" t="s">
        <v>97</v>
      </c>
      <c r="D195" s="574">
        <v>0.41</v>
      </c>
      <c r="E195" s="574">
        <v>1</v>
      </c>
      <c r="F195" s="640">
        <f t="shared" si="11"/>
        <v>11.1</v>
      </c>
      <c r="G195" s="574">
        <v>1.4</v>
      </c>
      <c r="H195" s="574">
        <f t="shared" si="12"/>
        <v>1.8</v>
      </c>
      <c r="I195" s="574">
        <f t="shared" si="13"/>
        <v>0.23</v>
      </c>
      <c r="J195" s="574">
        <v>0.12</v>
      </c>
      <c r="K195" s="574">
        <v>0</v>
      </c>
      <c r="L195" s="574">
        <v>0</v>
      </c>
      <c r="M195" s="565">
        <v>12.5</v>
      </c>
      <c r="N195" s="579">
        <v>1</v>
      </c>
      <c r="O195" s="580">
        <v>1</v>
      </c>
      <c r="P195" s="635" t="str">
        <f t="shared" si="14"/>
        <v>Van</v>
      </c>
      <c r="Q195" s="636">
        <f t="shared" si="15"/>
        <v>12.5</v>
      </c>
      <c r="R195" s="637">
        <f t="shared" si="16"/>
        <v>1</v>
      </c>
      <c r="S195" s="638">
        <f t="shared" si="17"/>
        <v>0</v>
      </c>
      <c r="T195" s="564">
        <f t="shared" si="18"/>
        <v>0</v>
      </c>
      <c r="U195" s="639">
        <f t="shared" si="19"/>
        <v>1</v>
      </c>
      <c r="V195" s="639">
        <f t="shared" si="20"/>
        <v>1</v>
      </c>
      <c r="AD195" s="586"/>
      <c r="AE195" s="586"/>
    </row>
    <row r="196" spans="2:31">
      <c r="B196" s="561" t="s">
        <v>146</v>
      </c>
      <c r="C196" s="561" t="s">
        <v>97</v>
      </c>
      <c r="D196" s="574">
        <v>0.41</v>
      </c>
      <c r="E196" s="574">
        <v>1</v>
      </c>
      <c r="F196" s="640">
        <f t="shared" si="11"/>
        <v>2.6</v>
      </c>
      <c r="G196" s="574">
        <v>1.4</v>
      </c>
      <c r="H196" s="574">
        <f t="shared" si="12"/>
        <v>0.42</v>
      </c>
      <c r="I196" s="574">
        <f t="shared" si="13"/>
        <v>0.23</v>
      </c>
      <c r="J196" s="574">
        <v>0.12</v>
      </c>
      <c r="K196" s="574">
        <v>0</v>
      </c>
      <c r="L196" s="574">
        <v>0</v>
      </c>
      <c r="M196" s="565">
        <v>4</v>
      </c>
      <c r="N196" s="579">
        <v>2</v>
      </c>
      <c r="O196" s="580">
        <v>3</v>
      </c>
      <c r="P196" s="635" t="str">
        <f t="shared" si="14"/>
        <v>Van</v>
      </c>
      <c r="Q196" s="636">
        <f t="shared" si="15"/>
        <v>4</v>
      </c>
      <c r="R196" s="637">
        <f t="shared" si="16"/>
        <v>1</v>
      </c>
      <c r="S196" s="638">
        <f t="shared" si="17"/>
        <v>0</v>
      </c>
      <c r="T196" s="564">
        <f t="shared" si="18"/>
        <v>0</v>
      </c>
      <c r="U196" s="639">
        <f t="shared" si="19"/>
        <v>2</v>
      </c>
      <c r="V196" s="639">
        <f t="shared" si="20"/>
        <v>3</v>
      </c>
      <c r="AD196" s="586"/>
      <c r="AE196" s="586"/>
    </row>
    <row r="197" spans="2:31">
      <c r="B197" s="561" t="s">
        <v>145</v>
      </c>
      <c r="C197" s="561" t="s">
        <v>97</v>
      </c>
      <c r="D197" s="574">
        <v>0.41</v>
      </c>
      <c r="E197" s="574">
        <v>1</v>
      </c>
      <c r="F197" s="640">
        <f t="shared" si="11"/>
        <v>3.1</v>
      </c>
      <c r="G197" s="574">
        <v>1.4</v>
      </c>
      <c r="H197" s="574">
        <f t="shared" si="12"/>
        <v>0.5</v>
      </c>
      <c r="I197" s="574">
        <f t="shared" si="13"/>
        <v>0.23</v>
      </c>
      <c r="J197" s="574">
        <v>0.12</v>
      </c>
      <c r="K197" s="574">
        <v>0</v>
      </c>
      <c r="L197" s="574">
        <v>0</v>
      </c>
      <c r="M197" s="565">
        <v>4.5</v>
      </c>
      <c r="N197" s="579">
        <v>2</v>
      </c>
      <c r="O197" s="580">
        <v>3</v>
      </c>
      <c r="P197" s="635" t="str">
        <f t="shared" si="14"/>
        <v>Van</v>
      </c>
      <c r="Q197" s="636">
        <f t="shared" si="15"/>
        <v>4.5</v>
      </c>
      <c r="R197" s="637">
        <f t="shared" si="16"/>
        <v>1</v>
      </c>
      <c r="S197" s="638">
        <f t="shared" si="17"/>
        <v>0</v>
      </c>
      <c r="T197" s="564">
        <f t="shared" si="18"/>
        <v>0</v>
      </c>
      <c r="U197" s="639">
        <f t="shared" si="19"/>
        <v>2</v>
      </c>
      <c r="V197" s="639">
        <f t="shared" si="20"/>
        <v>3</v>
      </c>
      <c r="AD197" s="586"/>
      <c r="AE197" s="586"/>
    </row>
    <row r="198" spans="2:31">
      <c r="B198" s="561" t="s">
        <v>144</v>
      </c>
      <c r="C198" s="561" t="s">
        <v>97</v>
      </c>
      <c r="D198" s="574">
        <v>0.41</v>
      </c>
      <c r="E198" s="574">
        <v>1</v>
      </c>
      <c r="F198" s="640">
        <f t="shared" si="11"/>
        <v>3.6</v>
      </c>
      <c r="G198" s="574">
        <v>1.4</v>
      </c>
      <c r="H198" s="574">
        <f t="shared" si="12"/>
        <v>0.57999999999999996</v>
      </c>
      <c r="I198" s="574">
        <f t="shared" si="13"/>
        <v>0.23</v>
      </c>
      <c r="J198" s="574">
        <v>0.12</v>
      </c>
      <c r="K198" s="574">
        <v>0</v>
      </c>
      <c r="L198" s="574">
        <v>0</v>
      </c>
      <c r="M198" s="565">
        <v>5</v>
      </c>
      <c r="N198" s="579">
        <v>2</v>
      </c>
      <c r="O198" s="580">
        <v>3</v>
      </c>
      <c r="P198" s="635" t="str">
        <f t="shared" si="14"/>
        <v>Van</v>
      </c>
      <c r="Q198" s="636">
        <f t="shared" si="15"/>
        <v>5</v>
      </c>
      <c r="R198" s="637">
        <f t="shared" si="16"/>
        <v>1</v>
      </c>
      <c r="S198" s="638">
        <f t="shared" si="17"/>
        <v>0</v>
      </c>
      <c r="T198" s="564">
        <f t="shared" si="18"/>
        <v>0</v>
      </c>
      <c r="U198" s="639">
        <f t="shared" si="19"/>
        <v>2</v>
      </c>
      <c r="V198" s="639">
        <f t="shared" si="20"/>
        <v>3</v>
      </c>
      <c r="AD198" s="586"/>
      <c r="AE198" s="586"/>
    </row>
    <row r="199" spans="2:31">
      <c r="B199" s="561" t="s">
        <v>143</v>
      </c>
      <c r="C199" s="561" t="s">
        <v>97</v>
      </c>
      <c r="D199" s="574">
        <v>0.41</v>
      </c>
      <c r="E199" s="574">
        <v>1</v>
      </c>
      <c r="F199" s="640">
        <f t="shared" si="11"/>
        <v>4.0999999999999996</v>
      </c>
      <c r="G199" s="574">
        <v>1.4</v>
      </c>
      <c r="H199" s="574">
        <f t="shared" si="12"/>
        <v>0.66</v>
      </c>
      <c r="I199" s="574">
        <f t="shared" si="13"/>
        <v>0.23</v>
      </c>
      <c r="J199" s="574">
        <v>0.12</v>
      </c>
      <c r="K199" s="574">
        <v>0</v>
      </c>
      <c r="L199" s="574">
        <v>0</v>
      </c>
      <c r="M199" s="565">
        <v>5.5</v>
      </c>
      <c r="N199" s="579">
        <v>2</v>
      </c>
      <c r="O199" s="580">
        <v>3</v>
      </c>
      <c r="P199" s="635" t="str">
        <f t="shared" si="14"/>
        <v>Van</v>
      </c>
      <c r="Q199" s="636">
        <f t="shared" si="15"/>
        <v>5.5</v>
      </c>
      <c r="R199" s="637">
        <f t="shared" si="16"/>
        <v>1</v>
      </c>
      <c r="S199" s="638">
        <f t="shared" si="17"/>
        <v>0</v>
      </c>
      <c r="T199" s="564">
        <f t="shared" si="18"/>
        <v>0</v>
      </c>
      <c r="U199" s="639">
        <f t="shared" si="19"/>
        <v>2</v>
      </c>
      <c r="V199" s="639">
        <f t="shared" si="20"/>
        <v>3</v>
      </c>
      <c r="AD199" s="586"/>
      <c r="AE199" s="586"/>
    </row>
    <row r="200" spans="2:31">
      <c r="B200" s="561" t="s">
        <v>260</v>
      </c>
      <c r="C200" s="561" t="s">
        <v>97</v>
      </c>
      <c r="D200" s="574">
        <v>0.41</v>
      </c>
      <c r="E200" s="574">
        <v>1</v>
      </c>
      <c r="F200" s="640">
        <f t="shared" si="11"/>
        <v>4.5999999999999996</v>
      </c>
      <c r="G200" s="574">
        <v>1.4</v>
      </c>
      <c r="H200" s="574">
        <f t="shared" si="12"/>
        <v>0.75</v>
      </c>
      <c r="I200" s="574">
        <f t="shared" si="13"/>
        <v>0.23</v>
      </c>
      <c r="J200" s="574">
        <v>0.12</v>
      </c>
      <c r="K200" s="574">
        <v>0</v>
      </c>
      <c r="L200" s="574">
        <v>0</v>
      </c>
      <c r="M200" s="565">
        <v>6</v>
      </c>
      <c r="N200" s="579">
        <v>2</v>
      </c>
      <c r="O200" s="580">
        <v>3</v>
      </c>
      <c r="P200" s="635" t="str">
        <f t="shared" si="14"/>
        <v>Van</v>
      </c>
      <c r="Q200" s="636">
        <f t="shared" si="15"/>
        <v>6</v>
      </c>
      <c r="R200" s="637">
        <f t="shared" si="16"/>
        <v>1</v>
      </c>
      <c r="S200" s="638">
        <f t="shared" si="17"/>
        <v>0</v>
      </c>
      <c r="T200" s="564">
        <f t="shared" si="18"/>
        <v>0</v>
      </c>
      <c r="U200" s="639">
        <f t="shared" si="19"/>
        <v>2</v>
      </c>
      <c r="V200" s="639">
        <f t="shared" si="20"/>
        <v>3</v>
      </c>
      <c r="AD200" s="586"/>
      <c r="AE200" s="586"/>
    </row>
    <row r="201" spans="2:31">
      <c r="B201" s="561" t="s">
        <v>261</v>
      </c>
      <c r="C201" s="561" t="s">
        <v>97</v>
      </c>
      <c r="D201" s="574">
        <v>0.41</v>
      </c>
      <c r="E201" s="574">
        <v>1</v>
      </c>
      <c r="F201" s="640">
        <f t="shared" si="11"/>
        <v>5.0999999999999996</v>
      </c>
      <c r="G201" s="574">
        <v>1.4</v>
      </c>
      <c r="H201" s="574">
        <f t="shared" si="12"/>
        <v>0.83</v>
      </c>
      <c r="I201" s="574">
        <f t="shared" si="13"/>
        <v>0.23</v>
      </c>
      <c r="J201" s="574">
        <v>0.12</v>
      </c>
      <c r="K201" s="574">
        <v>0</v>
      </c>
      <c r="L201" s="574">
        <v>0</v>
      </c>
      <c r="M201" s="565">
        <v>6.5</v>
      </c>
      <c r="N201" s="579">
        <v>2</v>
      </c>
      <c r="O201" s="580">
        <v>3</v>
      </c>
      <c r="P201" s="635" t="str">
        <f t="shared" si="14"/>
        <v>Van</v>
      </c>
      <c r="Q201" s="636">
        <f t="shared" si="15"/>
        <v>6.5</v>
      </c>
      <c r="R201" s="637">
        <f t="shared" si="16"/>
        <v>1</v>
      </c>
      <c r="S201" s="638">
        <f t="shared" si="17"/>
        <v>0</v>
      </c>
      <c r="T201" s="564">
        <f t="shared" si="18"/>
        <v>0</v>
      </c>
      <c r="U201" s="639">
        <f t="shared" si="19"/>
        <v>2</v>
      </c>
      <c r="V201" s="639">
        <f t="shared" si="20"/>
        <v>3</v>
      </c>
      <c r="AD201" s="586"/>
      <c r="AE201" s="586"/>
    </row>
    <row r="202" spans="2:31">
      <c r="B202" s="561" t="s">
        <v>262</v>
      </c>
      <c r="C202" s="561" t="s">
        <v>97</v>
      </c>
      <c r="D202" s="574">
        <v>0.41</v>
      </c>
      <c r="E202" s="574">
        <v>1</v>
      </c>
      <c r="F202" s="640">
        <f t="shared" si="11"/>
        <v>5.6</v>
      </c>
      <c r="G202" s="574">
        <v>1.4</v>
      </c>
      <c r="H202" s="574">
        <f t="shared" si="12"/>
        <v>0.91</v>
      </c>
      <c r="I202" s="574">
        <f t="shared" si="13"/>
        <v>0.23</v>
      </c>
      <c r="J202" s="574">
        <v>0.12</v>
      </c>
      <c r="K202" s="574">
        <v>0</v>
      </c>
      <c r="L202" s="574">
        <v>0</v>
      </c>
      <c r="M202" s="565">
        <v>7</v>
      </c>
      <c r="N202" s="579">
        <v>2</v>
      </c>
      <c r="O202" s="580">
        <v>3</v>
      </c>
      <c r="P202" s="635" t="str">
        <f t="shared" si="14"/>
        <v>Van</v>
      </c>
      <c r="Q202" s="636">
        <f t="shared" si="15"/>
        <v>7</v>
      </c>
      <c r="R202" s="637">
        <f t="shared" si="16"/>
        <v>1</v>
      </c>
      <c r="S202" s="638">
        <f t="shared" si="17"/>
        <v>0</v>
      </c>
      <c r="T202" s="564">
        <f t="shared" si="18"/>
        <v>0</v>
      </c>
      <c r="U202" s="639">
        <f t="shared" si="19"/>
        <v>2</v>
      </c>
      <c r="V202" s="639">
        <f t="shared" si="20"/>
        <v>3</v>
      </c>
      <c r="AD202" s="586"/>
      <c r="AE202" s="586"/>
    </row>
    <row r="203" spans="2:31">
      <c r="B203" s="561" t="s">
        <v>263</v>
      </c>
      <c r="C203" s="561" t="s">
        <v>97</v>
      </c>
      <c r="D203" s="574">
        <v>0.41</v>
      </c>
      <c r="E203" s="574">
        <v>1</v>
      </c>
      <c r="F203" s="640">
        <f t="shared" ref="F203:F266" si="23">M203-G203</f>
        <v>6.1</v>
      </c>
      <c r="G203" s="574">
        <v>1.4</v>
      </c>
      <c r="H203" s="574">
        <f t="shared" si="12"/>
        <v>0.99</v>
      </c>
      <c r="I203" s="574">
        <f t="shared" si="13"/>
        <v>0.23</v>
      </c>
      <c r="J203" s="574">
        <v>0.12</v>
      </c>
      <c r="K203" s="574">
        <v>0</v>
      </c>
      <c r="L203" s="574">
        <v>0</v>
      </c>
      <c r="M203" s="565">
        <v>7.5</v>
      </c>
      <c r="N203" s="579">
        <v>2</v>
      </c>
      <c r="O203" s="580">
        <v>3</v>
      </c>
      <c r="P203" s="635" t="str">
        <f t="shared" si="14"/>
        <v>Van</v>
      </c>
      <c r="Q203" s="636">
        <f t="shared" si="15"/>
        <v>7.5</v>
      </c>
      <c r="R203" s="637">
        <f t="shared" si="16"/>
        <v>1</v>
      </c>
      <c r="S203" s="638">
        <f t="shared" si="17"/>
        <v>0</v>
      </c>
      <c r="T203" s="564">
        <f t="shared" si="18"/>
        <v>0</v>
      </c>
      <c r="U203" s="639">
        <f t="shared" si="19"/>
        <v>2</v>
      </c>
      <c r="V203" s="639">
        <f t="shared" si="20"/>
        <v>3</v>
      </c>
      <c r="AD203" s="586"/>
      <c r="AE203" s="586"/>
    </row>
    <row r="204" spans="2:31">
      <c r="B204" s="561" t="s">
        <v>264</v>
      </c>
      <c r="C204" s="561" t="s">
        <v>97</v>
      </c>
      <c r="D204" s="574">
        <v>0.41</v>
      </c>
      <c r="E204" s="574">
        <v>1</v>
      </c>
      <c r="F204" s="640">
        <f t="shared" si="23"/>
        <v>6.6</v>
      </c>
      <c r="G204" s="574">
        <v>1.4</v>
      </c>
      <c r="H204" s="574">
        <f t="shared" si="12"/>
        <v>1.07</v>
      </c>
      <c r="I204" s="574">
        <f t="shared" si="13"/>
        <v>0.23</v>
      </c>
      <c r="J204" s="574">
        <v>0.12</v>
      </c>
      <c r="K204" s="574">
        <v>0</v>
      </c>
      <c r="L204" s="574">
        <v>0</v>
      </c>
      <c r="M204" s="565">
        <v>8</v>
      </c>
      <c r="N204" s="579">
        <v>2</v>
      </c>
      <c r="O204" s="580">
        <v>3</v>
      </c>
      <c r="P204" s="635" t="str">
        <f t="shared" ref="P204:P267" si="24">INDEX($C$58:$C$60,MATCH(C204,$B$58:$B$60,0))</f>
        <v>Van</v>
      </c>
      <c r="Q204" s="636">
        <f t="shared" ref="Q204:Q267" si="25">SUM(F204:G204)</f>
        <v>8</v>
      </c>
      <c r="R204" s="637">
        <f t="shared" ref="R204:R267" si="26">E204</f>
        <v>1</v>
      </c>
      <c r="S204" s="638">
        <f t="shared" ref="S204:S267" si="27">IF(LEFT(B204,1)="M",IF(RIGHT(B204,1)="1",0.2,IF(RIGHT(B204,1)="2",0.3,IF(RIGHT(B204,1)="3",0.4,0))),0)</f>
        <v>0</v>
      </c>
      <c r="T204" s="564">
        <f t="shared" ref="T204:T267" si="28">Q204*S204</f>
        <v>0</v>
      </c>
      <c r="U204" s="639">
        <f t="shared" ref="U204:U267" si="29">N204</f>
        <v>2</v>
      </c>
      <c r="V204" s="639">
        <f t="shared" ref="V204:V267" si="30">O204</f>
        <v>3</v>
      </c>
      <c r="AD204" s="586"/>
      <c r="AE204" s="586"/>
    </row>
    <row r="205" spans="2:31">
      <c r="B205" s="561" t="s">
        <v>265</v>
      </c>
      <c r="C205" s="561" t="s">
        <v>97</v>
      </c>
      <c r="D205" s="574">
        <v>0.41</v>
      </c>
      <c r="E205" s="574">
        <v>1</v>
      </c>
      <c r="F205" s="640">
        <f t="shared" si="23"/>
        <v>7.1</v>
      </c>
      <c r="G205" s="574">
        <v>1.4</v>
      </c>
      <c r="H205" s="574">
        <f t="shared" si="12"/>
        <v>1.1499999999999999</v>
      </c>
      <c r="I205" s="574">
        <f t="shared" si="13"/>
        <v>0.23</v>
      </c>
      <c r="J205" s="574">
        <v>0.12</v>
      </c>
      <c r="K205" s="574">
        <v>0</v>
      </c>
      <c r="L205" s="574">
        <v>0</v>
      </c>
      <c r="M205" s="565">
        <v>8.5</v>
      </c>
      <c r="N205" s="579">
        <v>2</v>
      </c>
      <c r="O205" s="580">
        <v>3</v>
      </c>
      <c r="P205" s="635" t="str">
        <f t="shared" si="24"/>
        <v>Van</v>
      </c>
      <c r="Q205" s="636">
        <f t="shared" si="25"/>
        <v>8.5</v>
      </c>
      <c r="R205" s="637">
        <f t="shared" si="26"/>
        <v>1</v>
      </c>
      <c r="S205" s="638">
        <f t="shared" si="27"/>
        <v>0</v>
      </c>
      <c r="T205" s="564">
        <f t="shared" si="28"/>
        <v>0</v>
      </c>
      <c r="U205" s="639">
        <f t="shared" si="29"/>
        <v>2</v>
      </c>
      <c r="V205" s="639">
        <f t="shared" si="30"/>
        <v>3</v>
      </c>
      <c r="AD205" s="586"/>
      <c r="AE205" s="586"/>
    </row>
    <row r="206" spans="2:31">
      <c r="B206" s="561" t="s">
        <v>266</v>
      </c>
      <c r="C206" s="561" t="s">
        <v>97</v>
      </c>
      <c r="D206" s="574">
        <v>0.41</v>
      </c>
      <c r="E206" s="574">
        <v>1</v>
      </c>
      <c r="F206" s="640">
        <f t="shared" si="23"/>
        <v>7.6</v>
      </c>
      <c r="G206" s="574">
        <v>1.4</v>
      </c>
      <c r="H206" s="574">
        <f t="shared" si="12"/>
        <v>1.23</v>
      </c>
      <c r="I206" s="574">
        <f t="shared" si="13"/>
        <v>0.23</v>
      </c>
      <c r="J206" s="574">
        <v>0.12</v>
      </c>
      <c r="K206" s="574">
        <v>0</v>
      </c>
      <c r="L206" s="574">
        <v>0</v>
      </c>
      <c r="M206" s="565">
        <v>9</v>
      </c>
      <c r="N206" s="579">
        <v>2</v>
      </c>
      <c r="O206" s="580">
        <v>3</v>
      </c>
      <c r="P206" s="635" t="str">
        <f t="shared" si="24"/>
        <v>Van</v>
      </c>
      <c r="Q206" s="636">
        <f t="shared" si="25"/>
        <v>9</v>
      </c>
      <c r="R206" s="637">
        <f t="shared" si="26"/>
        <v>1</v>
      </c>
      <c r="S206" s="638">
        <f t="shared" si="27"/>
        <v>0</v>
      </c>
      <c r="T206" s="564">
        <f t="shared" si="28"/>
        <v>0</v>
      </c>
      <c r="U206" s="639">
        <f t="shared" si="29"/>
        <v>2</v>
      </c>
      <c r="V206" s="639">
        <f t="shared" si="30"/>
        <v>3</v>
      </c>
      <c r="AD206" s="586"/>
      <c r="AE206" s="586"/>
    </row>
    <row r="207" spans="2:31">
      <c r="B207" s="561" t="s">
        <v>267</v>
      </c>
      <c r="C207" s="561" t="s">
        <v>97</v>
      </c>
      <c r="D207" s="574">
        <v>0.41</v>
      </c>
      <c r="E207" s="574">
        <v>1</v>
      </c>
      <c r="F207" s="640">
        <f t="shared" si="23"/>
        <v>8.1</v>
      </c>
      <c r="G207" s="574">
        <v>1.4</v>
      </c>
      <c r="H207" s="574">
        <f t="shared" si="12"/>
        <v>1.31</v>
      </c>
      <c r="I207" s="574">
        <f t="shared" si="13"/>
        <v>0.23</v>
      </c>
      <c r="J207" s="574">
        <v>0.12</v>
      </c>
      <c r="K207" s="574">
        <v>0</v>
      </c>
      <c r="L207" s="574">
        <v>0</v>
      </c>
      <c r="M207" s="565">
        <v>9.5</v>
      </c>
      <c r="N207" s="579">
        <v>2</v>
      </c>
      <c r="O207" s="580">
        <v>3</v>
      </c>
      <c r="P207" s="635" t="str">
        <f t="shared" si="24"/>
        <v>Van</v>
      </c>
      <c r="Q207" s="636">
        <f t="shared" si="25"/>
        <v>9.5</v>
      </c>
      <c r="R207" s="637">
        <f t="shared" si="26"/>
        <v>1</v>
      </c>
      <c r="S207" s="638">
        <f t="shared" si="27"/>
        <v>0</v>
      </c>
      <c r="T207" s="564">
        <f t="shared" si="28"/>
        <v>0</v>
      </c>
      <c r="U207" s="639">
        <f t="shared" si="29"/>
        <v>2</v>
      </c>
      <c r="V207" s="639">
        <f t="shared" si="30"/>
        <v>3</v>
      </c>
      <c r="AD207" s="586"/>
      <c r="AE207" s="586"/>
    </row>
    <row r="208" spans="2:31">
      <c r="B208" s="561" t="s">
        <v>268</v>
      </c>
      <c r="C208" s="561" t="s">
        <v>97</v>
      </c>
      <c r="D208" s="574">
        <v>0.41</v>
      </c>
      <c r="E208" s="574">
        <v>1</v>
      </c>
      <c r="F208" s="640">
        <f t="shared" si="23"/>
        <v>8.6</v>
      </c>
      <c r="G208" s="574">
        <v>1.4</v>
      </c>
      <c r="H208" s="574">
        <f t="shared" si="12"/>
        <v>1.39</v>
      </c>
      <c r="I208" s="574">
        <f t="shared" si="13"/>
        <v>0.23</v>
      </c>
      <c r="J208" s="574">
        <v>0.12</v>
      </c>
      <c r="K208" s="574">
        <v>0</v>
      </c>
      <c r="L208" s="574">
        <v>0</v>
      </c>
      <c r="M208" s="565">
        <v>10</v>
      </c>
      <c r="N208" s="579">
        <v>2</v>
      </c>
      <c r="O208" s="580">
        <v>3</v>
      </c>
      <c r="P208" s="635" t="str">
        <f t="shared" si="24"/>
        <v>Van</v>
      </c>
      <c r="Q208" s="636">
        <f t="shared" si="25"/>
        <v>10</v>
      </c>
      <c r="R208" s="637">
        <f t="shared" si="26"/>
        <v>1</v>
      </c>
      <c r="S208" s="638">
        <f t="shared" si="27"/>
        <v>0</v>
      </c>
      <c r="T208" s="564">
        <f t="shared" si="28"/>
        <v>0</v>
      </c>
      <c r="U208" s="639">
        <f t="shared" si="29"/>
        <v>2</v>
      </c>
      <c r="V208" s="639">
        <f t="shared" si="30"/>
        <v>3</v>
      </c>
      <c r="AD208" s="586"/>
      <c r="AE208" s="586"/>
    </row>
    <row r="209" spans="2:31">
      <c r="B209" s="561" t="s">
        <v>269</v>
      </c>
      <c r="C209" s="561" t="s">
        <v>97</v>
      </c>
      <c r="D209" s="574">
        <v>0.41</v>
      </c>
      <c r="E209" s="574">
        <v>1</v>
      </c>
      <c r="F209" s="640">
        <f t="shared" si="23"/>
        <v>9.1</v>
      </c>
      <c r="G209" s="574">
        <v>1.4</v>
      </c>
      <c r="H209" s="574">
        <f t="shared" si="12"/>
        <v>1.47</v>
      </c>
      <c r="I209" s="574">
        <f t="shared" si="13"/>
        <v>0.23</v>
      </c>
      <c r="J209" s="574">
        <v>0.12</v>
      </c>
      <c r="K209" s="574">
        <v>0</v>
      </c>
      <c r="L209" s="574">
        <v>0</v>
      </c>
      <c r="M209" s="565">
        <v>10.5</v>
      </c>
      <c r="N209" s="579">
        <v>2</v>
      </c>
      <c r="O209" s="580">
        <v>3</v>
      </c>
      <c r="P209" s="635" t="str">
        <f t="shared" si="24"/>
        <v>Van</v>
      </c>
      <c r="Q209" s="636">
        <f t="shared" si="25"/>
        <v>10.5</v>
      </c>
      <c r="R209" s="637">
        <f t="shared" si="26"/>
        <v>1</v>
      </c>
      <c r="S209" s="638">
        <f t="shared" si="27"/>
        <v>0</v>
      </c>
      <c r="T209" s="564">
        <f t="shared" si="28"/>
        <v>0</v>
      </c>
      <c r="U209" s="639">
        <f t="shared" si="29"/>
        <v>2</v>
      </c>
      <c r="V209" s="639">
        <f t="shared" si="30"/>
        <v>3</v>
      </c>
      <c r="AD209" s="586"/>
      <c r="AE209" s="586"/>
    </row>
    <row r="210" spans="2:31">
      <c r="B210" s="561" t="s">
        <v>270</v>
      </c>
      <c r="C210" s="561" t="s">
        <v>97</v>
      </c>
      <c r="D210" s="574">
        <v>0.41</v>
      </c>
      <c r="E210" s="574">
        <v>1</v>
      </c>
      <c r="F210" s="640">
        <f t="shared" si="23"/>
        <v>9.6</v>
      </c>
      <c r="G210" s="574">
        <v>1.4</v>
      </c>
      <c r="H210" s="574">
        <f>ROUND(F210*$C$50,2)</f>
        <v>1.56</v>
      </c>
      <c r="I210" s="574">
        <f t="shared" si="13"/>
        <v>0.23</v>
      </c>
      <c r="J210" s="574">
        <v>0.12</v>
      </c>
      <c r="K210" s="574">
        <v>0</v>
      </c>
      <c r="L210" s="574">
        <v>0</v>
      </c>
      <c r="M210" s="565">
        <v>11</v>
      </c>
      <c r="N210" s="579">
        <v>2</v>
      </c>
      <c r="O210" s="580">
        <v>3</v>
      </c>
      <c r="P210" s="635" t="str">
        <f t="shared" si="24"/>
        <v>Van</v>
      </c>
      <c r="Q210" s="636">
        <f t="shared" si="25"/>
        <v>11</v>
      </c>
      <c r="R210" s="637">
        <f t="shared" si="26"/>
        <v>1</v>
      </c>
      <c r="S210" s="638">
        <f t="shared" si="27"/>
        <v>0</v>
      </c>
      <c r="T210" s="564">
        <f t="shared" si="28"/>
        <v>0</v>
      </c>
      <c r="U210" s="639">
        <f t="shared" si="29"/>
        <v>2</v>
      </c>
      <c r="V210" s="639">
        <f t="shared" si="30"/>
        <v>3</v>
      </c>
      <c r="AD210" s="586"/>
      <c r="AE210" s="586"/>
    </row>
    <row r="211" spans="2:31">
      <c r="B211" s="561" t="s">
        <v>271</v>
      </c>
      <c r="C211" s="561" t="s">
        <v>97</v>
      </c>
      <c r="D211" s="574">
        <v>0.41</v>
      </c>
      <c r="E211" s="574">
        <v>1</v>
      </c>
      <c r="F211" s="640">
        <f t="shared" si="23"/>
        <v>10.1</v>
      </c>
      <c r="G211" s="574">
        <v>1.4</v>
      </c>
      <c r="H211" s="574">
        <f t="shared" si="12"/>
        <v>1.64</v>
      </c>
      <c r="I211" s="574">
        <f t="shared" si="13"/>
        <v>0.23</v>
      </c>
      <c r="J211" s="574">
        <v>0.12</v>
      </c>
      <c r="K211" s="574">
        <v>0</v>
      </c>
      <c r="L211" s="574">
        <v>0</v>
      </c>
      <c r="M211" s="565">
        <v>11.5</v>
      </c>
      <c r="N211" s="579">
        <v>2</v>
      </c>
      <c r="O211" s="580">
        <v>3</v>
      </c>
      <c r="P211" s="635" t="str">
        <f t="shared" si="24"/>
        <v>Van</v>
      </c>
      <c r="Q211" s="636">
        <f t="shared" si="25"/>
        <v>11.5</v>
      </c>
      <c r="R211" s="637">
        <f t="shared" si="26"/>
        <v>1</v>
      </c>
      <c r="S211" s="638">
        <f t="shared" si="27"/>
        <v>0</v>
      </c>
      <c r="T211" s="564">
        <f t="shared" si="28"/>
        <v>0</v>
      </c>
      <c r="U211" s="639">
        <f t="shared" si="29"/>
        <v>2</v>
      </c>
      <c r="V211" s="639">
        <f t="shared" si="30"/>
        <v>3</v>
      </c>
      <c r="AD211" s="586"/>
      <c r="AE211" s="586"/>
    </row>
    <row r="212" spans="2:31">
      <c r="B212" s="561" t="s">
        <v>272</v>
      </c>
      <c r="C212" s="561" t="s">
        <v>97</v>
      </c>
      <c r="D212" s="574">
        <v>0.41</v>
      </c>
      <c r="E212" s="574">
        <v>1</v>
      </c>
      <c r="F212" s="640">
        <f t="shared" si="23"/>
        <v>10.6</v>
      </c>
      <c r="G212" s="574">
        <v>1.4</v>
      </c>
      <c r="H212" s="574">
        <f t="shared" si="12"/>
        <v>1.72</v>
      </c>
      <c r="I212" s="574">
        <f t="shared" si="13"/>
        <v>0.23</v>
      </c>
      <c r="J212" s="574">
        <v>0.12</v>
      </c>
      <c r="K212" s="574">
        <v>0</v>
      </c>
      <c r="L212" s="574">
        <v>0</v>
      </c>
      <c r="M212" s="565">
        <v>12</v>
      </c>
      <c r="N212" s="579">
        <v>2</v>
      </c>
      <c r="O212" s="580">
        <v>3</v>
      </c>
      <c r="P212" s="635" t="str">
        <f t="shared" si="24"/>
        <v>Van</v>
      </c>
      <c r="Q212" s="636">
        <f t="shared" si="25"/>
        <v>12</v>
      </c>
      <c r="R212" s="637">
        <f t="shared" si="26"/>
        <v>1</v>
      </c>
      <c r="S212" s="638">
        <f t="shared" si="27"/>
        <v>0</v>
      </c>
      <c r="T212" s="564">
        <f t="shared" si="28"/>
        <v>0</v>
      </c>
      <c r="U212" s="639">
        <f t="shared" si="29"/>
        <v>2</v>
      </c>
      <c r="V212" s="639">
        <f t="shared" si="30"/>
        <v>3</v>
      </c>
      <c r="AD212" s="586"/>
      <c r="AE212" s="586"/>
    </row>
    <row r="213" spans="2:31">
      <c r="B213" s="561" t="s">
        <v>273</v>
      </c>
      <c r="C213" s="561" t="s">
        <v>97</v>
      </c>
      <c r="D213" s="574">
        <v>0.41</v>
      </c>
      <c r="E213" s="574">
        <v>1</v>
      </c>
      <c r="F213" s="640">
        <f t="shared" si="23"/>
        <v>11.1</v>
      </c>
      <c r="G213" s="574">
        <v>1.4</v>
      </c>
      <c r="H213" s="574">
        <f t="shared" si="12"/>
        <v>1.8</v>
      </c>
      <c r="I213" s="574">
        <f t="shared" si="13"/>
        <v>0.23</v>
      </c>
      <c r="J213" s="574">
        <v>0.12</v>
      </c>
      <c r="K213" s="574">
        <v>0</v>
      </c>
      <c r="L213" s="574">
        <v>0</v>
      </c>
      <c r="M213" s="565">
        <v>12.5</v>
      </c>
      <c r="N213" s="579">
        <v>2</v>
      </c>
      <c r="O213" s="580">
        <v>3</v>
      </c>
      <c r="P213" s="635" t="str">
        <f t="shared" si="24"/>
        <v>Van</v>
      </c>
      <c r="Q213" s="636">
        <f t="shared" si="25"/>
        <v>12.5</v>
      </c>
      <c r="R213" s="637">
        <f t="shared" si="26"/>
        <v>1</v>
      </c>
      <c r="S213" s="638">
        <f t="shared" si="27"/>
        <v>0</v>
      </c>
      <c r="T213" s="564">
        <f t="shared" si="28"/>
        <v>0</v>
      </c>
      <c r="U213" s="639">
        <f t="shared" si="29"/>
        <v>2</v>
      </c>
      <c r="V213" s="639">
        <f t="shared" si="30"/>
        <v>3</v>
      </c>
      <c r="AD213" s="586"/>
      <c r="AE213" s="586"/>
    </row>
    <row r="214" spans="2:31">
      <c r="B214" s="561" t="s">
        <v>274</v>
      </c>
      <c r="C214" s="561" t="s">
        <v>97</v>
      </c>
      <c r="D214" s="574">
        <v>0.41</v>
      </c>
      <c r="E214" s="574">
        <v>1</v>
      </c>
      <c r="F214" s="640">
        <f t="shared" si="23"/>
        <v>11.6</v>
      </c>
      <c r="G214" s="574">
        <v>1.4</v>
      </c>
      <c r="H214" s="574">
        <f t="shared" si="12"/>
        <v>1.88</v>
      </c>
      <c r="I214" s="574">
        <f t="shared" si="13"/>
        <v>0.23</v>
      </c>
      <c r="J214" s="574">
        <v>0.12</v>
      </c>
      <c r="K214" s="574">
        <v>0</v>
      </c>
      <c r="L214" s="574">
        <v>0</v>
      </c>
      <c r="M214" s="565">
        <v>13</v>
      </c>
      <c r="N214" s="579">
        <v>2</v>
      </c>
      <c r="O214" s="580">
        <v>3</v>
      </c>
      <c r="P214" s="635" t="str">
        <f t="shared" si="24"/>
        <v>Van</v>
      </c>
      <c r="Q214" s="636">
        <f t="shared" si="25"/>
        <v>13</v>
      </c>
      <c r="R214" s="637">
        <f t="shared" si="26"/>
        <v>1</v>
      </c>
      <c r="S214" s="638">
        <f t="shared" si="27"/>
        <v>0</v>
      </c>
      <c r="T214" s="564">
        <f t="shared" si="28"/>
        <v>0</v>
      </c>
      <c r="U214" s="639">
        <f t="shared" si="29"/>
        <v>2</v>
      </c>
      <c r="V214" s="639">
        <f t="shared" si="30"/>
        <v>3</v>
      </c>
      <c r="AD214" s="586"/>
      <c r="AE214" s="586"/>
    </row>
    <row r="215" spans="2:31">
      <c r="B215" s="561" t="s">
        <v>275</v>
      </c>
      <c r="C215" s="561" t="s">
        <v>97</v>
      </c>
      <c r="D215" s="574">
        <v>0.41</v>
      </c>
      <c r="E215" s="574">
        <v>1</v>
      </c>
      <c r="F215" s="640">
        <f t="shared" si="23"/>
        <v>12.1</v>
      </c>
      <c r="G215" s="574">
        <v>1.4</v>
      </c>
      <c r="H215" s="574">
        <f t="shared" si="12"/>
        <v>1.96</v>
      </c>
      <c r="I215" s="574">
        <f t="shared" si="13"/>
        <v>0.23</v>
      </c>
      <c r="J215" s="574">
        <v>0.12</v>
      </c>
      <c r="K215" s="574">
        <v>0</v>
      </c>
      <c r="L215" s="574">
        <v>0</v>
      </c>
      <c r="M215" s="565">
        <v>13.5</v>
      </c>
      <c r="N215" s="579">
        <v>2</v>
      </c>
      <c r="O215" s="580">
        <v>3</v>
      </c>
      <c r="P215" s="635" t="str">
        <f t="shared" si="24"/>
        <v>Van</v>
      </c>
      <c r="Q215" s="636">
        <f t="shared" si="25"/>
        <v>13.5</v>
      </c>
      <c r="R215" s="637">
        <f t="shared" si="26"/>
        <v>1</v>
      </c>
      <c r="S215" s="638">
        <f t="shared" si="27"/>
        <v>0</v>
      </c>
      <c r="T215" s="564">
        <f t="shared" si="28"/>
        <v>0</v>
      </c>
      <c r="U215" s="639">
        <f t="shared" si="29"/>
        <v>2</v>
      </c>
      <c r="V215" s="639">
        <f t="shared" si="30"/>
        <v>3</v>
      </c>
      <c r="AD215" s="586"/>
      <c r="AE215" s="586"/>
    </row>
    <row r="216" spans="2:31">
      <c r="B216" s="561" t="s">
        <v>276</v>
      </c>
      <c r="C216" s="561" t="s">
        <v>97</v>
      </c>
      <c r="D216" s="574">
        <v>0.41</v>
      </c>
      <c r="E216" s="574">
        <v>1</v>
      </c>
      <c r="F216" s="640">
        <f t="shared" si="23"/>
        <v>12.6</v>
      </c>
      <c r="G216" s="574">
        <v>1.4</v>
      </c>
      <c r="H216" s="574">
        <f t="shared" si="12"/>
        <v>2.04</v>
      </c>
      <c r="I216" s="574">
        <f t="shared" si="13"/>
        <v>0.23</v>
      </c>
      <c r="J216" s="574">
        <v>0.12</v>
      </c>
      <c r="K216" s="574">
        <v>0</v>
      </c>
      <c r="L216" s="574">
        <v>0</v>
      </c>
      <c r="M216" s="565">
        <v>14</v>
      </c>
      <c r="N216" s="579">
        <v>2</v>
      </c>
      <c r="O216" s="580">
        <v>3</v>
      </c>
      <c r="P216" s="635" t="str">
        <f t="shared" si="24"/>
        <v>Van</v>
      </c>
      <c r="Q216" s="636">
        <f t="shared" si="25"/>
        <v>14</v>
      </c>
      <c r="R216" s="637">
        <f t="shared" si="26"/>
        <v>1</v>
      </c>
      <c r="S216" s="638">
        <f t="shared" si="27"/>
        <v>0</v>
      </c>
      <c r="T216" s="564">
        <f t="shared" si="28"/>
        <v>0</v>
      </c>
      <c r="U216" s="639">
        <f t="shared" si="29"/>
        <v>2</v>
      </c>
      <c r="V216" s="639">
        <f t="shared" si="30"/>
        <v>3</v>
      </c>
      <c r="AD216" s="586"/>
      <c r="AE216" s="586"/>
    </row>
    <row r="217" spans="2:31">
      <c r="B217" s="561" t="s">
        <v>277</v>
      </c>
      <c r="C217" s="561" t="s">
        <v>97</v>
      </c>
      <c r="D217" s="574">
        <v>0.41</v>
      </c>
      <c r="E217" s="574">
        <v>1</v>
      </c>
      <c r="F217" s="640">
        <f t="shared" si="23"/>
        <v>13.1</v>
      </c>
      <c r="G217" s="574">
        <v>1.4</v>
      </c>
      <c r="H217" s="574">
        <f t="shared" si="12"/>
        <v>2.12</v>
      </c>
      <c r="I217" s="574">
        <f t="shared" si="13"/>
        <v>0.23</v>
      </c>
      <c r="J217" s="574">
        <v>0.12</v>
      </c>
      <c r="K217" s="574">
        <v>0</v>
      </c>
      <c r="L217" s="574">
        <v>0</v>
      </c>
      <c r="M217" s="565">
        <v>14.5</v>
      </c>
      <c r="N217" s="579">
        <v>2</v>
      </c>
      <c r="O217" s="580">
        <v>3</v>
      </c>
      <c r="P217" s="635" t="str">
        <f t="shared" si="24"/>
        <v>Van</v>
      </c>
      <c r="Q217" s="636">
        <f t="shared" si="25"/>
        <v>14.5</v>
      </c>
      <c r="R217" s="637">
        <f t="shared" si="26"/>
        <v>1</v>
      </c>
      <c r="S217" s="638">
        <f t="shared" si="27"/>
        <v>0</v>
      </c>
      <c r="T217" s="564">
        <f t="shared" si="28"/>
        <v>0</v>
      </c>
      <c r="U217" s="639">
        <f t="shared" si="29"/>
        <v>2</v>
      </c>
      <c r="V217" s="639">
        <f t="shared" si="30"/>
        <v>3</v>
      </c>
      <c r="AD217" s="586"/>
      <c r="AE217" s="586"/>
    </row>
    <row r="218" spans="2:31">
      <c r="B218" s="561" t="s">
        <v>278</v>
      </c>
      <c r="C218" s="561" t="s">
        <v>97</v>
      </c>
      <c r="D218" s="574">
        <v>0.41</v>
      </c>
      <c r="E218" s="574">
        <v>1</v>
      </c>
      <c r="F218" s="640">
        <f t="shared" si="23"/>
        <v>13.6</v>
      </c>
      <c r="G218" s="574">
        <v>1.4</v>
      </c>
      <c r="H218" s="574">
        <f t="shared" si="12"/>
        <v>2.2000000000000002</v>
      </c>
      <c r="I218" s="574">
        <f t="shared" si="13"/>
        <v>0.23</v>
      </c>
      <c r="J218" s="574">
        <v>0.12</v>
      </c>
      <c r="K218" s="574">
        <v>0</v>
      </c>
      <c r="L218" s="574">
        <v>0</v>
      </c>
      <c r="M218" s="565">
        <v>15</v>
      </c>
      <c r="N218" s="579">
        <v>2</v>
      </c>
      <c r="O218" s="580">
        <v>3</v>
      </c>
      <c r="P218" s="635" t="str">
        <f t="shared" si="24"/>
        <v>Van</v>
      </c>
      <c r="Q218" s="636">
        <f t="shared" si="25"/>
        <v>15</v>
      </c>
      <c r="R218" s="637">
        <f t="shared" si="26"/>
        <v>1</v>
      </c>
      <c r="S218" s="638">
        <f t="shared" si="27"/>
        <v>0</v>
      </c>
      <c r="T218" s="564">
        <f t="shared" si="28"/>
        <v>0</v>
      </c>
      <c r="U218" s="639">
        <f t="shared" si="29"/>
        <v>2</v>
      </c>
      <c r="V218" s="639">
        <f t="shared" si="30"/>
        <v>3</v>
      </c>
      <c r="AD218" s="586"/>
      <c r="AE218" s="586"/>
    </row>
    <row r="219" spans="2:31">
      <c r="B219" s="561" t="s">
        <v>279</v>
      </c>
      <c r="C219" s="561" t="s">
        <v>97</v>
      </c>
      <c r="D219" s="574">
        <v>0.41</v>
      </c>
      <c r="E219" s="574">
        <v>1</v>
      </c>
      <c r="F219" s="640">
        <f t="shared" si="23"/>
        <v>14.1</v>
      </c>
      <c r="G219" s="574">
        <v>1.4</v>
      </c>
      <c r="H219" s="574">
        <f t="shared" si="12"/>
        <v>2.2799999999999998</v>
      </c>
      <c r="I219" s="574">
        <f t="shared" si="13"/>
        <v>0.23</v>
      </c>
      <c r="J219" s="574">
        <v>0.12</v>
      </c>
      <c r="K219" s="574">
        <v>0</v>
      </c>
      <c r="L219" s="574">
        <v>0</v>
      </c>
      <c r="M219" s="565">
        <v>15.5</v>
      </c>
      <c r="N219" s="579">
        <v>2</v>
      </c>
      <c r="O219" s="580">
        <v>3</v>
      </c>
      <c r="P219" s="635" t="str">
        <f t="shared" si="24"/>
        <v>Van</v>
      </c>
      <c r="Q219" s="636">
        <f t="shared" si="25"/>
        <v>15.5</v>
      </c>
      <c r="R219" s="637">
        <f t="shared" si="26"/>
        <v>1</v>
      </c>
      <c r="S219" s="638">
        <f t="shared" si="27"/>
        <v>0</v>
      </c>
      <c r="T219" s="564">
        <f t="shared" si="28"/>
        <v>0</v>
      </c>
      <c r="U219" s="639">
        <f t="shared" si="29"/>
        <v>2</v>
      </c>
      <c r="V219" s="639">
        <f t="shared" si="30"/>
        <v>3</v>
      </c>
      <c r="AD219" s="586"/>
      <c r="AE219" s="586"/>
    </row>
    <row r="220" spans="2:31">
      <c r="B220" s="561" t="s">
        <v>280</v>
      </c>
      <c r="C220" s="561" t="s">
        <v>97</v>
      </c>
      <c r="D220" s="574">
        <v>0.41</v>
      </c>
      <c r="E220" s="574">
        <v>1</v>
      </c>
      <c r="F220" s="640">
        <f t="shared" si="23"/>
        <v>4.5999999999999996</v>
      </c>
      <c r="G220" s="574">
        <v>1.4</v>
      </c>
      <c r="H220" s="574">
        <f t="shared" ref="H220:H277" si="31">ROUND(F220*$C$50,2)</f>
        <v>0.75</v>
      </c>
      <c r="I220" s="574">
        <f t="shared" ref="I220:I278" si="32">ROUND(G220*$C$50,2)</f>
        <v>0.23</v>
      </c>
      <c r="J220" s="574">
        <v>0.12</v>
      </c>
      <c r="K220" s="574">
        <v>0</v>
      </c>
      <c r="L220" s="574">
        <v>0</v>
      </c>
      <c r="M220" s="565">
        <v>6</v>
      </c>
      <c r="N220" s="579">
        <v>2</v>
      </c>
      <c r="O220" s="580">
        <v>3</v>
      </c>
      <c r="P220" s="635" t="str">
        <f t="shared" si="24"/>
        <v>Van</v>
      </c>
      <c r="Q220" s="636">
        <f t="shared" si="25"/>
        <v>6</v>
      </c>
      <c r="R220" s="637">
        <f t="shared" si="26"/>
        <v>1</v>
      </c>
      <c r="S220" s="638">
        <f t="shared" si="27"/>
        <v>0.2</v>
      </c>
      <c r="T220" s="564">
        <f t="shared" si="28"/>
        <v>1.2000000000000002</v>
      </c>
      <c r="U220" s="639">
        <f t="shared" si="29"/>
        <v>2</v>
      </c>
      <c r="V220" s="639">
        <f t="shared" si="30"/>
        <v>3</v>
      </c>
      <c r="AD220" s="586"/>
      <c r="AE220" s="586"/>
    </row>
    <row r="221" spans="2:31">
      <c r="B221" s="561" t="s">
        <v>281</v>
      </c>
      <c r="C221" s="561" t="s">
        <v>97</v>
      </c>
      <c r="D221" s="574">
        <v>0.41</v>
      </c>
      <c r="E221" s="574">
        <v>1</v>
      </c>
      <c r="F221" s="640">
        <f t="shared" si="23"/>
        <v>5.0999999999999996</v>
      </c>
      <c r="G221" s="574">
        <v>1.4</v>
      </c>
      <c r="H221" s="574">
        <f t="shared" si="31"/>
        <v>0.83</v>
      </c>
      <c r="I221" s="574">
        <f t="shared" si="32"/>
        <v>0.23</v>
      </c>
      <c r="J221" s="574">
        <v>0.12</v>
      </c>
      <c r="K221" s="574">
        <v>0</v>
      </c>
      <c r="L221" s="574">
        <v>0</v>
      </c>
      <c r="M221" s="565">
        <v>6.5</v>
      </c>
      <c r="N221" s="579">
        <v>2</v>
      </c>
      <c r="O221" s="580">
        <v>3</v>
      </c>
      <c r="P221" s="635" t="str">
        <f t="shared" si="24"/>
        <v>Van</v>
      </c>
      <c r="Q221" s="636">
        <f t="shared" si="25"/>
        <v>6.5</v>
      </c>
      <c r="R221" s="637">
        <f t="shared" si="26"/>
        <v>1</v>
      </c>
      <c r="S221" s="638">
        <f t="shared" si="27"/>
        <v>0.2</v>
      </c>
      <c r="T221" s="564">
        <f t="shared" si="28"/>
        <v>1.3</v>
      </c>
      <c r="U221" s="639">
        <f t="shared" si="29"/>
        <v>2</v>
      </c>
      <c r="V221" s="639">
        <f t="shared" si="30"/>
        <v>3</v>
      </c>
      <c r="AD221" s="586"/>
      <c r="AE221" s="586"/>
    </row>
    <row r="222" spans="2:31">
      <c r="B222" s="561" t="s">
        <v>282</v>
      </c>
      <c r="C222" s="561" t="s">
        <v>97</v>
      </c>
      <c r="D222" s="574">
        <v>0.41</v>
      </c>
      <c r="E222" s="574">
        <v>1</v>
      </c>
      <c r="F222" s="640">
        <f t="shared" si="23"/>
        <v>5.6</v>
      </c>
      <c r="G222" s="574">
        <v>1.4</v>
      </c>
      <c r="H222" s="574">
        <f t="shared" si="31"/>
        <v>0.91</v>
      </c>
      <c r="I222" s="574">
        <f t="shared" si="32"/>
        <v>0.23</v>
      </c>
      <c r="J222" s="574">
        <v>0.12</v>
      </c>
      <c r="K222" s="574">
        <v>0</v>
      </c>
      <c r="L222" s="574">
        <v>0</v>
      </c>
      <c r="M222" s="565">
        <v>7</v>
      </c>
      <c r="N222" s="579">
        <v>2</v>
      </c>
      <c r="O222" s="580">
        <v>3</v>
      </c>
      <c r="P222" s="635" t="str">
        <f t="shared" si="24"/>
        <v>Van</v>
      </c>
      <c r="Q222" s="636">
        <f t="shared" si="25"/>
        <v>7</v>
      </c>
      <c r="R222" s="637">
        <f t="shared" si="26"/>
        <v>1</v>
      </c>
      <c r="S222" s="638">
        <f t="shared" si="27"/>
        <v>0.2</v>
      </c>
      <c r="T222" s="564">
        <f t="shared" si="28"/>
        <v>1.4000000000000001</v>
      </c>
      <c r="U222" s="639">
        <f t="shared" si="29"/>
        <v>2</v>
      </c>
      <c r="V222" s="639">
        <f t="shared" si="30"/>
        <v>3</v>
      </c>
      <c r="AD222" s="586"/>
      <c r="AE222" s="586"/>
    </row>
    <row r="223" spans="2:31">
      <c r="B223" s="561" t="s">
        <v>283</v>
      </c>
      <c r="C223" s="561" t="s">
        <v>97</v>
      </c>
      <c r="D223" s="574">
        <v>0.41</v>
      </c>
      <c r="E223" s="574">
        <v>1</v>
      </c>
      <c r="F223" s="640">
        <f t="shared" si="23"/>
        <v>6.1</v>
      </c>
      <c r="G223" s="574">
        <v>1.4</v>
      </c>
      <c r="H223" s="574">
        <f t="shared" si="31"/>
        <v>0.99</v>
      </c>
      <c r="I223" s="574">
        <f t="shared" si="32"/>
        <v>0.23</v>
      </c>
      <c r="J223" s="574">
        <v>0.12</v>
      </c>
      <c r="K223" s="574">
        <v>0</v>
      </c>
      <c r="L223" s="574">
        <v>0</v>
      </c>
      <c r="M223" s="565">
        <v>7.5</v>
      </c>
      <c r="N223" s="579">
        <v>2</v>
      </c>
      <c r="O223" s="580">
        <v>3</v>
      </c>
      <c r="P223" s="635" t="str">
        <f t="shared" si="24"/>
        <v>Van</v>
      </c>
      <c r="Q223" s="636">
        <f t="shared" si="25"/>
        <v>7.5</v>
      </c>
      <c r="R223" s="637">
        <f t="shared" si="26"/>
        <v>1</v>
      </c>
      <c r="S223" s="638">
        <f t="shared" si="27"/>
        <v>0.2</v>
      </c>
      <c r="T223" s="564">
        <f t="shared" si="28"/>
        <v>1.5</v>
      </c>
      <c r="U223" s="639">
        <f t="shared" si="29"/>
        <v>2</v>
      </c>
      <c r="V223" s="639">
        <f t="shared" si="30"/>
        <v>3</v>
      </c>
      <c r="AD223" s="586"/>
      <c r="AE223" s="586"/>
    </row>
    <row r="224" spans="2:31">
      <c r="B224" s="561" t="s">
        <v>284</v>
      </c>
      <c r="C224" s="561" t="s">
        <v>97</v>
      </c>
      <c r="D224" s="574">
        <v>0.41</v>
      </c>
      <c r="E224" s="574">
        <v>1</v>
      </c>
      <c r="F224" s="640">
        <f t="shared" si="23"/>
        <v>6.6</v>
      </c>
      <c r="G224" s="574">
        <v>1.4</v>
      </c>
      <c r="H224" s="574">
        <f t="shared" si="31"/>
        <v>1.07</v>
      </c>
      <c r="I224" s="574">
        <f t="shared" si="32"/>
        <v>0.23</v>
      </c>
      <c r="J224" s="574">
        <v>0.12</v>
      </c>
      <c r="K224" s="574">
        <v>0</v>
      </c>
      <c r="L224" s="574">
        <v>0</v>
      </c>
      <c r="M224" s="565">
        <v>8</v>
      </c>
      <c r="N224" s="579">
        <v>2</v>
      </c>
      <c r="O224" s="580">
        <v>3</v>
      </c>
      <c r="P224" s="635" t="str">
        <f t="shared" si="24"/>
        <v>Van</v>
      </c>
      <c r="Q224" s="636">
        <f t="shared" si="25"/>
        <v>8</v>
      </c>
      <c r="R224" s="637">
        <f t="shared" si="26"/>
        <v>1</v>
      </c>
      <c r="S224" s="638">
        <f t="shared" si="27"/>
        <v>0.2</v>
      </c>
      <c r="T224" s="564">
        <f t="shared" si="28"/>
        <v>1.6</v>
      </c>
      <c r="U224" s="639">
        <f t="shared" si="29"/>
        <v>2</v>
      </c>
      <c r="V224" s="639">
        <f t="shared" si="30"/>
        <v>3</v>
      </c>
      <c r="AD224" s="586"/>
      <c r="AE224" s="586"/>
    </row>
    <row r="225" spans="2:31">
      <c r="B225" s="561" t="s">
        <v>285</v>
      </c>
      <c r="C225" s="561" t="s">
        <v>97</v>
      </c>
      <c r="D225" s="574">
        <v>0.41</v>
      </c>
      <c r="E225" s="574">
        <v>1</v>
      </c>
      <c r="F225" s="640">
        <f t="shared" si="23"/>
        <v>7.1</v>
      </c>
      <c r="G225" s="574">
        <v>1.4</v>
      </c>
      <c r="H225" s="574">
        <f t="shared" si="31"/>
        <v>1.1499999999999999</v>
      </c>
      <c r="I225" s="574">
        <f t="shared" si="32"/>
        <v>0.23</v>
      </c>
      <c r="J225" s="574">
        <v>0.12</v>
      </c>
      <c r="K225" s="574">
        <v>0</v>
      </c>
      <c r="L225" s="574">
        <v>0</v>
      </c>
      <c r="M225" s="565">
        <v>8.5</v>
      </c>
      <c r="N225" s="579">
        <v>2</v>
      </c>
      <c r="O225" s="580">
        <v>3</v>
      </c>
      <c r="P225" s="635" t="str">
        <f t="shared" si="24"/>
        <v>Van</v>
      </c>
      <c r="Q225" s="636">
        <f t="shared" si="25"/>
        <v>8.5</v>
      </c>
      <c r="R225" s="637">
        <f t="shared" si="26"/>
        <v>1</v>
      </c>
      <c r="S225" s="638">
        <f t="shared" si="27"/>
        <v>0.2</v>
      </c>
      <c r="T225" s="564">
        <f t="shared" si="28"/>
        <v>1.7000000000000002</v>
      </c>
      <c r="U225" s="639">
        <f t="shared" si="29"/>
        <v>2</v>
      </c>
      <c r="V225" s="639">
        <f t="shared" si="30"/>
        <v>3</v>
      </c>
      <c r="AD225" s="586"/>
      <c r="AE225" s="586"/>
    </row>
    <row r="226" spans="2:31">
      <c r="B226" s="561" t="s">
        <v>286</v>
      </c>
      <c r="C226" s="561" t="s">
        <v>97</v>
      </c>
      <c r="D226" s="574">
        <v>0.41</v>
      </c>
      <c r="E226" s="574">
        <v>1</v>
      </c>
      <c r="F226" s="640">
        <f t="shared" si="23"/>
        <v>7.6</v>
      </c>
      <c r="G226" s="574">
        <v>1.4</v>
      </c>
      <c r="H226" s="574">
        <f t="shared" si="31"/>
        <v>1.23</v>
      </c>
      <c r="I226" s="574">
        <f t="shared" si="32"/>
        <v>0.23</v>
      </c>
      <c r="J226" s="574">
        <v>0.12</v>
      </c>
      <c r="K226" s="574">
        <v>0</v>
      </c>
      <c r="L226" s="574">
        <v>0</v>
      </c>
      <c r="M226" s="565">
        <v>9</v>
      </c>
      <c r="N226" s="579">
        <v>2</v>
      </c>
      <c r="O226" s="580">
        <v>3</v>
      </c>
      <c r="P226" s="635" t="str">
        <f t="shared" si="24"/>
        <v>Van</v>
      </c>
      <c r="Q226" s="636">
        <f t="shared" si="25"/>
        <v>9</v>
      </c>
      <c r="R226" s="637">
        <f t="shared" si="26"/>
        <v>1</v>
      </c>
      <c r="S226" s="638">
        <f t="shared" si="27"/>
        <v>0.2</v>
      </c>
      <c r="T226" s="564">
        <f t="shared" si="28"/>
        <v>1.8</v>
      </c>
      <c r="U226" s="639">
        <f t="shared" si="29"/>
        <v>2</v>
      </c>
      <c r="V226" s="639">
        <f t="shared" si="30"/>
        <v>3</v>
      </c>
      <c r="AD226" s="586"/>
      <c r="AE226" s="586"/>
    </row>
    <row r="227" spans="2:31">
      <c r="B227" s="561" t="s">
        <v>287</v>
      </c>
      <c r="C227" s="561" t="s">
        <v>97</v>
      </c>
      <c r="D227" s="574">
        <v>0.41</v>
      </c>
      <c r="E227" s="574">
        <v>1</v>
      </c>
      <c r="F227" s="640">
        <f t="shared" si="23"/>
        <v>8.1</v>
      </c>
      <c r="G227" s="574">
        <v>1.4</v>
      </c>
      <c r="H227" s="574">
        <f t="shared" si="31"/>
        <v>1.31</v>
      </c>
      <c r="I227" s="574">
        <f t="shared" si="32"/>
        <v>0.23</v>
      </c>
      <c r="J227" s="574">
        <v>0.12</v>
      </c>
      <c r="K227" s="574">
        <v>0</v>
      </c>
      <c r="L227" s="574">
        <v>0</v>
      </c>
      <c r="M227" s="565">
        <v>9.5</v>
      </c>
      <c r="N227" s="579">
        <v>2</v>
      </c>
      <c r="O227" s="580">
        <v>3</v>
      </c>
      <c r="P227" s="635" t="str">
        <f t="shared" si="24"/>
        <v>Van</v>
      </c>
      <c r="Q227" s="636">
        <f t="shared" si="25"/>
        <v>9.5</v>
      </c>
      <c r="R227" s="637">
        <f t="shared" si="26"/>
        <v>1</v>
      </c>
      <c r="S227" s="638">
        <f t="shared" si="27"/>
        <v>0.2</v>
      </c>
      <c r="T227" s="564">
        <f t="shared" si="28"/>
        <v>1.9000000000000001</v>
      </c>
      <c r="U227" s="639">
        <f t="shared" si="29"/>
        <v>2</v>
      </c>
      <c r="V227" s="639">
        <f t="shared" si="30"/>
        <v>3</v>
      </c>
      <c r="AD227" s="586"/>
      <c r="AE227" s="586"/>
    </row>
    <row r="228" spans="2:31">
      <c r="B228" s="561" t="s">
        <v>288</v>
      </c>
      <c r="C228" s="561" t="s">
        <v>97</v>
      </c>
      <c r="D228" s="574">
        <v>0.41</v>
      </c>
      <c r="E228" s="574">
        <v>1</v>
      </c>
      <c r="F228" s="640">
        <f t="shared" si="23"/>
        <v>8.6</v>
      </c>
      <c r="G228" s="574">
        <v>1.4</v>
      </c>
      <c r="H228" s="574">
        <f t="shared" si="31"/>
        <v>1.39</v>
      </c>
      <c r="I228" s="574">
        <f t="shared" si="32"/>
        <v>0.23</v>
      </c>
      <c r="J228" s="574">
        <v>0.12</v>
      </c>
      <c r="K228" s="574">
        <v>0</v>
      </c>
      <c r="L228" s="574">
        <v>0</v>
      </c>
      <c r="M228" s="565">
        <v>10</v>
      </c>
      <c r="N228" s="579">
        <v>2</v>
      </c>
      <c r="O228" s="580">
        <v>3</v>
      </c>
      <c r="P228" s="635" t="str">
        <f t="shared" si="24"/>
        <v>Van</v>
      </c>
      <c r="Q228" s="636">
        <f t="shared" si="25"/>
        <v>10</v>
      </c>
      <c r="R228" s="637">
        <f t="shared" si="26"/>
        <v>1</v>
      </c>
      <c r="S228" s="638">
        <f t="shared" si="27"/>
        <v>0.2</v>
      </c>
      <c r="T228" s="564">
        <f t="shared" si="28"/>
        <v>2</v>
      </c>
      <c r="U228" s="639">
        <f t="shared" si="29"/>
        <v>2</v>
      </c>
      <c r="V228" s="639">
        <f t="shared" si="30"/>
        <v>3</v>
      </c>
      <c r="AD228" s="586"/>
      <c r="AE228" s="586"/>
    </row>
    <row r="229" spans="2:31">
      <c r="B229" s="561" t="s">
        <v>289</v>
      </c>
      <c r="C229" s="561" t="s">
        <v>97</v>
      </c>
      <c r="D229" s="574">
        <v>0.41</v>
      </c>
      <c r="E229" s="574">
        <v>1</v>
      </c>
      <c r="F229" s="640">
        <f t="shared" si="23"/>
        <v>9.1</v>
      </c>
      <c r="G229" s="574">
        <v>1.4</v>
      </c>
      <c r="H229" s="574">
        <f t="shared" si="31"/>
        <v>1.47</v>
      </c>
      <c r="I229" s="574">
        <f t="shared" si="32"/>
        <v>0.23</v>
      </c>
      <c r="J229" s="574">
        <v>0.12</v>
      </c>
      <c r="K229" s="574">
        <v>0</v>
      </c>
      <c r="L229" s="574">
        <v>0</v>
      </c>
      <c r="M229" s="565">
        <v>10.5</v>
      </c>
      <c r="N229" s="579">
        <v>2</v>
      </c>
      <c r="O229" s="580">
        <v>3</v>
      </c>
      <c r="P229" s="635" t="str">
        <f t="shared" si="24"/>
        <v>Van</v>
      </c>
      <c r="Q229" s="636">
        <f t="shared" si="25"/>
        <v>10.5</v>
      </c>
      <c r="R229" s="637">
        <f t="shared" si="26"/>
        <v>1</v>
      </c>
      <c r="S229" s="638">
        <f t="shared" si="27"/>
        <v>0.2</v>
      </c>
      <c r="T229" s="564">
        <f t="shared" si="28"/>
        <v>2.1</v>
      </c>
      <c r="U229" s="639">
        <f t="shared" si="29"/>
        <v>2</v>
      </c>
      <c r="V229" s="639">
        <f t="shared" si="30"/>
        <v>3</v>
      </c>
      <c r="AD229" s="586"/>
      <c r="AE229" s="586"/>
    </row>
    <row r="230" spans="2:31">
      <c r="B230" s="561" t="s">
        <v>290</v>
      </c>
      <c r="C230" s="561" t="s">
        <v>97</v>
      </c>
      <c r="D230" s="574">
        <v>0.41</v>
      </c>
      <c r="E230" s="574">
        <v>1</v>
      </c>
      <c r="F230" s="640">
        <f t="shared" si="23"/>
        <v>9.6</v>
      </c>
      <c r="G230" s="574">
        <v>1.4</v>
      </c>
      <c r="H230" s="574">
        <f t="shared" si="31"/>
        <v>1.56</v>
      </c>
      <c r="I230" s="574">
        <f t="shared" si="32"/>
        <v>0.23</v>
      </c>
      <c r="J230" s="574">
        <v>0.12</v>
      </c>
      <c r="K230" s="574">
        <v>0</v>
      </c>
      <c r="L230" s="574">
        <v>0</v>
      </c>
      <c r="M230" s="565">
        <v>11</v>
      </c>
      <c r="N230" s="579">
        <v>2</v>
      </c>
      <c r="O230" s="580">
        <v>3</v>
      </c>
      <c r="P230" s="635" t="str">
        <f t="shared" si="24"/>
        <v>Van</v>
      </c>
      <c r="Q230" s="636">
        <f t="shared" si="25"/>
        <v>11</v>
      </c>
      <c r="R230" s="637">
        <f t="shared" si="26"/>
        <v>1</v>
      </c>
      <c r="S230" s="638">
        <f t="shared" si="27"/>
        <v>0.2</v>
      </c>
      <c r="T230" s="564">
        <f t="shared" si="28"/>
        <v>2.2000000000000002</v>
      </c>
      <c r="U230" s="639">
        <f t="shared" si="29"/>
        <v>2</v>
      </c>
      <c r="V230" s="639">
        <f t="shared" si="30"/>
        <v>3</v>
      </c>
      <c r="AD230" s="586"/>
      <c r="AE230" s="586"/>
    </row>
    <row r="231" spans="2:31">
      <c r="B231" s="561" t="s">
        <v>291</v>
      </c>
      <c r="C231" s="561" t="s">
        <v>97</v>
      </c>
      <c r="D231" s="574">
        <v>0.41</v>
      </c>
      <c r="E231" s="574">
        <v>1</v>
      </c>
      <c r="F231" s="640">
        <f t="shared" si="23"/>
        <v>10.1</v>
      </c>
      <c r="G231" s="574">
        <v>1.4</v>
      </c>
      <c r="H231" s="574">
        <f t="shared" si="31"/>
        <v>1.64</v>
      </c>
      <c r="I231" s="574">
        <f t="shared" si="32"/>
        <v>0.23</v>
      </c>
      <c r="J231" s="574">
        <v>0.12</v>
      </c>
      <c r="K231" s="574">
        <v>0</v>
      </c>
      <c r="L231" s="574">
        <v>0</v>
      </c>
      <c r="M231" s="565">
        <v>11.5</v>
      </c>
      <c r="N231" s="579">
        <v>2</v>
      </c>
      <c r="O231" s="580">
        <v>3</v>
      </c>
      <c r="P231" s="635" t="str">
        <f t="shared" si="24"/>
        <v>Van</v>
      </c>
      <c r="Q231" s="636">
        <f t="shared" si="25"/>
        <v>11.5</v>
      </c>
      <c r="R231" s="637">
        <f t="shared" si="26"/>
        <v>1</v>
      </c>
      <c r="S231" s="638">
        <f t="shared" si="27"/>
        <v>0.2</v>
      </c>
      <c r="T231" s="564">
        <f t="shared" si="28"/>
        <v>2.3000000000000003</v>
      </c>
      <c r="U231" s="639">
        <f t="shared" si="29"/>
        <v>2</v>
      </c>
      <c r="V231" s="639">
        <f t="shared" si="30"/>
        <v>3</v>
      </c>
      <c r="AD231" s="586"/>
      <c r="AE231" s="586"/>
    </row>
    <row r="232" spans="2:31">
      <c r="B232" s="561" t="s">
        <v>292</v>
      </c>
      <c r="C232" s="561" t="s">
        <v>97</v>
      </c>
      <c r="D232" s="574">
        <v>0.41</v>
      </c>
      <c r="E232" s="574">
        <v>1</v>
      </c>
      <c r="F232" s="640">
        <f t="shared" si="23"/>
        <v>10.6</v>
      </c>
      <c r="G232" s="574">
        <v>1.4</v>
      </c>
      <c r="H232" s="574">
        <f t="shared" si="31"/>
        <v>1.72</v>
      </c>
      <c r="I232" s="574">
        <f t="shared" si="32"/>
        <v>0.23</v>
      </c>
      <c r="J232" s="574">
        <v>0.12</v>
      </c>
      <c r="K232" s="574">
        <v>0</v>
      </c>
      <c r="L232" s="574">
        <v>0</v>
      </c>
      <c r="M232" s="565">
        <v>12</v>
      </c>
      <c r="N232" s="579">
        <v>2</v>
      </c>
      <c r="O232" s="580">
        <v>3</v>
      </c>
      <c r="P232" s="635" t="str">
        <f t="shared" si="24"/>
        <v>Van</v>
      </c>
      <c r="Q232" s="636">
        <f t="shared" si="25"/>
        <v>12</v>
      </c>
      <c r="R232" s="637">
        <f t="shared" si="26"/>
        <v>1</v>
      </c>
      <c r="S232" s="638">
        <f t="shared" si="27"/>
        <v>0.2</v>
      </c>
      <c r="T232" s="564">
        <f t="shared" si="28"/>
        <v>2.4000000000000004</v>
      </c>
      <c r="U232" s="639">
        <f t="shared" si="29"/>
        <v>2</v>
      </c>
      <c r="V232" s="639">
        <f t="shared" si="30"/>
        <v>3</v>
      </c>
      <c r="AD232" s="586"/>
      <c r="AE232" s="586"/>
    </row>
    <row r="233" spans="2:31">
      <c r="B233" s="561" t="s">
        <v>293</v>
      </c>
      <c r="C233" s="561" t="s">
        <v>97</v>
      </c>
      <c r="D233" s="574">
        <v>0.41</v>
      </c>
      <c r="E233" s="574">
        <v>1</v>
      </c>
      <c r="F233" s="640">
        <f t="shared" si="23"/>
        <v>11.1</v>
      </c>
      <c r="G233" s="574">
        <v>1.4</v>
      </c>
      <c r="H233" s="574">
        <f t="shared" si="31"/>
        <v>1.8</v>
      </c>
      <c r="I233" s="574">
        <f t="shared" si="32"/>
        <v>0.23</v>
      </c>
      <c r="J233" s="574">
        <v>0.12</v>
      </c>
      <c r="K233" s="574">
        <v>0</v>
      </c>
      <c r="L233" s="574">
        <v>0</v>
      </c>
      <c r="M233" s="565">
        <v>12.5</v>
      </c>
      <c r="N233" s="579">
        <v>2</v>
      </c>
      <c r="O233" s="580">
        <v>3</v>
      </c>
      <c r="P233" s="635" t="str">
        <f t="shared" si="24"/>
        <v>Van</v>
      </c>
      <c r="Q233" s="636">
        <f t="shared" si="25"/>
        <v>12.5</v>
      </c>
      <c r="R233" s="637">
        <f t="shared" si="26"/>
        <v>1</v>
      </c>
      <c r="S233" s="638">
        <f t="shared" si="27"/>
        <v>0.2</v>
      </c>
      <c r="T233" s="564">
        <f t="shared" si="28"/>
        <v>2.5</v>
      </c>
      <c r="U233" s="639">
        <f t="shared" si="29"/>
        <v>2</v>
      </c>
      <c r="V233" s="639">
        <f t="shared" si="30"/>
        <v>3</v>
      </c>
      <c r="AD233" s="586"/>
      <c r="AE233" s="586"/>
    </row>
    <row r="234" spans="2:31">
      <c r="B234" s="561" t="s">
        <v>294</v>
      </c>
      <c r="C234" s="561" t="s">
        <v>97</v>
      </c>
      <c r="D234" s="574">
        <v>0.41</v>
      </c>
      <c r="E234" s="574">
        <v>1</v>
      </c>
      <c r="F234" s="640">
        <f t="shared" si="23"/>
        <v>11.6</v>
      </c>
      <c r="G234" s="574">
        <v>1.4</v>
      </c>
      <c r="H234" s="574">
        <f t="shared" si="31"/>
        <v>1.88</v>
      </c>
      <c r="I234" s="574">
        <f t="shared" si="32"/>
        <v>0.23</v>
      </c>
      <c r="J234" s="574">
        <v>0.12</v>
      </c>
      <c r="K234" s="574">
        <v>0</v>
      </c>
      <c r="L234" s="574">
        <v>0</v>
      </c>
      <c r="M234" s="565">
        <v>13</v>
      </c>
      <c r="N234" s="579">
        <v>2</v>
      </c>
      <c r="O234" s="580">
        <v>3</v>
      </c>
      <c r="P234" s="635" t="str">
        <f t="shared" si="24"/>
        <v>Van</v>
      </c>
      <c r="Q234" s="636">
        <f t="shared" si="25"/>
        <v>13</v>
      </c>
      <c r="R234" s="637">
        <f t="shared" si="26"/>
        <v>1</v>
      </c>
      <c r="S234" s="638">
        <f t="shared" si="27"/>
        <v>0.2</v>
      </c>
      <c r="T234" s="564">
        <f t="shared" si="28"/>
        <v>2.6</v>
      </c>
      <c r="U234" s="639">
        <f t="shared" si="29"/>
        <v>2</v>
      </c>
      <c r="V234" s="639">
        <f t="shared" si="30"/>
        <v>3</v>
      </c>
      <c r="AD234" s="586"/>
      <c r="AE234" s="586"/>
    </row>
    <row r="235" spans="2:31">
      <c r="B235" s="561" t="s">
        <v>295</v>
      </c>
      <c r="C235" s="561" t="s">
        <v>97</v>
      </c>
      <c r="D235" s="574">
        <v>0.41</v>
      </c>
      <c r="E235" s="574">
        <v>1</v>
      </c>
      <c r="F235" s="640">
        <f t="shared" si="23"/>
        <v>12.1</v>
      </c>
      <c r="G235" s="574">
        <v>1.4</v>
      </c>
      <c r="H235" s="574">
        <f t="shared" si="31"/>
        <v>1.96</v>
      </c>
      <c r="I235" s="574">
        <f t="shared" si="32"/>
        <v>0.23</v>
      </c>
      <c r="J235" s="574">
        <v>0.12</v>
      </c>
      <c r="K235" s="574">
        <v>0</v>
      </c>
      <c r="L235" s="574">
        <v>0</v>
      </c>
      <c r="M235" s="565">
        <v>13.5</v>
      </c>
      <c r="N235" s="579">
        <v>2</v>
      </c>
      <c r="O235" s="580">
        <v>3</v>
      </c>
      <c r="P235" s="635" t="str">
        <f t="shared" si="24"/>
        <v>Van</v>
      </c>
      <c r="Q235" s="636">
        <f t="shared" si="25"/>
        <v>13.5</v>
      </c>
      <c r="R235" s="637">
        <f t="shared" si="26"/>
        <v>1</v>
      </c>
      <c r="S235" s="638">
        <f t="shared" si="27"/>
        <v>0.2</v>
      </c>
      <c r="T235" s="564">
        <f t="shared" si="28"/>
        <v>2.7</v>
      </c>
      <c r="U235" s="639">
        <f t="shared" si="29"/>
        <v>2</v>
      </c>
      <c r="V235" s="639">
        <f t="shared" si="30"/>
        <v>3</v>
      </c>
      <c r="AD235" s="586"/>
      <c r="AE235" s="586"/>
    </row>
    <row r="236" spans="2:31">
      <c r="B236" s="561" t="s">
        <v>296</v>
      </c>
      <c r="C236" s="561" t="s">
        <v>97</v>
      </c>
      <c r="D236" s="574">
        <v>0.41</v>
      </c>
      <c r="E236" s="574">
        <v>1</v>
      </c>
      <c r="F236" s="640">
        <f t="shared" si="23"/>
        <v>12.6</v>
      </c>
      <c r="G236" s="574">
        <v>1.4</v>
      </c>
      <c r="H236" s="574">
        <f t="shared" si="31"/>
        <v>2.04</v>
      </c>
      <c r="I236" s="574">
        <f t="shared" si="32"/>
        <v>0.23</v>
      </c>
      <c r="J236" s="574">
        <v>0.12</v>
      </c>
      <c r="K236" s="574">
        <v>0</v>
      </c>
      <c r="L236" s="574">
        <v>0</v>
      </c>
      <c r="M236" s="565">
        <v>14</v>
      </c>
      <c r="N236" s="579">
        <v>2</v>
      </c>
      <c r="O236" s="580">
        <v>3</v>
      </c>
      <c r="P236" s="635" t="str">
        <f t="shared" si="24"/>
        <v>Van</v>
      </c>
      <c r="Q236" s="636">
        <f t="shared" si="25"/>
        <v>14</v>
      </c>
      <c r="R236" s="637">
        <f t="shared" si="26"/>
        <v>1</v>
      </c>
      <c r="S236" s="638">
        <f t="shared" si="27"/>
        <v>0.2</v>
      </c>
      <c r="T236" s="564">
        <f t="shared" si="28"/>
        <v>2.8000000000000003</v>
      </c>
      <c r="U236" s="639">
        <f t="shared" si="29"/>
        <v>2</v>
      </c>
      <c r="V236" s="639">
        <f t="shared" si="30"/>
        <v>3</v>
      </c>
      <c r="AD236" s="586"/>
      <c r="AE236" s="586"/>
    </row>
    <row r="237" spans="2:31">
      <c r="B237" s="561" t="s">
        <v>297</v>
      </c>
      <c r="C237" s="561" t="s">
        <v>97</v>
      </c>
      <c r="D237" s="574">
        <v>0.41</v>
      </c>
      <c r="E237" s="574">
        <v>1</v>
      </c>
      <c r="F237" s="640">
        <f t="shared" si="23"/>
        <v>13.1</v>
      </c>
      <c r="G237" s="574">
        <v>1.4</v>
      </c>
      <c r="H237" s="574">
        <f t="shared" si="31"/>
        <v>2.12</v>
      </c>
      <c r="I237" s="574">
        <f t="shared" si="32"/>
        <v>0.23</v>
      </c>
      <c r="J237" s="574">
        <v>0.12</v>
      </c>
      <c r="K237" s="574">
        <v>0</v>
      </c>
      <c r="L237" s="574">
        <v>0</v>
      </c>
      <c r="M237" s="565">
        <v>14.5</v>
      </c>
      <c r="N237" s="579">
        <v>2</v>
      </c>
      <c r="O237" s="580">
        <v>3</v>
      </c>
      <c r="P237" s="635" t="str">
        <f t="shared" si="24"/>
        <v>Van</v>
      </c>
      <c r="Q237" s="636">
        <f t="shared" si="25"/>
        <v>14.5</v>
      </c>
      <c r="R237" s="637">
        <f t="shared" si="26"/>
        <v>1</v>
      </c>
      <c r="S237" s="638">
        <f t="shared" si="27"/>
        <v>0.2</v>
      </c>
      <c r="T237" s="564">
        <f t="shared" si="28"/>
        <v>2.9000000000000004</v>
      </c>
      <c r="U237" s="639">
        <f t="shared" si="29"/>
        <v>2</v>
      </c>
      <c r="V237" s="639">
        <f t="shared" si="30"/>
        <v>3</v>
      </c>
      <c r="AD237" s="586"/>
      <c r="AE237" s="586"/>
    </row>
    <row r="238" spans="2:31">
      <c r="B238" s="561" t="s">
        <v>298</v>
      </c>
      <c r="C238" s="561" t="s">
        <v>97</v>
      </c>
      <c r="D238" s="574">
        <v>0.41</v>
      </c>
      <c r="E238" s="574">
        <v>1</v>
      </c>
      <c r="F238" s="640">
        <f t="shared" si="23"/>
        <v>13.6</v>
      </c>
      <c r="G238" s="574">
        <v>1.4</v>
      </c>
      <c r="H238" s="574">
        <f t="shared" si="31"/>
        <v>2.2000000000000002</v>
      </c>
      <c r="I238" s="574">
        <f t="shared" si="32"/>
        <v>0.23</v>
      </c>
      <c r="J238" s="574">
        <v>0.12</v>
      </c>
      <c r="K238" s="574">
        <v>0</v>
      </c>
      <c r="L238" s="574">
        <v>0</v>
      </c>
      <c r="M238" s="565">
        <v>15</v>
      </c>
      <c r="N238" s="579">
        <v>2</v>
      </c>
      <c r="O238" s="580">
        <v>3</v>
      </c>
      <c r="P238" s="635" t="str">
        <f t="shared" si="24"/>
        <v>Van</v>
      </c>
      <c r="Q238" s="636">
        <f t="shared" si="25"/>
        <v>15</v>
      </c>
      <c r="R238" s="637">
        <f t="shared" si="26"/>
        <v>1</v>
      </c>
      <c r="S238" s="638">
        <f t="shared" si="27"/>
        <v>0.2</v>
      </c>
      <c r="T238" s="564">
        <f t="shared" si="28"/>
        <v>3</v>
      </c>
      <c r="U238" s="639">
        <f t="shared" si="29"/>
        <v>2</v>
      </c>
      <c r="V238" s="639">
        <f t="shared" si="30"/>
        <v>3</v>
      </c>
      <c r="AD238" s="586"/>
      <c r="AE238" s="586"/>
    </row>
    <row r="239" spans="2:31">
      <c r="B239" s="561" t="s">
        <v>299</v>
      </c>
      <c r="C239" s="561" t="s">
        <v>97</v>
      </c>
      <c r="D239" s="574">
        <v>0.41</v>
      </c>
      <c r="E239" s="574">
        <v>1</v>
      </c>
      <c r="F239" s="640">
        <f t="shared" si="23"/>
        <v>14.1</v>
      </c>
      <c r="G239" s="574">
        <v>1.4</v>
      </c>
      <c r="H239" s="574">
        <f t="shared" si="31"/>
        <v>2.2799999999999998</v>
      </c>
      <c r="I239" s="574">
        <f t="shared" si="32"/>
        <v>0.23</v>
      </c>
      <c r="J239" s="574">
        <v>0.12</v>
      </c>
      <c r="K239" s="574">
        <v>0</v>
      </c>
      <c r="L239" s="574">
        <v>0</v>
      </c>
      <c r="M239" s="565">
        <v>15.5</v>
      </c>
      <c r="N239" s="579">
        <v>2</v>
      </c>
      <c r="O239" s="580">
        <v>3</v>
      </c>
      <c r="P239" s="635" t="str">
        <f t="shared" si="24"/>
        <v>Van</v>
      </c>
      <c r="Q239" s="636">
        <f t="shared" si="25"/>
        <v>15.5</v>
      </c>
      <c r="R239" s="637">
        <f t="shared" si="26"/>
        <v>1</v>
      </c>
      <c r="S239" s="638">
        <f t="shared" si="27"/>
        <v>0.2</v>
      </c>
      <c r="T239" s="564">
        <f t="shared" si="28"/>
        <v>3.1</v>
      </c>
      <c r="U239" s="639">
        <f t="shared" si="29"/>
        <v>2</v>
      </c>
      <c r="V239" s="639">
        <f t="shared" si="30"/>
        <v>3</v>
      </c>
      <c r="AD239" s="586"/>
      <c r="AE239" s="586"/>
    </row>
    <row r="240" spans="2:31">
      <c r="B240" s="561" t="s">
        <v>300</v>
      </c>
      <c r="C240" s="561" t="s">
        <v>97</v>
      </c>
      <c r="D240" s="574">
        <v>0.41</v>
      </c>
      <c r="E240" s="574">
        <v>1</v>
      </c>
      <c r="F240" s="640">
        <f t="shared" si="23"/>
        <v>4.5999999999999996</v>
      </c>
      <c r="G240" s="574">
        <v>1.4</v>
      </c>
      <c r="H240" s="574">
        <f t="shared" si="31"/>
        <v>0.75</v>
      </c>
      <c r="I240" s="574">
        <f t="shared" si="32"/>
        <v>0.23</v>
      </c>
      <c r="J240" s="574">
        <v>0.12</v>
      </c>
      <c r="K240" s="574">
        <v>0</v>
      </c>
      <c r="L240" s="574">
        <v>0</v>
      </c>
      <c r="M240" s="565">
        <v>6</v>
      </c>
      <c r="N240" s="579">
        <v>2</v>
      </c>
      <c r="O240" s="580">
        <v>3</v>
      </c>
      <c r="P240" s="635" t="str">
        <f t="shared" si="24"/>
        <v>Van</v>
      </c>
      <c r="Q240" s="636">
        <f t="shared" si="25"/>
        <v>6</v>
      </c>
      <c r="R240" s="637">
        <f t="shared" si="26"/>
        <v>1</v>
      </c>
      <c r="S240" s="638">
        <f t="shared" si="27"/>
        <v>0.3</v>
      </c>
      <c r="T240" s="564">
        <f t="shared" si="28"/>
        <v>1.7999999999999998</v>
      </c>
      <c r="U240" s="639">
        <f t="shared" si="29"/>
        <v>2</v>
      </c>
      <c r="V240" s="639">
        <f t="shared" si="30"/>
        <v>3</v>
      </c>
      <c r="AD240" s="586"/>
      <c r="AE240" s="586"/>
    </row>
    <row r="241" spans="2:31">
      <c r="B241" s="561" t="s">
        <v>301</v>
      </c>
      <c r="C241" s="561" t="s">
        <v>97</v>
      </c>
      <c r="D241" s="574">
        <v>0.41</v>
      </c>
      <c r="E241" s="574">
        <v>1</v>
      </c>
      <c r="F241" s="640">
        <f t="shared" si="23"/>
        <v>5.0999999999999996</v>
      </c>
      <c r="G241" s="574">
        <v>1.4</v>
      </c>
      <c r="H241" s="574">
        <f t="shared" si="31"/>
        <v>0.83</v>
      </c>
      <c r="I241" s="574">
        <f t="shared" si="32"/>
        <v>0.23</v>
      </c>
      <c r="J241" s="574">
        <v>0.12</v>
      </c>
      <c r="K241" s="574">
        <v>0</v>
      </c>
      <c r="L241" s="574">
        <v>0</v>
      </c>
      <c r="M241" s="565">
        <v>6.5</v>
      </c>
      <c r="N241" s="579">
        <v>2</v>
      </c>
      <c r="O241" s="580">
        <v>3</v>
      </c>
      <c r="P241" s="635" t="str">
        <f t="shared" si="24"/>
        <v>Van</v>
      </c>
      <c r="Q241" s="636">
        <f t="shared" si="25"/>
        <v>6.5</v>
      </c>
      <c r="R241" s="637">
        <f t="shared" si="26"/>
        <v>1</v>
      </c>
      <c r="S241" s="638">
        <f t="shared" si="27"/>
        <v>0.3</v>
      </c>
      <c r="T241" s="564">
        <f t="shared" si="28"/>
        <v>1.95</v>
      </c>
      <c r="U241" s="639">
        <f t="shared" si="29"/>
        <v>2</v>
      </c>
      <c r="V241" s="639">
        <f t="shared" si="30"/>
        <v>3</v>
      </c>
      <c r="AD241" s="586"/>
      <c r="AE241" s="586"/>
    </row>
    <row r="242" spans="2:31">
      <c r="B242" s="561" t="s">
        <v>302</v>
      </c>
      <c r="C242" s="561" t="s">
        <v>97</v>
      </c>
      <c r="D242" s="574">
        <v>0.41</v>
      </c>
      <c r="E242" s="574">
        <v>1</v>
      </c>
      <c r="F242" s="640">
        <f t="shared" si="23"/>
        <v>5.6</v>
      </c>
      <c r="G242" s="574">
        <v>1.4</v>
      </c>
      <c r="H242" s="574">
        <f t="shared" si="31"/>
        <v>0.91</v>
      </c>
      <c r="I242" s="574">
        <f t="shared" si="32"/>
        <v>0.23</v>
      </c>
      <c r="J242" s="574">
        <v>0.12</v>
      </c>
      <c r="K242" s="574">
        <v>0</v>
      </c>
      <c r="L242" s="574">
        <v>0</v>
      </c>
      <c r="M242" s="565">
        <v>7</v>
      </c>
      <c r="N242" s="579">
        <v>2</v>
      </c>
      <c r="O242" s="580">
        <v>3</v>
      </c>
      <c r="P242" s="635" t="str">
        <f t="shared" si="24"/>
        <v>Van</v>
      </c>
      <c r="Q242" s="636">
        <f t="shared" si="25"/>
        <v>7</v>
      </c>
      <c r="R242" s="637">
        <f t="shared" si="26"/>
        <v>1</v>
      </c>
      <c r="S242" s="638">
        <f t="shared" si="27"/>
        <v>0.3</v>
      </c>
      <c r="T242" s="564">
        <f t="shared" si="28"/>
        <v>2.1</v>
      </c>
      <c r="U242" s="639">
        <f t="shared" si="29"/>
        <v>2</v>
      </c>
      <c r="V242" s="639">
        <f t="shared" si="30"/>
        <v>3</v>
      </c>
      <c r="AD242" s="586"/>
      <c r="AE242" s="586"/>
    </row>
    <row r="243" spans="2:31">
      <c r="B243" s="561" t="s">
        <v>303</v>
      </c>
      <c r="C243" s="561" t="s">
        <v>97</v>
      </c>
      <c r="D243" s="574">
        <v>0.41</v>
      </c>
      <c r="E243" s="574">
        <v>1</v>
      </c>
      <c r="F243" s="640">
        <f t="shared" si="23"/>
        <v>6.1</v>
      </c>
      <c r="G243" s="574">
        <v>1.4</v>
      </c>
      <c r="H243" s="574">
        <f t="shared" si="31"/>
        <v>0.99</v>
      </c>
      <c r="I243" s="574">
        <f t="shared" si="32"/>
        <v>0.23</v>
      </c>
      <c r="J243" s="574">
        <v>0.12</v>
      </c>
      <c r="K243" s="574">
        <v>0</v>
      </c>
      <c r="L243" s="574">
        <v>0</v>
      </c>
      <c r="M243" s="565">
        <v>7.5</v>
      </c>
      <c r="N243" s="579">
        <v>2</v>
      </c>
      <c r="O243" s="580">
        <v>3</v>
      </c>
      <c r="P243" s="635" t="str">
        <f t="shared" si="24"/>
        <v>Van</v>
      </c>
      <c r="Q243" s="636">
        <f t="shared" si="25"/>
        <v>7.5</v>
      </c>
      <c r="R243" s="637">
        <f t="shared" si="26"/>
        <v>1</v>
      </c>
      <c r="S243" s="638">
        <f t="shared" si="27"/>
        <v>0.3</v>
      </c>
      <c r="T243" s="564">
        <f t="shared" si="28"/>
        <v>2.25</v>
      </c>
      <c r="U243" s="639">
        <f t="shared" si="29"/>
        <v>2</v>
      </c>
      <c r="V243" s="639">
        <f t="shared" si="30"/>
        <v>3</v>
      </c>
      <c r="AD243" s="586"/>
      <c r="AE243" s="586"/>
    </row>
    <row r="244" spans="2:31">
      <c r="B244" s="561" t="s">
        <v>304</v>
      </c>
      <c r="C244" s="561" t="s">
        <v>97</v>
      </c>
      <c r="D244" s="574">
        <v>0.41</v>
      </c>
      <c r="E244" s="574">
        <v>1</v>
      </c>
      <c r="F244" s="640">
        <f t="shared" si="23"/>
        <v>6.6</v>
      </c>
      <c r="G244" s="574">
        <v>1.4</v>
      </c>
      <c r="H244" s="574">
        <f t="shared" si="31"/>
        <v>1.07</v>
      </c>
      <c r="I244" s="574">
        <f t="shared" si="32"/>
        <v>0.23</v>
      </c>
      <c r="J244" s="574">
        <v>0.12</v>
      </c>
      <c r="K244" s="574">
        <v>0</v>
      </c>
      <c r="L244" s="574">
        <v>0</v>
      </c>
      <c r="M244" s="565">
        <v>8</v>
      </c>
      <c r="N244" s="579">
        <v>2</v>
      </c>
      <c r="O244" s="580">
        <v>3</v>
      </c>
      <c r="P244" s="635" t="str">
        <f t="shared" si="24"/>
        <v>Van</v>
      </c>
      <c r="Q244" s="636">
        <f t="shared" si="25"/>
        <v>8</v>
      </c>
      <c r="R244" s="637">
        <f t="shared" si="26"/>
        <v>1</v>
      </c>
      <c r="S244" s="638">
        <f t="shared" si="27"/>
        <v>0.3</v>
      </c>
      <c r="T244" s="564">
        <f t="shared" si="28"/>
        <v>2.4</v>
      </c>
      <c r="U244" s="639">
        <f t="shared" si="29"/>
        <v>2</v>
      </c>
      <c r="V244" s="639">
        <f t="shared" si="30"/>
        <v>3</v>
      </c>
      <c r="AD244" s="586"/>
      <c r="AE244" s="586"/>
    </row>
    <row r="245" spans="2:31">
      <c r="B245" s="561" t="s">
        <v>305</v>
      </c>
      <c r="C245" s="561" t="s">
        <v>97</v>
      </c>
      <c r="D245" s="574">
        <v>0.41</v>
      </c>
      <c r="E245" s="574">
        <v>1</v>
      </c>
      <c r="F245" s="640">
        <f t="shared" si="23"/>
        <v>7.1</v>
      </c>
      <c r="G245" s="574">
        <v>1.4</v>
      </c>
      <c r="H245" s="574">
        <f t="shared" si="31"/>
        <v>1.1499999999999999</v>
      </c>
      <c r="I245" s="574">
        <f t="shared" si="32"/>
        <v>0.23</v>
      </c>
      <c r="J245" s="574">
        <v>0.12</v>
      </c>
      <c r="K245" s="574">
        <v>0</v>
      </c>
      <c r="L245" s="574">
        <v>0</v>
      </c>
      <c r="M245" s="565">
        <v>8.5</v>
      </c>
      <c r="N245" s="579">
        <v>2</v>
      </c>
      <c r="O245" s="580">
        <v>3</v>
      </c>
      <c r="P245" s="635" t="str">
        <f t="shared" si="24"/>
        <v>Van</v>
      </c>
      <c r="Q245" s="636">
        <f t="shared" si="25"/>
        <v>8.5</v>
      </c>
      <c r="R245" s="637">
        <f t="shared" si="26"/>
        <v>1</v>
      </c>
      <c r="S245" s="638">
        <f t="shared" si="27"/>
        <v>0.3</v>
      </c>
      <c r="T245" s="564">
        <f t="shared" si="28"/>
        <v>2.5499999999999998</v>
      </c>
      <c r="U245" s="639">
        <f t="shared" si="29"/>
        <v>2</v>
      </c>
      <c r="V245" s="639">
        <f t="shared" si="30"/>
        <v>3</v>
      </c>
      <c r="AD245" s="586"/>
      <c r="AE245" s="586"/>
    </row>
    <row r="246" spans="2:31">
      <c r="B246" s="561" t="s">
        <v>306</v>
      </c>
      <c r="C246" s="561" t="s">
        <v>97</v>
      </c>
      <c r="D246" s="574">
        <v>0.41</v>
      </c>
      <c r="E246" s="574">
        <v>1</v>
      </c>
      <c r="F246" s="640">
        <f t="shared" si="23"/>
        <v>7.6</v>
      </c>
      <c r="G246" s="574">
        <v>1.4</v>
      </c>
      <c r="H246" s="574">
        <f t="shared" si="31"/>
        <v>1.23</v>
      </c>
      <c r="I246" s="574">
        <f t="shared" si="32"/>
        <v>0.23</v>
      </c>
      <c r="J246" s="574">
        <v>0.12</v>
      </c>
      <c r="K246" s="574">
        <v>0</v>
      </c>
      <c r="L246" s="574">
        <v>0</v>
      </c>
      <c r="M246" s="565">
        <v>9</v>
      </c>
      <c r="N246" s="579">
        <v>2</v>
      </c>
      <c r="O246" s="580">
        <v>3</v>
      </c>
      <c r="P246" s="635" t="str">
        <f t="shared" si="24"/>
        <v>Van</v>
      </c>
      <c r="Q246" s="636">
        <f t="shared" si="25"/>
        <v>9</v>
      </c>
      <c r="R246" s="637">
        <f t="shared" si="26"/>
        <v>1</v>
      </c>
      <c r="S246" s="638">
        <f t="shared" si="27"/>
        <v>0.3</v>
      </c>
      <c r="T246" s="564">
        <f t="shared" si="28"/>
        <v>2.6999999999999997</v>
      </c>
      <c r="U246" s="639">
        <f t="shared" si="29"/>
        <v>2</v>
      </c>
      <c r="V246" s="639">
        <f t="shared" si="30"/>
        <v>3</v>
      </c>
      <c r="AD246" s="586"/>
      <c r="AE246" s="586"/>
    </row>
    <row r="247" spans="2:31">
      <c r="B247" s="561" t="s">
        <v>307</v>
      </c>
      <c r="C247" s="561" t="s">
        <v>97</v>
      </c>
      <c r="D247" s="574">
        <v>0.41</v>
      </c>
      <c r="E247" s="574">
        <v>1</v>
      </c>
      <c r="F247" s="640">
        <f t="shared" si="23"/>
        <v>8.1</v>
      </c>
      <c r="G247" s="574">
        <v>1.4</v>
      </c>
      <c r="H247" s="574">
        <f t="shared" si="31"/>
        <v>1.31</v>
      </c>
      <c r="I247" s="574">
        <f t="shared" si="32"/>
        <v>0.23</v>
      </c>
      <c r="J247" s="574">
        <v>0.12</v>
      </c>
      <c r="K247" s="574">
        <v>0</v>
      </c>
      <c r="L247" s="574">
        <v>0</v>
      </c>
      <c r="M247" s="565">
        <v>9.5</v>
      </c>
      <c r="N247" s="579">
        <v>2</v>
      </c>
      <c r="O247" s="580">
        <v>3</v>
      </c>
      <c r="P247" s="635" t="str">
        <f t="shared" si="24"/>
        <v>Van</v>
      </c>
      <c r="Q247" s="636">
        <f t="shared" si="25"/>
        <v>9.5</v>
      </c>
      <c r="R247" s="637">
        <f t="shared" si="26"/>
        <v>1</v>
      </c>
      <c r="S247" s="638">
        <f t="shared" si="27"/>
        <v>0.3</v>
      </c>
      <c r="T247" s="564">
        <f t="shared" si="28"/>
        <v>2.85</v>
      </c>
      <c r="U247" s="639">
        <f t="shared" si="29"/>
        <v>2</v>
      </c>
      <c r="V247" s="639">
        <f t="shared" si="30"/>
        <v>3</v>
      </c>
      <c r="AD247" s="586"/>
      <c r="AE247" s="586"/>
    </row>
    <row r="248" spans="2:31">
      <c r="B248" s="561" t="s">
        <v>308</v>
      </c>
      <c r="C248" s="561" t="s">
        <v>97</v>
      </c>
      <c r="D248" s="574">
        <v>0.41</v>
      </c>
      <c r="E248" s="574">
        <v>1</v>
      </c>
      <c r="F248" s="640">
        <f t="shared" si="23"/>
        <v>8.6</v>
      </c>
      <c r="G248" s="574">
        <v>1.4</v>
      </c>
      <c r="H248" s="574">
        <f t="shared" si="31"/>
        <v>1.39</v>
      </c>
      <c r="I248" s="574">
        <f t="shared" si="32"/>
        <v>0.23</v>
      </c>
      <c r="J248" s="574">
        <v>0.12</v>
      </c>
      <c r="K248" s="574">
        <v>0</v>
      </c>
      <c r="L248" s="574">
        <v>0</v>
      </c>
      <c r="M248" s="565">
        <v>10</v>
      </c>
      <c r="N248" s="579">
        <v>2</v>
      </c>
      <c r="O248" s="580">
        <v>3</v>
      </c>
      <c r="P248" s="635" t="str">
        <f t="shared" si="24"/>
        <v>Van</v>
      </c>
      <c r="Q248" s="636">
        <f t="shared" si="25"/>
        <v>10</v>
      </c>
      <c r="R248" s="637">
        <f t="shared" si="26"/>
        <v>1</v>
      </c>
      <c r="S248" s="638">
        <f t="shared" si="27"/>
        <v>0.3</v>
      </c>
      <c r="T248" s="564">
        <f t="shared" si="28"/>
        <v>3</v>
      </c>
      <c r="U248" s="639">
        <f t="shared" si="29"/>
        <v>2</v>
      </c>
      <c r="V248" s="639">
        <f t="shared" si="30"/>
        <v>3</v>
      </c>
      <c r="AD248" s="586"/>
      <c r="AE248" s="586"/>
    </row>
    <row r="249" spans="2:31">
      <c r="B249" s="561" t="s">
        <v>309</v>
      </c>
      <c r="C249" s="561" t="s">
        <v>97</v>
      </c>
      <c r="D249" s="574">
        <v>0.41</v>
      </c>
      <c r="E249" s="574">
        <v>1</v>
      </c>
      <c r="F249" s="640">
        <f t="shared" si="23"/>
        <v>9.1</v>
      </c>
      <c r="G249" s="574">
        <v>1.4</v>
      </c>
      <c r="H249" s="574">
        <f t="shared" si="31"/>
        <v>1.47</v>
      </c>
      <c r="I249" s="574">
        <f t="shared" si="32"/>
        <v>0.23</v>
      </c>
      <c r="J249" s="574">
        <v>0.12</v>
      </c>
      <c r="K249" s="574">
        <v>0</v>
      </c>
      <c r="L249" s="574">
        <v>0</v>
      </c>
      <c r="M249" s="565">
        <v>10.5</v>
      </c>
      <c r="N249" s="579">
        <v>2</v>
      </c>
      <c r="O249" s="580">
        <v>3</v>
      </c>
      <c r="P249" s="635" t="str">
        <f t="shared" si="24"/>
        <v>Van</v>
      </c>
      <c r="Q249" s="636">
        <f t="shared" si="25"/>
        <v>10.5</v>
      </c>
      <c r="R249" s="637">
        <f t="shared" si="26"/>
        <v>1</v>
      </c>
      <c r="S249" s="638">
        <f t="shared" si="27"/>
        <v>0.3</v>
      </c>
      <c r="T249" s="564">
        <f t="shared" si="28"/>
        <v>3.15</v>
      </c>
      <c r="U249" s="639">
        <f t="shared" si="29"/>
        <v>2</v>
      </c>
      <c r="V249" s="639">
        <f t="shared" si="30"/>
        <v>3</v>
      </c>
      <c r="AD249" s="586"/>
      <c r="AE249" s="586"/>
    </row>
    <row r="250" spans="2:31">
      <c r="B250" s="561" t="s">
        <v>310</v>
      </c>
      <c r="C250" s="561" t="s">
        <v>97</v>
      </c>
      <c r="D250" s="574">
        <v>0.41</v>
      </c>
      <c r="E250" s="574">
        <v>1</v>
      </c>
      <c r="F250" s="640">
        <f t="shared" si="23"/>
        <v>9.6</v>
      </c>
      <c r="G250" s="574">
        <v>1.4</v>
      </c>
      <c r="H250" s="574">
        <f t="shared" si="31"/>
        <v>1.56</v>
      </c>
      <c r="I250" s="574">
        <f t="shared" si="32"/>
        <v>0.23</v>
      </c>
      <c r="J250" s="574">
        <v>0.12</v>
      </c>
      <c r="K250" s="574">
        <v>0</v>
      </c>
      <c r="L250" s="574">
        <v>0</v>
      </c>
      <c r="M250" s="565">
        <v>11</v>
      </c>
      <c r="N250" s="579">
        <v>2</v>
      </c>
      <c r="O250" s="580">
        <v>3</v>
      </c>
      <c r="P250" s="635" t="str">
        <f t="shared" si="24"/>
        <v>Van</v>
      </c>
      <c r="Q250" s="636">
        <f t="shared" si="25"/>
        <v>11</v>
      </c>
      <c r="R250" s="637">
        <f t="shared" si="26"/>
        <v>1</v>
      </c>
      <c r="S250" s="638">
        <f t="shared" si="27"/>
        <v>0.3</v>
      </c>
      <c r="T250" s="564">
        <f t="shared" si="28"/>
        <v>3.3</v>
      </c>
      <c r="U250" s="639">
        <f t="shared" si="29"/>
        <v>2</v>
      </c>
      <c r="V250" s="639">
        <f t="shared" si="30"/>
        <v>3</v>
      </c>
      <c r="AD250" s="586"/>
      <c r="AE250" s="586"/>
    </row>
    <row r="251" spans="2:31">
      <c r="B251" s="561" t="s">
        <v>311</v>
      </c>
      <c r="C251" s="561" t="s">
        <v>97</v>
      </c>
      <c r="D251" s="574">
        <v>0.41</v>
      </c>
      <c r="E251" s="574">
        <v>1</v>
      </c>
      <c r="F251" s="640">
        <f t="shared" si="23"/>
        <v>10.1</v>
      </c>
      <c r="G251" s="574">
        <v>1.4</v>
      </c>
      <c r="H251" s="574">
        <f t="shared" si="31"/>
        <v>1.64</v>
      </c>
      <c r="I251" s="574">
        <f t="shared" si="32"/>
        <v>0.23</v>
      </c>
      <c r="J251" s="574">
        <v>0.12</v>
      </c>
      <c r="K251" s="574">
        <v>0</v>
      </c>
      <c r="L251" s="574">
        <v>0</v>
      </c>
      <c r="M251" s="565">
        <v>11.5</v>
      </c>
      <c r="N251" s="579">
        <v>2</v>
      </c>
      <c r="O251" s="580">
        <v>3</v>
      </c>
      <c r="P251" s="635" t="str">
        <f t="shared" si="24"/>
        <v>Van</v>
      </c>
      <c r="Q251" s="636">
        <f t="shared" si="25"/>
        <v>11.5</v>
      </c>
      <c r="R251" s="637">
        <f t="shared" si="26"/>
        <v>1</v>
      </c>
      <c r="S251" s="638">
        <f t="shared" si="27"/>
        <v>0.3</v>
      </c>
      <c r="T251" s="564">
        <f t="shared" si="28"/>
        <v>3.4499999999999997</v>
      </c>
      <c r="U251" s="639">
        <f t="shared" si="29"/>
        <v>2</v>
      </c>
      <c r="V251" s="639">
        <f t="shared" si="30"/>
        <v>3</v>
      </c>
      <c r="AD251" s="586"/>
      <c r="AE251" s="586"/>
    </row>
    <row r="252" spans="2:31">
      <c r="B252" s="561" t="s">
        <v>312</v>
      </c>
      <c r="C252" s="561" t="s">
        <v>97</v>
      </c>
      <c r="D252" s="574">
        <v>0.41</v>
      </c>
      <c r="E252" s="574">
        <v>1</v>
      </c>
      <c r="F252" s="640">
        <f t="shared" si="23"/>
        <v>10.6</v>
      </c>
      <c r="G252" s="574">
        <v>1.4</v>
      </c>
      <c r="H252" s="574">
        <f t="shared" si="31"/>
        <v>1.72</v>
      </c>
      <c r="I252" s="574">
        <f t="shared" si="32"/>
        <v>0.23</v>
      </c>
      <c r="J252" s="574">
        <v>0.12</v>
      </c>
      <c r="K252" s="574">
        <v>0</v>
      </c>
      <c r="L252" s="574">
        <v>0</v>
      </c>
      <c r="M252" s="565">
        <v>12</v>
      </c>
      <c r="N252" s="579">
        <v>2</v>
      </c>
      <c r="O252" s="580">
        <v>3</v>
      </c>
      <c r="P252" s="635" t="str">
        <f t="shared" si="24"/>
        <v>Van</v>
      </c>
      <c r="Q252" s="636">
        <f t="shared" si="25"/>
        <v>12</v>
      </c>
      <c r="R252" s="637">
        <f t="shared" si="26"/>
        <v>1</v>
      </c>
      <c r="S252" s="638">
        <f t="shared" si="27"/>
        <v>0.3</v>
      </c>
      <c r="T252" s="564">
        <f t="shared" si="28"/>
        <v>3.5999999999999996</v>
      </c>
      <c r="U252" s="639">
        <f t="shared" si="29"/>
        <v>2</v>
      </c>
      <c r="V252" s="639">
        <f t="shared" si="30"/>
        <v>3</v>
      </c>
      <c r="AD252" s="586"/>
      <c r="AE252" s="586"/>
    </row>
    <row r="253" spans="2:31">
      <c r="B253" s="561" t="s">
        <v>313</v>
      </c>
      <c r="C253" s="561" t="s">
        <v>97</v>
      </c>
      <c r="D253" s="574">
        <v>0.41</v>
      </c>
      <c r="E253" s="574">
        <v>1</v>
      </c>
      <c r="F253" s="640">
        <f t="shared" si="23"/>
        <v>11.1</v>
      </c>
      <c r="G253" s="574">
        <v>1.4</v>
      </c>
      <c r="H253" s="574">
        <f t="shared" si="31"/>
        <v>1.8</v>
      </c>
      <c r="I253" s="574">
        <f t="shared" si="32"/>
        <v>0.23</v>
      </c>
      <c r="J253" s="574">
        <v>0.12</v>
      </c>
      <c r="K253" s="574">
        <v>0</v>
      </c>
      <c r="L253" s="574">
        <v>0</v>
      </c>
      <c r="M253" s="565">
        <v>12.5</v>
      </c>
      <c r="N253" s="579">
        <v>2</v>
      </c>
      <c r="O253" s="580">
        <v>3</v>
      </c>
      <c r="P253" s="635" t="str">
        <f t="shared" si="24"/>
        <v>Van</v>
      </c>
      <c r="Q253" s="636">
        <f t="shared" si="25"/>
        <v>12.5</v>
      </c>
      <c r="R253" s="637">
        <f t="shared" si="26"/>
        <v>1</v>
      </c>
      <c r="S253" s="638">
        <f t="shared" si="27"/>
        <v>0.3</v>
      </c>
      <c r="T253" s="564">
        <f t="shared" si="28"/>
        <v>3.75</v>
      </c>
      <c r="U253" s="639">
        <f t="shared" si="29"/>
        <v>2</v>
      </c>
      <c r="V253" s="639">
        <f t="shared" si="30"/>
        <v>3</v>
      </c>
      <c r="AD253" s="586"/>
      <c r="AE253" s="586"/>
    </row>
    <row r="254" spans="2:31">
      <c r="B254" s="561" t="s">
        <v>314</v>
      </c>
      <c r="C254" s="561" t="s">
        <v>97</v>
      </c>
      <c r="D254" s="574">
        <v>0.41</v>
      </c>
      <c r="E254" s="574">
        <v>1</v>
      </c>
      <c r="F254" s="640">
        <f t="shared" si="23"/>
        <v>11.6</v>
      </c>
      <c r="G254" s="574">
        <v>1.4</v>
      </c>
      <c r="H254" s="574">
        <f t="shared" si="31"/>
        <v>1.88</v>
      </c>
      <c r="I254" s="574">
        <f t="shared" si="32"/>
        <v>0.23</v>
      </c>
      <c r="J254" s="574">
        <v>0.12</v>
      </c>
      <c r="K254" s="574">
        <v>0</v>
      </c>
      <c r="L254" s="574">
        <v>0</v>
      </c>
      <c r="M254" s="565">
        <v>13</v>
      </c>
      <c r="N254" s="579">
        <v>2</v>
      </c>
      <c r="O254" s="580">
        <v>3</v>
      </c>
      <c r="P254" s="635" t="str">
        <f t="shared" si="24"/>
        <v>Van</v>
      </c>
      <c r="Q254" s="636">
        <f t="shared" si="25"/>
        <v>13</v>
      </c>
      <c r="R254" s="637">
        <f t="shared" si="26"/>
        <v>1</v>
      </c>
      <c r="S254" s="638">
        <f t="shared" si="27"/>
        <v>0.3</v>
      </c>
      <c r="T254" s="564">
        <f t="shared" si="28"/>
        <v>3.9</v>
      </c>
      <c r="U254" s="639">
        <f t="shared" si="29"/>
        <v>2</v>
      </c>
      <c r="V254" s="639">
        <f t="shared" si="30"/>
        <v>3</v>
      </c>
      <c r="AD254" s="586"/>
      <c r="AE254" s="586"/>
    </row>
    <row r="255" spans="2:31">
      <c r="B255" s="561" t="s">
        <v>315</v>
      </c>
      <c r="C255" s="561" t="s">
        <v>97</v>
      </c>
      <c r="D255" s="574">
        <v>0.41</v>
      </c>
      <c r="E255" s="574">
        <v>1</v>
      </c>
      <c r="F255" s="640">
        <f t="shared" si="23"/>
        <v>12.1</v>
      </c>
      <c r="G255" s="574">
        <v>1.4</v>
      </c>
      <c r="H255" s="574">
        <f t="shared" si="31"/>
        <v>1.96</v>
      </c>
      <c r="I255" s="574">
        <f t="shared" si="32"/>
        <v>0.23</v>
      </c>
      <c r="J255" s="574">
        <v>0.12</v>
      </c>
      <c r="K255" s="574">
        <v>0</v>
      </c>
      <c r="L255" s="574">
        <v>0</v>
      </c>
      <c r="M255" s="565">
        <v>13.5</v>
      </c>
      <c r="N255" s="579">
        <v>2</v>
      </c>
      <c r="O255" s="580">
        <v>3</v>
      </c>
      <c r="P255" s="635" t="str">
        <f t="shared" si="24"/>
        <v>Van</v>
      </c>
      <c r="Q255" s="636">
        <f t="shared" si="25"/>
        <v>13.5</v>
      </c>
      <c r="R255" s="637">
        <f t="shared" si="26"/>
        <v>1</v>
      </c>
      <c r="S255" s="638">
        <f t="shared" si="27"/>
        <v>0.3</v>
      </c>
      <c r="T255" s="564">
        <f t="shared" si="28"/>
        <v>4.05</v>
      </c>
      <c r="U255" s="639">
        <f t="shared" si="29"/>
        <v>2</v>
      </c>
      <c r="V255" s="639">
        <f t="shared" si="30"/>
        <v>3</v>
      </c>
      <c r="AD255" s="586"/>
      <c r="AE255" s="586"/>
    </row>
    <row r="256" spans="2:31">
      <c r="B256" s="561" t="s">
        <v>316</v>
      </c>
      <c r="C256" s="561" t="s">
        <v>97</v>
      </c>
      <c r="D256" s="574">
        <v>0.41</v>
      </c>
      <c r="E256" s="574">
        <v>1</v>
      </c>
      <c r="F256" s="640">
        <f t="shared" si="23"/>
        <v>12.6</v>
      </c>
      <c r="G256" s="574">
        <v>1.4</v>
      </c>
      <c r="H256" s="574">
        <f t="shared" si="31"/>
        <v>2.04</v>
      </c>
      <c r="I256" s="574">
        <f t="shared" si="32"/>
        <v>0.23</v>
      </c>
      <c r="J256" s="574">
        <v>0.12</v>
      </c>
      <c r="K256" s="574">
        <v>0</v>
      </c>
      <c r="L256" s="574">
        <v>0</v>
      </c>
      <c r="M256" s="565">
        <v>14</v>
      </c>
      <c r="N256" s="579">
        <v>2</v>
      </c>
      <c r="O256" s="580">
        <v>3</v>
      </c>
      <c r="P256" s="635" t="str">
        <f t="shared" si="24"/>
        <v>Van</v>
      </c>
      <c r="Q256" s="636">
        <f t="shared" si="25"/>
        <v>14</v>
      </c>
      <c r="R256" s="637">
        <f t="shared" si="26"/>
        <v>1</v>
      </c>
      <c r="S256" s="638">
        <f t="shared" si="27"/>
        <v>0.3</v>
      </c>
      <c r="T256" s="564">
        <f t="shared" si="28"/>
        <v>4.2</v>
      </c>
      <c r="U256" s="639">
        <f t="shared" si="29"/>
        <v>2</v>
      </c>
      <c r="V256" s="639">
        <f t="shared" si="30"/>
        <v>3</v>
      </c>
      <c r="AD256" s="586"/>
      <c r="AE256" s="586"/>
    </row>
    <row r="257" spans="2:31">
      <c r="B257" s="561" t="s">
        <v>317</v>
      </c>
      <c r="C257" s="561" t="s">
        <v>97</v>
      </c>
      <c r="D257" s="574">
        <v>0.41</v>
      </c>
      <c r="E257" s="574">
        <v>1</v>
      </c>
      <c r="F257" s="640">
        <f t="shared" si="23"/>
        <v>13.1</v>
      </c>
      <c r="G257" s="574">
        <v>1.4</v>
      </c>
      <c r="H257" s="574">
        <f t="shared" si="31"/>
        <v>2.12</v>
      </c>
      <c r="I257" s="574">
        <f t="shared" si="32"/>
        <v>0.23</v>
      </c>
      <c r="J257" s="574">
        <v>0.12</v>
      </c>
      <c r="K257" s="574">
        <v>0</v>
      </c>
      <c r="L257" s="574">
        <v>0</v>
      </c>
      <c r="M257" s="565">
        <v>14.5</v>
      </c>
      <c r="N257" s="579">
        <v>2</v>
      </c>
      <c r="O257" s="580">
        <v>3</v>
      </c>
      <c r="P257" s="635" t="str">
        <f t="shared" si="24"/>
        <v>Van</v>
      </c>
      <c r="Q257" s="636">
        <f t="shared" si="25"/>
        <v>14.5</v>
      </c>
      <c r="R257" s="637">
        <f t="shared" si="26"/>
        <v>1</v>
      </c>
      <c r="S257" s="638">
        <f t="shared" si="27"/>
        <v>0.3</v>
      </c>
      <c r="T257" s="564">
        <f t="shared" si="28"/>
        <v>4.3499999999999996</v>
      </c>
      <c r="U257" s="639">
        <f t="shared" si="29"/>
        <v>2</v>
      </c>
      <c r="V257" s="639">
        <f t="shared" si="30"/>
        <v>3</v>
      </c>
      <c r="AD257" s="586"/>
      <c r="AE257" s="586"/>
    </row>
    <row r="258" spans="2:31">
      <c r="B258" s="561" t="s">
        <v>318</v>
      </c>
      <c r="C258" s="561" t="s">
        <v>97</v>
      </c>
      <c r="D258" s="574">
        <v>0.41</v>
      </c>
      <c r="E258" s="574">
        <v>1</v>
      </c>
      <c r="F258" s="640">
        <f t="shared" si="23"/>
        <v>13.6</v>
      </c>
      <c r="G258" s="574">
        <v>1.4</v>
      </c>
      <c r="H258" s="574">
        <f t="shared" si="31"/>
        <v>2.2000000000000002</v>
      </c>
      <c r="I258" s="574">
        <f t="shared" si="32"/>
        <v>0.23</v>
      </c>
      <c r="J258" s="574">
        <v>0.12</v>
      </c>
      <c r="K258" s="574">
        <v>0</v>
      </c>
      <c r="L258" s="574">
        <v>0</v>
      </c>
      <c r="M258" s="565">
        <v>15</v>
      </c>
      <c r="N258" s="579">
        <v>2</v>
      </c>
      <c r="O258" s="580">
        <v>3</v>
      </c>
      <c r="P258" s="635" t="str">
        <f t="shared" si="24"/>
        <v>Van</v>
      </c>
      <c r="Q258" s="636">
        <f t="shared" si="25"/>
        <v>15</v>
      </c>
      <c r="R258" s="637">
        <f t="shared" si="26"/>
        <v>1</v>
      </c>
      <c r="S258" s="638">
        <f t="shared" si="27"/>
        <v>0.3</v>
      </c>
      <c r="T258" s="564">
        <f t="shared" si="28"/>
        <v>4.5</v>
      </c>
      <c r="U258" s="639">
        <f t="shared" si="29"/>
        <v>2</v>
      </c>
      <c r="V258" s="639">
        <f t="shared" si="30"/>
        <v>3</v>
      </c>
      <c r="AD258" s="586"/>
      <c r="AE258" s="586"/>
    </row>
    <row r="259" spans="2:31">
      <c r="B259" s="561" t="s">
        <v>319</v>
      </c>
      <c r="C259" s="561" t="s">
        <v>97</v>
      </c>
      <c r="D259" s="574">
        <v>0.41</v>
      </c>
      <c r="E259" s="574">
        <v>1</v>
      </c>
      <c r="F259" s="640">
        <f t="shared" si="23"/>
        <v>14.1</v>
      </c>
      <c r="G259" s="574">
        <v>1.4</v>
      </c>
      <c r="H259" s="574">
        <f t="shared" si="31"/>
        <v>2.2799999999999998</v>
      </c>
      <c r="I259" s="574">
        <f t="shared" si="32"/>
        <v>0.23</v>
      </c>
      <c r="J259" s="574">
        <v>0.12</v>
      </c>
      <c r="K259" s="574">
        <v>0</v>
      </c>
      <c r="L259" s="574">
        <v>0</v>
      </c>
      <c r="M259" s="565">
        <v>15.5</v>
      </c>
      <c r="N259" s="579">
        <v>2</v>
      </c>
      <c r="O259" s="580">
        <v>3</v>
      </c>
      <c r="P259" s="635" t="str">
        <f t="shared" si="24"/>
        <v>Van</v>
      </c>
      <c r="Q259" s="636">
        <f t="shared" si="25"/>
        <v>15.5</v>
      </c>
      <c r="R259" s="637">
        <f t="shared" si="26"/>
        <v>1</v>
      </c>
      <c r="S259" s="638">
        <f t="shared" si="27"/>
        <v>0.3</v>
      </c>
      <c r="T259" s="564">
        <f t="shared" si="28"/>
        <v>4.6499999999999995</v>
      </c>
      <c r="U259" s="639">
        <f t="shared" si="29"/>
        <v>2</v>
      </c>
      <c r="V259" s="639">
        <f t="shared" si="30"/>
        <v>3</v>
      </c>
      <c r="AD259" s="586"/>
      <c r="AE259" s="586"/>
    </row>
    <row r="260" spans="2:31">
      <c r="B260" s="561" t="s">
        <v>320</v>
      </c>
      <c r="C260" s="561" t="s">
        <v>97</v>
      </c>
      <c r="D260" s="574">
        <v>0.41</v>
      </c>
      <c r="E260" s="574">
        <v>1</v>
      </c>
      <c r="F260" s="640">
        <f t="shared" si="23"/>
        <v>4.5999999999999996</v>
      </c>
      <c r="G260" s="574">
        <v>1.4</v>
      </c>
      <c r="H260" s="574">
        <f t="shared" si="31"/>
        <v>0.75</v>
      </c>
      <c r="I260" s="574">
        <f t="shared" si="32"/>
        <v>0.23</v>
      </c>
      <c r="J260" s="574">
        <v>0.12</v>
      </c>
      <c r="K260" s="574">
        <v>0</v>
      </c>
      <c r="L260" s="574">
        <v>0</v>
      </c>
      <c r="M260" s="565">
        <v>6</v>
      </c>
      <c r="N260" s="579">
        <v>2</v>
      </c>
      <c r="O260" s="580">
        <v>3</v>
      </c>
      <c r="P260" s="635" t="str">
        <f t="shared" si="24"/>
        <v>Van</v>
      </c>
      <c r="Q260" s="636">
        <f t="shared" si="25"/>
        <v>6</v>
      </c>
      <c r="R260" s="637">
        <f t="shared" si="26"/>
        <v>1</v>
      </c>
      <c r="S260" s="638">
        <f t="shared" si="27"/>
        <v>0.4</v>
      </c>
      <c r="T260" s="564">
        <f t="shared" si="28"/>
        <v>2.4000000000000004</v>
      </c>
      <c r="U260" s="639">
        <f t="shared" si="29"/>
        <v>2</v>
      </c>
      <c r="V260" s="639">
        <f t="shared" si="30"/>
        <v>3</v>
      </c>
      <c r="AD260" s="586"/>
      <c r="AE260" s="586"/>
    </row>
    <row r="261" spans="2:31">
      <c r="B261" s="561" t="s">
        <v>321</v>
      </c>
      <c r="C261" s="561" t="s">
        <v>97</v>
      </c>
      <c r="D261" s="574">
        <v>0.41</v>
      </c>
      <c r="E261" s="574">
        <v>1</v>
      </c>
      <c r="F261" s="640">
        <f t="shared" si="23"/>
        <v>5.0999999999999996</v>
      </c>
      <c r="G261" s="574">
        <v>1.4</v>
      </c>
      <c r="H261" s="574">
        <f t="shared" si="31"/>
        <v>0.83</v>
      </c>
      <c r="I261" s="574">
        <f t="shared" si="32"/>
        <v>0.23</v>
      </c>
      <c r="J261" s="574">
        <v>0.12</v>
      </c>
      <c r="K261" s="574">
        <v>0</v>
      </c>
      <c r="L261" s="574">
        <v>0</v>
      </c>
      <c r="M261" s="565">
        <v>6.5</v>
      </c>
      <c r="N261" s="579">
        <v>2</v>
      </c>
      <c r="O261" s="580">
        <v>3</v>
      </c>
      <c r="P261" s="635" t="str">
        <f t="shared" si="24"/>
        <v>Van</v>
      </c>
      <c r="Q261" s="636">
        <f t="shared" si="25"/>
        <v>6.5</v>
      </c>
      <c r="R261" s="637">
        <f t="shared" si="26"/>
        <v>1</v>
      </c>
      <c r="S261" s="638">
        <f t="shared" si="27"/>
        <v>0.4</v>
      </c>
      <c r="T261" s="564">
        <f t="shared" si="28"/>
        <v>2.6</v>
      </c>
      <c r="U261" s="639">
        <f t="shared" si="29"/>
        <v>2</v>
      </c>
      <c r="V261" s="639">
        <f t="shared" si="30"/>
        <v>3</v>
      </c>
      <c r="AD261" s="586"/>
      <c r="AE261" s="586"/>
    </row>
    <row r="262" spans="2:31">
      <c r="B262" s="561" t="s">
        <v>322</v>
      </c>
      <c r="C262" s="561" t="s">
        <v>97</v>
      </c>
      <c r="D262" s="574">
        <v>0.41</v>
      </c>
      <c r="E262" s="574">
        <v>1</v>
      </c>
      <c r="F262" s="640">
        <f t="shared" si="23"/>
        <v>5.6</v>
      </c>
      <c r="G262" s="574">
        <v>1.4</v>
      </c>
      <c r="H262" s="574">
        <f t="shared" si="31"/>
        <v>0.91</v>
      </c>
      <c r="I262" s="574">
        <f t="shared" si="32"/>
        <v>0.23</v>
      </c>
      <c r="J262" s="574">
        <v>0.12</v>
      </c>
      <c r="K262" s="574">
        <v>0</v>
      </c>
      <c r="L262" s="574">
        <v>0</v>
      </c>
      <c r="M262" s="565">
        <v>7</v>
      </c>
      <c r="N262" s="579">
        <v>2</v>
      </c>
      <c r="O262" s="580">
        <v>3</v>
      </c>
      <c r="P262" s="635" t="str">
        <f t="shared" si="24"/>
        <v>Van</v>
      </c>
      <c r="Q262" s="636">
        <f t="shared" si="25"/>
        <v>7</v>
      </c>
      <c r="R262" s="637">
        <f t="shared" si="26"/>
        <v>1</v>
      </c>
      <c r="S262" s="638">
        <f t="shared" si="27"/>
        <v>0.4</v>
      </c>
      <c r="T262" s="564">
        <f t="shared" si="28"/>
        <v>2.8000000000000003</v>
      </c>
      <c r="U262" s="639">
        <f t="shared" si="29"/>
        <v>2</v>
      </c>
      <c r="V262" s="639">
        <f t="shared" si="30"/>
        <v>3</v>
      </c>
      <c r="AD262" s="586"/>
      <c r="AE262" s="586"/>
    </row>
    <row r="263" spans="2:31">
      <c r="B263" s="561" t="s">
        <v>323</v>
      </c>
      <c r="C263" s="561" t="s">
        <v>97</v>
      </c>
      <c r="D263" s="574">
        <v>0.41</v>
      </c>
      <c r="E263" s="574">
        <v>1</v>
      </c>
      <c r="F263" s="640">
        <f t="shared" si="23"/>
        <v>6.1</v>
      </c>
      <c r="G263" s="574">
        <v>1.4</v>
      </c>
      <c r="H263" s="574">
        <f t="shared" si="31"/>
        <v>0.99</v>
      </c>
      <c r="I263" s="574">
        <f t="shared" si="32"/>
        <v>0.23</v>
      </c>
      <c r="J263" s="574">
        <v>0.12</v>
      </c>
      <c r="K263" s="574">
        <v>0</v>
      </c>
      <c r="L263" s="574">
        <v>0</v>
      </c>
      <c r="M263" s="565">
        <v>7.5</v>
      </c>
      <c r="N263" s="579">
        <v>2</v>
      </c>
      <c r="O263" s="580">
        <v>3</v>
      </c>
      <c r="P263" s="635" t="str">
        <f t="shared" si="24"/>
        <v>Van</v>
      </c>
      <c r="Q263" s="636">
        <f t="shared" si="25"/>
        <v>7.5</v>
      </c>
      <c r="R263" s="637">
        <f t="shared" si="26"/>
        <v>1</v>
      </c>
      <c r="S263" s="638">
        <f t="shared" si="27"/>
        <v>0.4</v>
      </c>
      <c r="T263" s="564">
        <f t="shared" si="28"/>
        <v>3</v>
      </c>
      <c r="U263" s="639">
        <f t="shared" si="29"/>
        <v>2</v>
      </c>
      <c r="V263" s="639">
        <f t="shared" si="30"/>
        <v>3</v>
      </c>
      <c r="AD263" s="586"/>
      <c r="AE263" s="586"/>
    </row>
    <row r="264" spans="2:31">
      <c r="B264" s="561" t="s">
        <v>324</v>
      </c>
      <c r="C264" s="561" t="s">
        <v>97</v>
      </c>
      <c r="D264" s="574">
        <v>0.41</v>
      </c>
      <c r="E264" s="574">
        <v>1</v>
      </c>
      <c r="F264" s="640">
        <f t="shared" si="23"/>
        <v>6.6</v>
      </c>
      <c r="G264" s="574">
        <v>1.4</v>
      </c>
      <c r="H264" s="574">
        <f t="shared" si="31"/>
        <v>1.07</v>
      </c>
      <c r="I264" s="574">
        <f t="shared" si="32"/>
        <v>0.23</v>
      </c>
      <c r="J264" s="574">
        <v>0.12</v>
      </c>
      <c r="K264" s="574">
        <v>0</v>
      </c>
      <c r="L264" s="574">
        <v>0</v>
      </c>
      <c r="M264" s="565">
        <v>8</v>
      </c>
      <c r="N264" s="579">
        <v>2</v>
      </c>
      <c r="O264" s="580">
        <v>3</v>
      </c>
      <c r="P264" s="635" t="str">
        <f t="shared" si="24"/>
        <v>Van</v>
      </c>
      <c r="Q264" s="636">
        <f t="shared" si="25"/>
        <v>8</v>
      </c>
      <c r="R264" s="637">
        <f t="shared" si="26"/>
        <v>1</v>
      </c>
      <c r="S264" s="638">
        <f t="shared" si="27"/>
        <v>0.4</v>
      </c>
      <c r="T264" s="564">
        <f t="shared" si="28"/>
        <v>3.2</v>
      </c>
      <c r="U264" s="639">
        <f t="shared" si="29"/>
        <v>2</v>
      </c>
      <c r="V264" s="639">
        <f t="shared" si="30"/>
        <v>3</v>
      </c>
      <c r="AD264" s="586"/>
      <c r="AE264" s="586"/>
    </row>
    <row r="265" spans="2:31">
      <c r="B265" s="561" t="s">
        <v>325</v>
      </c>
      <c r="C265" s="561" t="s">
        <v>97</v>
      </c>
      <c r="D265" s="574">
        <v>0.41</v>
      </c>
      <c r="E265" s="574">
        <v>1</v>
      </c>
      <c r="F265" s="640">
        <f t="shared" si="23"/>
        <v>7.1</v>
      </c>
      <c r="G265" s="574">
        <v>1.4</v>
      </c>
      <c r="H265" s="574">
        <f t="shared" si="31"/>
        <v>1.1499999999999999</v>
      </c>
      <c r="I265" s="574">
        <f t="shared" si="32"/>
        <v>0.23</v>
      </c>
      <c r="J265" s="574">
        <v>0.12</v>
      </c>
      <c r="K265" s="574">
        <v>0</v>
      </c>
      <c r="L265" s="574">
        <v>0</v>
      </c>
      <c r="M265" s="565">
        <v>8.5</v>
      </c>
      <c r="N265" s="579">
        <v>2</v>
      </c>
      <c r="O265" s="580">
        <v>3</v>
      </c>
      <c r="P265" s="635" t="str">
        <f t="shared" si="24"/>
        <v>Van</v>
      </c>
      <c r="Q265" s="636">
        <f t="shared" si="25"/>
        <v>8.5</v>
      </c>
      <c r="R265" s="637">
        <f t="shared" si="26"/>
        <v>1</v>
      </c>
      <c r="S265" s="638">
        <f t="shared" si="27"/>
        <v>0.4</v>
      </c>
      <c r="T265" s="564">
        <f t="shared" si="28"/>
        <v>3.4000000000000004</v>
      </c>
      <c r="U265" s="639">
        <f t="shared" si="29"/>
        <v>2</v>
      </c>
      <c r="V265" s="639">
        <f t="shared" si="30"/>
        <v>3</v>
      </c>
      <c r="AD265" s="586"/>
      <c r="AE265" s="586"/>
    </row>
    <row r="266" spans="2:31">
      <c r="B266" s="561" t="s">
        <v>326</v>
      </c>
      <c r="C266" s="561" t="s">
        <v>97</v>
      </c>
      <c r="D266" s="574">
        <v>0.41</v>
      </c>
      <c r="E266" s="574">
        <v>1</v>
      </c>
      <c r="F266" s="640">
        <f t="shared" si="23"/>
        <v>7.6</v>
      </c>
      <c r="G266" s="574">
        <v>1.4</v>
      </c>
      <c r="H266" s="574">
        <f t="shared" si="31"/>
        <v>1.23</v>
      </c>
      <c r="I266" s="574">
        <f t="shared" si="32"/>
        <v>0.23</v>
      </c>
      <c r="J266" s="574">
        <v>0.12</v>
      </c>
      <c r="K266" s="574">
        <v>0</v>
      </c>
      <c r="L266" s="574">
        <v>0</v>
      </c>
      <c r="M266" s="565">
        <v>9</v>
      </c>
      <c r="N266" s="579">
        <v>2</v>
      </c>
      <c r="O266" s="580">
        <v>3</v>
      </c>
      <c r="P266" s="635" t="str">
        <f t="shared" si="24"/>
        <v>Van</v>
      </c>
      <c r="Q266" s="636">
        <f t="shared" si="25"/>
        <v>9</v>
      </c>
      <c r="R266" s="637">
        <f t="shared" si="26"/>
        <v>1</v>
      </c>
      <c r="S266" s="638">
        <f t="shared" si="27"/>
        <v>0.4</v>
      </c>
      <c r="T266" s="564">
        <f t="shared" si="28"/>
        <v>3.6</v>
      </c>
      <c r="U266" s="639">
        <f t="shared" si="29"/>
        <v>2</v>
      </c>
      <c r="V266" s="639">
        <f t="shared" si="30"/>
        <v>3</v>
      </c>
      <c r="AD266" s="586"/>
      <c r="AE266" s="586"/>
    </row>
    <row r="267" spans="2:31">
      <c r="B267" s="561" t="s">
        <v>327</v>
      </c>
      <c r="C267" s="561" t="s">
        <v>97</v>
      </c>
      <c r="D267" s="574">
        <v>0.41</v>
      </c>
      <c r="E267" s="574">
        <v>1</v>
      </c>
      <c r="F267" s="640">
        <f t="shared" ref="F267:F299" si="33">M267-G267</f>
        <v>8.1</v>
      </c>
      <c r="G267" s="574">
        <v>1.4</v>
      </c>
      <c r="H267" s="574">
        <f t="shared" si="31"/>
        <v>1.31</v>
      </c>
      <c r="I267" s="574">
        <f t="shared" si="32"/>
        <v>0.23</v>
      </c>
      <c r="J267" s="574">
        <v>0.12</v>
      </c>
      <c r="K267" s="574">
        <v>0</v>
      </c>
      <c r="L267" s="574">
        <v>0</v>
      </c>
      <c r="M267" s="565">
        <v>9.5</v>
      </c>
      <c r="N267" s="579">
        <v>2</v>
      </c>
      <c r="O267" s="580">
        <v>3</v>
      </c>
      <c r="P267" s="635" t="str">
        <f t="shared" si="24"/>
        <v>Van</v>
      </c>
      <c r="Q267" s="636">
        <f t="shared" si="25"/>
        <v>9.5</v>
      </c>
      <c r="R267" s="637">
        <f t="shared" si="26"/>
        <v>1</v>
      </c>
      <c r="S267" s="638">
        <f t="shared" si="27"/>
        <v>0.4</v>
      </c>
      <c r="T267" s="564">
        <f t="shared" si="28"/>
        <v>3.8000000000000003</v>
      </c>
      <c r="U267" s="639">
        <f t="shared" si="29"/>
        <v>2</v>
      </c>
      <c r="V267" s="639">
        <f t="shared" si="30"/>
        <v>3</v>
      </c>
      <c r="AD267" s="586"/>
      <c r="AE267" s="586"/>
    </row>
    <row r="268" spans="2:31">
      <c r="B268" s="561" t="s">
        <v>328</v>
      </c>
      <c r="C268" s="561" t="s">
        <v>97</v>
      </c>
      <c r="D268" s="574">
        <v>0.41</v>
      </c>
      <c r="E268" s="574">
        <v>1</v>
      </c>
      <c r="F268" s="640">
        <f t="shared" si="33"/>
        <v>8.6</v>
      </c>
      <c r="G268" s="574">
        <v>1.4</v>
      </c>
      <c r="H268" s="574">
        <f t="shared" si="31"/>
        <v>1.39</v>
      </c>
      <c r="I268" s="574">
        <f t="shared" si="32"/>
        <v>0.23</v>
      </c>
      <c r="J268" s="574">
        <v>0.12</v>
      </c>
      <c r="K268" s="574">
        <v>0</v>
      </c>
      <c r="L268" s="574">
        <v>0</v>
      </c>
      <c r="M268" s="565">
        <v>10</v>
      </c>
      <c r="N268" s="579">
        <v>2</v>
      </c>
      <c r="O268" s="580">
        <v>3</v>
      </c>
      <c r="P268" s="635" t="str">
        <f t="shared" ref="P268:P299" si="34">INDEX($C$58:$C$60,MATCH(C268,$B$58:$B$60,0))</f>
        <v>Van</v>
      </c>
      <c r="Q268" s="636">
        <f t="shared" ref="Q268:Q299" si="35">SUM(F268:G268)</f>
        <v>10</v>
      </c>
      <c r="R268" s="637">
        <f t="shared" ref="R268:R299" si="36">E268</f>
        <v>1</v>
      </c>
      <c r="S268" s="638">
        <f t="shared" ref="S268:S299" si="37">IF(LEFT(B268,1)="M",IF(RIGHT(B268,1)="1",0.2,IF(RIGHT(B268,1)="2",0.3,IF(RIGHT(B268,1)="3",0.4,0))),0)</f>
        <v>0.4</v>
      </c>
      <c r="T268" s="564">
        <f t="shared" ref="T268:T299" si="38">Q268*S268</f>
        <v>4</v>
      </c>
      <c r="U268" s="639">
        <f t="shared" ref="U268:U299" si="39">N268</f>
        <v>2</v>
      </c>
      <c r="V268" s="639">
        <f t="shared" ref="V268:V299" si="40">O268</f>
        <v>3</v>
      </c>
      <c r="AD268" s="586"/>
      <c r="AE268" s="586"/>
    </row>
    <row r="269" spans="2:31">
      <c r="B269" s="561" t="s">
        <v>329</v>
      </c>
      <c r="C269" s="561" t="s">
        <v>97</v>
      </c>
      <c r="D269" s="574">
        <v>0.41</v>
      </c>
      <c r="E269" s="574">
        <v>1</v>
      </c>
      <c r="F269" s="640">
        <f t="shared" si="33"/>
        <v>9.1</v>
      </c>
      <c r="G269" s="574">
        <v>1.4</v>
      </c>
      <c r="H269" s="574">
        <f t="shared" si="31"/>
        <v>1.47</v>
      </c>
      <c r="I269" s="574">
        <f t="shared" si="32"/>
        <v>0.23</v>
      </c>
      <c r="J269" s="574">
        <v>0.12</v>
      </c>
      <c r="K269" s="574">
        <v>0</v>
      </c>
      <c r="L269" s="574">
        <v>0</v>
      </c>
      <c r="M269" s="565">
        <v>10.5</v>
      </c>
      <c r="N269" s="579">
        <v>2</v>
      </c>
      <c r="O269" s="580">
        <v>3</v>
      </c>
      <c r="P269" s="635" t="str">
        <f t="shared" si="34"/>
        <v>Van</v>
      </c>
      <c r="Q269" s="636">
        <f t="shared" si="35"/>
        <v>10.5</v>
      </c>
      <c r="R269" s="637">
        <f t="shared" si="36"/>
        <v>1</v>
      </c>
      <c r="S269" s="638">
        <f t="shared" si="37"/>
        <v>0.4</v>
      </c>
      <c r="T269" s="564">
        <f t="shared" si="38"/>
        <v>4.2</v>
      </c>
      <c r="U269" s="639">
        <f t="shared" si="39"/>
        <v>2</v>
      </c>
      <c r="V269" s="639">
        <f t="shared" si="40"/>
        <v>3</v>
      </c>
      <c r="AD269" s="586"/>
      <c r="AE269" s="586"/>
    </row>
    <row r="270" spans="2:31">
      <c r="B270" s="561" t="s">
        <v>330</v>
      </c>
      <c r="C270" s="561" t="s">
        <v>97</v>
      </c>
      <c r="D270" s="574">
        <v>0.41</v>
      </c>
      <c r="E270" s="574">
        <v>1</v>
      </c>
      <c r="F270" s="640">
        <f t="shared" si="33"/>
        <v>9.6</v>
      </c>
      <c r="G270" s="574">
        <v>1.4</v>
      </c>
      <c r="H270" s="574">
        <f t="shared" si="31"/>
        <v>1.56</v>
      </c>
      <c r="I270" s="574">
        <f t="shared" si="32"/>
        <v>0.23</v>
      </c>
      <c r="J270" s="574">
        <v>0.12</v>
      </c>
      <c r="K270" s="574">
        <v>0</v>
      </c>
      <c r="L270" s="574">
        <v>0</v>
      </c>
      <c r="M270" s="565">
        <v>11</v>
      </c>
      <c r="N270" s="579">
        <v>2</v>
      </c>
      <c r="O270" s="580">
        <v>3</v>
      </c>
      <c r="P270" s="635" t="str">
        <f t="shared" si="34"/>
        <v>Van</v>
      </c>
      <c r="Q270" s="636">
        <f t="shared" si="35"/>
        <v>11</v>
      </c>
      <c r="R270" s="637">
        <f t="shared" si="36"/>
        <v>1</v>
      </c>
      <c r="S270" s="638">
        <f t="shared" si="37"/>
        <v>0.4</v>
      </c>
      <c r="T270" s="564">
        <f t="shared" si="38"/>
        <v>4.4000000000000004</v>
      </c>
      <c r="U270" s="639">
        <f t="shared" si="39"/>
        <v>2</v>
      </c>
      <c r="V270" s="639">
        <f t="shared" si="40"/>
        <v>3</v>
      </c>
      <c r="AD270" s="586"/>
      <c r="AE270" s="586"/>
    </row>
    <row r="271" spans="2:31">
      <c r="B271" s="561" t="s">
        <v>331</v>
      </c>
      <c r="C271" s="561" t="s">
        <v>97</v>
      </c>
      <c r="D271" s="574">
        <v>0.41</v>
      </c>
      <c r="E271" s="574">
        <v>1</v>
      </c>
      <c r="F271" s="640">
        <f t="shared" si="33"/>
        <v>10.1</v>
      </c>
      <c r="G271" s="574">
        <v>1.4</v>
      </c>
      <c r="H271" s="574">
        <f t="shared" si="31"/>
        <v>1.64</v>
      </c>
      <c r="I271" s="574">
        <f t="shared" si="32"/>
        <v>0.23</v>
      </c>
      <c r="J271" s="574">
        <v>0.12</v>
      </c>
      <c r="K271" s="574">
        <v>0</v>
      </c>
      <c r="L271" s="574">
        <v>0</v>
      </c>
      <c r="M271" s="565">
        <v>11.5</v>
      </c>
      <c r="N271" s="579">
        <v>2</v>
      </c>
      <c r="O271" s="580">
        <v>3</v>
      </c>
      <c r="P271" s="635" t="str">
        <f t="shared" si="34"/>
        <v>Van</v>
      </c>
      <c r="Q271" s="636">
        <f t="shared" si="35"/>
        <v>11.5</v>
      </c>
      <c r="R271" s="637">
        <f t="shared" si="36"/>
        <v>1</v>
      </c>
      <c r="S271" s="638">
        <f t="shared" si="37"/>
        <v>0.4</v>
      </c>
      <c r="T271" s="564">
        <f t="shared" si="38"/>
        <v>4.6000000000000005</v>
      </c>
      <c r="U271" s="639">
        <f t="shared" si="39"/>
        <v>2</v>
      </c>
      <c r="V271" s="639">
        <f t="shared" si="40"/>
        <v>3</v>
      </c>
      <c r="AD271" s="586"/>
      <c r="AE271" s="586"/>
    </row>
    <row r="272" spans="2:31">
      <c r="B272" s="561" t="s">
        <v>332</v>
      </c>
      <c r="C272" s="561" t="s">
        <v>97</v>
      </c>
      <c r="D272" s="574">
        <v>0.41</v>
      </c>
      <c r="E272" s="574">
        <v>1</v>
      </c>
      <c r="F272" s="640">
        <f t="shared" si="33"/>
        <v>10.6</v>
      </c>
      <c r="G272" s="574">
        <v>1.4</v>
      </c>
      <c r="H272" s="574">
        <f t="shared" si="31"/>
        <v>1.72</v>
      </c>
      <c r="I272" s="574">
        <f t="shared" si="32"/>
        <v>0.23</v>
      </c>
      <c r="J272" s="574">
        <v>0.12</v>
      </c>
      <c r="K272" s="574">
        <v>0</v>
      </c>
      <c r="L272" s="574">
        <v>0</v>
      </c>
      <c r="M272" s="565">
        <v>12</v>
      </c>
      <c r="N272" s="579">
        <v>2</v>
      </c>
      <c r="O272" s="580">
        <v>3</v>
      </c>
      <c r="P272" s="635" t="str">
        <f t="shared" si="34"/>
        <v>Van</v>
      </c>
      <c r="Q272" s="636">
        <f t="shared" si="35"/>
        <v>12</v>
      </c>
      <c r="R272" s="637">
        <f t="shared" si="36"/>
        <v>1</v>
      </c>
      <c r="S272" s="638">
        <f t="shared" si="37"/>
        <v>0.4</v>
      </c>
      <c r="T272" s="564">
        <f t="shared" si="38"/>
        <v>4.8000000000000007</v>
      </c>
      <c r="U272" s="639">
        <f t="shared" si="39"/>
        <v>2</v>
      </c>
      <c r="V272" s="639">
        <f t="shared" si="40"/>
        <v>3</v>
      </c>
      <c r="AD272" s="586"/>
      <c r="AE272" s="586"/>
    </row>
    <row r="273" spans="2:31">
      <c r="B273" s="561" t="s">
        <v>333</v>
      </c>
      <c r="C273" s="561" t="s">
        <v>97</v>
      </c>
      <c r="D273" s="574">
        <v>0.41</v>
      </c>
      <c r="E273" s="574">
        <v>1</v>
      </c>
      <c r="F273" s="640">
        <f t="shared" si="33"/>
        <v>11.1</v>
      </c>
      <c r="G273" s="574">
        <v>1.4</v>
      </c>
      <c r="H273" s="574">
        <f t="shared" si="31"/>
        <v>1.8</v>
      </c>
      <c r="I273" s="574">
        <f t="shared" si="32"/>
        <v>0.23</v>
      </c>
      <c r="J273" s="574">
        <v>0.12</v>
      </c>
      <c r="K273" s="574">
        <v>0</v>
      </c>
      <c r="L273" s="574">
        <v>0</v>
      </c>
      <c r="M273" s="565">
        <v>12.5</v>
      </c>
      <c r="N273" s="579">
        <v>2</v>
      </c>
      <c r="O273" s="580">
        <v>3</v>
      </c>
      <c r="P273" s="635" t="str">
        <f t="shared" si="34"/>
        <v>Van</v>
      </c>
      <c r="Q273" s="636">
        <f t="shared" si="35"/>
        <v>12.5</v>
      </c>
      <c r="R273" s="637">
        <f t="shared" si="36"/>
        <v>1</v>
      </c>
      <c r="S273" s="638">
        <f t="shared" si="37"/>
        <v>0.4</v>
      </c>
      <c r="T273" s="564">
        <f t="shared" si="38"/>
        <v>5</v>
      </c>
      <c r="U273" s="639">
        <f t="shared" si="39"/>
        <v>2</v>
      </c>
      <c r="V273" s="639">
        <f t="shared" si="40"/>
        <v>3</v>
      </c>
      <c r="AD273" s="586"/>
      <c r="AE273" s="586"/>
    </row>
    <row r="274" spans="2:31">
      <c r="B274" s="561" t="s">
        <v>334</v>
      </c>
      <c r="C274" s="561" t="s">
        <v>97</v>
      </c>
      <c r="D274" s="574">
        <v>0.41</v>
      </c>
      <c r="E274" s="574">
        <v>1</v>
      </c>
      <c r="F274" s="640">
        <f t="shared" si="33"/>
        <v>11.6</v>
      </c>
      <c r="G274" s="574">
        <v>1.4</v>
      </c>
      <c r="H274" s="574">
        <f t="shared" si="31"/>
        <v>1.88</v>
      </c>
      <c r="I274" s="574">
        <f t="shared" si="32"/>
        <v>0.23</v>
      </c>
      <c r="J274" s="574">
        <v>0.12</v>
      </c>
      <c r="K274" s="574">
        <v>0</v>
      </c>
      <c r="L274" s="574">
        <v>0</v>
      </c>
      <c r="M274" s="565">
        <v>13</v>
      </c>
      <c r="N274" s="579">
        <v>2</v>
      </c>
      <c r="O274" s="580">
        <v>3</v>
      </c>
      <c r="P274" s="635" t="str">
        <f t="shared" si="34"/>
        <v>Van</v>
      </c>
      <c r="Q274" s="636">
        <f t="shared" si="35"/>
        <v>13</v>
      </c>
      <c r="R274" s="637">
        <f t="shared" si="36"/>
        <v>1</v>
      </c>
      <c r="S274" s="638">
        <f t="shared" si="37"/>
        <v>0.4</v>
      </c>
      <c r="T274" s="564">
        <f t="shared" si="38"/>
        <v>5.2</v>
      </c>
      <c r="U274" s="639">
        <f t="shared" si="39"/>
        <v>2</v>
      </c>
      <c r="V274" s="639">
        <f t="shared" si="40"/>
        <v>3</v>
      </c>
      <c r="AD274" s="586"/>
      <c r="AE274" s="586"/>
    </row>
    <row r="275" spans="2:31">
      <c r="B275" s="561" t="s">
        <v>335</v>
      </c>
      <c r="C275" s="561" t="s">
        <v>97</v>
      </c>
      <c r="D275" s="574">
        <v>0.41</v>
      </c>
      <c r="E275" s="574">
        <v>1</v>
      </c>
      <c r="F275" s="640">
        <f t="shared" si="33"/>
        <v>12.1</v>
      </c>
      <c r="G275" s="574">
        <v>1.4</v>
      </c>
      <c r="H275" s="574">
        <f t="shared" si="31"/>
        <v>1.96</v>
      </c>
      <c r="I275" s="574">
        <f t="shared" si="32"/>
        <v>0.23</v>
      </c>
      <c r="J275" s="574">
        <v>0.12</v>
      </c>
      <c r="K275" s="574">
        <v>0</v>
      </c>
      <c r="L275" s="574">
        <v>0</v>
      </c>
      <c r="M275" s="565">
        <v>13.5</v>
      </c>
      <c r="N275" s="579">
        <v>2</v>
      </c>
      <c r="O275" s="580">
        <v>3</v>
      </c>
      <c r="P275" s="635" t="str">
        <f t="shared" si="34"/>
        <v>Van</v>
      </c>
      <c r="Q275" s="636">
        <f t="shared" si="35"/>
        <v>13.5</v>
      </c>
      <c r="R275" s="637">
        <f t="shared" si="36"/>
        <v>1</v>
      </c>
      <c r="S275" s="638">
        <f t="shared" si="37"/>
        <v>0.4</v>
      </c>
      <c r="T275" s="564">
        <f t="shared" si="38"/>
        <v>5.4</v>
      </c>
      <c r="U275" s="639">
        <f t="shared" si="39"/>
        <v>2</v>
      </c>
      <c r="V275" s="639">
        <f t="shared" si="40"/>
        <v>3</v>
      </c>
      <c r="AD275" s="586"/>
      <c r="AE275" s="586"/>
    </row>
    <row r="276" spans="2:31">
      <c r="B276" s="561" t="s">
        <v>336</v>
      </c>
      <c r="C276" s="561" t="s">
        <v>97</v>
      </c>
      <c r="D276" s="574">
        <v>0.41</v>
      </c>
      <c r="E276" s="574">
        <v>1</v>
      </c>
      <c r="F276" s="640">
        <f t="shared" si="33"/>
        <v>12.6</v>
      </c>
      <c r="G276" s="574">
        <v>1.4</v>
      </c>
      <c r="H276" s="574">
        <f t="shared" si="31"/>
        <v>2.04</v>
      </c>
      <c r="I276" s="574">
        <f t="shared" si="32"/>
        <v>0.23</v>
      </c>
      <c r="J276" s="574">
        <v>0.12</v>
      </c>
      <c r="K276" s="574">
        <v>0</v>
      </c>
      <c r="L276" s="574">
        <v>0</v>
      </c>
      <c r="M276" s="565">
        <v>14</v>
      </c>
      <c r="N276" s="579">
        <v>2</v>
      </c>
      <c r="O276" s="580">
        <v>3</v>
      </c>
      <c r="P276" s="635" t="str">
        <f t="shared" si="34"/>
        <v>Van</v>
      </c>
      <c r="Q276" s="636">
        <f t="shared" si="35"/>
        <v>14</v>
      </c>
      <c r="R276" s="637">
        <f t="shared" si="36"/>
        <v>1</v>
      </c>
      <c r="S276" s="638">
        <f t="shared" si="37"/>
        <v>0.4</v>
      </c>
      <c r="T276" s="564">
        <f t="shared" si="38"/>
        <v>5.6000000000000005</v>
      </c>
      <c r="U276" s="639">
        <f t="shared" si="39"/>
        <v>2</v>
      </c>
      <c r="V276" s="639">
        <f t="shared" si="40"/>
        <v>3</v>
      </c>
      <c r="AD276" s="586"/>
      <c r="AE276" s="586"/>
    </row>
    <row r="277" spans="2:31">
      <c r="B277" s="561" t="s">
        <v>337</v>
      </c>
      <c r="C277" s="561" t="s">
        <v>97</v>
      </c>
      <c r="D277" s="574">
        <v>0.41</v>
      </c>
      <c r="E277" s="574">
        <v>1</v>
      </c>
      <c r="F277" s="640">
        <f t="shared" si="33"/>
        <v>13.1</v>
      </c>
      <c r="G277" s="574">
        <v>1.4</v>
      </c>
      <c r="H277" s="574">
        <f t="shared" si="31"/>
        <v>2.12</v>
      </c>
      <c r="I277" s="574">
        <f t="shared" si="32"/>
        <v>0.23</v>
      </c>
      <c r="J277" s="574">
        <v>0.12</v>
      </c>
      <c r="K277" s="574">
        <v>0</v>
      </c>
      <c r="L277" s="574">
        <v>0</v>
      </c>
      <c r="M277" s="565">
        <v>14.5</v>
      </c>
      <c r="N277" s="579">
        <v>2</v>
      </c>
      <c r="O277" s="580">
        <v>3</v>
      </c>
      <c r="P277" s="635" t="str">
        <f t="shared" si="34"/>
        <v>Van</v>
      </c>
      <c r="Q277" s="636">
        <f t="shared" si="35"/>
        <v>14.5</v>
      </c>
      <c r="R277" s="637">
        <f t="shared" si="36"/>
        <v>1</v>
      </c>
      <c r="S277" s="638">
        <f t="shared" si="37"/>
        <v>0.4</v>
      </c>
      <c r="T277" s="564">
        <f t="shared" si="38"/>
        <v>5.8000000000000007</v>
      </c>
      <c r="U277" s="639">
        <f t="shared" si="39"/>
        <v>2</v>
      </c>
      <c r="V277" s="639">
        <f t="shared" si="40"/>
        <v>3</v>
      </c>
      <c r="AD277" s="586"/>
      <c r="AE277" s="586"/>
    </row>
    <row r="278" spans="2:31">
      <c r="B278" s="561" t="s">
        <v>338</v>
      </c>
      <c r="C278" s="561" t="s">
        <v>97</v>
      </c>
      <c r="D278" s="574">
        <v>0.41</v>
      </c>
      <c r="E278" s="574">
        <v>1</v>
      </c>
      <c r="F278" s="640">
        <f t="shared" si="33"/>
        <v>13.6</v>
      </c>
      <c r="G278" s="574">
        <v>1.4</v>
      </c>
      <c r="H278" s="574">
        <f>ROUND(F278*$C$50,2)</f>
        <v>2.2000000000000002</v>
      </c>
      <c r="I278" s="574">
        <f t="shared" si="32"/>
        <v>0.23</v>
      </c>
      <c r="J278" s="574">
        <v>0.12</v>
      </c>
      <c r="K278" s="574">
        <v>0</v>
      </c>
      <c r="L278" s="574">
        <v>0</v>
      </c>
      <c r="M278" s="565">
        <v>15</v>
      </c>
      <c r="N278" s="579">
        <v>2</v>
      </c>
      <c r="O278" s="580">
        <v>3</v>
      </c>
      <c r="P278" s="635" t="str">
        <f t="shared" si="34"/>
        <v>Van</v>
      </c>
      <c r="Q278" s="636">
        <f t="shared" si="35"/>
        <v>15</v>
      </c>
      <c r="R278" s="637">
        <f t="shared" si="36"/>
        <v>1</v>
      </c>
      <c r="S278" s="638">
        <f t="shared" si="37"/>
        <v>0.4</v>
      </c>
      <c r="T278" s="564">
        <f t="shared" si="38"/>
        <v>6</v>
      </c>
      <c r="U278" s="639">
        <f t="shared" si="39"/>
        <v>2</v>
      </c>
      <c r="V278" s="639">
        <f t="shared" si="40"/>
        <v>3</v>
      </c>
      <c r="AD278" s="586"/>
      <c r="AE278" s="586"/>
    </row>
    <row r="279" spans="2:31" ht="15.75" thickBot="1">
      <c r="B279" s="566" t="s">
        <v>339</v>
      </c>
      <c r="C279" s="561" t="s">
        <v>97</v>
      </c>
      <c r="D279" s="574">
        <v>0.41</v>
      </c>
      <c r="E279" s="574">
        <v>1</v>
      </c>
      <c r="F279" s="640">
        <f t="shared" si="33"/>
        <v>14.1</v>
      </c>
      <c r="G279" s="574">
        <v>1.4</v>
      </c>
      <c r="H279" s="574">
        <f>ROUND(F279*$C$50,2)</f>
        <v>2.2799999999999998</v>
      </c>
      <c r="I279" s="574">
        <f>ROUND(G279*$C$50,2)</f>
        <v>0.23</v>
      </c>
      <c r="J279" s="574">
        <v>0.12</v>
      </c>
      <c r="K279" s="574">
        <v>0</v>
      </c>
      <c r="L279" s="574">
        <v>0</v>
      </c>
      <c r="M279" s="565">
        <v>15.5</v>
      </c>
      <c r="N279" s="579">
        <v>2</v>
      </c>
      <c r="O279" s="580">
        <v>3</v>
      </c>
      <c r="P279" s="635" t="str">
        <f t="shared" si="34"/>
        <v>Van</v>
      </c>
      <c r="Q279" s="636">
        <f t="shared" si="35"/>
        <v>15.5</v>
      </c>
      <c r="R279" s="637">
        <f t="shared" si="36"/>
        <v>1</v>
      </c>
      <c r="S279" s="638">
        <f t="shared" si="37"/>
        <v>0.4</v>
      </c>
      <c r="T279" s="564">
        <f t="shared" si="38"/>
        <v>6.2</v>
      </c>
      <c r="U279" s="639">
        <f t="shared" si="39"/>
        <v>2</v>
      </c>
      <c r="V279" s="639">
        <f t="shared" si="40"/>
        <v>3</v>
      </c>
      <c r="AD279" s="586"/>
      <c r="AE279" s="586"/>
    </row>
    <row r="280" spans="2:31">
      <c r="B280" s="562" t="s">
        <v>429</v>
      </c>
      <c r="C280" s="562" t="s">
        <v>97</v>
      </c>
      <c r="D280" s="572">
        <v>0.41</v>
      </c>
      <c r="E280" s="572">
        <v>1</v>
      </c>
      <c r="F280" s="634">
        <f t="shared" si="33"/>
        <v>4.5999999999999996</v>
      </c>
      <c r="G280" s="572">
        <v>1.4</v>
      </c>
      <c r="H280" s="572">
        <f t="shared" ref="H280:H291" si="41">ROUND(F280*$L$51,2)</f>
        <v>0.86</v>
      </c>
      <c r="I280" s="572">
        <f t="shared" ref="I280:I291" si="42">ROUND(G280*$L$51,2)</f>
        <v>0.26</v>
      </c>
      <c r="J280" s="572">
        <v>0.12</v>
      </c>
      <c r="K280" s="572">
        <v>0.1</v>
      </c>
      <c r="L280" s="572">
        <v>0.3</v>
      </c>
      <c r="M280" s="563">
        <v>6</v>
      </c>
      <c r="N280" s="577">
        <v>4</v>
      </c>
      <c r="O280" s="578">
        <v>0</v>
      </c>
      <c r="P280" s="635" t="str">
        <f t="shared" si="34"/>
        <v>Van</v>
      </c>
      <c r="Q280" s="636">
        <f t="shared" si="35"/>
        <v>6</v>
      </c>
      <c r="R280" s="637">
        <f t="shared" si="36"/>
        <v>1</v>
      </c>
      <c r="S280" s="638">
        <f t="shared" si="37"/>
        <v>0</v>
      </c>
      <c r="T280" s="564">
        <f t="shared" si="38"/>
        <v>0</v>
      </c>
      <c r="U280" s="639">
        <f t="shared" si="39"/>
        <v>4</v>
      </c>
      <c r="V280" s="639">
        <f t="shared" si="40"/>
        <v>0</v>
      </c>
      <c r="AD280" s="586"/>
      <c r="AE280" s="586"/>
    </row>
    <row r="281" spans="2:31">
      <c r="B281" s="561" t="s">
        <v>442</v>
      </c>
      <c r="C281" s="561" t="s">
        <v>97</v>
      </c>
      <c r="D281" s="574">
        <v>0.41</v>
      </c>
      <c r="E281" s="574">
        <v>1</v>
      </c>
      <c r="F281" s="640">
        <f t="shared" si="33"/>
        <v>5.0999999999999996</v>
      </c>
      <c r="G281" s="574">
        <v>1.4</v>
      </c>
      <c r="H281" s="574">
        <f t="shared" si="41"/>
        <v>0.96</v>
      </c>
      <c r="I281" s="574">
        <f t="shared" si="42"/>
        <v>0.26</v>
      </c>
      <c r="J281" s="574">
        <v>0.12</v>
      </c>
      <c r="K281" s="574">
        <v>0.1</v>
      </c>
      <c r="L281" s="574">
        <v>0.3</v>
      </c>
      <c r="M281" s="565">
        <v>6.5</v>
      </c>
      <c r="N281" s="579">
        <v>4</v>
      </c>
      <c r="O281" s="580">
        <v>0</v>
      </c>
      <c r="P281" s="635" t="str">
        <f t="shared" si="34"/>
        <v>Van</v>
      </c>
      <c r="Q281" s="636">
        <f t="shared" si="35"/>
        <v>6.5</v>
      </c>
      <c r="R281" s="637">
        <f t="shared" si="36"/>
        <v>1</v>
      </c>
      <c r="S281" s="638">
        <f t="shared" si="37"/>
        <v>0</v>
      </c>
      <c r="T281" s="564">
        <f t="shared" si="38"/>
        <v>0</v>
      </c>
      <c r="U281" s="639">
        <f t="shared" si="39"/>
        <v>4</v>
      </c>
      <c r="V281" s="639">
        <f t="shared" si="40"/>
        <v>0</v>
      </c>
      <c r="AD281" s="586"/>
      <c r="AE281" s="586"/>
    </row>
    <row r="282" spans="2:31">
      <c r="B282" s="561" t="s">
        <v>443</v>
      </c>
      <c r="C282" s="561" t="s">
        <v>97</v>
      </c>
      <c r="D282" s="574">
        <v>0.41</v>
      </c>
      <c r="E282" s="574">
        <v>1</v>
      </c>
      <c r="F282" s="640">
        <f t="shared" si="33"/>
        <v>5.6</v>
      </c>
      <c r="G282" s="574">
        <v>1.4</v>
      </c>
      <c r="H282" s="574">
        <f t="shared" si="41"/>
        <v>1.05</v>
      </c>
      <c r="I282" s="574">
        <f t="shared" si="42"/>
        <v>0.26</v>
      </c>
      <c r="J282" s="574">
        <v>0.12</v>
      </c>
      <c r="K282" s="574">
        <v>0.1</v>
      </c>
      <c r="L282" s="574">
        <v>0.3</v>
      </c>
      <c r="M282" s="565">
        <v>7</v>
      </c>
      <c r="N282" s="579">
        <v>4</v>
      </c>
      <c r="O282" s="580">
        <v>0</v>
      </c>
      <c r="P282" s="635" t="str">
        <f t="shared" si="34"/>
        <v>Van</v>
      </c>
      <c r="Q282" s="636">
        <f t="shared" si="35"/>
        <v>7</v>
      </c>
      <c r="R282" s="637">
        <f t="shared" si="36"/>
        <v>1</v>
      </c>
      <c r="S282" s="638">
        <f t="shared" si="37"/>
        <v>0</v>
      </c>
      <c r="T282" s="564">
        <f t="shared" si="38"/>
        <v>0</v>
      </c>
      <c r="U282" s="639">
        <f t="shared" si="39"/>
        <v>4</v>
      </c>
      <c r="V282" s="639">
        <f t="shared" si="40"/>
        <v>0</v>
      </c>
      <c r="AD282" s="586"/>
      <c r="AE282" s="586"/>
    </row>
    <row r="283" spans="2:31">
      <c r="B283" s="561" t="s">
        <v>444</v>
      </c>
      <c r="C283" s="561" t="s">
        <v>97</v>
      </c>
      <c r="D283" s="574">
        <v>0.41</v>
      </c>
      <c r="E283" s="574">
        <v>1</v>
      </c>
      <c r="F283" s="640">
        <f t="shared" si="33"/>
        <v>6.1</v>
      </c>
      <c r="G283" s="574">
        <v>1.4</v>
      </c>
      <c r="H283" s="574">
        <f t="shared" si="41"/>
        <v>1.1499999999999999</v>
      </c>
      <c r="I283" s="574">
        <f t="shared" si="42"/>
        <v>0.26</v>
      </c>
      <c r="J283" s="574">
        <v>0.12</v>
      </c>
      <c r="K283" s="574">
        <v>0.1</v>
      </c>
      <c r="L283" s="574">
        <v>0.3</v>
      </c>
      <c r="M283" s="565">
        <v>7.5</v>
      </c>
      <c r="N283" s="579">
        <v>4</v>
      </c>
      <c r="O283" s="580">
        <v>0</v>
      </c>
      <c r="P283" s="635" t="str">
        <f t="shared" si="34"/>
        <v>Van</v>
      </c>
      <c r="Q283" s="636">
        <f t="shared" si="35"/>
        <v>7.5</v>
      </c>
      <c r="R283" s="637">
        <f t="shared" si="36"/>
        <v>1</v>
      </c>
      <c r="S283" s="638">
        <f t="shared" si="37"/>
        <v>0</v>
      </c>
      <c r="T283" s="564">
        <f t="shared" si="38"/>
        <v>0</v>
      </c>
      <c r="U283" s="639">
        <f t="shared" si="39"/>
        <v>4</v>
      </c>
      <c r="V283" s="639">
        <f t="shared" si="40"/>
        <v>0</v>
      </c>
      <c r="AD283" s="586"/>
      <c r="AE283" s="586"/>
    </row>
    <row r="284" spans="2:31">
      <c r="B284" s="561" t="s">
        <v>445</v>
      </c>
      <c r="C284" s="561" t="s">
        <v>97</v>
      </c>
      <c r="D284" s="574">
        <v>0.41</v>
      </c>
      <c r="E284" s="574">
        <v>1</v>
      </c>
      <c r="F284" s="640">
        <f t="shared" si="33"/>
        <v>6.6</v>
      </c>
      <c r="G284" s="574">
        <v>1.4</v>
      </c>
      <c r="H284" s="574">
        <f t="shared" si="41"/>
        <v>1.24</v>
      </c>
      <c r="I284" s="574">
        <f t="shared" si="42"/>
        <v>0.26</v>
      </c>
      <c r="J284" s="574">
        <v>0.12</v>
      </c>
      <c r="K284" s="574">
        <v>0.1</v>
      </c>
      <c r="L284" s="574">
        <v>0.3</v>
      </c>
      <c r="M284" s="565">
        <v>8</v>
      </c>
      <c r="N284" s="579">
        <v>4</v>
      </c>
      <c r="O284" s="580">
        <v>0</v>
      </c>
      <c r="P284" s="635" t="str">
        <f t="shared" si="34"/>
        <v>Van</v>
      </c>
      <c r="Q284" s="636">
        <f t="shared" si="35"/>
        <v>8</v>
      </c>
      <c r="R284" s="637">
        <f t="shared" si="36"/>
        <v>1</v>
      </c>
      <c r="S284" s="638">
        <f t="shared" si="37"/>
        <v>0</v>
      </c>
      <c r="T284" s="564">
        <f t="shared" si="38"/>
        <v>0</v>
      </c>
      <c r="U284" s="639">
        <f t="shared" si="39"/>
        <v>4</v>
      </c>
      <c r="V284" s="639">
        <f t="shared" si="40"/>
        <v>0</v>
      </c>
      <c r="AD284" s="586"/>
      <c r="AE284" s="586"/>
    </row>
    <row r="285" spans="2:31">
      <c r="B285" s="561" t="s">
        <v>446</v>
      </c>
      <c r="C285" s="561" t="s">
        <v>97</v>
      </c>
      <c r="D285" s="574">
        <v>0.41</v>
      </c>
      <c r="E285" s="574">
        <v>1</v>
      </c>
      <c r="F285" s="640">
        <f t="shared" si="33"/>
        <v>7.1</v>
      </c>
      <c r="G285" s="574">
        <v>1.4</v>
      </c>
      <c r="H285" s="574">
        <f t="shared" si="41"/>
        <v>1.33</v>
      </c>
      <c r="I285" s="574">
        <f t="shared" si="42"/>
        <v>0.26</v>
      </c>
      <c r="J285" s="574">
        <v>0.12</v>
      </c>
      <c r="K285" s="574">
        <v>0.1</v>
      </c>
      <c r="L285" s="574">
        <v>0.3</v>
      </c>
      <c r="M285" s="565">
        <v>8.5</v>
      </c>
      <c r="N285" s="579">
        <v>4</v>
      </c>
      <c r="O285" s="580">
        <v>0</v>
      </c>
      <c r="P285" s="635" t="str">
        <f t="shared" si="34"/>
        <v>Van</v>
      </c>
      <c r="Q285" s="636">
        <f t="shared" si="35"/>
        <v>8.5</v>
      </c>
      <c r="R285" s="637">
        <f t="shared" si="36"/>
        <v>1</v>
      </c>
      <c r="S285" s="638">
        <f t="shared" si="37"/>
        <v>0</v>
      </c>
      <c r="T285" s="564">
        <f t="shared" si="38"/>
        <v>0</v>
      </c>
      <c r="U285" s="639">
        <f t="shared" si="39"/>
        <v>4</v>
      </c>
      <c r="V285" s="639">
        <f t="shared" si="40"/>
        <v>0</v>
      </c>
      <c r="AD285" s="586"/>
      <c r="AE285" s="586"/>
    </row>
    <row r="286" spans="2:31">
      <c r="B286" s="561" t="s">
        <v>447</v>
      </c>
      <c r="C286" s="561" t="s">
        <v>97</v>
      </c>
      <c r="D286" s="574">
        <v>0.41</v>
      </c>
      <c r="E286" s="574">
        <v>1</v>
      </c>
      <c r="F286" s="640">
        <f t="shared" si="33"/>
        <v>7.6</v>
      </c>
      <c r="G286" s="574">
        <v>1.4</v>
      </c>
      <c r="H286" s="574">
        <f t="shared" si="41"/>
        <v>1.43</v>
      </c>
      <c r="I286" s="574">
        <f t="shared" si="42"/>
        <v>0.26</v>
      </c>
      <c r="J286" s="574">
        <v>0.12</v>
      </c>
      <c r="K286" s="574">
        <v>0.1</v>
      </c>
      <c r="L286" s="574">
        <v>0.3</v>
      </c>
      <c r="M286" s="565">
        <v>9</v>
      </c>
      <c r="N286" s="579">
        <v>4</v>
      </c>
      <c r="O286" s="580">
        <v>0</v>
      </c>
      <c r="P286" s="635" t="str">
        <f t="shared" si="34"/>
        <v>Van</v>
      </c>
      <c r="Q286" s="636">
        <f t="shared" si="35"/>
        <v>9</v>
      </c>
      <c r="R286" s="637">
        <f t="shared" si="36"/>
        <v>1</v>
      </c>
      <c r="S286" s="638">
        <f t="shared" si="37"/>
        <v>0</v>
      </c>
      <c r="T286" s="564">
        <f t="shared" si="38"/>
        <v>0</v>
      </c>
      <c r="U286" s="639">
        <f t="shared" si="39"/>
        <v>4</v>
      </c>
      <c r="V286" s="639">
        <f t="shared" si="40"/>
        <v>0</v>
      </c>
      <c r="AD286" s="586"/>
      <c r="AE286" s="586"/>
    </row>
    <row r="287" spans="2:31">
      <c r="B287" s="561" t="s">
        <v>448</v>
      </c>
      <c r="C287" s="561" t="s">
        <v>97</v>
      </c>
      <c r="D287" s="574">
        <v>0.41</v>
      </c>
      <c r="E287" s="574">
        <v>1</v>
      </c>
      <c r="F287" s="640">
        <f t="shared" si="33"/>
        <v>8.1</v>
      </c>
      <c r="G287" s="574">
        <v>1.4</v>
      </c>
      <c r="H287" s="574">
        <f t="shared" si="41"/>
        <v>1.52</v>
      </c>
      <c r="I287" s="574">
        <f t="shared" si="42"/>
        <v>0.26</v>
      </c>
      <c r="J287" s="574">
        <v>0.12</v>
      </c>
      <c r="K287" s="574">
        <v>0.1</v>
      </c>
      <c r="L287" s="574">
        <v>0.3</v>
      </c>
      <c r="M287" s="565">
        <v>9.5</v>
      </c>
      <c r="N287" s="579">
        <v>4</v>
      </c>
      <c r="O287" s="580">
        <v>0</v>
      </c>
      <c r="P287" s="635" t="str">
        <f t="shared" si="34"/>
        <v>Van</v>
      </c>
      <c r="Q287" s="636">
        <f t="shared" si="35"/>
        <v>9.5</v>
      </c>
      <c r="R287" s="637">
        <f t="shared" si="36"/>
        <v>1</v>
      </c>
      <c r="S287" s="638">
        <f t="shared" si="37"/>
        <v>0</v>
      </c>
      <c r="T287" s="564">
        <f t="shared" si="38"/>
        <v>0</v>
      </c>
      <c r="U287" s="639">
        <f t="shared" si="39"/>
        <v>4</v>
      </c>
      <c r="V287" s="639">
        <f t="shared" si="40"/>
        <v>0</v>
      </c>
      <c r="AD287" s="586"/>
      <c r="AE287" s="586"/>
    </row>
    <row r="288" spans="2:31">
      <c r="B288" s="561" t="s">
        <v>466</v>
      </c>
      <c r="C288" s="561" t="s">
        <v>97</v>
      </c>
      <c r="D288" s="574">
        <v>0.41</v>
      </c>
      <c r="E288" s="574">
        <v>1</v>
      </c>
      <c r="F288" s="640">
        <f t="shared" si="33"/>
        <v>8.6</v>
      </c>
      <c r="G288" s="574">
        <v>1.4</v>
      </c>
      <c r="H288" s="574">
        <f t="shared" si="41"/>
        <v>1.62</v>
      </c>
      <c r="I288" s="574">
        <f t="shared" si="42"/>
        <v>0.26</v>
      </c>
      <c r="J288" s="574">
        <v>0.12</v>
      </c>
      <c r="K288" s="574">
        <v>0.1</v>
      </c>
      <c r="L288" s="574">
        <v>0.3</v>
      </c>
      <c r="M288" s="565">
        <v>10</v>
      </c>
      <c r="N288" s="579">
        <v>4</v>
      </c>
      <c r="O288" s="580">
        <v>0</v>
      </c>
      <c r="P288" s="635" t="str">
        <f t="shared" si="34"/>
        <v>Van</v>
      </c>
      <c r="Q288" s="636">
        <f t="shared" si="35"/>
        <v>10</v>
      </c>
      <c r="R288" s="637">
        <f t="shared" si="36"/>
        <v>1</v>
      </c>
      <c r="S288" s="638">
        <f t="shared" si="37"/>
        <v>0</v>
      </c>
      <c r="T288" s="564">
        <f t="shared" si="38"/>
        <v>0</v>
      </c>
      <c r="U288" s="639">
        <f t="shared" si="39"/>
        <v>4</v>
      </c>
      <c r="V288" s="639">
        <f t="shared" si="40"/>
        <v>0</v>
      </c>
      <c r="AD288" s="586"/>
      <c r="AE288" s="586"/>
    </row>
    <row r="289" spans="2:31">
      <c r="B289" s="561" t="s">
        <v>467</v>
      </c>
      <c r="C289" s="561" t="s">
        <v>97</v>
      </c>
      <c r="D289" s="574">
        <v>0.41</v>
      </c>
      <c r="E289" s="574">
        <v>1</v>
      </c>
      <c r="F289" s="640">
        <f t="shared" si="33"/>
        <v>9.1</v>
      </c>
      <c r="G289" s="574">
        <v>1.4</v>
      </c>
      <c r="H289" s="574">
        <f t="shared" si="41"/>
        <v>1.71</v>
      </c>
      <c r="I289" s="574">
        <f t="shared" si="42"/>
        <v>0.26</v>
      </c>
      <c r="J289" s="574">
        <v>0.12</v>
      </c>
      <c r="K289" s="574">
        <v>0.1</v>
      </c>
      <c r="L289" s="574">
        <v>0.3</v>
      </c>
      <c r="M289" s="565">
        <v>10.5</v>
      </c>
      <c r="N289" s="579">
        <v>4</v>
      </c>
      <c r="O289" s="580">
        <v>0</v>
      </c>
      <c r="P289" s="635" t="str">
        <f t="shared" si="34"/>
        <v>Van</v>
      </c>
      <c r="Q289" s="636">
        <f t="shared" si="35"/>
        <v>10.5</v>
      </c>
      <c r="R289" s="637">
        <f t="shared" si="36"/>
        <v>1</v>
      </c>
      <c r="S289" s="638">
        <f t="shared" si="37"/>
        <v>0</v>
      </c>
      <c r="T289" s="564">
        <f t="shared" si="38"/>
        <v>0</v>
      </c>
      <c r="U289" s="639">
        <f t="shared" si="39"/>
        <v>4</v>
      </c>
      <c r="V289" s="639">
        <f t="shared" si="40"/>
        <v>0</v>
      </c>
      <c r="AD289" s="586"/>
      <c r="AE289" s="586"/>
    </row>
    <row r="290" spans="2:31">
      <c r="B290" s="561" t="s">
        <v>468</v>
      </c>
      <c r="C290" s="561" t="s">
        <v>97</v>
      </c>
      <c r="D290" s="574">
        <v>0.41</v>
      </c>
      <c r="E290" s="574">
        <v>1</v>
      </c>
      <c r="F290" s="640">
        <f t="shared" si="33"/>
        <v>9.6</v>
      </c>
      <c r="G290" s="574">
        <v>1.4</v>
      </c>
      <c r="H290" s="574">
        <f t="shared" si="41"/>
        <v>1.8</v>
      </c>
      <c r="I290" s="574">
        <f t="shared" si="42"/>
        <v>0.26</v>
      </c>
      <c r="J290" s="574">
        <v>0.12</v>
      </c>
      <c r="K290" s="574">
        <v>0.1</v>
      </c>
      <c r="L290" s="574">
        <v>0.3</v>
      </c>
      <c r="M290" s="565">
        <v>11</v>
      </c>
      <c r="N290" s="579">
        <v>4</v>
      </c>
      <c r="O290" s="580">
        <v>0</v>
      </c>
      <c r="P290" s="635" t="str">
        <f t="shared" si="34"/>
        <v>Van</v>
      </c>
      <c r="Q290" s="636">
        <f t="shared" si="35"/>
        <v>11</v>
      </c>
      <c r="R290" s="637">
        <f t="shared" si="36"/>
        <v>1</v>
      </c>
      <c r="S290" s="638">
        <f t="shared" si="37"/>
        <v>0</v>
      </c>
      <c r="T290" s="564">
        <f t="shared" si="38"/>
        <v>0</v>
      </c>
      <c r="U290" s="639">
        <f t="shared" si="39"/>
        <v>4</v>
      </c>
      <c r="V290" s="639">
        <f t="shared" si="40"/>
        <v>0</v>
      </c>
      <c r="AD290" s="586"/>
      <c r="AE290" s="586"/>
    </row>
    <row r="291" spans="2:31">
      <c r="B291" s="561" t="s">
        <v>469</v>
      </c>
      <c r="C291" s="561" t="s">
        <v>97</v>
      </c>
      <c r="D291" s="574">
        <v>0.41</v>
      </c>
      <c r="E291" s="574">
        <v>1</v>
      </c>
      <c r="F291" s="640">
        <f t="shared" si="33"/>
        <v>10.1</v>
      </c>
      <c r="G291" s="574">
        <v>1.4</v>
      </c>
      <c r="H291" s="574">
        <f t="shared" si="41"/>
        <v>1.9</v>
      </c>
      <c r="I291" s="574">
        <f t="shared" si="42"/>
        <v>0.26</v>
      </c>
      <c r="J291" s="574">
        <v>0.12</v>
      </c>
      <c r="K291" s="574">
        <v>0.1</v>
      </c>
      <c r="L291" s="574">
        <v>0.3</v>
      </c>
      <c r="M291" s="565">
        <v>11.5</v>
      </c>
      <c r="N291" s="579">
        <v>4</v>
      </c>
      <c r="O291" s="580">
        <v>0</v>
      </c>
      <c r="P291" s="635" t="str">
        <f t="shared" si="34"/>
        <v>Van</v>
      </c>
      <c r="Q291" s="636">
        <f t="shared" si="35"/>
        <v>11.5</v>
      </c>
      <c r="R291" s="637">
        <f t="shared" si="36"/>
        <v>1</v>
      </c>
      <c r="S291" s="638">
        <f t="shared" si="37"/>
        <v>0</v>
      </c>
      <c r="T291" s="564">
        <f t="shared" si="38"/>
        <v>0</v>
      </c>
      <c r="U291" s="639">
        <f t="shared" si="39"/>
        <v>4</v>
      </c>
      <c r="V291" s="639">
        <f t="shared" si="40"/>
        <v>0</v>
      </c>
      <c r="AD291" s="586"/>
      <c r="AE291" s="586"/>
    </row>
    <row r="292" spans="2:31">
      <c r="B292" s="561" t="s">
        <v>470</v>
      </c>
      <c r="C292" s="561" t="s">
        <v>97</v>
      </c>
      <c r="D292" s="574">
        <v>0.41</v>
      </c>
      <c r="E292" s="574">
        <v>1</v>
      </c>
      <c r="F292" s="640">
        <f t="shared" si="33"/>
        <v>10.6</v>
      </c>
      <c r="G292" s="574">
        <v>1.4</v>
      </c>
      <c r="H292" s="574">
        <f>ROUND(F292*$L$51,2)</f>
        <v>1.99</v>
      </c>
      <c r="I292" s="574">
        <f>ROUND(G292*$L$51,2)</f>
        <v>0.26</v>
      </c>
      <c r="J292" s="574">
        <v>0.12</v>
      </c>
      <c r="K292" s="574">
        <v>0.1</v>
      </c>
      <c r="L292" s="574">
        <v>0.3</v>
      </c>
      <c r="M292" s="565">
        <v>12</v>
      </c>
      <c r="N292" s="579">
        <v>4</v>
      </c>
      <c r="O292" s="580">
        <v>0</v>
      </c>
      <c r="P292" s="635" t="str">
        <f t="shared" si="34"/>
        <v>Van</v>
      </c>
      <c r="Q292" s="636">
        <f t="shared" si="35"/>
        <v>12</v>
      </c>
      <c r="R292" s="637">
        <f t="shared" si="36"/>
        <v>1</v>
      </c>
      <c r="S292" s="638">
        <f t="shared" si="37"/>
        <v>0</v>
      </c>
      <c r="T292" s="564">
        <f t="shared" si="38"/>
        <v>0</v>
      </c>
      <c r="U292" s="639">
        <f t="shared" si="39"/>
        <v>4</v>
      </c>
      <c r="V292" s="639">
        <f t="shared" si="40"/>
        <v>0</v>
      </c>
      <c r="AD292" s="586"/>
      <c r="AE292" s="586"/>
    </row>
    <row r="293" spans="2:31">
      <c r="B293" s="561" t="s">
        <v>477</v>
      </c>
      <c r="C293" s="561" t="s">
        <v>97</v>
      </c>
      <c r="D293" s="574">
        <v>0.41</v>
      </c>
      <c r="E293" s="574">
        <v>1</v>
      </c>
      <c r="F293" s="640">
        <f t="shared" si="33"/>
        <v>11.1</v>
      </c>
      <c r="G293" s="574">
        <v>1.4</v>
      </c>
      <c r="H293" s="574">
        <f t="shared" ref="H293:H299" si="43">ROUND(F293*$L$51,2)</f>
        <v>2.09</v>
      </c>
      <c r="I293" s="574">
        <f t="shared" ref="I293:I299" si="44">ROUND(G293*$L$51,2)</f>
        <v>0.26</v>
      </c>
      <c r="J293" s="574">
        <v>0.12</v>
      </c>
      <c r="K293" s="574">
        <v>0.1</v>
      </c>
      <c r="L293" s="574">
        <v>0.3</v>
      </c>
      <c r="M293" s="565">
        <v>12.5</v>
      </c>
      <c r="N293" s="579">
        <v>4</v>
      </c>
      <c r="O293" s="580">
        <v>0</v>
      </c>
      <c r="P293" s="635" t="str">
        <f t="shared" si="34"/>
        <v>Van</v>
      </c>
      <c r="Q293" s="636">
        <f t="shared" si="35"/>
        <v>12.5</v>
      </c>
      <c r="R293" s="637">
        <f t="shared" si="36"/>
        <v>1</v>
      </c>
      <c r="S293" s="638">
        <f t="shared" si="37"/>
        <v>0</v>
      </c>
      <c r="T293" s="564">
        <f t="shared" si="38"/>
        <v>0</v>
      </c>
      <c r="U293" s="639">
        <f t="shared" si="39"/>
        <v>4</v>
      </c>
      <c r="V293" s="639">
        <f t="shared" si="40"/>
        <v>0</v>
      </c>
      <c r="AD293" s="586"/>
      <c r="AE293" s="586"/>
    </row>
    <row r="294" spans="2:31">
      <c r="B294" s="561" t="s">
        <v>471</v>
      </c>
      <c r="C294" s="561" t="s">
        <v>97</v>
      </c>
      <c r="D294" s="574">
        <v>0.41</v>
      </c>
      <c r="E294" s="574">
        <v>1</v>
      </c>
      <c r="F294" s="640">
        <f t="shared" si="33"/>
        <v>11.6</v>
      </c>
      <c r="G294" s="574">
        <v>1.4</v>
      </c>
      <c r="H294" s="574">
        <f t="shared" si="43"/>
        <v>2.1800000000000002</v>
      </c>
      <c r="I294" s="574">
        <f t="shared" si="44"/>
        <v>0.26</v>
      </c>
      <c r="J294" s="574">
        <v>0.12</v>
      </c>
      <c r="K294" s="574">
        <v>0.1</v>
      </c>
      <c r="L294" s="574">
        <v>0.3</v>
      </c>
      <c r="M294" s="565">
        <v>13</v>
      </c>
      <c r="N294" s="579">
        <v>4</v>
      </c>
      <c r="O294" s="580">
        <v>0</v>
      </c>
      <c r="P294" s="635" t="str">
        <f t="shared" si="34"/>
        <v>Van</v>
      </c>
      <c r="Q294" s="636">
        <f t="shared" si="35"/>
        <v>13</v>
      </c>
      <c r="R294" s="637">
        <f t="shared" si="36"/>
        <v>1</v>
      </c>
      <c r="S294" s="638">
        <f t="shared" si="37"/>
        <v>0</v>
      </c>
      <c r="T294" s="564">
        <f t="shared" si="38"/>
        <v>0</v>
      </c>
      <c r="U294" s="639">
        <f t="shared" si="39"/>
        <v>4</v>
      </c>
      <c r="V294" s="639">
        <f t="shared" si="40"/>
        <v>0</v>
      </c>
      <c r="AD294" s="586"/>
      <c r="AE294" s="586"/>
    </row>
    <row r="295" spans="2:31">
      <c r="B295" s="561" t="s">
        <v>472</v>
      </c>
      <c r="C295" s="561" t="s">
        <v>97</v>
      </c>
      <c r="D295" s="574">
        <v>0.41</v>
      </c>
      <c r="E295" s="574">
        <v>1</v>
      </c>
      <c r="F295" s="640">
        <f t="shared" si="33"/>
        <v>12.1</v>
      </c>
      <c r="G295" s="574">
        <v>1.4</v>
      </c>
      <c r="H295" s="574">
        <f t="shared" si="43"/>
        <v>2.27</v>
      </c>
      <c r="I295" s="574">
        <f t="shared" si="44"/>
        <v>0.26</v>
      </c>
      <c r="J295" s="574">
        <v>0.12</v>
      </c>
      <c r="K295" s="574">
        <v>0.1</v>
      </c>
      <c r="L295" s="574">
        <v>0.3</v>
      </c>
      <c r="M295" s="565">
        <v>13.5</v>
      </c>
      <c r="N295" s="579">
        <v>4</v>
      </c>
      <c r="O295" s="580">
        <v>0</v>
      </c>
      <c r="P295" s="635" t="str">
        <f t="shared" si="34"/>
        <v>Van</v>
      </c>
      <c r="Q295" s="636">
        <f t="shared" si="35"/>
        <v>13.5</v>
      </c>
      <c r="R295" s="637">
        <f t="shared" si="36"/>
        <v>1</v>
      </c>
      <c r="S295" s="638">
        <f t="shared" si="37"/>
        <v>0</v>
      </c>
      <c r="T295" s="564">
        <f t="shared" si="38"/>
        <v>0</v>
      </c>
      <c r="U295" s="639">
        <f t="shared" si="39"/>
        <v>4</v>
      </c>
      <c r="V295" s="639">
        <f t="shared" si="40"/>
        <v>0</v>
      </c>
      <c r="AD295" s="586"/>
      <c r="AE295" s="586"/>
    </row>
    <row r="296" spans="2:31">
      <c r="B296" s="561" t="s">
        <v>473</v>
      </c>
      <c r="C296" s="561" t="s">
        <v>97</v>
      </c>
      <c r="D296" s="574">
        <v>0.41</v>
      </c>
      <c r="E296" s="574">
        <v>1</v>
      </c>
      <c r="F296" s="640">
        <f t="shared" si="33"/>
        <v>12.6</v>
      </c>
      <c r="G296" s="574">
        <v>1.4</v>
      </c>
      <c r="H296" s="574">
        <f t="shared" si="43"/>
        <v>2.37</v>
      </c>
      <c r="I296" s="574">
        <f t="shared" si="44"/>
        <v>0.26</v>
      </c>
      <c r="J296" s="574">
        <v>0.12</v>
      </c>
      <c r="K296" s="574">
        <v>0.1</v>
      </c>
      <c r="L296" s="574">
        <v>0.3</v>
      </c>
      <c r="M296" s="565">
        <v>14</v>
      </c>
      <c r="N296" s="579">
        <v>4</v>
      </c>
      <c r="O296" s="580">
        <v>0</v>
      </c>
      <c r="P296" s="635" t="str">
        <f t="shared" si="34"/>
        <v>Van</v>
      </c>
      <c r="Q296" s="636">
        <f t="shared" si="35"/>
        <v>14</v>
      </c>
      <c r="R296" s="637">
        <f t="shared" si="36"/>
        <v>1</v>
      </c>
      <c r="S296" s="638">
        <f t="shared" si="37"/>
        <v>0</v>
      </c>
      <c r="T296" s="564">
        <f t="shared" si="38"/>
        <v>0</v>
      </c>
      <c r="U296" s="639">
        <f t="shared" si="39"/>
        <v>4</v>
      </c>
      <c r="V296" s="639">
        <f t="shared" si="40"/>
        <v>0</v>
      </c>
      <c r="AD296" s="586"/>
      <c r="AE296" s="586"/>
    </row>
    <row r="297" spans="2:31">
      <c r="B297" s="561" t="s">
        <v>474</v>
      </c>
      <c r="C297" s="561" t="s">
        <v>97</v>
      </c>
      <c r="D297" s="574">
        <v>0.41</v>
      </c>
      <c r="E297" s="574">
        <v>1</v>
      </c>
      <c r="F297" s="640">
        <f t="shared" si="33"/>
        <v>13.1</v>
      </c>
      <c r="G297" s="574">
        <v>1.4</v>
      </c>
      <c r="H297" s="574">
        <f t="shared" si="43"/>
        <v>2.46</v>
      </c>
      <c r="I297" s="574">
        <f t="shared" si="44"/>
        <v>0.26</v>
      </c>
      <c r="J297" s="574">
        <v>0.12</v>
      </c>
      <c r="K297" s="574">
        <v>0.1</v>
      </c>
      <c r="L297" s="574">
        <v>0.3</v>
      </c>
      <c r="M297" s="565">
        <v>14.5</v>
      </c>
      <c r="N297" s="579">
        <v>4</v>
      </c>
      <c r="O297" s="580">
        <v>0</v>
      </c>
      <c r="P297" s="635" t="str">
        <f t="shared" si="34"/>
        <v>Van</v>
      </c>
      <c r="Q297" s="636">
        <f t="shared" si="35"/>
        <v>14.5</v>
      </c>
      <c r="R297" s="637">
        <f t="shared" si="36"/>
        <v>1</v>
      </c>
      <c r="S297" s="638">
        <f t="shared" si="37"/>
        <v>0</v>
      </c>
      <c r="T297" s="564">
        <f t="shared" si="38"/>
        <v>0</v>
      </c>
      <c r="U297" s="639">
        <f t="shared" si="39"/>
        <v>4</v>
      </c>
      <c r="V297" s="639">
        <f t="shared" si="40"/>
        <v>0</v>
      </c>
      <c r="AD297" s="586"/>
      <c r="AE297" s="586"/>
    </row>
    <row r="298" spans="2:31">
      <c r="B298" s="561" t="s">
        <v>475</v>
      </c>
      <c r="C298" s="561" t="s">
        <v>97</v>
      </c>
      <c r="D298" s="574">
        <v>0.41</v>
      </c>
      <c r="E298" s="574">
        <v>1</v>
      </c>
      <c r="F298" s="640">
        <f t="shared" si="33"/>
        <v>13.6</v>
      </c>
      <c r="G298" s="574">
        <v>1.4</v>
      </c>
      <c r="H298" s="574">
        <f t="shared" si="43"/>
        <v>2.56</v>
      </c>
      <c r="I298" s="574">
        <f t="shared" si="44"/>
        <v>0.26</v>
      </c>
      <c r="J298" s="574">
        <v>0.12</v>
      </c>
      <c r="K298" s="574">
        <v>0.1</v>
      </c>
      <c r="L298" s="574">
        <v>0.3</v>
      </c>
      <c r="M298" s="565">
        <v>15</v>
      </c>
      <c r="N298" s="579">
        <v>4</v>
      </c>
      <c r="O298" s="580">
        <v>0</v>
      </c>
      <c r="P298" s="635" t="str">
        <f t="shared" si="34"/>
        <v>Van</v>
      </c>
      <c r="Q298" s="636">
        <f t="shared" si="35"/>
        <v>15</v>
      </c>
      <c r="R298" s="637">
        <f t="shared" si="36"/>
        <v>1</v>
      </c>
      <c r="S298" s="638">
        <f t="shared" si="37"/>
        <v>0</v>
      </c>
      <c r="T298" s="564">
        <f t="shared" si="38"/>
        <v>0</v>
      </c>
      <c r="U298" s="639">
        <f t="shared" si="39"/>
        <v>4</v>
      </c>
      <c r="V298" s="639">
        <f t="shared" si="40"/>
        <v>0</v>
      </c>
      <c r="AD298" s="586"/>
      <c r="AE298" s="586"/>
    </row>
    <row r="299" spans="2:31" ht="15.75" thickBot="1">
      <c r="B299" s="566" t="s">
        <v>476</v>
      </c>
      <c r="C299" s="566" t="s">
        <v>97</v>
      </c>
      <c r="D299" s="576">
        <v>0.41</v>
      </c>
      <c r="E299" s="576">
        <v>1</v>
      </c>
      <c r="F299" s="641">
        <f t="shared" si="33"/>
        <v>14.1</v>
      </c>
      <c r="G299" s="576">
        <v>1.4</v>
      </c>
      <c r="H299" s="576">
        <f t="shared" si="43"/>
        <v>2.65</v>
      </c>
      <c r="I299" s="576">
        <f t="shared" si="44"/>
        <v>0.26</v>
      </c>
      <c r="J299" s="576">
        <v>0.12</v>
      </c>
      <c r="K299" s="576">
        <v>0.1</v>
      </c>
      <c r="L299" s="576">
        <v>0.3</v>
      </c>
      <c r="M299" s="567">
        <v>15.5</v>
      </c>
      <c r="N299" s="581">
        <v>4</v>
      </c>
      <c r="O299" s="582">
        <v>0</v>
      </c>
      <c r="P299" s="635" t="str">
        <f t="shared" si="34"/>
        <v>Van</v>
      </c>
      <c r="Q299" s="636">
        <f t="shared" si="35"/>
        <v>15.5</v>
      </c>
      <c r="R299" s="637">
        <f t="shared" si="36"/>
        <v>1</v>
      </c>
      <c r="S299" s="638">
        <f t="shared" si="37"/>
        <v>0</v>
      </c>
      <c r="T299" s="564">
        <f t="shared" si="38"/>
        <v>0</v>
      </c>
      <c r="U299" s="639">
        <f t="shared" si="39"/>
        <v>4</v>
      </c>
      <c r="V299" s="639">
        <f t="shared" si="40"/>
        <v>0</v>
      </c>
      <c r="AD299" s="586"/>
      <c r="AE299" s="586"/>
    </row>
  </sheetData>
  <mergeCells count="29">
    <mergeCell ref="L3:O3"/>
    <mergeCell ref="B32:C32"/>
    <mergeCell ref="B33:C33"/>
    <mergeCell ref="B29:G29"/>
    <mergeCell ref="AA2:AD2"/>
    <mergeCell ref="E14:F14"/>
    <mergeCell ref="B24:H24"/>
    <mergeCell ref="L11:O11"/>
    <mergeCell ref="L12:O12"/>
    <mergeCell ref="D33:E33"/>
    <mergeCell ref="D32:E32"/>
    <mergeCell ref="D31:E31"/>
    <mergeCell ref="D30:E30"/>
    <mergeCell ref="L8:O8"/>
    <mergeCell ref="L4:O4"/>
    <mergeCell ref="B31:C31"/>
    <mergeCell ref="B56:F56"/>
    <mergeCell ref="L9:O9"/>
    <mergeCell ref="L7:O7"/>
    <mergeCell ref="L5:O5"/>
    <mergeCell ref="L10:O10"/>
    <mergeCell ref="J45:L45"/>
    <mergeCell ref="B34:C34"/>
    <mergeCell ref="B30:C30"/>
    <mergeCell ref="L6:O6"/>
    <mergeCell ref="B38:N38"/>
    <mergeCell ref="D35:E35"/>
    <mergeCell ref="D34:E34"/>
    <mergeCell ref="B35:C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E142-C74D-4EC3-BB48-C07BF107CE9A}">
  <dimension ref="B1:R21"/>
  <sheetViews>
    <sheetView zoomScale="80" zoomScaleNormal="80" workbookViewId="0">
      <selection activeCell="B2" sqref="B2:L2"/>
    </sheetView>
  </sheetViews>
  <sheetFormatPr defaultColWidth="8.5703125" defaultRowHeight="15"/>
  <cols>
    <col min="2" max="2" width="18.42578125" bestFit="1" customWidth="1"/>
    <col min="3" max="3" width="13.42578125" bestFit="1" customWidth="1"/>
    <col min="4" max="4" width="8.42578125" bestFit="1" customWidth="1"/>
    <col min="5" max="5" width="12.42578125" bestFit="1" customWidth="1"/>
    <col min="6" max="6" width="10.85546875" bestFit="1" customWidth="1"/>
    <col min="7" max="7" width="8.5703125" bestFit="1" customWidth="1"/>
    <col min="8" max="8" width="8.42578125" bestFit="1" customWidth="1"/>
    <col min="9" max="9" width="13.85546875" customWidth="1"/>
    <col min="10" max="10" width="16.42578125" customWidth="1"/>
    <col min="11" max="11" width="18" customWidth="1"/>
    <col min="12" max="12" width="11.5703125" bestFit="1" customWidth="1"/>
    <col min="15" max="15" width="25" customWidth="1"/>
  </cols>
  <sheetData>
    <row r="1" spans="2:18" ht="62.25" customHeight="1">
      <c r="J1" s="697"/>
      <c r="K1" s="697"/>
    </row>
    <row r="2" spans="2:18">
      <c r="B2" s="276" t="s">
        <v>380</v>
      </c>
      <c r="C2" s="277"/>
      <c r="D2" s="277"/>
      <c r="E2" s="277"/>
      <c r="F2" s="277"/>
      <c r="G2" s="277"/>
      <c r="H2" s="277"/>
      <c r="I2" s="277"/>
      <c r="J2" s="277"/>
      <c r="K2" s="277"/>
      <c r="L2" s="470"/>
    </row>
    <row r="3" spans="2:18">
      <c r="B3" s="276" t="s">
        <v>381</v>
      </c>
      <c r="C3" s="279" t="s">
        <v>2</v>
      </c>
      <c r="D3" s="277" t="s">
        <v>137</v>
      </c>
      <c r="E3" s="279" t="s">
        <v>99</v>
      </c>
      <c r="F3" s="277" t="s">
        <v>138</v>
      </c>
      <c r="G3" s="279" t="s">
        <v>55</v>
      </c>
      <c r="H3" s="277" t="s">
        <v>139</v>
      </c>
      <c r="I3" s="279" t="s">
        <v>100</v>
      </c>
      <c r="J3" s="277" t="s">
        <v>101</v>
      </c>
      <c r="K3" s="279" t="s">
        <v>102</v>
      </c>
      <c r="L3" s="279" t="s">
        <v>103</v>
      </c>
    </row>
    <row r="4" spans="2:18">
      <c r="B4" s="199" t="s">
        <v>104</v>
      </c>
      <c r="C4" s="180">
        <f>'Master Data'!C4</f>
        <v>46842.432000000008</v>
      </c>
      <c r="D4" s="280">
        <f>'Master Data'!$B$54</f>
        <v>0.24970000000000001</v>
      </c>
      <c r="E4" s="180">
        <f>C4*D4</f>
        <v>11696.555270400002</v>
      </c>
      <c r="F4" s="280">
        <f>'Master Data'!$F$54</f>
        <v>0</v>
      </c>
      <c r="G4" s="180">
        <f>C4*F4</f>
        <v>0</v>
      </c>
      <c r="H4" s="280">
        <f>'Master Data'!$E$54</f>
        <v>2.9959041375791508E-2</v>
      </c>
      <c r="I4" s="180">
        <f>(E4+C4)*H4</f>
        <v>1753.7719417308463</v>
      </c>
      <c r="J4" s="169">
        <f>$L$21</f>
        <v>1944</v>
      </c>
      <c r="K4" s="180"/>
      <c r="L4" s="180">
        <f>ROUND(SUM($C$4+$E$4+$G$4+$I$4)/$J$4,2)</f>
        <v>31.01</v>
      </c>
    </row>
    <row r="5" spans="2:18">
      <c r="B5" s="199" t="s">
        <v>105</v>
      </c>
      <c r="C5" s="201">
        <f>ROUND(('Master Data'!C4*0.88)+('Master Data'!C5*0.12),2)</f>
        <v>47987.98</v>
      </c>
      <c r="D5" s="280">
        <f>'Master Data'!$B$54</f>
        <v>0.24970000000000001</v>
      </c>
      <c r="E5" s="180">
        <f>C5*D5</f>
        <v>11982.598606000001</v>
      </c>
      <c r="F5" s="280">
        <f>'Master Data'!$F$54</f>
        <v>0</v>
      </c>
      <c r="G5" s="180">
        <f>C5*F5</f>
        <v>0</v>
      </c>
      <c r="H5" s="280">
        <f>'Master Data'!$E$54</f>
        <v>2.9959041375791508E-2</v>
      </c>
      <c r="I5" s="180">
        <f>(E5+C5)*H5</f>
        <v>1796.6610457873112</v>
      </c>
      <c r="J5" s="169">
        <f>$L$21</f>
        <v>1944</v>
      </c>
      <c r="K5" s="180"/>
      <c r="L5" s="180">
        <f>ROUND(SUM(C5+E5+G5+I5)/J5,2)</f>
        <v>31.77</v>
      </c>
    </row>
    <row r="6" spans="2:18">
      <c r="B6" s="199" t="s">
        <v>391</v>
      </c>
      <c r="C6" s="202">
        <f>'Master Data'!C6</f>
        <v>45763.328000000001</v>
      </c>
      <c r="D6" s="280">
        <f>'Master Data'!$B$54</f>
        <v>0.24970000000000001</v>
      </c>
      <c r="E6" s="180">
        <f>C6*D6</f>
        <v>11427.1030016</v>
      </c>
      <c r="F6" s="280">
        <f>'Master Data'!$F$54</f>
        <v>0</v>
      </c>
      <c r="G6" s="180">
        <f>C6*F6</f>
        <v>0</v>
      </c>
      <c r="H6" s="280">
        <f>'Master Data'!$E$54</f>
        <v>2.9959041375791508E-2</v>
      </c>
      <c r="I6" s="180">
        <f>(E6+C6)*H6</f>
        <v>1713.3704886762839</v>
      </c>
      <c r="J6" s="169">
        <f>$L$21</f>
        <v>1944</v>
      </c>
      <c r="K6" s="180"/>
      <c r="L6" s="180">
        <f>ROUND(SUM(C6+E6+G6+I6)/J6,2)-0.01</f>
        <v>30.29</v>
      </c>
    </row>
    <row r="7" spans="2:18">
      <c r="B7" s="199" t="s">
        <v>20</v>
      </c>
      <c r="C7" s="180">
        <f>'Master Data'!C13</f>
        <v>105701.44000000002</v>
      </c>
      <c r="D7" s="280">
        <f>'Master Data'!$B$54</f>
        <v>0.24970000000000001</v>
      </c>
      <c r="E7" s="180">
        <f>C7*D7</f>
        <v>26393.649568000004</v>
      </c>
      <c r="F7" s="280">
        <f>'Master Data'!$F$54</f>
        <v>0</v>
      </c>
      <c r="G7" s="180">
        <f>C7*F7</f>
        <v>0</v>
      </c>
      <c r="H7" s="280">
        <f>'Master Data'!$E$54</f>
        <v>2.9959041375791508E-2</v>
      </c>
      <c r="I7" s="180">
        <f t="shared" ref="I7:I11" si="0">(E7+C7)*H7</f>
        <v>3957.4422539065981</v>
      </c>
      <c r="J7" s="89">
        <f>$R$21</f>
        <v>1752</v>
      </c>
      <c r="K7" s="180">
        <f>ROUND((C7+E7)/J7,2)</f>
        <v>75.400000000000006</v>
      </c>
      <c r="L7" s="180">
        <f>ROUND(SUM($C$7+$E$7+$G$7+$I$7)/$J$7,2)</f>
        <v>77.66</v>
      </c>
    </row>
    <row r="8" spans="2:18">
      <c r="B8" s="199" t="s">
        <v>19</v>
      </c>
      <c r="C8" s="180">
        <f>'Master Data'!C12</f>
        <v>77098.944000000003</v>
      </c>
      <c r="D8" s="280">
        <f>'Master Data'!$B$54</f>
        <v>0.24970000000000001</v>
      </c>
      <c r="E8" s="180">
        <f t="shared" ref="E8:E11" si="1">C8*D8</f>
        <v>19251.6063168</v>
      </c>
      <c r="F8" s="280">
        <f>'Master Data'!$F$54</f>
        <v>0</v>
      </c>
      <c r="G8" s="180">
        <f t="shared" ref="G8:G11" si="2">C8*F8</f>
        <v>0</v>
      </c>
      <c r="H8" s="280">
        <f>'Master Data'!$E$54</f>
        <v>2.9959041375791508E-2</v>
      </c>
      <c r="I8" s="180">
        <f t="shared" si="0"/>
        <v>2886.5701235212928</v>
      </c>
      <c r="J8" s="89">
        <f t="shared" ref="J8:J12" si="3">$R$21</f>
        <v>1752</v>
      </c>
      <c r="K8" s="180"/>
      <c r="L8" s="180">
        <f t="shared" ref="L8:L11" si="4">ROUND(SUM(C8+E8+G8+I8)/J8,2)</f>
        <v>56.64</v>
      </c>
    </row>
    <row r="9" spans="2:18">
      <c r="B9" s="199" t="s">
        <v>3</v>
      </c>
      <c r="C9" s="180">
        <f>'Master Data'!C9</f>
        <v>84174.063999999998</v>
      </c>
      <c r="D9" s="280">
        <f>'Master Data'!$B$54</f>
        <v>0.24970000000000001</v>
      </c>
      <c r="E9" s="180">
        <f t="shared" si="1"/>
        <v>21018.2637808</v>
      </c>
      <c r="F9" s="280">
        <f>'Master Data'!$F$54</f>
        <v>0</v>
      </c>
      <c r="G9" s="180">
        <f t="shared" si="2"/>
        <v>0</v>
      </c>
      <c r="H9" s="280">
        <f>'Master Data'!$E$54</f>
        <v>2.9959041375791508E-2</v>
      </c>
      <c r="I9" s="180">
        <f t="shared" si="0"/>
        <v>3151.4613004008097</v>
      </c>
      <c r="J9" s="89">
        <f t="shared" si="3"/>
        <v>1752</v>
      </c>
      <c r="K9" s="180"/>
      <c r="L9" s="180">
        <f t="shared" si="4"/>
        <v>61.84</v>
      </c>
    </row>
    <row r="10" spans="2:18">
      <c r="B10" s="199" t="s">
        <v>147</v>
      </c>
      <c r="C10" s="180">
        <f>'Master Data'!C16</f>
        <v>101383.77600000001</v>
      </c>
      <c r="D10" s="280">
        <f>'Master Data'!$B$54</f>
        <v>0.24970000000000001</v>
      </c>
      <c r="E10" s="180">
        <f t="shared" si="1"/>
        <v>25315.528867200002</v>
      </c>
      <c r="F10" s="280">
        <f>'Master Data'!$F$54</f>
        <v>0</v>
      </c>
      <c r="G10" s="180">
        <f t="shared" si="2"/>
        <v>0</v>
      </c>
      <c r="H10" s="280">
        <f>'Master Data'!$E$54</f>
        <v>2.9959041375791508E-2</v>
      </c>
      <c r="I10" s="180">
        <f t="shared" si="0"/>
        <v>3795.7897168004674</v>
      </c>
      <c r="J10" s="89">
        <f t="shared" si="3"/>
        <v>1752</v>
      </c>
      <c r="K10" s="180"/>
      <c r="L10" s="180">
        <f t="shared" si="4"/>
        <v>74.48</v>
      </c>
    </row>
    <row r="11" spans="2:18">
      <c r="B11" s="199" t="s">
        <v>140</v>
      </c>
      <c r="C11" s="180">
        <f>'Master Data'!C15</f>
        <v>269120</v>
      </c>
      <c r="D11" s="280">
        <f>'Master Data'!$B$54</f>
        <v>0.24970000000000001</v>
      </c>
      <c r="E11" s="180">
        <f t="shared" si="1"/>
        <v>67199.263999999996</v>
      </c>
      <c r="F11" s="280">
        <f>'Master Data'!$F$54</f>
        <v>0</v>
      </c>
      <c r="G11" s="180">
        <f t="shared" si="2"/>
        <v>0</v>
      </c>
      <c r="H11" s="280">
        <f>'Master Data'!$E$54</f>
        <v>2.9959041375791508E-2</v>
      </c>
      <c r="I11" s="180">
        <f t="shared" si="0"/>
        <v>10075.802745651747</v>
      </c>
      <c r="J11" s="89">
        <f t="shared" si="3"/>
        <v>1752</v>
      </c>
      <c r="K11" s="180"/>
      <c r="L11" s="180">
        <f t="shared" si="4"/>
        <v>197.71</v>
      </c>
    </row>
    <row r="12" spans="2:18">
      <c r="B12" s="200" t="s">
        <v>153</v>
      </c>
      <c r="C12" s="168">
        <f>'Master Data'!C11</f>
        <v>101383.77600000001</v>
      </c>
      <c r="D12" s="281">
        <f>'Master Data'!$B$54</f>
        <v>0.24970000000000001</v>
      </c>
      <c r="E12" s="181">
        <f>C12*D12</f>
        <v>25315.528867200002</v>
      </c>
      <c r="F12" s="281">
        <f>'Master Data'!$F$54</f>
        <v>0</v>
      </c>
      <c r="G12" s="181">
        <f>C12*F12</f>
        <v>0</v>
      </c>
      <c r="H12" s="281">
        <f>'Master Data'!$E$54</f>
        <v>2.9959041375791508E-2</v>
      </c>
      <c r="I12" s="181">
        <f>(E12+C12)*H12</f>
        <v>3795.7897168004674</v>
      </c>
      <c r="J12" s="476">
        <f t="shared" si="3"/>
        <v>1752</v>
      </c>
      <c r="K12" s="181">
        <f>ROUND((C12+E12)/J12,2)</f>
        <v>72.319999999999993</v>
      </c>
      <c r="L12" s="388" t="s">
        <v>398</v>
      </c>
    </row>
    <row r="15" spans="2:18" ht="30">
      <c r="B15" s="233" t="s">
        <v>508</v>
      </c>
      <c r="C15" s="282">
        <f>'RDP Add On Model'!F42</f>
        <v>21.47</v>
      </c>
    </row>
    <row r="16" spans="2:18" ht="15.75" thickBot="1">
      <c r="B16" s="137"/>
      <c r="I16" s="362" t="s">
        <v>766</v>
      </c>
      <c r="J16" s="363"/>
      <c r="K16" s="364"/>
      <c r="L16" s="363"/>
      <c r="M16" s="89"/>
      <c r="N16" s="89"/>
      <c r="O16" s="365" t="s">
        <v>767</v>
      </c>
      <c r="P16" s="325"/>
      <c r="Q16" s="325"/>
      <c r="R16" s="325"/>
    </row>
    <row r="17" spans="9:18">
      <c r="I17" s="366"/>
      <c r="J17" s="367"/>
      <c r="K17" s="368" t="s">
        <v>368</v>
      </c>
      <c r="L17" s="369" t="s">
        <v>369</v>
      </c>
      <c r="M17" s="89"/>
      <c r="N17" s="89"/>
      <c r="O17" s="366"/>
      <c r="P17" s="367"/>
      <c r="Q17" s="368" t="s">
        <v>368</v>
      </c>
      <c r="R17" s="369" t="s">
        <v>369</v>
      </c>
    </row>
    <row r="18" spans="9:18">
      <c r="I18" s="370"/>
      <c r="J18" s="371" t="s">
        <v>768</v>
      </c>
      <c r="K18" s="642">
        <f>15+1</f>
        <v>16</v>
      </c>
      <c r="L18" s="372">
        <f>K18*8</f>
        <v>128</v>
      </c>
      <c r="M18" s="373"/>
      <c r="N18" s="373"/>
      <c r="O18" s="370"/>
      <c r="P18" s="371" t="s">
        <v>768</v>
      </c>
      <c r="Q18" s="642">
        <f>15+1</f>
        <v>16</v>
      </c>
      <c r="R18" s="372">
        <f>Q18*8</f>
        <v>128</v>
      </c>
    </row>
    <row r="19" spans="9:18">
      <c r="I19" s="374"/>
      <c r="J19" s="375" t="s">
        <v>769</v>
      </c>
      <c r="K19" s="643">
        <v>1</v>
      </c>
      <c r="L19" s="376">
        <f>K19*8</f>
        <v>8</v>
      </c>
      <c r="M19" s="377"/>
      <c r="N19" s="377"/>
      <c r="O19" s="378"/>
      <c r="P19" s="379" t="s">
        <v>770</v>
      </c>
      <c r="Q19" s="643">
        <v>25</v>
      </c>
      <c r="R19" s="380">
        <f>Q19*8</f>
        <v>200</v>
      </c>
    </row>
    <row r="20" spans="9:18">
      <c r="I20" s="370"/>
      <c r="J20" s="381"/>
      <c r="K20" s="371" t="s">
        <v>577</v>
      </c>
      <c r="L20" s="382">
        <f>SUM(L18:L19)</f>
        <v>136</v>
      </c>
      <c r="M20" s="89"/>
      <c r="N20" s="89"/>
      <c r="O20" s="370"/>
      <c r="P20" s="381"/>
      <c r="Q20" s="371" t="s">
        <v>577</v>
      </c>
      <c r="R20" s="372">
        <f>SUM(R18:R19)</f>
        <v>328</v>
      </c>
    </row>
    <row r="21" spans="9:18" ht="15.75" thickBot="1">
      <c r="I21" s="383"/>
      <c r="J21" s="384"/>
      <c r="K21" s="385" t="s">
        <v>101</v>
      </c>
      <c r="L21" s="386">
        <f>2080-L20</f>
        <v>1944</v>
      </c>
      <c r="M21" s="89"/>
      <c r="N21" s="89"/>
      <c r="O21" s="383"/>
      <c r="P21" s="384"/>
      <c r="Q21" s="385" t="s">
        <v>101</v>
      </c>
      <c r="R21" s="387">
        <f>2080-R20</f>
        <v>1752</v>
      </c>
    </row>
  </sheetData>
  <mergeCells count="1">
    <mergeCell ref="J1:K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14394-31B7-4593-8AC2-8C7255565554}">
  <dimension ref="A2:F44"/>
  <sheetViews>
    <sheetView zoomScale="80" zoomScaleNormal="80" workbookViewId="0">
      <selection activeCell="P41" sqref="P41"/>
    </sheetView>
  </sheetViews>
  <sheetFormatPr defaultRowHeight="15"/>
  <cols>
    <col min="2" max="2" width="4.140625" customWidth="1"/>
    <col min="3" max="3" width="33.42578125" customWidth="1"/>
    <col min="4" max="4" width="13.5703125" customWidth="1"/>
    <col min="6" max="6" width="18.85546875" customWidth="1"/>
  </cols>
  <sheetData>
    <row r="2" spans="1:6" ht="15.75" thickBot="1">
      <c r="C2" s="698" t="s">
        <v>509</v>
      </c>
      <c r="D2" s="699"/>
      <c r="E2" s="699"/>
      <c r="F2" s="700"/>
    </row>
    <row r="3" spans="1:6">
      <c r="C3" s="212" t="s">
        <v>488</v>
      </c>
      <c r="D3" s="701"/>
      <c r="E3" s="701"/>
      <c r="F3" s="391">
        <v>780</v>
      </c>
    </row>
    <row r="4" spans="1:6">
      <c r="C4" s="392" t="s">
        <v>381</v>
      </c>
      <c r="D4" s="393" t="s">
        <v>2</v>
      </c>
      <c r="E4" s="393" t="s">
        <v>107</v>
      </c>
      <c r="F4" s="394" t="s">
        <v>489</v>
      </c>
    </row>
    <row r="5" spans="1:6">
      <c r="A5">
        <v>1</v>
      </c>
      <c r="C5" s="199" t="s">
        <v>152</v>
      </c>
      <c r="D5" s="159">
        <f>IFERROR(INDEX('Master Data'!$C$4:$C$21,MATCH(C5,'Master Data'!$B$4:$B$21,0)),"")</f>
        <v>81486.911999999997</v>
      </c>
      <c r="E5" s="395">
        <v>0.05</v>
      </c>
      <c r="F5" s="396">
        <f>IFERROR(D5*E5,0)</f>
        <v>4074.3456000000001</v>
      </c>
    </row>
    <row r="6" spans="1:6">
      <c r="A6">
        <v>2</v>
      </c>
      <c r="C6" s="199" t="s">
        <v>150</v>
      </c>
      <c r="D6" s="159">
        <f>IFERROR(INDEX('Master Data'!$C$4:$C$21,MATCH(C6,'Master Data'!$B$4:$B$21,0)),"")</f>
        <v>66537.12000000001</v>
      </c>
      <c r="E6" s="395">
        <v>8.851063829787234E-2</v>
      </c>
      <c r="F6" s="396">
        <f t="shared" ref="F6:F13" si="0">IFERROR(D6*E6,0)</f>
        <v>5889.2429617021289</v>
      </c>
    </row>
    <row r="7" spans="1:6">
      <c r="A7">
        <v>3</v>
      </c>
      <c r="C7" s="199" t="s">
        <v>490</v>
      </c>
      <c r="D7" s="159" t="str">
        <f>IFERROR(INDEX('Master Data'!$C$4:$C$21,MATCH(C7,'Master Data'!$B$4:$B$21,0)),"")</f>
        <v/>
      </c>
      <c r="E7" s="395" t="s">
        <v>490</v>
      </c>
      <c r="F7" s="396">
        <f t="shared" si="0"/>
        <v>0</v>
      </c>
    </row>
    <row r="8" spans="1:6" hidden="1">
      <c r="A8">
        <v>4</v>
      </c>
      <c r="C8" s="397" t="s">
        <v>490</v>
      </c>
      <c r="D8" s="398" t="str">
        <f>IFERROR(INDEX('Master Data'!$C$4:$C$21,MATCH(C8,'Master Data'!$B$4:$B$21,0)),"")</f>
        <v/>
      </c>
      <c r="E8" s="399" t="s">
        <v>490</v>
      </c>
      <c r="F8" s="400">
        <f t="shared" si="0"/>
        <v>0</v>
      </c>
    </row>
    <row r="9" spans="1:6" hidden="1">
      <c r="A9">
        <v>5</v>
      </c>
      <c r="C9" s="397" t="s">
        <v>490</v>
      </c>
      <c r="D9" s="398" t="str">
        <f>IFERROR(INDEX('Master Data'!$C$4:$C$21,MATCH(C9,'Master Data'!$B$4:$B$21,0)),"")</f>
        <v/>
      </c>
      <c r="E9" s="399" t="s">
        <v>490</v>
      </c>
      <c r="F9" s="400">
        <f t="shared" si="0"/>
        <v>0</v>
      </c>
    </row>
    <row r="10" spans="1:6" hidden="1">
      <c r="A10">
        <v>6</v>
      </c>
      <c r="C10" s="397" t="s">
        <v>490</v>
      </c>
      <c r="D10" s="398" t="str">
        <f>IFERROR(INDEX('Master Data'!$C$4:$C$21,MATCH(C10,'Master Data'!$B$4:$B$21,0)),"")</f>
        <v/>
      </c>
      <c r="E10" s="399" t="s">
        <v>490</v>
      </c>
      <c r="F10" s="400">
        <f t="shared" si="0"/>
        <v>0</v>
      </c>
    </row>
    <row r="11" spans="1:6" hidden="1">
      <c r="A11">
        <v>7</v>
      </c>
      <c r="C11" s="397" t="s">
        <v>490</v>
      </c>
      <c r="D11" s="398" t="str">
        <f>IFERROR(INDEX('Master Data'!$C$4:$C$21,MATCH(C11,'Master Data'!$B$4:$B$21,0)),"")</f>
        <v/>
      </c>
      <c r="E11" s="399" t="s">
        <v>490</v>
      </c>
      <c r="F11" s="400">
        <f t="shared" si="0"/>
        <v>0</v>
      </c>
    </row>
    <row r="12" spans="1:6" hidden="1">
      <c r="A12">
        <v>8</v>
      </c>
      <c r="C12" s="397" t="s">
        <v>490</v>
      </c>
      <c r="D12" s="398" t="str">
        <f>IFERROR(INDEX('Master Data'!$C$4:$C$21,MATCH(C12,'Master Data'!$B$4:$B$21,0)),"")</f>
        <v/>
      </c>
      <c r="E12" s="399" t="s">
        <v>490</v>
      </c>
      <c r="F12" s="400">
        <f t="shared" si="0"/>
        <v>0</v>
      </c>
    </row>
    <row r="13" spans="1:6" hidden="1">
      <c r="A13">
        <v>9</v>
      </c>
      <c r="C13" s="397" t="s">
        <v>490</v>
      </c>
      <c r="D13" s="398" t="str">
        <f>IFERROR(INDEX('Master Data'!$C$4:$C$21,MATCH(C13,'Master Data'!$B$4:$B$21,0)),"")</f>
        <v/>
      </c>
      <c r="E13" s="399" t="s">
        <v>490</v>
      </c>
      <c r="F13" s="400">
        <f t="shared" si="0"/>
        <v>0</v>
      </c>
    </row>
    <row r="14" spans="1:6">
      <c r="A14">
        <v>10</v>
      </c>
      <c r="C14" s="397" t="s">
        <v>490</v>
      </c>
      <c r="D14" s="398" t="str">
        <f>IFERROR(INDEX('Master Data'!$C$4:$C$21,MATCH(C14,'Master Data'!$B$4:$B$21,0)),"")</f>
        <v/>
      </c>
      <c r="E14" s="399" t="s">
        <v>490</v>
      </c>
      <c r="F14" s="400"/>
    </row>
    <row r="15" spans="1:6">
      <c r="C15" s="401" t="s">
        <v>491</v>
      </c>
      <c r="D15" s="218"/>
      <c r="E15" s="389">
        <f>SUM(E5:E14)</f>
        <v>0.13851063829787236</v>
      </c>
      <c r="F15" s="402">
        <f>SUM(F5:F14)</f>
        <v>9963.5885617021286</v>
      </c>
    </row>
    <row r="16" spans="1:6">
      <c r="C16" s="199"/>
      <c r="F16" s="283"/>
    </row>
    <row r="17" spans="1:6">
      <c r="C17" s="200" t="s">
        <v>21</v>
      </c>
      <c r="D17" s="403">
        <f>'Master Data'!B54</f>
        <v>0.24970000000000001</v>
      </c>
      <c r="E17" s="404"/>
      <c r="F17" s="405">
        <f>F15*D17</f>
        <v>2487.9080638570217</v>
      </c>
    </row>
    <row r="18" spans="1:6">
      <c r="C18" s="406" t="s">
        <v>492</v>
      </c>
      <c r="D18" s="407"/>
      <c r="E18" s="407"/>
      <c r="F18" s="408">
        <f>SUM(F15:F17)</f>
        <v>12451.49662555915</v>
      </c>
    </row>
    <row r="19" spans="1:6">
      <c r="C19" s="199"/>
      <c r="F19" s="283"/>
    </row>
    <row r="20" spans="1:6">
      <c r="C20" s="409" t="s">
        <v>493</v>
      </c>
      <c r="F20" s="283"/>
    </row>
    <row r="21" spans="1:6">
      <c r="C21" s="199"/>
      <c r="F21" s="283"/>
    </row>
    <row r="22" spans="1:6">
      <c r="A22">
        <v>1</v>
      </c>
      <c r="C22" s="199" t="s">
        <v>494</v>
      </c>
      <c r="D22" s="159">
        <f>IFERROR(INDEX('Master Data'!$C$66:$C$71,MATCH(C22,'Master Data'!$B$66:$B$71,0)),"")</f>
        <v>5401.4524800000008</v>
      </c>
      <c r="E22" s="410">
        <f>E15</f>
        <v>0.13851063829787236</v>
      </c>
      <c r="F22" s="411">
        <f>D22*E22</f>
        <v>748.15863074042579</v>
      </c>
    </row>
    <row r="23" spans="1:6">
      <c r="A23">
        <v>2</v>
      </c>
      <c r="C23" s="199" t="s">
        <v>495</v>
      </c>
      <c r="D23" s="159">
        <f>IFERROR(INDEX('Master Data'!$C$66:$C$71,MATCH(C23,'Master Data'!$B$66:$B$71,0)),"")</f>
        <v>4362.2546813195822</v>
      </c>
      <c r="E23" s="410">
        <f>E15</f>
        <v>0.13851063829787236</v>
      </c>
      <c r="F23" s="411">
        <f>D23*E23</f>
        <v>604.21868032745715</v>
      </c>
    </row>
    <row r="24" spans="1:6">
      <c r="A24">
        <v>3</v>
      </c>
      <c r="C24" s="199" t="s">
        <v>496</v>
      </c>
      <c r="D24" s="159">
        <f>IFERROR(INDEX('Master Data'!$C$66:$C$71,MATCH(C24,'Master Data'!$B$66:$B$71,0)),"")</f>
        <v>1265.8372000000002</v>
      </c>
      <c r="E24" s="410">
        <f>E15</f>
        <v>0.13851063829787236</v>
      </c>
      <c r="F24" s="411">
        <f>D24*E24</f>
        <v>175.33191855319154</v>
      </c>
    </row>
    <row r="25" spans="1:6">
      <c r="A25">
        <v>4</v>
      </c>
      <c r="C25" s="412" t="s">
        <v>497</v>
      </c>
      <c r="D25" s="159">
        <f>IFERROR(INDEX('Master Data'!$C$66:$C$71,MATCH(C25,'Master Data'!$B$66:$B$71,0)),"")</f>
        <v>205.16</v>
      </c>
      <c r="E25" s="410"/>
      <c r="F25" s="411">
        <f>D25</f>
        <v>205.16</v>
      </c>
    </row>
    <row r="26" spans="1:6">
      <c r="A26">
        <v>5</v>
      </c>
      <c r="C26" s="199" t="s">
        <v>498</v>
      </c>
      <c r="D26" s="159">
        <f>IFERROR(INDEX('Master Data'!$C$66:$C$71,MATCH(C26,'Master Data'!$B$66:$B$71,0)),"")</f>
        <v>317.58768000000003</v>
      </c>
      <c r="E26" s="89"/>
      <c r="F26" s="411">
        <f>D26</f>
        <v>317.58768000000003</v>
      </c>
    </row>
    <row r="27" spans="1:6">
      <c r="A27">
        <v>6</v>
      </c>
      <c r="C27" s="199" t="s">
        <v>499</v>
      </c>
      <c r="D27" s="159">
        <f>IFERROR(INDEX('Master Data'!$C$66:$C$71,MATCH(C27,'Master Data'!$B$66:$B$71,0)),"")</f>
        <v>17.438600000000001</v>
      </c>
      <c r="E27" s="89"/>
      <c r="F27" s="411">
        <f>D27</f>
        <v>17.438600000000001</v>
      </c>
    </row>
    <row r="28" spans="1:6" hidden="1">
      <c r="A28">
        <v>7</v>
      </c>
      <c r="C28" s="397" t="s">
        <v>490</v>
      </c>
      <c r="D28" s="398" t="s">
        <v>490</v>
      </c>
      <c r="E28" s="413"/>
      <c r="F28" s="414"/>
    </row>
    <row r="29" spans="1:6" hidden="1">
      <c r="A29">
        <v>8</v>
      </c>
      <c r="C29" s="397" t="s">
        <v>490</v>
      </c>
      <c r="D29" s="398" t="s">
        <v>490</v>
      </c>
      <c r="E29" s="413"/>
      <c r="F29" s="414"/>
    </row>
    <row r="30" spans="1:6" hidden="1">
      <c r="A30">
        <v>9</v>
      </c>
      <c r="C30" s="397" t="s">
        <v>490</v>
      </c>
      <c r="D30" s="398" t="s">
        <v>490</v>
      </c>
      <c r="E30" s="413"/>
      <c r="F30" s="414"/>
    </row>
    <row r="31" spans="1:6" hidden="1">
      <c r="A31">
        <v>10</v>
      </c>
      <c r="C31" s="397" t="s">
        <v>490</v>
      </c>
      <c r="D31" s="398" t="s">
        <v>490</v>
      </c>
      <c r="E31" s="413"/>
      <c r="F31" s="414"/>
    </row>
    <row r="32" spans="1:6" hidden="1">
      <c r="A32">
        <v>11</v>
      </c>
      <c r="C32" s="397" t="s">
        <v>490</v>
      </c>
      <c r="D32" s="398" t="s">
        <v>490</v>
      </c>
      <c r="E32" s="413"/>
      <c r="F32" s="414"/>
    </row>
    <row r="33" spans="1:6" hidden="1">
      <c r="A33">
        <v>12</v>
      </c>
      <c r="C33" s="397" t="s">
        <v>490</v>
      </c>
      <c r="D33" s="398" t="s">
        <v>490</v>
      </c>
      <c r="E33" s="413"/>
      <c r="F33" s="414"/>
    </row>
    <row r="34" spans="1:6">
      <c r="C34" s="200"/>
      <c r="D34" s="404"/>
      <c r="E34" s="404"/>
      <c r="F34" s="415"/>
    </row>
    <row r="35" spans="1:6">
      <c r="C35" s="406" t="s">
        <v>500</v>
      </c>
      <c r="D35" s="407"/>
      <c r="E35" s="407"/>
      <c r="F35" s="416">
        <f>SUM(F22:F33)</f>
        <v>2067.8955096210748</v>
      </c>
    </row>
    <row r="36" spans="1:6">
      <c r="C36" s="199"/>
      <c r="F36" s="283"/>
    </row>
    <row r="37" spans="1:6">
      <c r="C37" s="417" t="s">
        <v>501</v>
      </c>
      <c r="D37" s="418"/>
      <c r="E37" s="418"/>
      <c r="F37" s="419">
        <f>SUM(F18,F35)</f>
        <v>14519.392135180224</v>
      </c>
    </row>
    <row r="38" spans="1:6">
      <c r="C38" s="420" t="s">
        <v>502</v>
      </c>
      <c r="D38" s="421">
        <f>'Master Data'!C54</f>
        <v>0.12</v>
      </c>
      <c r="E38" s="422"/>
      <c r="F38" s="423">
        <f>F37*D38</f>
        <v>1742.3270562216269</v>
      </c>
    </row>
    <row r="39" spans="1:6">
      <c r="C39" s="424" t="s">
        <v>100</v>
      </c>
      <c r="D39" s="403">
        <f>'Master Data'!E54</f>
        <v>2.9959041375791508E-2</v>
      </c>
      <c r="E39" s="404"/>
      <c r="F39" s="425" cm="1">
        <f t="array" ref="F39">SUM(F37:F38*D39)</f>
        <v>487.18551809671089</v>
      </c>
    </row>
    <row r="40" spans="1:6">
      <c r="C40" s="409" t="s">
        <v>10</v>
      </c>
      <c r="D40" s="218"/>
      <c r="E40" s="218"/>
      <c r="F40" s="426">
        <f>SUM(F37:F39)</f>
        <v>16748.904709498562</v>
      </c>
    </row>
    <row r="41" spans="1:6">
      <c r="C41" s="427" t="s">
        <v>503</v>
      </c>
      <c r="D41" s="428"/>
      <c r="E41" s="428"/>
      <c r="F41" s="416">
        <f>ROUND(F40/365,2)</f>
        <v>45.89</v>
      </c>
    </row>
    <row r="42" spans="1:6">
      <c r="C42" s="284" t="s">
        <v>504</v>
      </c>
      <c r="D42" s="218"/>
      <c r="E42" s="218"/>
      <c r="F42" s="285">
        <f>ROUND(F40/F3,2)</f>
        <v>21.47</v>
      </c>
    </row>
    <row r="43" spans="1:6">
      <c r="C43" s="284"/>
      <c r="D43" s="218" t="s">
        <v>765</v>
      </c>
      <c r="E43" s="218"/>
      <c r="F43" s="285">
        <v>20.149999999999999</v>
      </c>
    </row>
    <row r="44" spans="1:6">
      <c r="F44" s="289">
        <f>(F42-F43)/F43</f>
        <v>6.5508684863523597E-2</v>
      </c>
    </row>
  </sheetData>
  <mergeCells count="2">
    <mergeCell ref="C2:F2"/>
    <mergeCell ref="D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8"/>
  <sheetViews>
    <sheetView topLeftCell="A12" zoomScale="80" zoomScaleNormal="80" workbookViewId="0">
      <selection activeCell="B24" sqref="B24"/>
    </sheetView>
  </sheetViews>
  <sheetFormatPr defaultRowHeight="15"/>
  <cols>
    <col min="1" max="1" width="20.5703125" style="1" customWidth="1"/>
    <col min="2" max="2" width="13.5703125" style="3" customWidth="1"/>
    <col min="3" max="3" width="14.140625" style="3" bestFit="1" customWidth="1"/>
    <col min="4" max="4" width="18.5703125" style="1" bestFit="1" customWidth="1"/>
    <col min="5" max="5" width="12.28515625" style="1" bestFit="1" customWidth="1"/>
    <col min="6" max="6" width="12" style="1" customWidth="1"/>
    <col min="7" max="7" width="12.28515625" style="1" bestFit="1" customWidth="1"/>
    <col min="8" max="8" width="12.5703125" style="1" customWidth="1"/>
    <col min="9" max="9" width="12.42578125" style="1" customWidth="1"/>
    <col min="10" max="10" width="12.28515625" style="1" bestFit="1" customWidth="1"/>
    <col min="11" max="11" width="12.140625" style="1" customWidth="1"/>
    <col min="12" max="13" width="12.28515625" style="1" bestFit="1" customWidth="1"/>
    <col min="14" max="243" width="9.140625" style="1"/>
    <col min="244" max="244" width="22.42578125" style="1" customWidth="1"/>
    <col min="245" max="246" width="12.42578125" style="1" customWidth="1"/>
    <col min="247" max="247" width="11.42578125" style="1" customWidth="1"/>
    <col min="248" max="248" width="10.5703125" style="1" customWidth="1"/>
    <col min="249" max="249" width="12" style="1" customWidth="1"/>
    <col min="250" max="250" width="10.42578125" style="1" bestFit="1" customWidth="1"/>
    <col min="251" max="252" width="10.42578125" style="1" customWidth="1"/>
    <col min="253" max="253" width="10.42578125" style="1" bestFit="1" customWidth="1"/>
    <col min="254" max="254" width="10.42578125" style="1" customWidth="1"/>
    <col min="255" max="256" width="10.42578125" style="1" bestFit="1" customWidth="1"/>
    <col min="257" max="257" width="29.5703125" style="1" customWidth="1"/>
    <col min="258" max="259" width="11.42578125" style="1" customWidth="1"/>
    <col min="260" max="260" width="11.42578125" style="1" bestFit="1" customWidth="1"/>
    <col min="261" max="261" width="11.42578125" style="1" customWidth="1"/>
    <col min="262" max="262" width="10.85546875" style="1" customWidth="1"/>
    <col min="263" max="263" width="10.5703125" style="1" customWidth="1"/>
    <col min="264" max="264" width="11.42578125" style="1" bestFit="1" customWidth="1"/>
    <col min="265" max="265" width="11.5703125" style="1" customWidth="1"/>
    <col min="266" max="266" width="11.42578125" style="1" customWidth="1"/>
    <col min="267" max="267" width="11.140625" style="1" customWidth="1"/>
    <col min="268" max="499" width="9.140625" style="1"/>
    <col min="500" max="500" width="22.42578125" style="1" customWidth="1"/>
    <col min="501" max="502" width="12.42578125" style="1" customWidth="1"/>
    <col min="503" max="503" width="11.42578125" style="1" customWidth="1"/>
    <col min="504" max="504" width="10.5703125" style="1" customWidth="1"/>
    <col min="505" max="505" width="12" style="1" customWidth="1"/>
    <col min="506" max="506" width="10.42578125" style="1" bestFit="1" customWidth="1"/>
    <col min="507" max="508" width="10.42578125" style="1" customWidth="1"/>
    <col min="509" max="509" width="10.42578125" style="1" bestFit="1" customWidth="1"/>
    <col min="510" max="510" width="10.42578125" style="1" customWidth="1"/>
    <col min="511" max="512" width="10.42578125" style="1" bestFit="1" customWidth="1"/>
    <col min="513" max="513" width="29.5703125" style="1" customWidth="1"/>
    <col min="514" max="515" width="11.42578125" style="1" customWidth="1"/>
    <col min="516" max="516" width="11.42578125" style="1" bestFit="1" customWidth="1"/>
    <col min="517" max="517" width="11.42578125" style="1" customWidth="1"/>
    <col min="518" max="518" width="10.85546875" style="1" customWidth="1"/>
    <col min="519" max="519" width="10.5703125" style="1" customWidth="1"/>
    <col min="520" max="520" width="11.42578125" style="1" bestFit="1" customWidth="1"/>
    <col min="521" max="521" width="11.5703125" style="1" customWidth="1"/>
    <col min="522" max="522" width="11.42578125" style="1" customWidth="1"/>
    <col min="523" max="523" width="11.140625" style="1" customWidth="1"/>
    <col min="524" max="755" width="9.140625" style="1"/>
    <col min="756" max="756" width="22.42578125" style="1" customWidth="1"/>
    <col min="757" max="758" width="12.42578125" style="1" customWidth="1"/>
    <col min="759" max="759" width="11.42578125" style="1" customWidth="1"/>
    <col min="760" max="760" width="10.5703125" style="1" customWidth="1"/>
    <col min="761" max="761" width="12" style="1" customWidth="1"/>
    <col min="762" max="762" width="10.42578125" style="1" bestFit="1" customWidth="1"/>
    <col min="763" max="764" width="10.42578125" style="1" customWidth="1"/>
    <col min="765" max="765" width="10.42578125" style="1" bestFit="1" customWidth="1"/>
    <col min="766" max="766" width="10.42578125" style="1" customWidth="1"/>
    <col min="767" max="768" width="10.42578125" style="1" bestFit="1" customWidth="1"/>
    <col min="769" max="769" width="29.5703125" style="1" customWidth="1"/>
    <col min="770" max="771" width="11.42578125" style="1" customWidth="1"/>
    <col min="772" max="772" width="11.42578125" style="1" bestFit="1" customWidth="1"/>
    <col min="773" max="773" width="11.42578125" style="1" customWidth="1"/>
    <col min="774" max="774" width="10.85546875" style="1" customWidth="1"/>
    <col min="775" max="775" width="10.5703125" style="1" customWidth="1"/>
    <col min="776" max="776" width="11.42578125" style="1" bestFit="1" customWidth="1"/>
    <col min="777" max="777" width="11.5703125" style="1" customWidth="1"/>
    <col min="778" max="778" width="11.42578125" style="1" customWidth="1"/>
    <col min="779" max="779" width="11.140625" style="1" customWidth="1"/>
    <col min="780" max="1011" width="9.140625" style="1"/>
    <col min="1012" max="1012" width="22.42578125" style="1" customWidth="1"/>
    <col min="1013" max="1014" width="12.42578125" style="1" customWidth="1"/>
    <col min="1015" max="1015" width="11.42578125" style="1" customWidth="1"/>
    <col min="1016" max="1016" width="10.5703125" style="1" customWidth="1"/>
    <col min="1017" max="1017" width="12" style="1" customWidth="1"/>
    <col min="1018" max="1018" width="10.42578125" style="1" bestFit="1" customWidth="1"/>
    <col min="1019" max="1020" width="10.42578125" style="1" customWidth="1"/>
    <col min="1021" max="1021" width="10.42578125" style="1" bestFit="1" customWidth="1"/>
    <col min="1022" max="1022" width="10.42578125" style="1" customWidth="1"/>
    <col min="1023" max="1024" width="10.42578125" style="1" bestFit="1" customWidth="1"/>
    <col min="1025" max="1025" width="29.5703125" style="1" customWidth="1"/>
    <col min="1026" max="1027" width="11.42578125" style="1" customWidth="1"/>
    <col min="1028" max="1028" width="11.42578125" style="1" bestFit="1" customWidth="1"/>
    <col min="1029" max="1029" width="11.42578125" style="1" customWidth="1"/>
    <col min="1030" max="1030" width="10.85546875" style="1" customWidth="1"/>
    <col min="1031" max="1031" width="10.5703125" style="1" customWidth="1"/>
    <col min="1032" max="1032" width="11.42578125" style="1" bestFit="1" customWidth="1"/>
    <col min="1033" max="1033" width="11.5703125" style="1" customWidth="1"/>
    <col min="1034" max="1034" width="11.42578125" style="1" customWidth="1"/>
    <col min="1035" max="1035" width="11.140625" style="1" customWidth="1"/>
    <col min="1036" max="1267" width="9.140625" style="1"/>
    <col min="1268" max="1268" width="22.42578125" style="1" customWidth="1"/>
    <col min="1269" max="1270" width="12.42578125" style="1" customWidth="1"/>
    <col min="1271" max="1271" width="11.42578125" style="1" customWidth="1"/>
    <col min="1272" max="1272" width="10.5703125" style="1" customWidth="1"/>
    <col min="1273" max="1273" width="12" style="1" customWidth="1"/>
    <col min="1274" max="1274" width="10.42578125" style="1" bestFit="1" customWidth="1"/>
    <col min="1275" max="1276" width="10.42578125" style="1" customWidth="1"/>
    <col min="1277" max="1277" width="10.42578125" style="1" bestFit="1" customWidth="1"/>
    <col min="1278" max="1278" width="10.42578125" style="1" customWidth="1"/>
    <col min="1279" max="1280" width="10.42578125" style="1" bestFit="1" customWidth="1"/>
    <col min="1281" max="1281" width="29.5703125" style="1" customWidth="1"/>
    <col min="1282" max="1283" width="11.42578125" style="1" customWidth="1"/>
    <col min="1284" max="1284" width="11.42578125" style="1" bestFit="1" customWidth="1"/>
    <col min="1285" max="1285" width="11.42578125" style="1" customWidth="1"/>
    <col min="1286" max="1286" width="10.85546875" style="1" customWidth="1"/>
    <col min="1287" max="1287" width="10.5703125" style="1" customWidth="1"/>
    <col min="1288" max="1288" width="11.42578125" style="1" bestFit="1" customWidth="1"/>
    <col min="1289" max="1289" width="11.5703125" style="1" customWidth="1"/>
    <col min="1290" max="1290" width="11.42578125" style="1" customWidth="1"/>
    <col min="1291" max="1291" width="11.140625" style="1" customWidth="1"/>
    <col min="1292" max="1523" width="9.140625" style="1"/>
    <col min="1524" max="1524" width="22.42578125" style="1" customWidth="1"/>
    <col min="1525" max="1526" width="12.42578125" style="1" customWidth="1"/>
    <col min="1527" max="1527" width="11.42578125" style="1" customWidth="1"/>
    <col min="1528" max="1528" width="10.5703125" style="1" customWidth="1"/>
    <col min="1529" max="1529" width="12" style="1" customWidth="1"/>
    <col min="1530" max="1530" width="10.42578125" style="1" bestFit="1" customWidth="1"/>
    <col min="1531" max="1532" width="10.42578125" style="1" customWidth="1"/>
    <col min="1533" max="1533" width="10.42578125" style="1" bestFit="1" customWidth="1"/>
    <col min="1534" max="1534" width="10.42578125" style="1" customWidth="1"/>
    <col min="1535" max="1536" width="10.42578125" style="1" bestFit="1" customWidth="1"/>
    <col min="1537" max="1537" width="29.5703125" style="1" customWidth="1"/>
    <col min="1538" max="1539" width="11.42578125" style="1" customWidth="1"/>
    <col min="1540" max="1540" width="11.42578125" style="1" bestFit="1" customWidth="1"/>
    <col min="1541" max="1541" width="11.42578125" style="1" customWidth="1"/>
    <col min="1542" max="1542" width="10.85546875" style="1" customWidth="1"/>
    <col min="1543" max="1543" width="10.5703125" style="1" customWidth="1"/>
    <col min="1544" max="1544" width="11.42578125" style="1" bestFit="1" customWidth="1"/>
    <col min="1545" max="1545" width="11.5703125" style="1" customWidth="1"/>
    <col min="1546" max="1546" width="11.42578125" style="1" customWidth="1"/>
    <col min="1547" max="1547" width="11.140625" style="1" customWidth="1"/>
    <col min="1548" max="1779" width="9.140625" style="1"/>
    <col min="1780" max="1780" width="22.42578125" style="1" customWidth="1"/>
    <col min="1781" max="1782" width="12.42578125" style="1" customWidth="1"/>
    <col min="1783" max="1783" width="11.42578125" style="1" customWidth="1"/>
    <col min="1784" max="1784" width="10.5703125" style="1" customWidth="1"/>
    <col min="1785" max="1785" width="12" style="1" customWidth="1"/>
    <col min="1786" max="1786" width="10.42578125" style="1" bestFit="1" customWidth="1"/>
    <col min="1787" max="1788" width="10.42578125" style="1" customWidth="1"/>
    <col min="1789" max="1789" width="10.42578125" style="1" bestFit="1" customWidth="1"/>
    <col min="1790" max="1790" width="10.42578125" style="1" customWidth="1"/>
    <col min="1791" max="1792" width="10.42578125" style="1" bestFit="1" customWidth="1"/>
    <col min="1793" max="1793" width="29.5703125" style="1" customWidth="1"/>
    <col min="1794" max="1795" width="11.42578125" style="1" customWidth="1"/>
    <col min="1796" max="1796" width="11.42578125" style="1" bestFit="1" customWidth="1"/>
    <col min="1797" max="1797" width="11.42578125" style="1" customWidth="1"/>
    <col min="1798" max="1798" width="10.85546875" style="1" customWidth="1"/>
    <col min="1799" max="1799" width="10.5703125" style="1" customWidth="1"/>
    <col min="1800" max="1800" width="11.42578125" style="1" bestFit="1" customWidth="1"/>
    <col min="1801" max="1801" width="11.5703125" style="1" customWidth="1"/>
    <col min="1802" max="1802" width="11.42578125" style="1" customWidth="1"/>
    <col min="1803" max="1803" width="11.140625" style="1" customWidth="1"/>
    <col min="1804" max="2035" width="9.140625" style="1"/>
    <col min="2036" max="2036" width="22.42578125" style="1" customWidth="1"/>
    <col min="2037" max="2038" width="12.42578125" style="1" customWidth="1"/>
    <col min="2039" max="2039" width="11.42578125" style="1" customWidth="1"/>
    <col min="2040" max="2040" width="10.5703125" style="1" customWidth="1"/>
    <col min="2041" max="2041" width="12" style="1" customWidth="1"/>
    <col min="2042" max="2042" width="10.42578125" style="1" bestFit="1" customWidth="1"/>
    <col min="2043" max="2044" width="10.42578125" style="1" customWidth="1"/>
    <col min="2045" max="2045" width="10.42578125" style="1" bestFit="1" customWidth="1"/>
    <col min="2046" max="2046" width="10.42578125" style="1" customWidth="1"/>
    <col min="2047" max="2048" width="10.42578125" style="1" bestFit="1" customWidth="1"/>
    <col min="2049" max="2049" width="29.5703125" style="1" customWidth="1"/>
    <col min="2050" max="2051" width="11.42578125" style="1" customWidth="1"/>
    <col min="2052" max="2052" width="11.42578125" style="1" bestFit="1" customWidth="1"/>
    <col min="2053" max="2053" width="11.42578125" style="1" customWidth="1"/>
    <col min="2054" max="2054" width="10.85546875" style="1" customWidth="1"/>
    <col min="2055" max="2055" width="10.5703125" style="1" customWidth="1"/>
    <col min="2056" max="2056" width="11.42578125" style="1" bestFit="1" customWidth="1"/>
    <col min="2057" max="2057" width="11.5703125" style="1" customWidth="1"/>
    <col min="2058" max="2058" width="11.42578125" style="1" customWidth="1"/>
    <col min="2059" max="2059" width="11.140625" style="1" customWidth="1"/>
    <col min="2060" max="2291" width="9.140625" style="1"/>
    <col min="2292" max="2292" width="22.42578125" style="1" customWidth="1"/>
    <col min="2293" max="2294" width="12.42578125" style="1" customWidth="1"/>
    <col min="2295" max="2295" width="11.42578125" style="1" customWidth="1"/>
    <col min="2296" max="2296" width="10.5703125" style="1" customWidth="1"/>
    <col min="2297" max="2297" width="12" style="1" customWidth="1"/>
    <col min="2298" max="2298" width="10.42578125" style="1" bestFit="1" customWidth="1"/>
    <col min="2299" max="2300" width="10.42578125" style="1" customWidth="1"/>
    <col min="2301" max="2301" width="10.42578125" style="1" bestFit="1" customWidth="1"/>
    <col min="2302" max="2302" width="10.42578125" style="1" customWidth="1"/>
    <col min="2303" max="2304" width="10.42578125" style="1" bestFit="1" customWidth="1"/>
    <col min="2305" max="2305" width="29.5703125" style="1" customWidth="1"/>
    <col min="2306" max="2307" width="11.42578125" style="1" customWidth="1"/>
    <col min="2308" max="2308" width="11.42578125" style="1" bestFit="1" customWidth="1"/>
    <col min="2309" max="2309" width="11.42578125" style="1" customWidth="1"/>
    <col min="2310" max="2310" width="10.85546875" style="1" customWidth="1"/>
    <col min="2311" max="2311" width="10.5703125" style="1" customWidth="1"/>
    <col min="2312" max="2312" width="11.42578125" style="1" bestFit="1" customWidth="1"/>
    <col min="2313" max="2313" width="11.5703125" style="1" customWidth="1"/>
    <col min="2314" max="2314" width="11.42578125" style="1" customWidth="1"/>
    <col min="2315" max="2315" width="11.140625" style="1" customWidth="1"/>
    <col min="2316" max="2547" width="9.140625" style="1"/>
    <col min="2548" max="2548" width="22.42578125" style="1" customWidth="1"/>
    <col min="2549" max="2550" width="12.42578125" style="1" customWidth="1"/>
    <col min="2551" max="2551" width="11.42578125" style="1" customWidth="1"/>
    <col min="2552" max="2552" width="10.5703125" style="1" customWidth="1"/>
    <col min="2553" max="2553" width="12" style="1" customWidth="1"/>
    <col min="2554" max="2554" width="10.42578125" style="1" bestFit="1" customWidth="1"/>
    <col min="2555" max="2556" width="10.42578125" style="1" customWidth="1"/>
    <col min="2557" max="2557" width="10.42578125" style="1" bestFit="1" customWidth="1"/>
    <col min="2558" max="2558" width="10.42578125" style="1" customWidth="1"/>
    <col min="2559" max="2560" width="10.42578125" style="1" bestFit="1" customWidth="1"/>
    <col min="2561" max="2561" width="29.5703125" style="1" customWidth="1"/>
    <col min="2562" max="2563" width="11.42578125" style="1" customWidth="1"/>
    <col min="2564" max="2564" width="11.42578125" style="1" bestFit="1" customWidth="1"/>
    <col min="2565" max="2565" width="11.42578125" style="1" customWidth="1"/>
    <col min="2566" max="2566" width="10.85546875" style="1" customWidth="1"/>
    <col min="2567" max="2567" width="10.5703125" style="1" customWidth="1"/>
    <col min="2568" max="2568" width="11.42578125" style="1" bestFit="1" customWidth="1"/>
    <col min="2569" max="2569" width="11.5703125" style="1" customWidth="1"/>
    <col min="2570" max="2570" width="11.42578125" style="1" customWidth="1"/>
    <col min="2571" max="2571" width="11.140625" style="1" customWidth="1"/>
    <col min="2572" max="2803" width="9.140625" style="1"/>
    <col min="2804" max="2804" width="22.42578125" style="1" customWidth="1"/>
    <col min="2805" max="2806" width="12.42578125" style="1" customWidth="1"/>
    <col min="2807" max="2807" width="11.42578125" style="1" customWidth="1"/>
    <col min="2808" max="2808" width="10.5703125" style="1" customWidth="1"/>
    <col min="2809" max="2809" width="12" style="1" customWidth="1"/>
    <col min="2810" max="2810" width="10.42578125" style="1" bestFit="1" customWidth="1"/>
    <col min="2811" max="2812" width="10.42578125" style="1" customWidth="1"/>
    <col min="2813" max="2813" width="10.42578125" style="1" bestFit="1" customWidth="1"/>
    <col min="2814" max="2814" width="10.42578125" style="1" customWidth="1"/>
    <col min="2815" max="2816" width="10.42578125" style="1" bestFit="1" customWidth="1"/>
    <col min="2817" max="2817" width="29.5703125" style="1" customWidth="1"/>
    <col min="2818" max="2819" width="11.42578125" style="1" customWidth="1"/>
    <col min="2820" max="2820" width="11.42578125" style="1" bestFit="1" customWidth="1"/>
    <col min="2821" max="2821" width="11.42578125" style="1" customWidth="1"/>
    <col min="2822" max="2822" width="10.85546875" style="1" customWidth="1"/>
    <col min="2823" max="2823" width="10.5703125" style="1" customWidth="1"/>
    <col min="2824" max="2824" width="11.42578125" style="1" bestFit="1" customWidth="1"/>
    <col min="2825" max="2825" width="11.5703125" style="1" customWidth="1"/>
    <col min="2826" max="2826" width="11.42578125" style="1" customWidth="1"/>
    <col min="2827" max="2827" width="11.140625" style="1" customWidth="1"/>
    <col min="2828" max="3059" width="9.140625" style="1"/>
    <col min="3060" max="3060" width="22.42578125" style="1" customWidth="1"/>
    <col min="3061" max="3062" width="12.42578125" style="1" customWidth="1"/>
    <col min="3063" max="3063" width="11.42578125" style="1" customWidth="1"/>
    <col min="3064" max="3064" width="10.5703125" style="1" customWidth="1"/>
    <col min="3065" max="3065" width="12" style="1" customWidth="1"/>
    <col min="3066" max="3066" width="10.42578125" style="1" bestFit="1" customWidth="1"/>
    <col min="3067" max="3068" width="10.42578125" style="1" customWidth="1"/>
    <col min="3069" max="3069" width="10.42578125" style="1" bestFit="1" customWidth="1"/>
    <col min="3070" max="3070" width="10.42578125" style="1" customWidth="1"/>
    <col min="3071" max="3072" width="10.42578125" style="1" bestFit="1" customWidth="1"/>
    <col min="3073" max="3073" width="29.5703125" style="1" customWidth="1"/>
    <col min="3074" max="3075" width="11.42578125" style="1" customWidth="1"/>
    <col min="3076" max="3076" width="11.42578125" style="1" bestFit="1" customWidth="1"/>
    <col min="3077" max="3077" width="11.42578125" style="1" customWidth="1"/>
    <col min="3078" max="3078" width="10.85546875" style="1" customWidth="1"/>
    <col min="3079" max="3079" width="10.5703125" style="1" customWidth="1"/>
    <col min="3080" max="3080" width="11.42578125" style="1" bestFit="1" customWidth="1"/>
    <col min="3081" max="3081" width="11.5703125" style="1" customWidth="1"/>
    <col min="3082" max="3082" width="11.42578125" style="1" customWidth="1"/>
    <col min="3083" max="3083" width="11.140625" style="1" customWidth="1"/>
    <col min="3084" max="3315" width="9.140625" style="1"/>
    <col min="3316" max="3316" width="22.42578125" style="1" customWidth="1"/>
    <col min="3317" max="3318" width="12.42578125" style="1" customWidth="1"/>
    <col min="3319" max="3319" width="11.42578125" style="1" customWidth="1"/>
    <col min="3320" max="3320" width="10.5703125" style="1" customWidth="1"/>
    <col min="3321" max="3321" width="12" style="1" customWidth="1"/>
    <col min="3322" max="3322" width="10.42578125" style="1" bestFit="1" customWidth="1"/>
    <col min="3323" max="3324" width="10.42578125" style="1" customWidth="1"/>
    <col min="3325" max="3325" width="10.42578125" style="1" bestFit="1" customWidth="1"/>
    <col min="3326" max="3326" width="10.42578125" style="1" customWidth="1"/>
    <col min="3327" max="3328" width="10.42578125" style="1" bestFit="1" customWidth="1"/>
    <col min="3329" max="3329" width="29.5703125" style="1" customWidth="1"/>
    <col min="3330" max="3331" width="11.42578125" style="1" customWidth="1"/>
    <col min="3332" max="3332" width="11.42578125" style="1" bestFit="1" customWidth="1"/>
    <col min="3333" max="3333" width="11.42578125" style="1" customWidth="1"/>
    <col min="3334" max="3334" width="10.85546875" style="1" customWidth="1"/>
    <col min="3335" max="3335" width="10.5703125" style="1" customWidth="1"/>
    <col min="3336" max="3336" width="11.42578125" style="1" bestFit="1" customWidth="1"/>
    <col min="3337" max="3337" width="11.5703125" style="1" customWidth="1"/>
    <col min="3338" max="3338" width="11.42578125" style="1" customWidth="1"/>
    <col min="3339" max="3339" width="11.140625" style="1" customWidth="1"/>
    <col min="3340" max="3571" width="9.140625" style="1"/>
    <col min="3572" max="3572" width="22.42578125" style="1" customWidth="1"/>
    <col min="3573" max="3574" width="12.42578125" style="1" customWidth="1"/>
    <col min="3575" max="3575" width="11.42578125" style="1" customWidth="1"/>
    <col min="3576" max="3576" width="10.5703125" style="1" customWidth="1"/>
    <col min="3577" max="3577" width="12" style="1" customWidth="1"/>
    <col min="3578" max="3578" width="10.42578125" style="1" bestFit="1" customWidth="1"/>
    <col min="3579" max="3580" width="10.42578125" style="1" customWidth="1"/>
    <col min="3581" max="3581" width="10.42578125" style="1" bestFit="1" customWidth="1"/>
    <col min="3582" max="3582" width="10.42578125" style="1" customWidth="1"/>
    <col min="3583" max="3584" width="10.42578125" style="1" bestFit="1" customWidth="1"/>
    <col min="3585" max="3585" width="29.5703125" style="1" customWidth="1"/>
    <col min="3586" max="3587" width="11.42578125" style="1" customWidth="1"/>
    <col min="3588" max="3588" width="11.42578125" style="1" bestFit="1" customWidth="1"/>
    <col min="3589" max="3589" width="11.42578125" style="1" customWidth="1"/>
    <col min="3590" max="3590" width="10.85546875" style="1" customWidth="1"/>
    <col min="3591" max="3591" width="10.5703125" style="1" customWidth="1"/>
    <col min="3592" max="3592" width="11.42578125" style="1" bestFit="1" customWidth="1"/>
    <col min="3593" max="3593" width="11.5703125" style="1" customWidth="1"/>
    <col min="3594" max="3594" width="11.42578125" style="1" customWidth="1"/>
    <col min="3595" max="3595" width="11.140625" style="1" customWidth="1"/>
    <col min="3596" max="3827" width="9.140625" style="1"/>
    <col min="3828" max="3828" width="22.42578125" style="1" customWidth="1"/>
    <col min="3829" max="3830" width="12.42578125" style="1" customWidth="1"/>
    <col min="3831" max="3831" width="11.42578125" style="1" customWidth="1"/>
    <col min="3832" max="3832" width="10.5703125" style="1" customWidth="1"/>
    <col min="3833" max="3833" width="12" style="1" customWidth="1"/>
    <col min="3834" max="3834" width="10.42578125" style="1" bestFit="1" customWidth="1"/>
    <col min="3835" max="3836" width="10.42578125" style="1" customWidth="1"/>
    <col min="3837" max="3837" width="10.42578125" style="1" bestFit="1" customWidth="1"/>
    <col min="3838" max="3838" width="10.42578125" style="1" customWidth="1"/>
    <col min="3839" max="3840" width="10.42578125" style="1" bestFit="1" customWidth="1"/>
    <col min="3841" max="3841" width="29.5703125" style="1" customWidth="1"/>
    <col min="3842" max="3843" width="11.42578125" style="1" customWidth="1"/>
    <col min="3844" max="3844" width="11.42578125" style="1" bestFit="1" customWidth="1"/>
    <col min="3845" max="3845" width="11.42578125" style="1" customWidth="1"/>
    <col min="3846" max="3846" width="10.85546875" style="1" customWidth="1"/>
    <col min="3847" max="3847" width="10.5703125" style="1" customWidth="1"/>
    <col min="3848" max="3848" width="11.42578125" style="1" bestFit="1" customWidth="1"/>
    <col min="3849" max="3849" width="11.5703125" style="1" customWidth="1"/>
    <col min="3850" max="3850" width="11.42578125" style="1" customWidth="1"/>
    <col min="3851" max="3851" width="11.140625" style="1" customWidth="1"/>
    <col min="3852" max="4083" width="9.140625" style="1"/>
    <col min="4084" max="4084" width="22.42578125" style="1" customWidth="1"/>
    <col min="4085" max="4086" width="12.42578125" style="1" customWidth="1"/>
    <col min="4087" max="4087" width="11.42578125" style="1" customWidth="1"/>
    <col min="4088" max="4088" width="10.5703125" style="1" customWidth="1"/>
    <col min="4089" max="4089" width="12" style="1" customWidth="1"/>
    <col min="4090" max="4090" width="10.42578125" style="1" bestFit="1" customWidth="1"/>
    <col min="4091" max="4092" width="10.42578125" style="1" customWidth="1"/>
    <col min="4093" max="4093" width="10.42578125" style="1" bestFit="1" customWidth="1"/>
    <col min="4094" max="4094" width="10.42578125" style="1" customWidth="1"/>
    <col min="4095" max="4096" width="10.42578125" style="1" bestFit="1" customWidth="1"/>
    <col min="4097" max="4097" width="29.5703125" style="1" customWidth="1"/>
    <col min="4098" max="4099" width="11.42578125" style="1" customWidth="1"/>
    <col min="4100" max="4100" width="11.42578125" style="1" bestFit="1" customWidth="1"/>
    <col min="4101" max="4101" width="11.42578125" style="1" customWidth="1"/>
    <col min="4102" max="4102" width="10.85546875" style="1" customWidth="1"/>
    <col min="4103" max="4103" width="10.5703125" style="1" customWidth="1"/>
    <col min="4104" max="4104" width="11.42578125" style="1" bestFit="1" customWidth="1"/>
    <col min="4105" max="4105" width="11.5703125" style="1" customWidth="1"/>
    <col min="4106" max="4106" width="11.42578125" style="1" customWidth="1"/>
    <col min="4107" max="4107" width="11.140625" style="1" customWidth="1"/>
    <col min="4108" max="4339" width="9.140625" style="1"/>
    <col min="4340" max="4340" width="22.42578125" style="1" customWidth="1"/>
    <col min="4341" max="4342" width="12.42578125" style="1" customWidth="1"/>
    <col min="4343" max="4343" width="11.42578125" style="1" customWidth="1"/>
    <col min="4344" max="4344" width="10.5703125" style="1" customWidth="1"/>
    <col min="4345" max="4345" width="12" style="1" customWidth="1"/>
    <col min="4346" max="4346" width="10.42578125" style="1" bestFit="1" customWidth="1"/>
    <col min="4347" max="4348" width="10.42578125" style="1" customWidth="1"/>
    <col min="4349" max="4349" width="10.42578125" style="1" bestFit="1" customWidth="1"/>
    <col min="4350" max="4350" width="10.42578125" style="1" customWidth="1"/>
    <col min="4351" max="4352" width="10.42578125" style="1" bestFit="1" customWidth="1"/>
    <col min="4353" max="4353" width="29.5703125" style="1" customWidth="1"/>
    <col min="4354" max="4355" width="11.42578125" style="1" customWidth="1"/>
    <col min="4356" max="4356" width="11.42578125" style="1" bestFit="1" customWidth="1"/>
    <col min="4357" max="4357" width="11.42578125" style="1" customWidth="1"/>
    <col min="4358" max="4358" width="10.85546875" style="1" customWidth="1"/>
    <col min="4359" max="4359" width="10.5703125" style="1" customWidth="1"/>
    <col min="4360" max="4360" width="11.42578125" style="1" bestFit="1" customWidth="1"/>
    <col min="4361" max="4361" width="11.5703125" style="1" customWidth="1"/>
    <col min="4362" max="4362" width="11.42578125" style="1" customWidth="1"/>
    <col min="4363" max="4363" width="11.140625" style="1" customWidth="1"/>
    <col min="4364" max="4595" width="9.140625" style="1"/>
    <col min="4596" max="4596" width="22.42578125" style="1" customWidth="1"/>
    <col min="4597" max="4598" width="12.42578125" style="1" customWidth="1"/>
    <col min="4599" max="4599" width="11.42578125" style="1" customWidth="1"/>
    <col min="4600" max="4600" width="10.5703125" style="1" customWidth="1"/>
    <col min="4601" max="4601" width="12" style="1" customWidth="1"/>
    <col min="4602" max="4602" width="10.42578125" style="1" bestFit="1" customWidth="1"/>
    <col min="4603" max="4604" width="10.42578125" style="1" customWidth="1"/>
    <col min="4605" max="4605" width="10.42578125" style="1" bestFit="1" customWidth="1"/>
    <col min="4606" max="4606" width="10.42578125" style="1" customWidth="1"/>
    <col min="4607" max="4608" width="10.42578125" style="1" bestFit="1" customWidth="1"/>
    <col min="4609" max="4609" width="29.5703125" style="1" customWidth="1"/>
    <col min="4610" max="4611" width="11.42578125" style="1" customWidth="1"/>
    <col min="4612" max="4612" width="11.42578125" style="1" bestFit="1" customWidth="1"/>
    <col min="4613" max="4613" width="11.42578125" style="1" customWidth="1"/>
    <col min="4614" max="4614" width="10.85546875" style="1" customWidth="1"/>
    <col min="4615" max="4615" width="10.5703125" style="1" customWidth="1"/>
    <col min="4616" max="4616" width="11.42578125" style="1" bestFit="1" customWidth="1"/>
    <col min="4617" max="4617" width="11.5703125" style="1" customWidth="1"/>
    <col min="4618" max="4618" width="11.42578125" style="1" customWidth="1"/>
    <col min="4619" max="4619" width="11.140625" style="1" customWidth="1"/>
    <col min="4620" max="4851" width="9.140625" style="1"/>
    <col min="4852" max="4852" width="22.42578125" style="1" customWidth="1"/>
    <col min="4853" max="4854" width="12.42578125" style="1" customWidth="1"/>
    <col min="4855" max="4855" width="11.42578125" style="1" customWidth="1"/>
    <col min="4856" max="4856" width="10.5703125" style="1" customWidth="1"/>
    <col min="4857" max="4857" width="12" style="1" customWidth="1"/>
    <col min="4858" max="4858" width="10.42578125" style="1" bestFit="1" customWidth="1"/>
    <col min="4859" max="4860" width="10.42578125" style="1" customWidth="1"/>
    <col min="4861" max="4861" width="10.42578125" style="1" bestFit="1" customWidth="1"/>
    <col min="4862" max="4862" width="10.42578125" style="1" customWidth="1"/>
    <col min="4863" max="4864" width="10.42578125" style="1" bestFit="1" customWidth="1"/>
    <col min="4865" max="4865" width="29.5703125" style="1" customWidth="1"/>
    <col min="4866" max="4867" width="11.42578125" style="1" customWidth="1"/>
    <col min="4868" max="4868" width="11.42578125" style="1" bestFit="1" customWidth="1"/>
    <col min="4869" max="4869" width="11.42578125" style="1" customWidth="1"/>
    <col min="4870" max="4870" width="10.85546875" style="1" customWidth="1"/>
    <col min="4871" max="4871" width="10.5703125" style="1" customWidth="1"/>
    <col min="4872" max="4872" width="11.42578125" style="1" bestFit="1" customWidth="1"/>
    <col min="4873" max="4873" width="11.5703125" style="1" customWidth="1"/>
    <col min="4874" max="4874" width="11.42578125" style="1" customWidth="1"/>
    <col min="4875" max="4875" width="11.140625" style="1" customWidth="1"/>
    <col min="4876" max="5107" width="9.140625" style="1"/>
    <col min="5108" max="5108" width="22.42578125" style="1" customWidth="1"/>
    <col min="5109" max="5110" width="12.42578125" style="1" customWidth="1"/>
    <col min="5111" max="5111" width="11.42578125" style="1" customWidth="1"/>
    <col min="5112" max="5112" width="10.5703125" style="1" customWidth="1"/>
    <col min="5113" max="5113" width="12" style="1" customWidth="1"/>
    <col min="5114" max="5114" width="10.42578125" style="1" bestFit="1" customWidth="1"/>
    <col min="5115" max="5116" width="10.42578125" style="1" customWidth="1"/>
    <col min="5117" max="5117" width="10.42578125" style="1" bestFit="1" customWidth="1"/>
    <col min="5118" max="5118" width="10.42578125" style="1" customWidth="1"/>
    <col min="5119" max="5120" width="10.42578125" style="1" bestFit="1" customWidth="1"/>
    <col min="5121" max="5121" width="29.5703125" style="1" customWidth="1"/>
    <col min="5122" max="5123" width="11.42578125" style="1" customWidth="1"/>
    <col min="5124" max="5124" width="11.42578125" style="1" bestFit="1" customWidth="1"/>
    <col min="5125" max="5125" width="11.42578125" style="1" customWidth="1"/>
    <col min="5126" max="5126" width="10.85546875" style="1" customWidth="1"/>
    <col min="5127" max="5127" width="10.5703125" style="1" customWidth="1"/>
    <col min="5128" max="5128" width="11.42578125" style="1" bestFit="1" customWidth="1"/>
    <col min="5129" max="5129" width="11.5703125" style="1" customWidth="1"/>
    <col min="5130" max="5130" width="11.42578125" style="1" customWidth="1"/>
    <col min="5131" max="5131" width="11.140625" style="1" customWidth="1"/>
    <col min="5132" max="5363" width="9.140625" style="1"/>
    <col min="5364" max="5364" width="22.42578125" style="1" customWidth="1"/>
    <col min="5365" max="5366" width="12.42578125" style="1" customWidth="1"/>
    <col min="5367" max="5367" width="11.42578125" style="1" customWidth="1"/>
    <col min="5368" max="5368" width="10.5703125" style="1" customWidth="1"/>
    <col min="5369" max="5369" width="12" style="1" customWidth="1"/>
    <col min="5370" max="5370" width="10.42578125" style="1" bestFit="1" customWidth="1"/>
    <col min="5371" max="5372" width="10.42578125" style="1" customWidth="1"/>
    <col min="5373" max="5373" width="10.42578125" style="1" bestFit="1" customWidth="1"/>
    <col min="5374" max="5374" width="10.42578125" style="1" customWidth="1"/>
    <col min="5375" max="5376" width="10.42578125" style="1" bestFit="1" customWidth="1"/>
    <col min="5377" max="5377" width="29.5703125" style="1" customWidth="1"/>
    <col min="5378" max="5379" width="11.42578125" style="1" customWidth="1"/>
    <col min="5380" max="5380" width="11.42578125" style="1" bestFit="1" customWidth="1"/>
    <col min="5381" max="5381" width="11.42578125" style="1" customWidth="1"/>
    <col min="5382" max="5382" width="10.85546875" style="1" customWidth="1"/>
    <col min="5383" max="5383" width="10.5703125" style="1" customWidth="1"/>
    <col min="5384" max="5384" width="11.42578125" style="1" bestFit="1" customWidth="1"/>
    <col min="5385" max="5385" width="11.5703125" style="1" customWidth="1"/>
    <col min="5386" max="5386" width="11.42578125" style="1" customWidth="1"/>
    <col min="5387" max="5387" width="11.140625" style="1" customWidth="1"/>
    <col min="5388" max="5619" width="9.140625" style="1"/>
    <col min="5620" max="5620" width="22.42578125" style="1" customWidth="1"/>
    <col min="5621" max="5622" width="12.42578125" style="1" customWidth="1"/>
    <col min="5623" max="5623" width="11.42578125" style="1" customWidth="1"/>
    <col min="5624" max="5624" width="10.5703125" style="1" customWidth="1"/>
    <col min="5625" max="5625" width="12" style="1" customWidth="1"/>
    <col min="5626" max="5626" width="10.42578125" style="1" bestFit="1" customWidth="1"/>
    <col min="5627" max="5628" width="10.42578125" style="1" customWidth="1"/>
    <col min="5629" max="5629" width="10.42578125" style="1" bestFit="1" customWidth="1"/>
    <col min="5630" max="5630" width="10.42578125" style="1" customWidth="1"/>
    <col min="5631" max="5632" width="10.42578125" style="1" bestFit="1" customWidth="1"/>
    <col min="5633" max="5633" width="29.5703125" style="1" customWidth="1"/>
    <col min="5634" max="5635" width="11.42578125" style="1" customWidth="1"/>
    <col min="5636" max="5636" width="11.42578125" style="1" bestFit="1" customWidth="1"/>
    <col min="5637" max="5637" width="11.42578125" style="1" customWidth="1"/>
    <col min="5638" max="5638" width="10.85546875" style="1" customWidth="1"/>
    <col min="5639" max="5639" width="10.5703125" style="1" customWidth="1"/>
    <col min="5640" max="5640" width="11.42578125" style="1" bestFit="1" customWidth="1"/>
    <col min="5641" max="5641" width="11.5703125" style="1" customWidth="1"/>
    <col min="5642" max="5642" width="11.42578125" style="1" customWidth="1"/>
    <col min="5643" max="5643" width="11.140625" style="1" customWidth="1"/>
    <col min="5644" max="5875" width="9.140625" style="1"/>
    <col min="5876" max="5876" width="22.42578125" style="1" customWidth="1"/>
    <col min="5877" max="5878" width="12.42578125" style="1" customWidth="1"/>
    <col min="5879" max="5879" width="11.42578125" style="1" customWidth="1"/>
    <col min="5880" max="5880" width="10.5703125" style="1" customWidth="1"/>
    <col min="5881" max="5881" width="12" style="1" customWidth="1"/>
    <col min="5882" max="5882" width="10.42578125" style="1" bestFit="1" customWidth="1"/>
    <col min="5883" max="5884" width="10.42578125" style="1" customWidth="1"/>
    <col min="5885" max="5885" width="10.42578125" style="1" bestFit="1" customWidth="1"/>
    <col min="5886" max="5886" width="10.42578125" style="1" customWidth="1"/>
    <col min="5887" max="5888" width="10.42578125" style="1" bestFit="1" customWidth="1"/>
    <col min="5889" max="5889" width="29.5703125" style="1" customWidth="1"/>
    <col min="5890" max="5891" width="11.42578125" style="1" customWidth="1"/>
    <col min="5892" max="5892" width="11.42578125" style="1" bestFit="1" customWidth="1"/>
    <col min="5893" max="5893" width="11.42578125" style="1" customWidth="1"/>
    <col min="5894" max="5894" width="10.85546875" style="1" customWidth="1"/>
    <col min="5895" max="5895" width="10.5703125" style="1" customWidth="1"/>
    <col min="5896" max="5896" width="11.42578125" style="1" bestFit="1" customWidth="1"/>
    <col min="5897" max="5897" width="11.5703125" style="1" customWidth="1"/>
    <col min="5898" max="5898" width="11.42578125" style="1" customWidth="1"/>
    <col min="5899" max="5899" width="11.140625" style="1" customWidth="1"/>
    <col min="5900" max="6131" width="9.140625" style="1"/>
    <col min="6132" max="6132" width="22.42578125" style="1" customWidth="1"/>
    <col min="6133" max="6134" width="12.42578125" style="1" customWidth="1"/>
    <col min="6135" max="6135" width="11.42578125" style="1" customWidth="1"/>
    <col min="6136" max="6136" width="10.5703125" style="1" customWidth="1"/>
    <col min="6137" max="6137" width="12" style="1" customWidth="1"/>
    <col min="6138" max="6138" width="10.42578125" style="1" bestFit="1" customWidth="1"/>
    <col min="6139" max="6140" width="10.42578125" style="1" customWidth="1"/>
    <col min="6141" max="6141" width="10.42578125" style="1" bestFit="1" customWidth="1"/>
    <col min="6142" max="6142" width="10.42578125" style="1" customWidth="1"/>
    <col min="6143" max="6144" width="10.42578125" style="1" bestFit="1" customWidth="1"/>
    <col min="6145" max="6145" width="29.5703125" style="1" customWidth="1"/>
    <col min="6146" max="6147" width="11.42578125" style="1" customWidth="1"/>
    <col min="6148" max="6148" width="11.42578125" style="1" bestFit="1" customWidth="1"/>
    <col min="6149" max="6149" width="11.42578125" style="1" customWidth="1"/>
    <col min="6150" max="6150" width="10.85546875" style="1" customWidth="1"/>
    <col min="6151" max="6151" width="10.5703125" style="1" customWidth="1"/>
    <col min="6152" max="6152" width="11.42578125" style="1" bestFit="1" customWidth="1"/>
    <col min="6153" max="6153" width="11.5703125" style="1" customWidth="1"/>
    <col min="6154" max="6154" width="11.42578125" style="1" customWidth="1"/>
    <col min="6155" max="6155" width="11.140625" style="1" customWidth="1"/>
    <col min="6156" max="6387" width="9.140625" style="1"/>
    <col min="6388" max="6388" width="22.42578125" style="1" customWidth="1"/>
    <col min="6389" max="6390" width="12.42578125" style="1" customWidth="1"/>
    <col min="6391" max="6391" width="11.42578125" style="1" customWidth="1"/>
    <col min="6392" max="6392" width="10.5703125" style="1" customWidth="1"/>
    <col min="6393" max="6393" width="12" style="1" customWidth="1"/>
    <col min="6394" max="6394" width="10.42578125" style="1" bestFit="1" customWidth="1"/>
    <col min="6395" max="6396" width="10.42578125" style="1" customWidth="1"/>
    <col min="6397" max="6397" width="10.42578125" style="1" bestFit="1" customWidth="1"/>
    <col min="6398" max="6398" width="10.42578125" style="1" customWidth="1"/>
    <col min="6399" max="6400" width="10.42578125" style="1" bestFit="1" customWidth="1"/>
    <col min="6401" max="6401" width="29.5703125" style="1" customWidth="1"/>
    <col min="6402" max="6403" width="11.42578125" style="1" customWidth="1"/>
    <col min="6404" max="6404" width="11.42578125" style="1" bestFit="1" customWidth="1"/>
    <col min="6405" max="6405" width="11.42578125" style="1" customWidth="1"/>
    <col min="6406" max="6406" width="10.85546875" style="1" customWidth="1"/>
    <col min="6407" max="6407" width="10.5703125" style="1" customWidth="1"/>
    <col min="6408" max="6408" width="11.42578125" style="1" bestFit="1" customWidth="1"/>
    <col min="6409" max="6409" width="11.5703125" style="1" customWidth="1"/>
    <col min="6410" max="6410" width="11.42578125" style="1" customWidth="1"/>
    <col min="6411" max="6411" width="11.140625" style="1" customWidth="1"/>
    <col min="6412" max="6643" width="9.140625" style="1"/>
    <col min="6644" max="6644" width="22.42578125" style="1" customWidth="1"/>
    <col min="6645" max="6646" width="12.42578125" style="1" customWidth="1"/>
    <col min="6647" max="6647" width="11.42578125" style="1" customWidth="1"/>
    <col min="6648" max="6648" width="10.5703125" style="1" customWidth="1"/>
    <col min="6649" max="6649" width="12" style="1" customWidth="1"/>
    <col min="6650" max="6650" width="10.42578125" style="1" bestFit="1" customWidth="1"/>
    <col min="6651" max="6652" width="10.42578125" style="1" customWidth="1"/>
    <col min="6653" max="6653" width="10.42578125" style="1" bestFit="1" customWidth="1"/>
    <col min="6654" max="6654" width="10.42578125" style="1" customWidth="1"/>
    <col min="6655" max="6656" width="10.42578125" style="1" bestFit="1" customWidth="1"/>
    <col min="6657" max="6657" width="29.5703125" style="1" customWidth="1"/>
    <col min="6658" max="6659" width="11.42578125" style="1" customWidth="1"/>
    <col min="6660" max="6660" width="11.42578125" style="1" bestFit="1" customWidth="1"/>
    <col min="6661" max="6661" width="11.42578125" style="1" customWidth="1"/>
    <col min="6662" max="6662" width="10.85546875" style="1" customWidth="1"/>
    <col min="6663" max="6663" width="10.5703125" style="1" customWidth="1"/>
    <col min="6664" max="6664" width="11.42578125" style="1" bestFit="1" customWidth="1"/>
    <col min="6665" max="6665" width="11.5703125" style="1" customWidth="1"/>
    <col min="6666" max="6666" width="11.42578125" style="1" customWidth="1"/>
    <col min="6667" max="6667" width="11.140625" style="1" customWidth="1"/>
    <col min="6668" max="6899" width="9.140625" style="1"/>
    <col min="6900" max="6900" width="22.42578125" style="1" customWidth="1"/>
    <col min="6901" max="6902" width="12.42578125" style="1" customWidth="1"/>
    <col min="6903" max="6903" width="11.42578125" style="1" customWidth="1"/>
    <col min="6904" max="6904" width="10.5703125" style="1" customWidth="1"/>
    <col min="6905" max="6905" width="12" style="1" customWidth="1"/>
    <col min="6906" max="6906" width="10.42578125" style="1" bestFit="1" customWidth="1"/>
    <col min="6907" max="6908" width="10.42578125" style="1" customWidth="1"/>
    <col min="6909" max="6909" width="10.42578125" style="1" bestFit="1" customWidth="1"/>
    <col min="6910" max="6910" width="10.42578125" style="1" customWidth="1"/>
    <col min="6911" max="6912" width="10.42578125" style="1" bestFit="1" customWidth="1"/>
    <col min="6913" max="6913" width="29.5703125" style="1" customWidth="1"/>
    <col min="6914" max="6915" width="11.42578125" style="1" customWidth="1"/>
    <col min="6916" max="6916" width="11.42578125" style="1" bestFit="1" customWidth="1"/>
    <col min="6917" max="6917" width="11.42578125" style="1" customWidth="1"/>
    <col min="6918" max="6918" width="10.85546875" style="1" customWidth="1"/>
    <col min="6919" max="6919" width="10.5703125" style="1" customWidth="1"/>
    <col min="6920" max="6920" width="11.42578125" style="1" bestFit="1" customWidth="1"/>
    <col min="6921" max="6921" width="11.5703125" style="1" customWidth="1"/>
    <col min="6922" max="6922" width="11.42578125" style="1" customWidth="1"/>
    <col min="6923" max="6923" width="11.140625" style="1" customWidth="1"/>
    <col min="6924" max="7155" width="9.140625" style="1"/>
    <col min="7156" max="7156" width="22.42578125" style="1" customWidth="1"/>
    <col min="7157" max="7158" width="12.42578125" style="1" customWidth="1"/>
    <col min="7159" max="7159" width="11.42578125" style="1" customWidth="1"/>
    <col min="7160" max="7160" width="10.5703125" style="1" customWidth="1"/>
    <col min="7161" max="7161" width="12" style="1" customWidth="1"/>
    <col min="7162" max="7162" width="10.42578125" style="1" bestFit="1" customWidth="1"/>
    <col min="7163" max="7164" width="10.42578125" style="1" customWidth="1"/>
    <col min="7165" max="7165" width="10.42578125" style="1" bestFit="1" customWidth="1"/>
    <col min="7166" max="7166" width="10.42578125" style="1" customWidth="1"/>
    <col min="7167" max="7168" width="10.42578125" style="1" bestFit="1" customWidth="1"/>
    <col min="7169" max="7169" width="29.5703125" style="1" customWidth="1"/>
    <col min="7170" max="7171" width="11.42578125" style="1" customWidth="1"/>
    <col min="7172" max="7172" width="11.42578125" style="1" bestFit="1" customWidth="1"/>
    <col min="7173" max="7173" width="11.42578125" style="1" customWidth="1"/>
    <col min="7174" max="7174" width="10.85546875" style="1" customWidth="1"/>
    <col min="7175" max="7175" width="10.5703125" style="1" customWidth="1"/>
    <col min="7176" max="7176" width="11.42578125" style="1" bestFit="1" customWidth="1"/>
    <col min="7177" max="7177" width="11.5703125" style="1" customWidth="1"/>
    <col min="7178" max="7178" width="11.42578125" style="1" customWidth="1"/>
    <col min="7179" max="7179" width="11.140625" style="1" customWidth="1"/>
    <col min="7180" max="7411" width="9.140625" style="1"/>
    <col min="7412" max="7412" width="22.42578125" style="1" customWidth="1"/>
    <col min="7413" max="7414" width="12.42578125" style="1" customWidth="1"/>
    <col min="7415" max="7415" width="11.42578125" style="1" customWidth="1"/>
    <col min="7416" max="7416" width="10.5703125" style="1" customWidth="1"/>
    <col min="7417" max="7417" width="12" style="1" customWidth="1"/>
    <col min="7418" max="7418" width="10.42578125" style="1" bestFit="1" customWidth="1"/>
    <col min="7419" max="7420" width="10.42578125" style="1" customWidth="1"/>
    <col min="7421" max="7421" width="10.42578125" style="1" bestFit="1" customWidth="1"/>
    <col min="7422" max="7422" width="10.42578125" style="1" customWidth="1"/>
    <col min="7423" max="7424" width="10.42578125" style="1" bestFit="1" customWidth="1"/>
    <col min="7425" max="7425" width="29.5703125" style="1" customWidth="1"/>
    <col min="7426" max="7427" width="11.42578125" style="1" customWidth="1"/>
    <col min="7428" max="7428" width="11.42578125" style="1" bestFit="1" customWidth="1"/>
    <col min="7429" max="7429" width="11.42578125" style="1" customWidth="1"/>
    <col min="7430" max="7430" width="10.85546875" style="1" customWidth="1"/>
    <col min="7431" max="7431" width="10.5703125" style="1" customWidth="1"/>
    <col min="7432" max="7432" width="11.42578125" style="1" bestFit="1" customWidth="1"/>
    <col min="7433" max="7433" width="11.5703125" style="1" customWidth="1"/>
    <col min="7434" max="7434" width="11.42578125" style="1" customWidth="1"/>
    <col min="7435" max="7435" width="11.140625" style="1" customWidth="1"/>
    <col min="7436" max="7667" width="9.140625" style="1"/>
    <col min="7668" max="7668" width="22.42578125" style="1" customWidth="1"/>
    <col min="7669" max="7670" width="12.42578125" style="1" customWidth="1"/>
    <col min="7671" max="7671" width="11.42578125" style="1" customWidth="1"/>
    <col min="7672" max="7672" width="10.5703125" style="1" customWidth="1"/>
    <col min="7673" max="7673" width="12" style="1" customWidth="1"/>
    <col min="7674" max="7674" width="10.42578125" style="1" bestFit="1" customWidth="1"/>
    <col min="7675" max="7676" width="10.42578125" style="1" customWidth="1"/>
    <col min="7677" max="7677" width="10.42578125" style="1" bestFit="1" customWidth="1"/>
    <col min="7678" max="7678" width="10.42578125" style="1" customWidth="1"/>
    <col min="7679" max="7680" width="10.42578125" style="1" bestFit="1" customWidth="1"/>
    <col min="7681" max="7681" width="29.5703125" style="1" customWidth="1"/>
    <col min="7682" max="7683" width="11.42578125" style="1" customWidth="1"/>
    <col min="7684" max="7684" width="11.42578125" style="1" bestFit="1" customWidth="1"/>
    <col min="7685" max="7685" width="11.42578125" style="1" customWidth="1"/>
    <col min="7686" max="7686" width="10.85546875" style="1" customWidth="1"/>
    <col min="7687" max="7687" width="10.5703125" style="1" customWidth="1"/>
    <col min="7688" max="7688" width="11.42578125" style="1" bestFit="1" customWidth="1"/>
    <col min="7689" max="7689" width="11.5703125" style="1" customWidth="1"/>
    <col min="7690" max="7690" width="11.42578125" style="1" customWidth="1"/>
    <col min="7691" max="7691" width="11.140625" style="1" customWidth="1"/>
    <col min="7692" max="7923" width="9.140625" style="1"/>
    <col min="7924" max="7924" width="22.42578125" style="1" customWidth="1"/>
    <col min="7925" max="7926" width="12.42578125" style="1" customWidth="1"/>
    <col min="7927" max="7927" width="11.42578125" style="1" customWidth="1"/>
    <col min="7928" max="7928" width="10.5703125" style="1" customWidth="1"/>
    <col min="7929" max="7929" width="12" style="1" customWidth="1"/>
    <col min="7930" max="7930" width="10.42578125" style="1" bestFit="1" customWidth="1"/>
    <col min="7931" max="7932" width="10.42578125" style="1" customWidth="1"/>
    <col min="7933" max="7933" width="10.42578125" style="1" bestFit="1" customWidth="1"/>
    <col min="7934" max="7934" width="10.42578125" style="1" customWidth="1"/>
    <col min="7935" max="7936" width="10.42578125" style="1" bestFit="1" customWidth="1"/>
    <col min="7937" max="7937" width="29.5703125" style="1" customWidth="1"/>
    <col min="7938" max="7939" width="11.42578125" style="1" customWidth="1"/>
    <col min="7940" max="7940" width="11.42578125" style="1" bestFit="1" customWidth="1"/>
    <col min="7941" max="7941" width="11.42578125" style="1" customWidth="1"/>
    <col min="7942" max="7942" width="10.85546875" style="1" customWidth="1"/>
    <col min="7943" max="7943" width="10.5703125" style="1" customWidth="1"/>
    <col min="7944" max="7944" width="11.42578125" style="1" bestFit="1" customWidth="1"/>
    <col min="7945" max="7945" width="11.5703125" style="1" customWidth="1"/>
    <col min="7946" max="7946" width="11.42578125" style="1" customWidth="1"/>
    <col min="7947" max="7947" width="11.140625" style="1" customWidth="1"/>
    <col min="7948" max="8179" width="9.140625" style="1"/>
    <col min="8180" max="8180" width="22.42578125" style="1" customWidth="1"/>
    <col min="8181" max="8182" width="12.42578125" style="1" customWidth="1"/>
    <col min="8183" max="8183" width="11.42578125" style="1" customWidth="1"/>
    <col min="8184" max="8184" width="10.5703125" style="1" customWidth="1"/>
    <col min="8185" max="8185" width="12" style="1" customWidth="1"/>
    <col min="8186" max="8186" width="10.42578125" style="1" bestFit="1" customWidth="1"/>
    <col min="8187" max="8188" width="10.42578125" style="1" customWidth="1"/>
    <col min="8189" max="8189" width="10.42578125" style="1" bestFit="1" customWidth="1"/>
    <col min="8190" max="8190" width="10.42578125" style="1" customWidth="1"/>
    <col min="8191" max="8192" width="10.42578125" style="1" bestFit="1" customWidth="1"/>
    <col min="8193" max="8193" width="29.5703125" style="1" customWidth="1"/>
    <col min="8194" max="8195" width="11.42578125" style="1" customWidth="1"/>
    <col min="8196" max="8196" width="11.42578125" style="1" bestFit="1" customWidth="1"/>
    <col min="8197" max="8197" width="11.42578125" style="1" customWidth="1"/>
    <col min="8198" max="8198" width="10.85546875" style="1" customWidth="1"/>
    <col min="8199" max="8199" width="10.5703125" style="1" customWidth="1"/>
    <col min="8200" max="8200" width="11.42578125" style="1" bestFit="1" customWidth="1"/>
    <col min="8201" max="8201" width="11.5703125" style="1" customWidth="1"/>
    <col min="8202" max="8202" width="11.42578125" style="1" customWidth="1"/>
    <col min="8203" max="8203" width="11.140625" style="1" customWidth="1"/>
    <col min="8204" max="8435" width="9.140625" style="1"/>
    <col min="8436" max="8436" width="22.42578125" style="1" customWidth="1"/>
    <col min="8437" max="8438" width="12.42578125" style="1" customWidth="1"/>
    <col min="8439" max="8439" width="11.42578125" style="1" customWidth="1"/>
    <col min="8440" max="8440" width="10.5703125" style="1" customWidth="1"/>
    <col min="8441" max="8441" width="12" style="1" customWidth="1"/>
    <col min="8442" max="8442" width="10.42578125" style="1" bestFit="1" customWidth="1"/>
    <col min="8443" max="8444" width="10.42578125" style="1" customWidth="1"/>
    <col min="8445" max="8445" width="10.42578125" style="1" bestFit="1" customWidth="1"/>
    <col min="8446" max="8446" width="10.42578125" style="1" customWidth="1"/>
    <col min="8447" max="8448" width="10.42578125" style="1" bestFit="1" customWidth="1"/>
    <col min="8449" max="8449" width="29.5703125" style="1" customWidth="1"/>
    <col min="8450" max="8451" width="11.42578125" style="1" customWidth="1"/>
    <col min="8452" max="8452" width="11.42578125" style="1" bestFit="1" customWidth="1"/>
    <col min="8453" max="8453" width="11.42578125" style="1" customWidth="1"/>
    <col min="8454" max="8454" width="10.85546875" style="1" customWidth="1"/>
    <col min="8455" max="8455" width="10.5703125" style="1" customWidth="1"/>
    <col min="8456" max="8456" width="11.42578125" style="1" bestFit="1" customWidth="1"/>
    <col min="8457" max="8457" width="11.5703125" style="1" customWidth="1"/>
    <col min="8458" max="8458" width="11.42578125" style="1" customWidth="1"/>
    <col min="8459" max="8459" width="11.140625" style="1" customWidth="1"/>
    <col min="8460" max="8691" width="9.140625" style="1"/>
    <col min="8692" max="8692" width="22.42578125" style="1" customWidth="1"/>
    <col min="8693" max="8694" width="12.42578125" style="1" customWidth="1"/>
    <col min="8695" max="8695" width="11.42578125" style="1" customWidth="1"/>
    <col min="8696" max="8696" width="10.5703125" style="1" customWidth="1"/>
    <col min="8697" max="8697" width="12" style="1" customWidth="1"/>
    <col min="8698" max="8698" width="10.42578125" style="1" bestFit="1" customWidth="1"/>
    <col min="8699" max="8700" width="10.42578125" style="1" customWidth="1"/>
    <col min="8701" max="8701" width="10.42578125" style="1" bestFit="1" customWidth="1"/>
    <col min="8702" max="8702" width="10.42578125" style="1" customWidth="1"/>
    <col min="8703" max="8704" width="10.42578125" style="1" bestFit="1" customWidth="1"/>
    <col min="8705" max="8705" width="29.5703125" style="1" customWidth="1"/>
    <col min="8706" max="8707" width="11.42578125" style="1" customWidth="1"/>
    <col min="8708" max="8708" width="11.42578125" style="1" bestFit="1" customWidth="1"/>
    <col min="8709" max="8709" width="11.42578125" style="1" customWidth="1"/>
    <col min="8710" max="8710" width="10.85546875" style="1" customWidth="1"/>
    <col min="8711" max="8711" width="10.5703125" style="1" customWidth="1"/>
    <col min="8712" max="8712" width="11.42578125" style="1" bestFit="1" customWidth="1"/>
    <col min="8713" max="8713" width="11.5703125" style="1" customWidth="1"/>
    <col min="8714" max="8714" width="11.42578125" style="1" customWidth="1"/>
    <col min="8715" max="8715" width="11.140625" style="1" customWidth="1"/>
    <col min="8716" max="8947" width="9.140625" style="1"/>
    <col min="8948" max="8948" width="22.42578125" style="1" customWidth="1"/>
    <col min="8949" max="8950" width="12.42578125" style="1" customWidth="1"/>
    <col min="8951" max="8951" width="11.42578125" style="1" customWidth="1"/>
    <col min="8952" max="8952" width="10.5703125" style="1" customWidth="1"/>
    <col min="8953" max="8953" width="12" style="1" customWidth="1"/>
    <col min="8954" max="8954" width="10.42578125" style="1" bestFit="1" customWidth="1"/>
    <col min="8955" max="8956" width="10.42578125" style="1" customWidth="1"/>
    <col min="8957" max="8957" width="10.42578125" style="1" bestFit="1" customWidth="1"/>
    <col min="8958" max="8958" width="10.42578125" style="1" customWidth="1"/>
    <col min="8959" max="8960" width="10.42578125" style="1" bestFit="1" customWidth="1"/>
    <col min="8961" max="8961" width="29.5703125" style="1" customWidth="1"/>
    <col min="8962" max="8963" width="11.42578125" style="1" customWidth="1"/>
    <col min="8964" max="8964" width="11.42578125" style="1" bestFit="1" customWidth="1"/>
    <col min="8965" max="8965" width="11.42578125" style="1" customWidth="1"/>
    <col min="8966" max="8966" width="10.85546875" style="1" customWidth="1"/>
    <col min="8967" max="8967" width="10.5703125" style="1" customWidth="1"/>
    <col min="8968" max="8968" width="11.42578125" style="1" bestFit="1" customWidth="1"/>
    <col min="8969" max="8969" width="11.5703125" style="1" customWidth="1"/>
    <col min="8970" max="8970" width="11.42578125" style="1" customWidth="1"/>
    <col min="8971" max="8971" width="11.140625" style="1" customWidth="1"/>
    <col min="8972" max="9203" width="9.140625" style="1"/>
    <col min="9204" max="9204" width="22.42578125" style="1" customWidth="1"/>
    <col min="9205" max="9206" width="12.42578125" style="1" customWidth="1"/>
    <col min="9207" max="9207" width="11.42578125" style="1" customWidth="1"/>
    <col min="9208" max="9208" width="10.5703125" style="1" customWidth="1"/>
    <col min="9209" max="9209" width="12" style="1" customWidth="1"/>
    <col min="9210" max="9210" width="10.42578125" style="1" bestFit="1" customWidth="1"/>
    <col min="9211" max="9212" width="10.42578125" style="1" customWidth="1"/>
    <col min="9213" max="9213" width="10.42578125" style="1" bestFit="1" customWidth="1"/>
    <col min="9214" max="9214" width="10.42578125" style="1" customWidth="1"/>
    <col min="9215" max="9216" width="10.42578125" style="1" bestFit="1" customWidth="1"/>
    <col min="9217" max="9217" width="29.5703125" style="1" customWidth="1"/>
    <col min="9218" max="9219" width="11.42578125" style="1" customWidth="1"/>
    <col min="9220" max="9220" width="11.42578125" style="1" bestFit="1" customWidth="1"/>
    <col min="9221" max="9221" width="11.42578125" style="1" customWidth="1"/>
    <col min="9222" max="9222" width="10.85546875" style="1" customWidth="1"/>
    <col min="9223" max="9223" width="10.5703125" style="1" customWidth="1"/>
    <col min="9224" max="9224" width="11.42578125" style="1" bestFit="1" customWidth="1"/>
    <col min="9225" max="9225" width="11.5703125" style="1" customWidth="1"/>
    <col min="9226" max="9226" width="11.42578125" style="1" customWidth="1"/>
    <col min="9227" max="9227" width="11.140625" style="1" customWidth="1"/>
    <col min="9228" max="9459" width="9.140625" style="1"/>
    <col min="9460" max="9460" width="22.42578125" style="1" customWidth="1"/>
    <col min="9461" max="9462" width="12.42578125" style="1" customWidth="1"/>
    <col min="9463" max="9463" width="11.42578125" style="1" customWidth="1"/>
    <col min="9464" max="9464" width="10.5703125" style="1" customWidth="1"/>
    <col min="9465" max="9465" width="12" style="1" customWidth="1"/>
    <col min="9466" max="9466" width="10.42578125" style="1" bestFit="1" customWidth="1"/>
    <col min="9467" max="9468" width="10.42578125" style="1" customWidth="1"/>
    <col min="9469" max="9469" width="10.42578125" style="1" bestFit="1" customWidth="1"/>
    <col min="9470" max="9470" width="10.42578125" style="1" customWidth="1"/>
    <col min="9471" max="9472" width="10.42578125" style="1" bestFit="1" customWidth="1"/>
    <col min="9473" max="9473" width="29.5703125" style="1" customWidth="1"/>
    <col min="9474" max="9475" width="11.42578125" style="1" customWidth="1"/>
    <col min="9476" max="9476" width="11.42578125" style="1" bestFit="1" customWidth="1"/>
    <col min="9477" max="9477" width="11.42578125" style="1" customWidth="1"/>
    <col min="9478" max="9478" width="10.85546875" style="1" customWidth="1"/>
    <col min="9479" max="9479" width="10.5703125" style="1" customWidth="1"/>
    <col min="9480" max="9480" width="11.42578125" style="1" bestFit="1" customWidth="1"/>
    <col min="9481" max="9481" width="11.5703125" style="1" customWidth="1"/>
    <col min="9482" max="9482" width="11.42578125" style="1" customWidth="1"/>
    <col min="9483" max="9483" width="11.140625" style="1" customWidth="1"/>
    <col min="9484" max="9715" width="9.140625" style="1"/>
    <col min="9716" max="9716" width="22.42578125" style="1" customWidth="1"/>
    <col min="9717" max="9718" width="12.42578125" style="1" customWidth="1"/>
    <col min="9719" max="9719" width="11.42578125" style="1" customWidth="1"/>
    <col min="9720" max="9720" width="10.5703125" style="1" customWidth="1"/>
    <col min="9721" max="9721" width="12" style="1" customWidth="1"/>
    <col min="9722" max="9722" width="10.42578125" style="1" bestFit="1" customWidth="1"/>
    <col min="9723" max="9724" width="10.42578125" style="1" customWidth="1"/>
    <col min="9725" max="9725" width="10.42578125" style="1" bestFit="1" customWidth="1"/>
    <col min="9726" max="9726" width="10.42578125" style="1" customWidth="1"/>
    <col min="9727" max="9728" width="10.42578125" style="1" bestFit="1" customWidth="1"/>
    <col min="9729" max="9729" width="29.5703125" style="1" customWidth="1"/>
    <col min="9730" max="9731" width="11.42578125" style="1" customWidth="1"/>
    <col min="9732" max="9732" width="11.42578125" style="1" bestFit="1" customWidth="1"/>
    <col min="9733" max="9733" width="11.42578125" style="1" customWidth="1"/>
    <col min="9734" max="9734" width="10.85546875" style="1" customWidth="1"/>
    <col min="9735" max="9735" width="10.5703125" style="1" customWidth="1"/>
    <col min="9736" max="9736" width="11.42578125" style="1" bestFit="1" customWidth="1"/>
    <col min="9737" max="9737" width="11.5703125" style="1" customWidth="1"/>
    <col min="9738" max="9738" width="11.42578125" style="1" customWidth="1"/>
    <col min="9739" max="9739" width="11.140625" style="1" customWidth="1"/>
    <col min="9740" max="9971" width="9.140625" style="1"/>
    <col min="9972" max="9972" width="22.42578125" style="1" customWidth="1"/>
    <col min="9973" max="9974" width="12.42578125" style="1" customWidth="1"/>
    <col min="9975" max="9975" width="11.42578125" style="1" customWidth="1"/>
    <col min="9976" max="9976" width="10.5703125" style="1" customWidth="1"/>
    <col min="9977" max="9977" width="12" style="1" customWidth="1"/>
    <col min="9978" max="9978" width="10.42578125" style="1" bestFit="1" customWidth="1"/>
    <col min="9979" max="9980" width="10.42578125" style="1" customWidth="1"/>
    <col min="9981" max="9981" width="10.42578125" style="1" bestFit="1" customWidth="1"/>
    <col min="9982" max="9982" width="10.42578125" style="1" customWidth="1"/>
    <col min="9983" max="9984" width="10.42578125" style="1" bestFit="1" customWidth="1"/>
    <col min="9985" max="9985" width="29.5703125" style="1" customWidth="1"/>
    <col min="9986" max="9987" width="11.42578125" style="1" customWidth="1"/>
    <col min="9988" max="9988" width="11.42578125" style="1" bestFit="1" customWidth="1"/>
    <col min="9989" max="9989" width="11.42578125" style="1" customWidth="1"/>
    <col min="9990" max="9990" width="10.85546875" style="1" customWidth="1"/>
    <col min="9991" max="9991" width="10.5703125" style="1" customWidth="1"/>
    <col min="9992" max="9992" width="11.42578125" style="1" bestFit="1" customWidth="1"/>
    <col min="9993" max="9993" width="11.5703125" style="1" customWidth="1"/>
    <col min="9994" max="9994" width="11.42578125" style="1" customWidth="1"/>
    <col min="9995" max="9995" width="11.140625" style="1" customWidth="1"/>
    <col min="9996" max="10227" width="9.140625" style="1"/>
    <col min="10228" max="10228" width="22.42578125" style="1" customWidth="1"/>
    <col min="10229" max="10230" width="12.42578125" style="1" customWidth="1"/>
    <col min="10231" max="10231" width="11.42578125" style="1" customWidth="1"/>
    <col min="10232" max="10232" width="10.5703125" style="1" customWidth="1"/>
    <col min="10233" max="10233" width="12" style="1" customWidth="1"/>
    <col min="10234" max="10234" width="10.42578125" style="1" bestFit="1" customWidth="1"/>
    <col min="10235" max="10236" width="10.42578125" style="1" customWidth="1"/>
    <col min="10237" max="10237" width="10.42578125" style="1" bestFit="1" customWidth="1"/>
    <col min="10238" max="10238" width="10.42578125" style="1" customWidth="1"/>
    <col min="10239" max="10240" width="10.42578125" style="1" bestFit="1" customWidth="1"/>
    <col min="10241" max="10241" width="29.5703125" style="1" customWidth="1"/>
    <col min="10242" max="10243" width="11.42578125" style="1" customWidth="1"/>
    <col min="10244" max="10244" width="11.42578125" style="1" bestFit="1" customWidth="1"/>
    <col min="10245" max="10245" width="11.42578125" style="1" customWidth="1"/>
    <col min="10246" max="10246" width="10.85546875" style="1" customWidth="1"/>
    <col min="10247" max="10247" width="10.5703125" style="1" customWidth="1"/>
    <col min="10248" max="10248" width="11.42578125" style="1" bestFit="1" customWidth="1"/>
    <col min="10249" max="10249" width="11.5703125" style="1" customWidth="1"/>
    <col min="10250" max="10250" width="11.42578125" style="1" customWidth="1"/>
    <col min="10251" max="10251" width="11.140625" style="1" customWidth="1"/>
    <col min="10252" max="10483" width="9.140625" style="1"/>
    <col min="10484" max="10484" width="22.42578125" style="1" customWidth="1"/>
    <col min="10485" max="10486" width="12.42578125" style="1" customWidth="1"/>
    <col min="10487" max="10487" width="11.42578125" style="1" customWidth="1"/>
    <col min="10488" max="10488" width="10.5703125" style="1" customWidth="1"/>
    <col min="10489" max="10489" width="12" style="1" customWidth="1"/>
    <col min="10490" max="10490" width="10.42578125" style="1" bestFit="1" customWidth="1"/>
    <col min="10491" max="10492" width="10.42578125" style="1" customWidth="1"/>
    <col min="10493" max="10493" width="10.42578125" style="1" bestFit="1" customWidth="1"/>
    <col min="10494" max="10494" width="10.42578125" style="1" customWidth="1"/>
    <col min="10495" max="10496" width="10.42578125" style="1" bestFit="1" customWidth="1"/>
    <col min="10497" max="10497" width="29.5703125" style="1" customWidth="1"/>
    <col min="10498" max="10499" width="11.42578125" style="1" customWidth="1"/>
    <col min="10500" max="10500" width="11.42578125" style="1" bestFit="1" customWidth="1"/>
    <col min="10501" max="10501" width="11.42578125" style="1" customWidth="1"/>
    <col min="10502" max="10502" width="10.85546875" style="1" customWidth="1"/>
    <col min="10503" max="10503" width="10.5703125" style="1" customWidth="1"/>
    <col min="10504" max="10504" width="11.42578125" style="1" bestFit="1" customWidth="1"/>
    <col min="10505" max="10505" width="11.5703125" style="1" customWidth="1"/>
    <col min="10506" max="10506" width="11.42578125" style="1" customWidth="1"/>
    <col min="10507" max="10507" width="11.140625" style="1" customWidth="1"/>
    <col min="10508" max="10739" width="9.140625" style="1"/>
    <col min="10740" max="10740" width="22.42578125" style="1" customWidth="1"/>
    <col min="10741" max="10742" width="12.42578125" style="1" customWidth="1"/>
    <col min="10743" max="10743" width="11.42578125" style="1" customWidth="1"/>
    <col min="10744" max="10744" width="10.5703125" style="1" customWidth="1"/>
    <col min="10745" max="10745" width="12" style="1" customWidth="1"/>
    <col min="10746" max="10746" width="10.42578125" style="1" bestFit="1" customWidth="1"/>
    <col min="10747" max="10748" width="10.42578125" style="1" customWidth="1"/>
    <col min="10749" max="10749" width="10.42578125" style="1" bestFit="1" customWidth="1"/>
    <col min="10750" max="10750" width="10.42578125" style="1" customWidth="1"/>
    <col min="10751" max="10752" width="10.42578125" style="1" bestFit="1" customWidth="1"/>
    <col min="10753" max="10753" width="29.5703125" style="1" customWidth="1"/>
    <col min="10754" max="10755" width="11.42578125" style="1" customWidth="1"/>
    <col min="10756" max="10756" width="11.42578125" style="1" bestFit="1" customWidth="1"/>
    <col min="10757" max="10757" width="11.42578125" style="1" customWidth="1"/>
    <col min="10758" max="10758" width="10.85546875" style="1" customWidth="1"/>
    <col min="10759" max="10759" width="10.5703125" style="1" customWidth="1"/>
    <col min="10760" max="10760" width="11.42578125" style="1" bestFit="1" customWidth="1"/>
    <col min="10761" max="10761" width="11.5703125" style="1" customWidth="1"/>
    <col min="10762" max="10762" width="11.42578125" style="1" customWidth="1"/>
    <col min="10763" max="10763" width="11.140625" style="1" customWidth="1"/>
    <col min="10764" max="10995" width="9.140625" style="1"/>
    <col min="10996" max="10996" width="22.42578125" style="1" customWidth="1"/>
    <col min="10997" max="10998" width="12.42578125" style="1" customWidth="1"/>
    <col min="10999" max="10999" width="11.42578125" style="1" customWidth="1"/>
    <col min="11000" max="11000" width="10.5703125" style="1" customWidth="1"/>
    <col min="11001" max="11001" width="12" style="1" customWidth="1"/>
    <col min="11002" max="11002" width="10.42578125" style="1" bestFit="1" customWidth="1"/>
    <col min="11003" max="11004" width="10.42578125" style="1" customWidth="1"/>
    <col min="11005" max="11005" width="10.42578125" style="1" bestFit="1" customWidth="1"/>
    <col min="11006" max="11006" width="10.42578125" style="1" customWidth="1"/>
    <col min="11007" max="11008" width="10.42578125" style="1" bestFit="1" customWidth="1"/>
    <col min="11009" max="11009" width="29.5703125" style="1" customWidth="1"/>
    <col min="11010" max="11011" width="11.42578125" style="1" customWidth="1"/>
    <col min="11012" max="11012" width="11.42578125" style="1" bestFit="1" customWidth="1"/>
    <col min="11013" max="11013" width="11.42578125" style="1" customWidth="1"/>
    <col min="11014" max="11014" width="10.85546875" style="1" customWidth="1"/>
    <col min="11015" max="11015" width="10.5703125" style="1" customWidth="1"/>
    <col min="11016" max="11016" width="11.42578125" style="1" bestFit="1" customWidth="1"/>
    <col min="11017" max="11017" width="11.5703125" style="1" customWidth="1"/>
    <col min="11018" max="11018" width="11.42578125" style="1" customWidth="1"/>
    <col min="11019" max="11019" width="11.140625" style="1" customWidth="1"/>
    <col min="11020" max="11251" width="9.140625" style="1"/>
    <col min="11252" max="11252" width="22.42578125" style="1" customWidth="1"/>
    <col min="11253" max="11254" width="12.42578125" style="1" customWidth="1"/>
    <col min="11255" max="11255" width="11.42578125" style="1" customWidth="1"/>
    <col min="11256" max="11256" width="10.5703125" style="1" customWidth="1"/>
    <col min="11257" max="11257" width="12" style="1" customWidth="1"/>
    <col min="11258" max="11258" width="10.42578125" style="1" bestFit="1" customWidth="1"/>
    <col min="11259" max="11260" width="10.42578125" style="1" customWidth="1"/>
    <col min="11261" max="11261" width="10.42578125" style="1" bestFit="1" customWidth="1"/>
    <col min="11262" max="11262" width="10.42578125" style="1" customWidth="1"/>
    <col min="11263" max="11264" width="10.42578125" style="1" bestFit="1" customWidth="1"/>
    <col min="11265" max="11265" width="29.5703125" style="1" customWidth="1"/>
    <col min="11266" max="11267" width="11.42578125" style="1" customWidth="1"/>
    <col min="11268" max="11268" width="11.42578125" style="1" bestFit="1" customWidth="1"/>
    <col min="11269" max="11269" width="11.42578125" style="1" customWidth="1"/>
    <col min="11270" max="11270" width="10.85546875" style="1" customWidth="1"/>
    <col min="11271" max="11271" width="10.5703125" style="1" customWidth="1"/>
    <col min="11272" max="11272" width="11.42578125" style="1" bestFit="1" customWidth="1"/>
    <col min="11273" max="11273" width="11.5703125" style="1" customWidth="1"/>
    <col min="11274" max="11274" width="11.42578125" style="1" customWidth="1"/>
    <col min="11275" max="11275" width="11.140625" style="1" customWidth="1"/>
    <col min="11276" max="11507" width="9.140625" style="1"/>
    <col min="11508" max="11508" width="22.42578125" style="1" customWidth="1"/>
    <col min="11509" max="11510" width="12.42578125" style="1" customWidth="1"/>
    <col min="11511" max="11511" width="11.42578125" style="1" customWidth="1"/>
    <col min="11512" max="11512" width="10.5703125" style="1" customWidth="1"/>
    <col min="11513" max="11513" width="12" style="1" customWidth="1"/>
    <col min="11514" max="11514" width="10.42578125" style="1" bestFit="1" customWidth="1"/>
    <col min="11515" max="11516" width="10.42578125" style="1" customWidth="1"/>
    <col min="11517" max="11517" width="10.42578125" style="1" bestFit="1" customWidth="1"/>
    <col min="11518" max="11518" width="10.42578125" style="1" customWidth="1"/>
    <col min="11519" max="11520" width="10.42578125" style="1" bestFit="1" customWidth="1"/>
    <col min="11521" max="11521" width="29.5703125" style="1" customWidth="1"/>
    <col min="11522" max="11523" width="11.42578125" style="1" customWidth="1"/>
    <col min="11524" max="11524" width="11.42578125" style="1" bestFit="1" customWidth="1"/>
    <col min="11525" max="11525" width="11.42578125" style="1" customWidth="1"/>
    <col min="11526" max="11526" width="10.85546875" style="1" customWidth="1"/>
    <col min="11527" max="11527" width="10.5703125" style="1" customWidth="1"/>
    <col min="11528" max="11528" width="11.42578125" style="1" bestFit="1" customWidth="1"/>
    <col min="11529" max="11529" width="11.5703125" style="1" customWidth="1"/>
    <col min="11530" max="11530" width="11.42578125" style="1" customWidth="1"/>
    <col min="11531" max="11531" width="11.140625" style="1" customWidth="1"/>
    <col min="11532" max="11763" width="9.140625" style="1"/>
    <col min="11764" max="11764" width="22.42578125" style="1" customWidth="1"/>
    <col min="11765" max="11766" width="12.42578125" style="1" customWidth="1"/>
    <col min="11767" max="11767" width="11.42578125" style="1" customWidth="1"/>
    <col min="11768" max="11768" width="10.5703125" style="1" customWidth="1"/>
    <col min="11769" max="11769" width="12" style="1" customWidth="1"/>
    <col min="11770" max="11770" width="10.42578125" style="1" bestFit="1" customWidth="1"/>
    <col min="11771" max="11772" width="10.42578125" style="1" customWidth="1"/>
    <col min="11773" max="11773" width="10.42578125" style="1" bestFit="1" customWidth="1"/>
    <col min="11774" max="11774" width="10.42578125" style="1" customWidth="1"/>
    <col min="11775" max="11776" width="10.42578125" style="1" bestFit="1" customWidth="1"/>
    <col min="11777" max="11777" width="29.5703125" style="1" customWidth="1"/>
    <col min="11778" max="11779" width="11.42578125" style="1" customWidth="1"/>
    <col min="11780" max="11780" width="11.42578125" style="1" bestFit="1" customWidth="1"/>
    <col min="11781" max="11781" width="11.42578125" style="1" customWidth="1"/>
    <col min="11782" max="11782" width="10.85546875" style="1" customWidth="1"/>
    <col min="11783" max="11783" width="10.5703125" style="1" customWidth="1"/>
    <col min="11784" max="11784" width="11.42578125" style="1" bestFit="1" customWidth="1"/>
    <col min="11785" max="11785" width="11.5703125" style="1" customWidth="1"/>
    <col min="11786" max="11786" width="11.42578125" style="1" customWidth="1"/>
    <col min="11787" max="11787" width="11.140625" style="1" customWidth="1"/>
    <col min="11788" max="12019" width="9.140625" style="1"/>
    <col min="12020" max="12020" width="22.42578125" style="1" customWidth="1"/>
    <col min="12021" max="12022" width="12.42578125" style="1" customWidth="1"/>
    <col min="12023" max="12023" width="11.42578125" style="1" customWidth="1"/>
    <col min="12024" max="12024" width="10.5703125" style="1" customWidth="1"/>
    <col min="12025" max="12025" width="12" style="1" customWidth="1"/>
    <col min="12026" max="12026" width="10.42578125" style="1" bestFit="1" customWidth="1"/>
    <col min="12027" max="12028" width="10.42578125" style="1" customWidth="1"/>
    <col min="12029" max="12029" width="10.42578125" style="1" bestFit="1" customWidth="1"/>
    <col min="12030" max="12030" width="10.42578125" style="1" customWidth="1"/>
    <col min="12031" max="12032" width="10.42578125" style="1" bestFit="1" customWidth="1"/>
    <col min="12033" max="12033" width="29.5703125" style="1" customWidth="1"/>
    <col min="12034" max="12035" width="11.42578125" style="1" customWidth="1"/>
    <col min="12036" max="12036" width="11.42578125" style="1" bestFit="1" customWidth="1"/>
    <col min="12037" max="12037" width="11.42578125" style="1" customWidth="1"/>
    <col min="12038" max="12038" width="10.85546875" style="1" customWidth="1"/>
    <col min="12039" max="12039" width="10.5703125" style="1" customWidth="1"/>
    <col min="12040" max="12040" width="11.42578125" style="1" bestFit="1" customWidth="1"/>
    <col min="12041" max="12041" width="11.5703125" style="1" customWidth="1"/>
    <col min="12042" max="12042" width="11.42578125" style="1" customWidth="1"/>
    <col min="12043" max="12043" width="11.140625" style="1" customWidth="1"/>
    <col min="12044" max="12275" width="9.140625" style="1"/>
    <col min="12276" max="12276" width="22.42578125" style="1" customWidth="1"/>
    <col min="12277" max="12278" width="12.42578125" style="1" customWidth="1"/>
    <col min="12279" max="12279" width="11.42578125" style="1" customWidth="1"/>
    <col min="12280" max="12280" width="10.5703125" style="1" customWidth="1"/>
    <col min="12281" max="12281" width="12" style="1" customWidth="1"/>
    <col min="12282" max="12282" width="10.42578125" style="1" bestFit="1" customWidth="1"/>
    <col min="12283" max="12284" width="10.42578125" style="1" customWidth="1"/>
    <col min="12285" max="12285" width="10.42578125" style="1" bestFit="1" customWidth="1"/>
    <col min="12286" max="12286" width="10.42578125" style="1" customWidth="1"/>
    <col min="12287" max="12288" width="10.42578125" style="1" bestFit="1" customWidth="1"/>
    <col min="12289" max="12289" width="29.5703125" style="1" customWidth="1"/>
    <col min="12290" max="12291" width="11.42578125" style="1" customWidth="1"/>
    <col min="12292" max="12292" width="11.42578125" style="1" bestFit="1" customWidth="1"/>
    <col min="12293" max="12293" width="11.42578125" style="1" customWidth="1"/>
    <col min="12294" max="12294" width="10.85546875" style="1" customWidth="1"/>
    <col min="12295" max="12295" width="10.5703125" style="1" customWidth="1"/>
    <col min="12296" max="12296" width="11.42578125" style="1" bestFit="1" customWidth="1"/>
    <col min="12297" max="12297" width="11.5703125" style="1" customWidth="1"/>
    <col min="12298" max="12298" width="11.42578125" style="1" customWidth="1"/>
    <col min="12299" max="12299" width="11.140625" style="1" customWidth="1"/>
    <col min="12300" max="12531" width="9.140625" style="1"/>
    <col min="12532" max="12532" width="22.42578125" style="1" customWidth="1"/>
    <col min="12533" max="12534" width="12.42578125" style="1" customWidth="1"/>
    <col min="12535" max="12535" width="11.42578125" style="1" customWidth="1"/>
    <col min="12536" max="12536" width="10.5703125" style="1" customWidth="1"/>
    <col min="12537" max="12537" width="12" style="1" customWidth="1"/>
    <col min="12538" max="12538" width="10.42578125" style="1" bestFit="1" customWidth="1"/>
    <col min="12539" max="12540" width="10.42578125" style="1" customWidth="1"/>
    <col min="12541" max="12541" width="10.42578125" style="1" bestFit="1" customWidth="1"/>
    <col min="12542" max="12542" width="10.42578125" style="1" customWidth="1"/>
    <col min="12543" max="12544" width="10.42578125" style="1" bestFit="1" customWidth="1"/>
    <col min="12545" max="12545" width="29.5703125" style="1" customWidth="1"/>
    <col min="12546" max="12547" width="11.42578125" style="1" customWidth="1"/>
    <col min="12548" max="12548" width="11.42578125" style="1" bestFit="1" customWidth="1"/>
    <col min="12549" max="12549" width="11.42578125" style="1" customWidth="1"/>
    <col min="12550" max="12550" width="10.85546875" style="1" customWidth="1"/>
    <col min="12551" max="12551" width="10.5703125" style="1" customWidth="1"/>
    <col min="12552" max="12552" width="11.42578125" style="1" bestFit="1" customWidth="1"/>
    <col min="12553" max="12553" width="11.5703125" style="1" customWidth="1"/>
    <col min="12554" max="12554" width="11.42578125" style="1" customWidth="1"/>
    <col min="12555" max="12555" width="11.140625" style="1" customWidth="1"/>
    <col min="12556" max="12787" width="9.140625" style="1"/>
    <col min="12788" max="12788" width="22.42578125" style="1" customWidth="1"/>
    <col min="12789" max="12790" width="12.42578125" style="1" customWidth="1"/>
    <col min="12791" max="12791" width="11.42578125" style="1" customWidth="1"/>
    <col min="12792" max="12792" width="10.5703125" style="1" customWidth="1"/>
    <col min="12793" max="12793" width="12" style="1" customWidth="1"/>
    <col min="12794" max="12794" width="10.42578125" style="1" bestFit="1" customWidth="1"/>
    <col min="12795" max="12796" width="10.42578125" style="1" customWidth="1"/>
    <col min="12797" max="12797" width="10.42578125" style="1" bestFit="1" customWidth="1"/>
    <col min="12798" max="12798" width="10.42578125" style="1" customWidth="1"/>
    <col min="12799" max="12800" width="10.42578125" style="1" bestFit="1" customWidth="1"/>
    <col min="12801" max="12801" width="29.5703125" style="1" customWidth="1"/>
    <col min="12802" max="12803" width="11.42578125" style="1" customWidth="1"/>
    <col min="12804" max="12804" width="11.42578125" style="1" bestFit="1" customWidth="1"/>
    <col min="12805" max="12805" width="11.42578125" style="1" customWidth="1"/>
    <col min="12806" max="12806" width="10.85546875" style="1" customWidth="1"/>
    <col min="12807" max="12807" width="10.5703125" style="1" customWidth="1"/>
    <col min="12808" max="12808" width="11.42578125" style="1" bestFit="1" customWidth="1"/>
    <col min="12809" max="12809" width="11.5703125" style="1" customWidth="1"/>
    <col min="12810" max="12810" width="11.42578125" style="1" customWidth="1"/>
    <col min="12811" max="12811" width="11.140625" style="1" customWidth="1"/>
    <col min="12812" max="13043" width="9.140625" style="1"/>
    <col min="13044" max="13044" width="22.42578125" style="1" customWidth="1"/>
    <col min="13045" max="13046" width="12.42578125" style="1" customWidth="1"/>
    <col min="13047" max="13047" width="11.42578125" style="1" customWidth="1"/>
    <col min="13048" max="13048" width="10.5703125" style="1" customWidth="1"/>
    <col min="13049" max="13049" width="12" style="1" customWidth="1"/>
    <col min="13050" max="13050" width="10.42578125" style="1" bestFit="1" customWidth="1"/>
    <col min="13051" max="13052" width="10.42578125" style="1" customWidth="1"/>
    <col min="13053" max="13053" width="10.42578125" style="1" bestFit="1" customWidth="1"/>
    <col min="13054" max="13054" width="10.42578125" style="1" customWidth="1"/>
    <col min="13055" max="13056" width="10.42578125" style="1" bestFit="1" customWidth="1"/>
    <col min="13057" max="13057" width="29.5703125" style="1" customWidth="1"/>
    <col min="13058" max="13059" width="11.42578125" style="1" customWidth="1"/>
    <col min="13060" max="13060" width="11.42578125" style="1" bestFit="1" customWidth="1"/>
    <col min="13061" max="13061" width="11.42578125" style="1" customWidth="1"/>
    <col min="13062" max="13062" width="10.85546875" style="1" customWidth="1"/>
    <col min="13063" max="13063" width="10.5703125" style="1" customWidth="1"/>
    <col min="13064" max="13064" width="11.42578125" style="1" bestFit="1" customWidth="1"/>
    <col min="13065" max="13065" width="11.5703125" style="1" customWidth="1"/>
    <col min="13066" max="13066" width="11.42578125" style="1" customWidth="1"/>
    <col min="13067" max="13067" width="11.140625" style="1" customWidth="1"/>
    <col min="13068" max="13299" width="9.140625" style="1"/>
    <col min="13300" max="13300" width="22.42578125" style="1" customWidth="1"/>
    <col min="13301" max="13302" width="12.42578125" style="1" customWidth="1"/>
    <col min="13303" max="13303" width="11.42578125" style="1" customWidth="1"/>
    <col min="13304" max="13304" width="10.5703125" style="1" customWidth="1"/>
    <col min="13305" max="13305" width="12" style="1" customWidth="1"/>
    <col min="13306" max="13306" width="10.42578125" style="1" bestFit="1" customWidth="1"/>
    <col min="13307" max="13308" width="10.42578125" style="1" customWidth="1"/>
    <col min="13309" max="13309" width="10.42578125" style="1" bestFit="1" customWidth="1"/>
    <col min="13310" max="13310" width="10.42578125" style="1" customWidth="1"/>
    <col min="13311" max="13312" width="10.42578125" style="1" bestFit="1" customWidth="1"/>
    <col min="13313" max="13313" width="29.5703125" style="1" customWidth="1"/>
    <col min="13314" max="13315" width="11.42578125" style="1" customWidth="1"/>
    <col min="13316" max="13316" width="11.42578125" style="1" bestFit="1" customWidth="1"/>
    <col min="13317" max="13317" width="11.42578125" style="1" customWidth="1"/>
    <col min="13318" max="13318" width="10.85546875" style="1" customWidth="1"/>
    <col min="13319" max="13319" width="10.5703125" style="1" customWidth="1"/>
    <col min="13320" max="13320" width="11.42578125" style="1" bestFit="1" customWidth="1"/>
    <col min="13321" max="13321" width="11.5703125" style="1" customWidth="1"/>
    <col min="13322" max="13322" width="11.42578125" style="1" customWidth="1"/>
    <col min="13323" max="13323" width="11.140625" style="1" customWidth="1"/>
    <col min="13324" max="13555" width="9.140625" style="1"/>
    <col min="13556" max="13556" width="22.42578125" style="1" customWidth="1"/>
    <col min="13557" max="13558" width="12.42578125" style="1" customWidth="1"/>
    <col min="13559" max="13559" width="11.42578125" style="1" customWidth="1"/>
    <col min="13560" max="13560" width="10.5703125" style="1" customWidth="1"/>
    <col min="13561" max="13561" width="12" style="1" customWidth="1"/>
    <col min="13562" max="13562" width="10.42578125" style="1" bestFit="1" customWidth="1"/>
    <col min="13563" max="13564" width="10.42578125" style="1" customWidth="1"/>
    <col min="13565" max="13565" width="10.42578125" style="1" bestFit="1" customWidth="1"/>
    <col min="13566" max="13566" width="10.42578125" style="1" customWidth="1"/>
    <col min="13567" max="13568" width="10.42578125" style="1" bestFit="1" customWidth="1"/>
    <col min="13569" max="13569" width="29.5703125" style="1" customWidth="1"/>
    <col min="13570" max="13571" width="11.42578125" style="1" customWidth="1"/>
    <col min="13572" max="13572" width="11.42578125" style="1" bestFit="1" customWidth="1"/>
    <col min="13573" max="13573" width="11.42578125" style="1" customWidth="1"/>
    <col min="13574" max="13574" width="10.85546875" style="1" customWidth="1"/>
    <col min="13575" max="13575" width="10.5703125" style="1" customWidth="1"/>
    <col min="13576" max="13576" width="11.42578125" style="1" bestFit="1" customWidth="1"/>
    <col min="13577" max="13577" width="11.5703125" style="1" customWidth="1"/>
    <col min="13578" max="13578" width="11.42578125" style="1" customWidth="1"/>
    <col min="13579" max="13579" width="11.140625" style="1" customWidth="1"/>
    <col min="13580" max="13811" width="9.140625" style="1"/>
    <col min="13812" max="13812" width="22.42578125" style="1" customWidth="1"/>
    <col min="13813" max="13814" width="12.42578125" style="1" customWidth="1"/>
    <col min="13815" max="13815" width="11.42578125" style="1" customWidth="1"/>
    <col min="13816" max="13816" width="10.5703125" style="1" customWidth="1"/>
    <col min="13817" max="13817" width="12" style="1" customWidth="1"/>
    <col min="13818" max="13818" width="10.42578125" style="1" bestFit="1" customWidth="1"/>
    <col min="13819" max="13820" width="10.42578125" style="1" customWidth="1"/>
    <col min="13821" max="13821" width="10.42578125" style="1" bestFit="1" customWidth="1"/>
    <col min="13822" max="13822" width="10.42578125" style="1" customWidth="1"/>
    <col min="13823" max="13824" width="10.42578125" style="1" bestFit="1" customWidth="1"/>
    <col min="13825" max="13825" width="29.5703125" style="1" customWidth="1"/>
    <col min="13826" max="13827" width="11.42578125" style="1" customWidth="1"/>
    <col min="13828" max="13828" width="11.42578125" style="1" bestFit="1" customWidth="1"/>
    <col min="13829" max="13829" width="11.42578125" style="1" customWidth="1"/>
    <col min="13830" max="13830" width="10.85546875" style="1" customWidth="1"/>
    <col min="13831" max="13831" width="10.5703125" style="1" customWidth="1"/>
    <col min="13832" max="13832" width="11.42578125" style="1" bestFit="1" customWidth="1"/>
    <col min="13833" max="13833" width="11.5703125" style="1" customWidth="1"/>
    <col min="13834" max="13834" width="11.42578125" style="1" customWidth="1"/>
    <col min="13835" max="13835" width="11.140625" style="1" customWidth="1"/>
    <col min="13836" max="14067" width="9.140625" style="1"/>
    <col min="14068" max="14068" width="22.42578125" style="1" customWidth="1"/>
    <col min="14069" max="14070" width="12.42578125" style="1" customWidth="1"/>
    <col min="14071" max="14071" width="11.42578125" style="1" customWidth="1"/>
    <col min="14072" max="14072" width="10.5703125" style="1" customWidth="1"/>
    <col min="14073" max="14073" width="12" style="1" customWidth="1"/>
    <col min="14074" max="14074" width="10.42578125" style="1" bestFit="1" customWidth="1"/>
    <col min="14075" max="14076" width="10.42578125" style="1" customWidth="1"/>
    <col min="14077" max="14077" width="10.42578125" style="1" bestFit="1" customWidth="1"/>
    <col min="14078" max="14078" width="10.42578125" style="1" customWidth="1"/>
    <col min="14079" max="14080" width="10.42578125" style="1" bestFit="1" customWidth="1"/>
    <col min="14081" max="14081" width="29.5703125" style="1" customWidth="1"/>
    <col min="14082" max="14083" width="11.42578125" style="1" customWidth="1"/>
    <col min="14084" max="14084" width="11.42578125" style="1" bestFit="1" customWidth="1"/>
    <col min="14085" max="14085" width="11.42578125" style="1" customWidth="1"/>
    <col min="14086" max="14086" width="10.85546875" style="1" customWidth="1"/>
    <col min="14087" max="14087" width="10.5703125" style="1" customWidth="1"/>
    <col min="14088" max="14088" width="11.42578125" style="1" bestFit="1" customWidth="1"/>
    <col min="14089" max="14089" width="11.5703125" style="1" customWidth="1"/>
    <col min="14090" max="14090" width="11.42578125" style="1" customWidth="1"/>
    <col min="14091" max="14091" width="11.140625" style="1" customWidth="1"/>
    <col min="14092" max="14323" width="9.140625" style="1"/>
    <col min="14324" max="14324" width="22.42578125" style="1" customWidth="1"/>
    <col min="14325" max="14326" width="12.42578125" style="1" customWidth="1"/>
    <col min="14327" max="14327" width="11.42578125" style="1" customWidth="1"/>
    <col min="14328" max="14328" width="10.5703125" style="1" customWidth="1"/>
    <col min="14329" max="14329" width="12" style="1" customWidth="1"/>
    <col min="14330" max="14330" width="10.42578125" style="1" bestFit="1" customWidth="1"/>
    <col min="14331" max="14332" width="10.42578125" style="1" customWidth="1"/>
    <col min="14333" max="14333" width="10.42578125" style="1" bestFit="1" customWidth="1"/>
    <col min="14334" max="14334" width="10.42578125" style="1" customWidth="1"/>
    <col min="14335" max="14336" width="10.42578125" style="1" bestFit="1" customWidth="1"/>
    <col min="14337" max="14337" width="29.5703125" style="1" customWidth="1"/>
    <col min="14338" max="14339" width="11.42578125" style="1" customWidth="1"/>
    <col min="14340" max="14340" width="11.42578125" style="1" bestFit="1" customWidth="1"/>
    <col min="14341" max="14341" width="11.42578125" style="1" customWidth="1"/>
    <col min="14342" max="14342" width="10.85546875" style="1" customWidth="1"/>
    <col min="14343" max="14343" width="10.5703125" style="1" customWidth="1"/>
    <col min="14344" max="14344" width="11.42578125" style="1" bestFit="1" customWidth="1"/>
    <col min="14345" max="14345" width="11.5703125" style="1" customWidth="1"/>
    <col min="14346" max="14346" width="11.42578125" style="1" customWidth="1"/>
    <col min="14347" max="14347" width="11.140625" style="1" customWidth="1"/>
    <col min="14348" max="14579" width="9.140625" style="1"/>
    <col min="14580" max="14580" width="22.42578125" style="1" customWidth="1"/>
    <col min="14581" max="14582" width="12.42578125" style="1" customWidth="1"/>
    <col min="14583" max="14583" width="11.42578125" style="1" customWidth="1"/>
    <col min="14584" max="14584" width="10.5703125" style="1" customWidth="1"/>
    <col min="14585" max="14585" width="12" style="1" customWidth="1"/>
    <col min="14586" max="14586" width="10.42578125" style="1" bestFit="1" customWidth="1"/>
    <col min="14587" max="14588" width="10.42578125" style="1" customWidth="1"/>
    <col min="14589" max="14589" width="10.42578125" style="1" bestFit="1" customWidth="1"/>
    <col min="14590" max="14590" width="10.42578125" style="1" customWidth="1"/>
    <col min="14591" max="14592" width="10.42578125" style="1" bestFit="1" customWidth="1"/>
    <col min="14593" max="14593" width="29.5703125" style="1" customWidth="1"/>
    <col min="14594" max="14595" width="11.42578125" style="1" customWidth="1"/>
    <col min="14596" max="14596" width="11.42578125" style="1" bestFit="1" customWidth="1"/>
    <col min="14597" max="14597" width="11.42578125" style="1" customWidth="1"/>
    <col min="14598" max="14598" width="10.85546875" style="1" customWidth="1"/>
    <col min="14599" max="14599" width="10.5703125" style="1" customWidth="1"/>
    <col min="14600" max="14600" width="11.42578125" style="1" bestFit="1" customWidth="1"/>
    <col min="14601" max="14601" width="11.5703125" style="1" customWidth="1"/>
    <col min="14602" max="14602" width="11.42578125" style="1" customWidth="1"/>
    <col min="14603" max="14603" width="11.140625" style="1" customWidth="1"/>
    <col min="14604" max="14835" width="9.140625" style="1"/>
    <col min="14836" max="14836" width="22.42578125" style="1" customWidth="1"/>
    <col min="14837" max="14838" width="12.42578125" style="1" customWidth="1"/>
    <col min="14839" max="14839" width="11.42578125" style="1" customWidth="1"/>
    <col min="14840" max="14840" width="10.5703125" style="1" customWidth="1"/>
    <col min="14841" max="14841" width="12" style="1" customWidth="1"/>
    <col min="14842" max="14842" width="10.42578125" style="1" bestFit="1" customWidth="1"/>
    <col min="14843" max="14844" width="10.42578125" style="1" customWidth="1"/>
    <col min="14845" max="14845" width="10.42578125" style="1" bestFit="1" customWidth="1"/>
    <col min="14846" max="14846" width="10.42578125" style="1" customWidth="1"/>
    <col min="14847" max="14848" width="10.42578125" style="1" bestFit="1" customWidth="1"/>
    <col min="14849" max="14849" width="29.5703125" style="1" customWidth="1"/>
    <col min="14850" max="14851" width="11.42578125" style="1" customWidth="1"/>
    <col min="14852" max="14852" width="11.42578125" style="1" bestFit="1" customWidth="1"/>
    <col min="14853" max="14853" width="11.42578125" style="1" customWidth="1"/>
    <col min="14854" max="14854" width="10.85546875" style="1" customWidth="1"/>
    <col min="14855" max="14855" width="10.5703125" style="1" customWidth="1"/>
    <col min="14856" max="14856" width="11.42578125" style="1" bestFit="1" customWidth="1"/>
    <col min="14857" max="14857" width="11.5703125" style="1" customWidth="1"/>
    <col min="14858" max="14858" width="11.42578125" style="1" customWidth="1"/>
    <col min="14859" max="14859" width="11.140625" style="1" customWidth="1"/>
    <col min="14860" max="15091" width="9.140625" style="1"/>
    <col min="15092" max="15092" width="22.42578125" style="1" customWidth="1"/>
    <col min="15093" max="15094" width="12.42578125" style="1" customWidth="1"/>
    <col min="15095" max="15095" width="11.42578125" style="1" customWidth="1"/>
    <col min="15096" max="15096" width="10.5703125" style="1" customWidth="1"/>
    <col min="15097" max="15097" width="12" style="1" customWidth="1"/>
    <col min="15098" max="15098" width="10.42578125" style="1" bestFit="1" customWidth="1"/>
    <col min="15099" max="15100" width="10.42578125" style="1" customWidth="1"/>
    <col min="15101" max="15101" width="10.42578125" style="1" bestFit="1" customWidth="1"/>
    <col min="15102" max="15102" width="10.42578125" style="1" customWidth="1"/>
    <col min="15103" max="15104" width="10.42578125" style="1" bestFit="1" customWidth="1"/>
    <col min="15105" max="15105" width="29.5703125" style="1" customWidth="1"/>
    <col min="15106" max="15107" width="11.42578125" style="1" customWidth="1"/>
    <col min="15108" max="15108" width="11.42578125" style="1" bestFit="1" customWidth="1"/>
    <col min="15109" max="15109" width="11.42578125" style="1" customWidth="1"/>
    <col min="15110" max="15110" width="10.85546875" style="1" customWidth="1"/>
    <col min="15111" max="15111" width="10.5703125" style="1" customWidth="1"/>
    <col min="15112" max="15112" width="11.42578125" style="1" bestFit="1" customWidth="1"/>
    <col min="15113" max="15113" width="11.5703125" style="1" customWidth="1"/>
    <col min="15114" max="15114" width="11.42578125" style="1" customWidth="1"/>
    <col min="15115" max="15115" width="11.140625" style="1" customWidth="1"/>
    <col min="15116" max="15347" width="9.140625" style="1"/>
    <col min="15348" max="15348" width="22.42578125" style="1" customWidth="1"/>
    <col min="15349" max="15350" width="12.42578125" style="1" customWidth="1"/>
    <col min="15351" max="15351" width="11.42578125" style="1" customWidth="1"/>
    <col min="15352" max="15352" width="10.5703125" style="1" customWidth="1"/>
    <col min="15353" max="15353" width="12" style="1" customWidth="1"/>
    <col min="15354" max="15354" width="10.42578125" style="1" bestFit="1" customWidth="1"/>
    <col min="15355" max="15356" width="10.42578125" style="1" customWidth="1"/>
    <col min="15357" max="15357" width="10.42578125" style="1" bestFit="1" customWidth="1"/>
    <col min="15358" max="15358" width="10.42578125" style="1" customWidth="1"/>
    <col min="15359" max="15360" width="10.42578125" style="1" bestFit="1" customWidth="1"/>
    <col min="15361" max="15361" width="29.5703125" style="1" customWidth="1"/>
    <col min="15362" max="15363" width="11.42578125" style="1" customWidth="1"/>
    <col min="15364" max="15364" width="11.42578125" style="1" bestFit="1" customWidth="1"/>
    <col min="15365" max="15365" width="11.42578125" style="1" customWidth="1"/>
    <col min="15366" max="15366" width="10.85546875" style="1" customWidth="1"/>
    <col min="15367" max="15367" width="10.5703125" style="1" customWidth="1"/>
    <col min="15368" max="15368" width="11.42578125" style="1" bestFit="1" customWidth="1"/>
    <col min="15369" max="15369" width="11.5703125" style="1" customWidth="1"/>
    <col min="15370" max="15370" width="11.42578125" style="1" customWidth="1"/>
    <col min="15371" max="15371" width="11.140625" style="1" customWidth="1"/>
    <col min="15372" max="15603" width="9.140625" style="1"/>
    <col min="15604" max="15604" width="22.42578125" style="1" customWidth="1"/>
    <col min="15605" max="15606" width="12.42578125" style="1" customWidth="1"/>
    <col min="15607" max="15607" width="11.42578125" style="1" customWidth="1"/>
    <col min="15608" max="15608" width="10.5703125" style="1" customWidth="1"/>
    <col min="15609" max="15609" width="12" style="1" customWidth="1"/>
    <col min="15610" max="15610" width="10.42578125" style="1" bestFit="1" customWidth="1"/>
    <col min="15611" max="15612" width="10.42578125" style="1" customWidth="1"/>
    <col min="15613" max="15613" width="10.42578125" style="1" bestFit="1" customWidth="1"/>
    <col min="15614" max="15614" width="10.42578125" style="1" customWidth="1"/>
    <col min="15615" max="15616" width="10.42578125" style="1" bestFit="1" customWidth="1"/>
    <col min="15617" max="15617" width="29.5703125" style="1" customWidth="1"/>
    <col min="15618" max="15619" width="11.42578125" style="1" customWidth="1"/>
    <col min="15620" max="15620" width="11.42578125" style="1" bestFit="1" customWidth="1"/>
    <col min="15621" max="15621" width="11.42578125" style="1" customWidth="1"/>
    <col min="15622" max="15622" width="10.85546875" style="1" customWidth="1"/>
    <col min="15623" max="15623" width="10.5703125" style="1" customWidth="1"/>
    <col min="15624" max="15624" width="11.42578125" style="1" bestFit="1" customWidth="1"/>
    <col min="15625" max="15625" width="11.5703125" style="1" customWidth="1"/>
    <col min="15626" max="15626" width="11.42578125" style="1" customWidth="1"/>
    <col min="15627" max="15627" width="11.140625" style="1" customWidth="1"/>
    <col min="15628" max="15859" width="9.140625" style="1"/>
    <col min="15860" max="15860" width="22.42578125" style="1" customWidth="1"/>
    <col min="15861" max="15862" width="12.42578125" style="1" customWidth="1"/>
    <col min="15863" max="15863" width="11.42578125" style="1" customWidth="1"/>
    <col min="15864" max="15864" width="10.5703125" style="1" customWidth="1"/>
    <col min="15865" max="15865" width="12" style="1" customWidth="1"/>
    <col min="15866" max="15866" width="10.42578125" style="1" bestFit="1" customWidth="1"/>
    <col min="15867" max="15868" width="10.42578125" style="1" customWidth="1"/>
    <col min="15869" max="15869" width="10.42578125" style="1" bestFit="1" customWidth="1"/>
    <col min="15870" max="15870" width="10.42578125" style="1" customWidth="1"/>
    <col min="15871" max="15872" width="10.42578125" style="1" bestFit="1" customWidth="1"/>
    <col min="15873" max="15873" width="29.5703125" style="1" customWidth="1"/>
    <col min="15874" max="15875" width="11.42578125" style="1" customWidth="1"/>
    <col min="15876" max="15876" width="11.42578125" style="1" bestFit="1" customWidth="1"/>
    <col min="15877" max="15877" width="11.42578125" style="1" customWidth="1"/>
    <col min="15878" max="15878" width="10.85546875" style="1" customWidth="1"/>
    <col min="15879" max="15879" width="10.5703125" style="1" customWidth="1"/>
    <col min="15880" max="15880" width="11.42578125" style="1" bestFit="1" customWidth="1"/>
    <col min="15881" max="15881" width="11.5703125" style="1" customWidth="1"/>
    <col min="15882" max="15882" width="11.42578125" style="1" customWidth="1"/>
    <col min="15883" max="15883" width="11.140625" style="1" customWidth="1"/>
    <col min="15884" max="16115" width="9.140625" style="1"/>
    <col min="16116" max="16116" width="22.42578125" style="1" customWidth="1"/>
    <col min="16117" max="16118" width="12.42578125" style="1" customWidth="1"/>
    <col min="16119" max="16119" width="11.42578125" style="1" customWidth="1"/>
    <col min="16120" max="16120" width="10.5703125" style="1" customWidth="1"/>
    <col min="16121" max="16121" width="12" style="1" customWidth="1"/>
    <col min="16122" max="16122" width="10.42578125" style="1" bestFit="1" customWidth="1"/>
    <col min="16123" max="16124" width="10.42578125" style="1" customWidth="1"/>
    <col min="16125" max="16125" width="10.42578125" style="1" bestFit="1" customWidth="1"/>
    <col min="16126" max="16126" width="10.42578125" style="1" customWidth="1"/>
    <col min="16127" max="16128" width="10.42578125" style="1" bestFit="1" customWidth="1"/>
    <col min="16129" max="16129" width="29.5703125" style="1" customWidth="1"/>
    <col min="16130" max="16131" width="11.42578125" style="1" customWidth="1"/>
    <col min="16132" max="16132" width="11.42578125" style="1" bestFit="1" customWidth="1"/>
    <col min="16133" max="16133" width="11.42578125" style="1" customWidth="1"/>
    <col min="16134" max="16134" width="10.85546875" style="1" customWidth="1"/>
    <col min="16135" max="16135" width="10.5703125" style="1" customWidth="1"/>
    <col min="16136" max="16136" width="11.42578125" style="1" bestFit="1" customWidth="1"/>
    <col min="16137" max="16137" width="11.5703125" style="1" customWidth="1"/>
    <col min="16138" max="16138" width="11.42578125" style="1" customWidth="1"/>
    <col min="16139" max="16139" width="11.140625" style="1" customWidth="1"/>
    <col min="16140" max="16384" width="9.140625" style="1"/>
  </cols>
  <sheetData>
    <row r="1" spans="1:13">
      <c r="A1" s="702" t="s">
        <v>59</v>
      </c>
      <c r="B1" s="702"/>
      <c r="C1" s="702"/>
      <c r="D1" s="702"/>
      <c r="E1" s="702"/>
      <c r="F1" s="702"/>
      <c r="G1" s="702"/>
      <c r="H1" s="702"/>
      <c r="I1" s="702"/>
      <c r="J1" s="702"/>
      <c r="K1" s="702"/>
      <c r="L1" s="702"/>
      <c r="M1" s="702"/>
    </row>
    <row r="2" spans="1:13">
      <c r="A2" s="2"/>
      <c r="B2" s="2"/>
      <c r="C2" s="2"/>
      <c r="D2" s="2"/>
      <c r="E2" s="2"/>
      <c r="F2" s="2"/>
      <c r="G2" s="2"/>
      <c r="H2" s="2"/>
      <c r="I2" s="2"/>
      <c r="J2" s="2"/>
      <c r="K2" s="2"/>
      <c r="L2" s="2"/>
      <c r="M2" s="2"/>
    </row>
    <row r="3" spans="1:13">
      <c r="B3" s="437"/>
      <c r="F3" s="714" t="s">
        <v>36</v>
      </c>
      <c r="G3" s="715"/>
      <c r="H3" s="716"/>
      <c r="I3" s="195" t="s">
        <v>60</v>
      </c>
      <c r="J3" s="195" t="s">
        <v>27</v>
      </c>
    </row>
    <row r="4" spans="1:13" s="4" customFormat="1">
      <c r="A4" s="703" t="s">
        <v>25</v>
      </c>
      <c r="B4" s="192" t="s">
        <v>26</v>
      </c>
      <c r="C4" s="193" t="s">
        <v>60</v>
      </c>
      <c r="D4" s="193" t="s">
        <v>27</v>
      </c>
      <c r="F4" s="711" t="s">
        <v>37</v>
      </c>
      <c r="G4" s="712"/>
      <c r="H4" s="713"/>
      <c r="I4" s="196">
        <f>C7-C6</f>
        <v>510.0616666666665</v>
      </c>
      <c r="J4" s="196">
        <f>D7-D6</f>
        <v>16.770000000000003</v>
      </c>
    </row>
    <row r="5" spans="1:13" s="4" customFormat="1">
      <c r="A5" s="703"/>
      <c r="B5" s="192" t="s">
        <v>29</v>
      </c>
      <c r="C5" s="193" t="s">
        <v>30</v>
      </c>
      <c r="D5" s="193" t="s">
        <v>30</v>
      </c>
      <c r="F5" s="711" t="s">
        <v>38</v>
      </c>
      <c r="G5" s="712"/>
      <c r="H5" s="713"/>
      <c r="I5" s="196">
        <f>C8-C6</f>
        <v>905.43333333333339</v>
      </c>
      <c r="J5" s="196">
        <f>D8-D6</f>
        <v>29.759999999999998</v>
      </c>
    </row>
    <row r="6" spans="1:13" s="4" customFormat="1">
      <c r="A6" s="160" t="s">
        <v>32</v>
      </c>
      <c r="B6" s="194">
        <f>C66</f>
        <v>13456.36</v>
      </c>
      <c r="C6" s="194">
        <f>B6/12</f>
        <v>1121.3633333333335</v>
      </c>
      <c r="D6" s="194">
        <f>ROUND(B6/365,2)</f>
        <v>36.869999999999997</v>
      </c>
      <c r="F6" s="711" t="s">
        <v>39</v>
      </c>
      <c r="G6" s="712"/>
      <c r="H6" s="713"/>
      <c r="I6" s="196">
        <f>C9-C6</f>
        <v>1536.3866666666665</v>
      </c>
      <c r="J6" s="196">
        <f>D9-D6</f>
        <v>50.51</v>
      </c>
    </row>
    <row r="7" spans="1:13" s="4" customFormat="1">
      <c r="A7" s="160" t="s">
        <v>33</v>
      </c>
      <c r="B7" s="194">
        <f>D66</f>
        <v>19577.099999999999</v>
      </c>
      <c r="C7" s="194">
        <f>B7/12</f>
        <v>1631.425</v>
      </c>
      <c r="D7" s="194">
        <f>ROUND(B7/365,2)</f>
        <v>53.64</v>
      </c>
      <c r="F7" s="711" t="s">
        <v>40</v>
      </c>
      <c r="G7" s="712"/>
      <c r="H7" s="713"/>
      <c r="I7" s="196">
        <f>C8-C7</f>
        <v>395.3716666666669</v>
      </c>
      <c r="J7" s="196">
        <f>D8-D7</f>
        <v>12.989999999999995</v>
      </c>
    </row>
    <row r="8" spans="1:13" s="4" customFormat="1">
      <c r="A8" s="160" t="s">
        <v>34</v>
      </c>
      <c r="B8" s="194">
        <f>F66</f>
        <v>24321.56</v>
      </c>
      <c r="C8" s="194">
        <f>B8/12</f>
        <v>2026.7966666666669</v>
      </c>
      <c r="D8" s="194">
        <f>ROUND(B8/365,2)</f>
        <v>66.63</v>
      </c>
      <c r="F8" s="711" t="s">
        <v>41</v>
      </c>
      <c r="G8" s="712"/>
      <c r="H8" s="713"/>
      <c r="I8" s="196">
        <f>C9-C7</f>
        <v>1026.325</v>
      </c>
      <c r="J8" s="196">
        <f>D9-D7</f>
        <v>33.739999999999995</v>
      </c>
    </row>
    <row r="9" spans="1:13" s="4" customFormat="1">
      <c r="A9" s="160" t="s">
        <v>35</v>
      </c>
      <c r="B9" s="194">
        <f>J66</f>
        <v>31893</v>
      </c>
      <c r="C9" s="194">
        <f>B9/12</f>
        <v>2657.75</v>
      </c>
      <c r="D9" s="194">
        <f>ROUND(B9/365,2)</f>
        <v>87.38</v>
      </c>
      <c r="F9" s="711" t="s">
        <v>42</v>
      </c>
      <c r="G9" s="712"/>
      <c r="H9" s="713"/>
      <c r="I9" s="196">
        <f>C9-C8</f>
        <v>630.95333333333315</v>
      </c>
      <c r="J9" s="196">
        <f>D9-D8</f>
        <v>20.75</v>
      </c>
    </row>
    <row r="10" spans="1:13" ht="15.75" thickBot="1"/>
    <row r="11" spans="1:13">
      <c r="A11" s="5"/>
      <c r="B11" s="6"/>
      <c r="C11" s="704" t="s">
        <v>61</v>
      </c>
      <c r="D11" s="705"/>
      <c r="E11" s="705"/>
      <c r="F11" s="705"/>
      <c r="G11" s="705"/>
      <c r="H11" s="705"/>
      <c r="I11" s="705"/>
      <c r="J11" s="705"/>
      <c r="K11" s="705"/>
      <c r="L11" s="705"/>
      <c r="M11" s="706"/>
    </row>
    <row r="12" spans="1:13">
      <c r="A12" s="7"/>
      <c r="B12" s="8"/>
      <c r="C12" s="707" t="s">
        <v>62</v>
      </c>
      <c r="D12" s="708"/>
      <c r="E12" s="708"/>
      <c r="F12" s="708"/>
      <c r="G12" s="708"/>
      <c r="H12" s="708"/>
      <c r="I12" s="709"/>
      <c r="J12" s="707" t="s">
        <v>63</v>
      </c>
      <c r="K12" s="708"/>
      <c r="L12" s="708"/>
      <c r="M12" s="710"/>
    </row>
    <row r="13" spans="1:13">
      <c r="A13" s="9" t="s">
        <v>64</v>
      </c>
      <c r="B13" s="8"/>
      <c r="C13" s="10">
        <f t="shared" ref="C13:M13" si="0">C14*365</f>
        <v>365</v>
      </c>
      <c r="D13" s="10">
        <f t="shared" si="0"/>
        <v>730</v>
      </c>
      <c r="E13" s="10">
        <f t="shared" si="0"/>
        <v>1095</v>
      </c>
      <c r="F13" s="10">
        <f t="shared" si="0"/>
        <v>1460</v>
      </c>
      <c r="G13" s="10">
        <f t="shared" si="0"/>
        <v>1825</v>
      </c>
      <c r="H13" s="10">
        <f t="shared" si="0"/>
        <v>2190</v>
      </c>
      <c r="I13" s="10">
        <f t="shared" si="0"/>
        <v>2555</v>
      </c>
      <c r="J13" s="10">
        <f t="shared" si="0"/>
        <v>730</v>
      </c>
      <c r="K13" s="10">
        <f t="shared" si="0"/>
        <v>1095</v>
      </c>
      <c r="L13" s="10">
        <f t="shared" si="0"/>
        <v>1460</v>
      </c>
      <c r="M13" s="10">
        <f t="shared" si="0"/>
        <v>1825</v>
      </c>
    </row>
    <row r="14" spans="1:13" ht="15.75" thickBot="1">
      <c r="A14" s="11" t="s">
        <v>65</v>
      </c>
      <c r="B14" s="12"/>
      <c r="C14" s="13">
        <v>1</v>
      </c>
      <c r="D14" s="14" t="s">
        <v>66</v>
      </c>
      <c r="E14" s="14" t="s">
        <v>67</v>
      </c>
      <c r="F14" s="13">
        <v>4</v>
      </c>
      <c r="G14" s="13">
        <v>5</v>
      </c>
      <c r="H14" s="15" t="s">
        <v>68</v>
      </c>
      <c r="I14" s="15" t="s">
        <v>69</v>
      </c>
      <c r="J14" s="14" t="s">
        <v>66</v>
      </c>
      <c r="K14" s="14" t="s">
        <v>67</v>
      </c>
      <c r="L14" s="13">
        <v>4</v>
      </c>
      <c r="M14" s="16" t="s">
        <v>70</v>
      </c>
    </row>
    <row r="15" spans="1:13" ht="16.5" thickTop="1" thickBot="1">
      <c r="A15" s="17" t="s">
        <v>71</v>
      </c>
      <c r="B15" s="18"/>
      <c r="C15" s="19">
        <v>1</v>
      </c>
      <c r="D15" s="19">
        <v>1</v>
      </c>
      <c r="E15" s="19">
        <v>1</v>
      </c>
      <c r="F15" s="19">
        <v>1</v>
      </c>
      <c r="G15" s="19">
        <v>1</v>
      </c>
      <c r="H15" s="19">
        <v>1</v>
      </c>
      <c r="I15" s="19">
        <v>1</v>
      </c>
      <c r="J15" s="19">
        <v>1</v>
      </c>
      <c r="K15" s="19">
        <v>1</v>
      </c>
      <c r="L15" s="19">
        <v>1</v>
      </c>
      <c r="M15" s="20">
        <v>2</v>
      </c>
    </row>
    <row r="16" spans="1:13" ht="16.5" thickTop="1" thickBot="1">
      <c r="A16" s="21" t="s">
        <v>58</v>
      </c>
      <c r="B16" s="22"/>
      <c r="C16" s="23" t="s">
        <v>32</v>
      </c>
      <c r="D16" s="23" t="s">
        <v>33</v>
      </c>
      <c r="E16" s="23" t="s">
        <v>33</v>
      </c>
      <c r="F16" s="24" t="s">
        <v>34</v>
      </c>
      <c r="G16" s="24" t="s">
        <v>34</v>
      </c>
      <c r="H16" s="24" t="s">
        <v>34</v>
      </c>
      <c r="I16" s="24" t="s">
        <v>34</v>
      </c>
      <c r="J16" s="23" t="s">
        <v>72</v>
      </c>
      <c r="K16" s="23" t="s">
        <v>72</v>
      </c>
      <c r="L16" s="24" t="s">
        <v>72</v>
      </c>
      <c r="M16" s="25" t="s">
        <v>72</v>
      </c>
    </row>
    <row r="17" spans="1:13">
      <c r="D17" s="26"/>
      <c r="E17" s="27"/>
      <c r="F17" s="27"/>
      <c r="G17" s="28"/>
      <c r="H17" s="27"/>
      <c r="I17" s="27"/>
      <c r="J17" s="26"/>
      <c r="K17" s="27"/>
      <c r="L17" s="27"/>
      <c r="M17" s="28"/>
    </row>
    <row r="18" spans="1:13">
      <c r="A18" s="29" t="s">
        <v>73</v>
      </c>
      <c r="B18" s="30"/>
      <c r="C18" s="31"/>
      <c r="D18" s="32"/>
      <c r="E18" s="32"/>
      <c r="F18" s="32"/>
      <c r="G18" s="32"/>
      <c r="H18" s="32"/>
      <c r="I18" s="32"/>
      <c r="J18" s="32"/>
      <c r="K18" s="32"/>
      <c r="L18" s="32"/>
      <c r="M18" s="32"/>
    </row>
    <row r="19" spans="1:13">
      <c r="A19" s="33" t="s">
        <v>32</v>
      </c>
      <c r="B19" s="228">
        <f>Transportation!B20</f>
        <v>25657.666666666668</v>
      </c>
      <c r="C19" s="35"/>
      <c r="D19" s="36"/>
      <c r="E19" s="36"/>
      <c r="F19" s="36"/>
      <c r="G19" s="36"/>
      <c r="H19" s="36"/>
      <c r="I19" s="36"/>
      <c r="J19" s="36"/>
      <c r="K19" s="36"/>
      <c r="L19" s="36"/>
      <c r="M19" s="36"/>
    </row>
    <row r="20" spans="1:13">
      <c r="A20" s="33" t="s">
        <v>33</v>
      </c>
      <c r="B20" s="228">
        <f>Transportation!B26</f>
        <v>40760</v>
      </c>
      <c r="C20" s="37"/>
      <c r="D20" s="36"/>
      <c r="E20" s="36"/>
      <c r="F20" s="36"/>
      <c r="G20" s="36"/>
      <c r="H20" s="36"/>
      <c r="I20" s="36"/>
      <c r="J20" s="36"/>
      <c r="K20" s="36"/>
      <c r="L20" s="36"/>
      <c r="M20" s="36"/>
    </row>
    <row r="21" spans="1:13">
      <c r="A21" s="33" t="s">
        <v>34</v>
      </c>
      <c r="B21" s="228">
        <f>Transportation!B32</f>
        <v>52723.333333333336</v>
      </c>
      <c r="C21" s="37"/>
      <c r="D21" s="36"/>
      <c r="E21" s="36"/>
      <c r="F21" s="36"/>
      <c r="G21" s="36"/>
      <c r="H21" s="36"/>
      <c r="I21" s="36"/>
      <c r="J21" s="36"/>
      <c r="K21" s="36"/>
      <c r="L21" s="36"/>
      <c r="M21" s="36"/>
    </row>
    <row r="22" spans="1:13">
      <c r="A22" s="26" t="s">
        <v>35</v>
      </c>
      <c r="B22" s="228">
        <f>Transportation!B34</f>
        <v>72500</v>
      </c>
      <c r="C22" s="37"/>
      <c r="D22" s="36"/>
      <c r="E22" s="36"/>
      <c r="F22" s="36"/>
      <c r="G22" s="36"/>
      <c r="H22" s="36"/>
      <c r="I22" s="36"/>
      <c r="J22" s="36"/>
      <c r="K22" s="36"/>
      <c r="L22" s="36"/>
      <c r="M22" s="36"/>
    </row>
    <row r="23" spans="1:13">
      <c r="A23" s="29" t="s">
        <v>74</v>
      </c>
      <c r="B23" s="165">
        <v>4</v>
      </c>
      <c r="C23" s="37"/>
      <c r="D23" s="36"/>
      <c r="E23" s="36"/>
      <c r="F23" s="36"/>
      <c r="G23" s="36"/>
      <c r="H23" s="36"/>
      <c r="I23" s="36"/>
      <c r="J23" s="36"/>
      <c r="K23" s="36"/>
      <c r="L23" s="36"/>
      <c r="M23" s="36"/>
    </row>
    <row r="24" spans="1:13">
      <c r="A24" s="33" t="s">
        <v>32</v>
      </c>
      <c r="B24" s="34">
        <f>ROUND(B19/$B$23,2)</f>
        <v>6414.42</v>
      </c>
      <c r="C24" s="438">
        <f>B24</f>
        <v>6414.42</v>
      </c>
      <c r="D24" s="36"/>
      <c r="E24" s="36"/>
      <c r="F24" s="36"/>
      <c r="G24" s="36"/>
      <c r="H24" s="36"/>
      <c r="I24" s="36"/>
      <c r="J24" s="36"/>
      <c r="K24" s="36"/>
      <c r="L24" s="36"/>
      <c r="M24" s="36"/>
    </row>
    <row r="25" spans="1:13">
      <c r="A25" s="33" t="s">
        <v>33</v>
      </c>
      <c r="B25" s="34">
        <f>ROUND(B20/$B$23,2)</f>
        <v>10190</v>
      </c>
      <c r="C25" s="37"/>
      <c r="D25" s="39">
        <f>B25*$F$15</f>
        <v>10190</v>
      </c>
      <c r="E25" s="39">
        <f>B25*E15</f>
        <v>10190</v>
      </c>
      <c r="F25" s="36"/>
      <c r="G25" s="36"/>
      <c r="H25" s="36"/>
      <c r="I25" s="36"/>
      <c r="J25" s="36"/>
      <c r="K25" s="36"/>
      <c r="L25" s="36"/>
      <c r="M25" s="36"/>
    </row>
    <row r="26" spans="1:13" ht="13.5" customHeight="1">
      <c r="A26" s="33" t="s">
        <v>34</v>
      </c>
      <c r="B26" s="34">
        <f>ROUND(B21/$B$23,2)</f>
        <v>13180.83</v>
      </c>
      <c r="C26" s="37"/>
      <c r="D26" s="36"/>
      <c r="E26" s="36"/>
      <c r="F26" s="39">
        <f>B26*$F$15</f>
        <v>13180.83</v>
      </c>
      <c r="G26" s="39">
        <f>B26*$G$15</f>
        <v>13180.83</v>
      </c>
      <c r="H26" s="39">
        <f>B26*H15</f>
        <v>13180.83</v>
      </c>
      <c r="I26" s="39">
        <f>B26*I15</f>
        <v>13180.83</v>
      </c>
      <c r="J26" s="36"/>
      <c r="K26" s="36"/>
      <c r="L26" s="36"/>
      <c r="M26" s="36"/>
    </row>
    <row r="27" spans="1:13">
      <c r="A27" s="26" t="s">
        <v>35</v>
      </c>
      <c r="B27" s="34">
        <f>ROUND(B22/$B$23,2)</f>
        <v>18125</v>
      </c>
      <c r="C27" s="37"/>
      <c r="D27" s="36"/>
      <c r="E27" s="36"/>
      <c r="F27" s="36"/>
      <c r="G27" s="36"/>
      <c r="H27" s="36"/>
      <c r="I27" s="36"/>
      <c r="J27" s="39">
        <f>B27*$J$15</f>
        <v>18125</v>
      </c>
      <c r="K27" s="39">
        <f>B27*K15</f>
        <v>18125</v>
      </c>
      <c r="L27" s="39">
        <f>B27*$L$15</f>
        <v>18125</v>
      </c>
      <c r="M27" s="39">
        <f>B27*$M$15</f>
        <v>36250</v>
      </c>
    </row>
    <row r="28" spans="1:13">
      <c r="A28" s="29" t="s">
        <v>75</v>
      </c>
      <c r="B28" s="166">
        <v>0.08</v>
      </c>
      <c r="C28" s="40"/>
      <c r="D28" s="41"/>
      <c r="E28" s="41"/>
      <c r="F28" s="41"/>
      <c r="G28" s="41"/>
      <c r="H28" s="41"/>
      <c r="I28" s="41"/>
      <c r="J28" s="41"/>
      <c r="K28" s="41"/>
      <c r="L28" s="41"/>
      <c r="M28" s="41"/>
    </row>
    <row r="29" spans="1:13">
      <c r="A29" s="33" t="s">
        <v>32</v>
      </c>
      <c r="B29" s="34">
        <f>ROUND(B19*$B$28,2)</f>
        <v>2052.61</v>
      </c>
      <c r="C29" s="40">
        <f>B29</f>
        <v>2052.61</v>
      </c>
      <c r="D29" s="41"/>
      <c r="E29" s="41"/>
      <c r="F29" s="41"/>
      <c r="G29" s="41"/>
      <c r="H29" s="41"/>
      <c r="I29" s="41"/>
      <c r="J29" s="41"/>
      <c r="K29" s="41"/>
      <c r="L29" s="41"/>
      <c r="M29" s="41"/>
    </row>
    <row r="30" spans="1:13">
      <c r="A30" s="33" t="s">
        <v>33</v>
      </c>
      <c r="B30" s="34">
        <f>ROUND(B20*$B$28,2)</f>
        <v>3260.8</v>
      </c>
      <c r="C30" s="42"/>
      <c r="D30" s="41">
        <f>B30*D15</f>
        <v>3260.8</v>
      </c>
      <c r="E30" s="41">
        <f>B30*E15</f>
        <v>3260.8</v>
      </c>
      <c r="F30" s="41"/>
      <c r="G30" s="41"/>
      <c r="H30" s="41"/>
      <c r="I30" s="41"/>
      <c r="J30" s="41"/>
      <c r="K30" s="41"/>
      <c r="L30" s="41"/>
      <c r="M30" s="41"/>
    </row>
    <row r="31" spans="1:13">
      <c r="A31" s="33" t="s">
        <v>34</v>
      </c>
      <c r="B31" s="34">
        <f>ROUND(B21*$B$28,2)</f>
        <v>4217.87</v>
      </c>
      <c r="C31" s="42"/>
      <c r="D31" s="41"/>
      <c r="E31" s="41"/>
      <c r="F31" s="41">
        <f>B31*$F$15</f>
        <v>4217.87</v>
      </c>
      <c r="G31" s="41">
        <f>B31*$G$15</f>
        <v>4217.87</v>
      </c>
      <c r="H31" s="41">
        <f>B31*H15</f>
        <v>4217.87</v>
      </c>
      <c r="I31" s="41">
        <f>B31*I15</f>
        <v>4217.87</v>
      </c>
      <c r="J31" s="41"/>
      <c r="K31" s="41"/>
      <c r="L31" s="41"/>
      <c r="M31" s="41"/>
    </row>
    <row r="32" spans="1:13">
      <c r="A32" s="26" t="s">
        <v>35</v>
      </c>
      <c r="B32" s="34">
        <f>ROUND(B22*$B$28,2)</f>
        <v>5800</v>
      </c>
      <c r="C32" s="42"/>
      <c r="D32" s="41"/>
      <c r="E32" s="41"/>
      <c r="F32" s="41"/>
      <c r="G32" s="41"/>
      <c r="H32" s="41"/>
      <c r="I32" s="41"/>
      <c r="J32" s="41">
        <f>B32*$J$15</f>
        <v>5800</v>
      </c>
      <c r="K32" s="41">
        <f>B32*K15</f>
        <v>5800</v>
      </c>
      <c r="L32" s="41">
        <f>B32*$L$15</f>
        <v>5800</v>
      </c>
      <c r="M32" s="41">
        <f>B32*$M$15</f>
        <v>11600</v>
      </c>
    </row>
    <row r="33" spans="1:13">
      <c r="A33" s="29" t="s">
        <v>76</v>
      </c>
      <c r="B33" s="44"/>
      <c r="C33" s="42"/>
      <c r="D33" s="41"/>
      <c r="E33" s="41"/>
      <c r="F33" s="41"/>
      <c r="G33" s="41"/>
      <c r="H33" s="41"/>
      <c r="I33" s="41"/>
      <c r="J33" s="41"/>
      <c r="K33" s="41"/>
      <c r="L33" s="41"/>
      <c r="M33" s="41"/>
    </row>
    <row r="34" spans="1:13">
      <c r="A34" s="33" t="s">
        <v>32</v>
      </c>
      <c r="B34" s="34">
        <v>4000</v>
      </c>
      <c r="C34" s="42">
        <f>B34</f>
        <v>4000</v>
      </c>
      <c r="D34" s="41"/>
      <c r="E34" s="41"/>
      <c r="F34" s="41"/>
      <c r="G34" s="41"/>
      <c r="H34" s="41"/>
      <c r="I34" s="41"/>
      <c r="J34" s="41"/>
      <c r="K34" s="41"/>
      <c r="L34" s="41"/>
      <c r="M34" s="41"/>
    </row>
    <row r="35" spans="1:13">
      <c r="A35" s="33" t="s">
        <v>33</v>
      </c>
      <c r="B35" s="34">
        <v>4500</v>
      </c>
      <c r="C35" s="42"/>
      <c r="D35" s="41">
        <f>B35</f>
        <v>4500</v>
      </c>
      <c r="E35" s="41">
        <f>B35*E15</f>
        <v>4500</v>
      </c>
      <c r="F35" s="41"/>
      <c r="G35" s="41"/>
      <c r="H35" s="41"/>
      <c r="I35" s="41"/>
      <c r="J35" s="41"/>
      <c r="K35" s="41"/>
      <c r="L35" s="41"/>
      <c r="M35" s="41"/>
    </row>
    <row r="36" spans="1:13">
      <c r="A36" s="33" t="s">
        <v>34</v>
      </c>
      <c r="B36" s="34">
        <v>4500</v>
      </c>
      <c r="C36" s="42"/>
      <c r="D36" s="41"/>
      <c r="E36" s="41"/>
      <c r="F36" s="41">
        <f>B36*$F$15</f>
        <v>4500</v>
      </c>
      <c r="G36" s="41">
        <f>B36*$G$15</f>
        <v>4500</v>
      </c>
      <c r="H36" s="41">
        <f>B36*H15</f>
        <v>4500</v>
      </c>
      <c r="I36" s="41">
        <f>B36*I15</f>
        <v>4500</v>
      </c>
      <c r="J36" s="41"/>
      <c r="K36" s="41"/>
      <c r="L36" s="41"/>
      <c r="M36" s="41"/>
    </row>
    <row r="37" spans="1:13">
      <c r="A37" s="26" t="s">
        <v>35</v>
      </c>
      <c r="B37" s="43">
        <v>5000</v>
      </c>
      <c r="C37" s="45"/>
      <c r="D37" s="46"/>
      <c r="E37" s="46"/>
      <c r="F37" s="46"/>
      <c r="G37" s="46"/>
      <c r="H37" s="46"/>
      <c r="I37" s="46"/>
      <c r="J37" s="46">
        <f>B37*$J$15</f>
        <v>5000</v>
      </c>
      <c r="K37" s="46">
        <f>B37*K15</f>
        <v>5000</v>
      </c>
      <c r="L37" s="46">
        <f>B37*$L$15</f>
        <v>5000</v>
      </c>
      <c r="M37" s="46">
        <f>B37*$M$15</f>
        <v>10000</v>
      </c>
    </row>
    <row r="38" spans="1:13">
      <c r="B38"/>
      <c r="C38" s="47"/>
      <c r="D38" s="4"/>
      <c r="E38" s="4"/>
      <c r="F38" s="4"/>
      <c r="G38" s="4"/>
      <c r="H38" s="4"/>
      <c r="I38" s="4"/>
      <c r="J38" s="4"/>
      <c r="K38" s="4"/>
      <c r="L38" s="4"/>
      <c r="M38" s="4"/>
    </row>
    <row r="39" spans="1:13">
      <c r="A39" s="48" t="s">
        <v>77</v>
      </c>
      <c r="B39" s="204">
        <f>'GAS Average'!F7</f>
        <v>2.968</v>
      </c>
      <c r="C39" s="31"/>
      <c r="D39" s="49"/>
      <c r="E39" s="50"/>
      <c r="F39" s="50"/>
      <c r="G39" s="50"/>
      <c r="H39" s="50"/>
      <c r="I39" s="50"/>
      <c r="J39" s="50"/>
      <c r="K39" s="50"/>
      <c r="L39" s="50"/>
      <c r="M39" s="51"/>
    </row>
    <row r="40" spans="1:13">
      <c r="A40" s="29" t="s">
        <v>32</v>
      </c>
      <c r="B40" s="30"/>
      <c r="C40" s="52"/>
      <c r="D40" s="53"/>
      <c r="E40" s="4"/>
      <c r="F40" s="4"/>
      <c r="G40" s="4"/>
      <c r="H40" s="4"/>
      <c r="I40" s="4"/>
      <c r="J40" s="4"/>
      <c r="K40" s="4"/>
      <c r="L40" s="4"/>
      <c r="M40" s="54"/>
    </row>
    <row r="41" spans="1:13">
      <c r="A41" s="33" t="s">
        <v>78</v>
      </c>
      <c r="B41" s="167">
        <v>30</v>
      </c>
      <c r="C41" s="52"/>
      <c r="D41" s="53"/>
      <c r="E41" s="4"/>
      <c r="F41" s="4"/>
      <c r="G41" s="4"/>
      <c r="H41" s="4"/>
      <c r="I41" s="4"/>
      <c r="J41" s="4"/>
      <c r="K41" s="4"/>
      <c r="L41" s="4"/>
      <c r="M41" s="54"/>
    </row>
    <row r="42" spans="1:13">
      <c r="A42" s="33" t="s">
        <v>79</v>
      </c>
      <c r="B42" s="55">
        <v>10000</v>
      </c>
      <c r="C42" s="52"/>
      <c r="D42" s="53"/>
      <c r="E42" s="4"/>
      <c r="F42" s="4"/>
      <c r="G42" s="4"/>
      <c r="H42" s="4"/>
      <c r="I42" s="4"/>
      <c r="J42" s="4"/>
      <c r="K42" s="4"/>
      <c r="L42" s="4"/>
      <c r="M42" s="54"/>
    </row>
    <row r="43" spans="1:13">
      <c r="A43" s="33" t="s">
        <v>80</v>
      </c>
      <c r="B43" s="55">
        <f>B42/B41</f>
        <v>333.33333333333331</v>
      </c>
      <c r="C43" s="52"/>
      <c r="D43" s="53"/>
      <c r="E43" s="4"/>
      <c r="F43" s="4"/>
      <c r="G43" s="4"/>
      <c r="H43" s="4"/>
      <c r="I43" s="4"/>
      <c r="J43" s="4"/>
      <c r="K43" s="4"/>
      <c r="L43" s="4"/>
      <c r="M43" s="54"/>
    </row>
    <row r="44" spans="1:13">
      <c r="A44" s="33" t="s">
        <v>81</v>
      </c>
      <c r="B44" s="56">
        <f>ROUND($B$39/B41,2)</f>
        <v>0.1</v>
      </c>
      <c r="C44" s="52"/>
      <c r="D44" s="53"/>
      <c r="E44" s="4"/>
      <c r="F44" s="4"/>
      <c r="G44" s="4"/>
      <c r="H44" s="4"/>
      <c r="I44" s="4"/>
      <c r="J44" s="4"/>
      <c r="K44" s="4"/>
      <c r="L44" s="4"/>
      <c r="M44" s="54"/>
    </row>
    <row r="45" spans="1:13">
      <c r="A45" s="26" t="s">
        <v>82</v>
      </c>
      <c r="B45" s="57">
        <f>ROUND(B43*$B$39,2)</f>
        <v>989.33</v>
      </c>
      <c r="C45" s="52">
        <f>B45</f>
        <v>989.33</v>
      </c>
      <c r="D45" s="53"/>
      <c r="E45" s="4"/>
      <c r="F45" s="4"/>
      <c r="G45" s="4"/>
      <c r="H45" s="4"/>
      <c r="I45" s="4"/>
      <c r="J45" s="4"/>
      <c r="K45" s="4"/>
      <c r="L45" s="4"/>
      <c r="M45" s="54"/>
    </row>
    <row r="46" spans="1:13">
      <c r="A46" s="29" t="s">
        <v>33</v>
      </c>
      <c r="B46" s="38"/>
      <c r="C46" s="52"/>
      <c r="D46" s="53"/>
      <c r="E46" s="4"/>
      <c r="F46" s="4"/>
      <c r="G46" s="4"/>
      <c r="H46" s="4"/>
      <c r="I46" s="4"/>
      <c r="J46" s="4"/>
      <c r="K46" s="4"/>
      <c r="L46" s="4"/>
      <c r="M46" s="54"/>
    </row>
    <row r="47" spans="1:13">
      <c r="A47" s="33" t="s">
        <v>78</v>
      </c>
      <c r="B47" s="167">
        <v>18.25</v>
      </c>
      <c r="C47" s="52"/>
      <c r="D47" s="53"/>
      <c r="E47" s="4"/>
      <c r="F47" s="4"/>
      <c r="G47" s="4"/>
      <c r="H47" s="4"/>
      <c r="I47" s="4"/>
      <c r="J47" s="4"/>
      <c r="K47" s="4"/>
      <c r="L47" s="4"/>
      <c r="M47" s="54"/>
    </row>
    <row r="48" spans="1:13">
      <c r="A48" s="33" t="s">
        <v>79</v>
      </c>
      <c r="B48" s="55">
        <v>10000</v>
      </c>
      <c r="C48" s="52"/>
      <c r="D48" s="53"/>
      <c r="E48" s="4"/>
      <c r="F48" s="4"/>
      <c r="G48" s="4"/>
      <c r="H48" s="4"/>
      <c r="I48" s="4"/>
      <c r="J48" s="4"/>
      <c r="K48" s="4"/>
      <c r="L48" s="4"/>
      <c r="M48" s="54"/>
    </row>
    <row r="49" spans="1:13">
      <c r="A49" s="33" t="s">
        <v>80</v>
      </c>
      <c r="B49" s="55">
        <f>B48/B47</f>
        <v>547.94520547945206</v>
      </c>
      <c r="C49" s="52"/>
      <c r="D49" s="53"/>
      <c r="E49" s="4"/>
      <c r="F49" s="4"/>
      <c r="G49" s="4"/>
      <c r="H49" s="4"/>
      <c r="I49" s="4"/>
      <c r="J49" s="4"/>
      <c r="K49" s="4"/>
      <c r="L49" s="4"/>
      <c r="M49" s="54"/>
    </row>
    <row r="50" spans="1:13">
      <c r="A50" s="33" t="s">
        <v>81</v>
      </c>
      <c r="B50" s="56">
        <f>ROUND($B$39/B47,2)</f>
        <v>0.16</v>
      </c>
      <c r="C50" s="58"/>
      <c r="D50" s="53"/>
      <c r="E50" s="4"/>
      <c r="F50" s="4"/>
      <c r="G50" s="4"/>
      <c r="H50" s="4"/>
      <c r="I50" s="4"/>
      <c r="J50" s="4"/>
      <c r="K50" s="4"/>
      <c r="L50" s="4"/>
      <c r="M50" s="54"/>
    </row>
    <row r="51" spans="1:13">
      <c r="A51" s="26" t="s">
        <v>82</v>
      </c>
      <c r="B51" s="57">
        <f>ROUND(B49*$B$39,2)</f>
        <v>1626.3</v>
      </c>
      <c r="C51" s="58"/>
      <c r="D51" s="59">
        <f>B51</f>
        <v>1626.3</v>
      </c>
      <c r="E51" s="60">
        <f>B51*E15</f>
        <v>1626.3</v>
      </c>
      <c r="F51" s="4"/>
      <c r="G51" s="4"/>
      <c r="H51" s="4"/>
      <c r="I51" s="4"/>
      <c r="J51" s="4"/>
      <c r="K51" s="4"/>
      <c r="L51" s="4"/>
      <c r="M51" s="54"/>
    </row>
    <row r="52" spans="1:13">
      <c r="A52" s="29" t="s">
        <v>34</v>
      </c>
      <c r="B52" s="38"/>
      <c r="C52" s="52"/>
      <c r="D52" s="53"/>
      <c r="E52" s="4"/>
      <c r="F52" s="4"/>
      <c r="G52" s="4"/>
      <c r="H52" s="4"/>
      <c r="I52" s="4"/>
      <c r="J52" s="4"/>
      <c r="K52" s="4"/>
      <c r="L52" s="4"/>
      <c r="M52" s="54"/>
    </row>
    <row r="53" spans="1:13" ht="15.75" customHeight="1">
      <c r="A53" s="33" t="s">
        <v>78</v>
      </c>
      <c r="B53" s="167">
        <v>12.25</v>
      </c>
      <c r="C53" s="52"/>
      <c r="D53" s="53"/>
      <c r="E53" s="4"/>
      <c r="F53" s="4"/>
      <c r="G53" s="4"/>
      <c r="H53" s="4"/>
      <c r="I53" s="4"/>
      <c r="J53" s="4"/>
      <c r="K53" s="4"/>
      <c r="L53" s="4"/>
      <c r="M53" s="54"/>
    </row>
    <row r="54" spans="1:13">
      <c r="A54" s="33" t="s">
        <v>79</v>
      </c>
      <c r="B54" s="55">
        <v>10000</v>
      </c>
      <c r="C54" s="52"/>
      <c r="D54" s="53"/>
      <c r="E54" s="4"/>
      <c r="F54" s="4"/>
      <c r="G54" s="4"/>
      <c r="H54" s="4"/>
      <c r="I54" s="4"/>
      <c r="J54" s="4"/>
      <c r="K54" s="4"/>
      <c r="L54" s="4"/>
      <c r="M54" s="54"/>
    </row>
    <row r="55" spans="1:13">
      <c r="A55" s="33" t="s">
        <v>80</v>
      </c>
      <c r="B55" s="55">
        <f>B54/B53</f>
        <v>816.32653061224494</v>
      </c>
      <c r="C55" s="52"/>
      <c r="D55" s="53"/>
      <c r="E55" s="4"/>
      <c r="F55" s="4"/>
      <c r="G55" s="4"/>
      <c r="H55" s="4"/>
      <c r="I55" s="4"/>
      <c r="J55" s="4"/>
      <c r="K55" s="4"/>
      <c r="L55" s="4"/>
      <c r="M55" s="54"/>
    </row>
    <row r="56" spans="1:13">
      <c r="A56" s="33" t="s">
        <v>81</v>
      </c>
      <c r="B56" s="56">
        <f>ROUND($B$39/B53,2)</f>
        <v>0.24</v>
      </c>
      <c r="C56" s="58"/>
      <c r="D56" s="53"/>
      <c r="E56" s="4"/>
      <c r="F56" s="4"/>
      <c r="G56" s="4"/>
      <c r="H56" s="4"/>
      <c r="I56" s="4"/>
      <c r="J56" s="4"/>
      <c r="K56" s="4"/>
      <c r="L56" s="4"/>
      <c r="M56" s="54"/>
    </row>
    <row r="57" spans="1:13">
      <c r="A57" s="26" t="s">
        <v>82</v>
      </c>
      <c r="B57" s="57">
        <f>ROUND(B55*$B$39,2)</f>
        <v>2422.86</v>
      </c>
      <c r="C57" s="58"/>
      <c r="D57" s="53"/>
      <c r="E57" s="4"/>
      <c r="F57" s="4">
        <f>B57*$F$15</f>
        <v>2422.86</v>
      </c>
      <c r="G57" s="4">
        <f>B57*$G$15</f>
        <v>2422.86</v>
      </c>
      <c r="H57" s="4">
        <f>B57*H15</f>
        <v>2422.86</v>
      </c>
      <c r="I57" s="4">
        <f>B57*I15</f>
        <v>2422.86</v>
      </c>
      <c r="J57" s="4"/>
      <c r="K57" s="4"/>
      <c r="L57" s="4"/>
      <c r="M57" s="54"/>
    </row>
    <row r="58" spans="1:13">
      <c r="A58" s="29" t="s">
        <v>35</v>
      </c>
      <c r="B58" s="38"/>
      <c r="C58" s="52"/>
      <c r="D58" s="53"/>
      <c r="E58" s="4"/>
      <c r="F58" s="4"/>
      <c r="G58" s="4"/>
      <c r="H58" s="4"/>
      <c r="I58" s="4"/>
      <c r="J58" s="4"/>
      <c r="K58" s="4"/>
      <c r="L58" s="4"/>
      <c r="M58" s="54"/>
    </row>
    <row r="59" spans="1:13">
      <c r="A59" s="33" t="s">
        <v>83</v>
      </c>
      <c r="B59" s="167">
        <v>10</v>
      </c>
      <c r="C59" s="52"/>
      <c r="D59" s="53"/>
      <c r="E59" s="4"/>
      <c r="F59" s="4"/>
      <c r="G59" s="4"/>
      <c r="H59" s="4"/>
      <c r="I59" s="4"/>
      <c r="J59" s="4"/>
      <c r="K59" s="4"/>
      <c r="L59" s="4"/>
      <c r="M59" s="54"/>
    </row>
    <row r="60" spans="1:13">
      <c r="A60" s="33" t="s">
        <v>84</v>
      </c>
      <c r="B60" s="55">
        <v>10000</v>
      </c>
      <c r="C60" s="52"/>
      <c r="D60" s="53"/>
      <c r="E60" s="4"/>
      <c r="F60" s="4"/>
      <c r="G60" s="4"/>
      <c r="H60" s="4"/>
      <c r="I60" s="4"/>
      <c r="J60" s="4"/>
      <c r="K60" s="4"/>
      <c r="L60" s="4"/>
      <c r="M60" s="54"/>
    </row>
    <row r="61" spans="1:13">
      <c r="A61" s="33" t="s">
        <v>80</v>
      </c>
      <c r="B61" s="55">
        <f>B60/B59</f>
        <v>1000</v>
      </c>
      <c r="C61" s="52"/>
      <c r="D61" s="53"/>
      <c r="E61" s="4"/>
      <c r="F61" s="4"/>
      <c r="G61" s="4"/>
      <c r="H61" s="4"/>
      <c r="I61" s="4"/>
      <c r="J61" s="4"/>
      <c r="K61" s="4"/>
      <c r="L61" s="4"/>
      <c r="M61" s="54"/>
    </row>
    <row r="62" spans="1:13">
      <c r="A62" s="33" t="s">
        <v>81</v>
      </c>
      <c r="B62" s="56">
        <f>ROUND($B$39/B59,2)</f>
        <v>0.3</v>
      </c>
      <c r="C62" s="61"/>
      <c r="D62" s="53"/>
      <c r="E62" s="4"/>
      <c r="F62" s="4"/>
      <c r="G62" s="4"/>
      <c r="H62" s="4"/>
      <c r="I62" s="4"/>
      <c r="J62" s="4"/>
      <c r="K62" s="4"/>
      <c r="L62" s="4"/>
      <c r="M62" s="54"/>
    </row>
    <row r="63" spans="1:13">
      <c r="A63" s="26" t="s">
        <v>82</v>
      </c>
      <c r="B63" s="57">
        <f>ROUND(B61*$B$39,2)</f>
        <v>2968</v>
      </c>
      <c r="C63" s="62"/>
      <c r="D63" s="63"/>
      <c r="E63" s="64"/>
      <c r="F63" s="64"/>
      <c r="G63" s="64"/>
      <c r="H63" s="64"/>
      <c r="I63" s="64"/>
      <c r="J63" s="64">
        <f>B63*$J$15</f>
        <v>2968</v>
      </c>
      <c r="K63" s="64">
        <f>B63*K15</f>
        <v>2968</v>
      </c>
      <c r="L63" s="64">
        <f>B63*$L$15</f>
        <v>2968</v>
      </c>
      <c r="M63" s="65">
        <f>B63*$M$15</f>
        <v>5936</v>
      </c>
    </row>
    <row r="64" spans="1:13">
      <c r="B64" s="66"/>
      <c r="C64" s="66"/>
      <c r="J64" s="67"/>
      <c r="K64" s="67"/>
      <c r="L64" s="67"/>
      <c r="M64" s="67"/>
    </row>
    <row r="65" spans="1:13">
      <c r="A65" s="68" t="s">
        <v>85</v>
      </c>
    </row>
    <row r="66" spans="1:13" ht="15.75" thickBot="1">
      <c r="A66" s="69" t="s">
        <v>86</v>
      </c>
      <c r="B66" s="30"/>
      <c r="C66" s="164">
        <f>SUM(C18:C63)</f>
        <v>13456.36</v>
      </c>
      <c r="D66" s="70">
        <f t="shared" ref="D66:M66" si="1">SUM(D18:D63)</f>
        <v>19577.099999999999</v>
      </c>
      <c r="E66" s="71">
        <f t="shared" si="1"/>
        <v>19577.099999999999</v>
      </c>
      <c r="F66" s="71">
        <f>SUM(F18:F63)</f>
        <v>24321.56</v>
      </c>
      <c r="G66" s="71">
        <f t="shared" si="1"/>
        <v>24321.56</v>
      </c>
      <c r="H66" s="198">
        <f t="shared" si="1"/>
        <v>24321.56</v>
      </c>
      <c r="I66" s="72">
        <f t="shared" si="1"/>
        <v>24321.56</v>
      </c>
      <c r="J66" s="71">
        <f t="shared" si="1"/>
        <v>31893</v>
      </c>
      <c r="K66" s="71">
        <f t="shared" si="1"/>
        <v>31893</v>
      </c>
      <c r="L66" s="71">
        <f t="shared" si="1"/>
        <v>31893</v>
      </c>
      <c r="M66" s="72">
        <f t="shared" si="1"/>
        <v>63786</v>
      </c>
    </row>
    <row r="67" spans="1:13" ht="15.75" thickBot="1">
      <c r="A67" s="26" t="s">
        <v>87</v>
      </c>
      <c r="B67" s="73"/>
      <c r="C67" s="197">
        <f t="shared" ref="C67:M67" si="2">C66/C13</f>
        <v>36.866739726027397</v>
      </c>
      <c r="D67" s="197">
        <f t="shared" si="2"/>
        <v>26.81794520547945</v>
      </c>
      <c r="E67" s="197">
        <f t="shared" si="2"/>
        <v>17.878630136986299</v>
      </c>
      <c r="F67" s="197">
        <f t="shared" si="2"/>
        <v>16.658602739726028</v>
      </c>
      <c r="G67" s="197">
        <f t="shared" si="2"/>
        <v>13.326882191780822</v>
      </c>
      <c r="H67" s="197">
        <f t="shared" si="2"/>
        <v>11.105735159817351</v>
      </c>
      <c r="I67" s="197">
        <f t="shared" si="2"/>
        <v>9.5192015655577311</v>
      </c>
      <c r="J67" s="74">
        <f t="shared" si="2"/>
        <v>43.68904109589041</v>
      </c>
      <c r="K67" s="74">
        <f t="shared" si="2"/>
        <v>29.126027397260273</v>
      </c>
      <c r="L67" s="74">
        <f t="shared" si="2"/>
        <v>21.844520547945205</v>
      </c>
      <c r="M67" s="75">
        <f t="shared" si="2"/>
        <v>34.951232876712332</v>
      </c>
    </row>
    <row r="68" spans="1:13">
      <c r="C68" s="76">
        <v>1</v>
      </c>
      <c r="D68" s="76">
        <v>2</v>
      </c>
      <c r="E68" s="76">
        <v>3</v>
      </c>
      <c r="F68" s="76">
        <v>4</v>
      </c>
      <c r="G68" s="76">
        <v>5</v>
      </c>
      <c r="H68" s="76">
        <v>6</v>
      </c>
      <c r="I68" s="76" t="s">
        <v>88</v>
      </c>
    </row>
  </sheetData>
  <mergeCells count="12">
    <mergeCell ref="A1:M1"/>
    <mergeCell ref="A4:A5"/>
    <mergeCell ref="C11:M11"/>
    <mergeCell ref="C12:I12"/>
    <mergeCell ref="J12:M12"/>
    <mergeCell ref="F4:H4"/>
    <mergeCell ref="F9:H9"/>
    <mergeCell ref="F7:H7"/>
    <mergeCell ref="F5:H5"/>
    <mergeCell ref="F8:H8"/>
    <mergeCell ref="F6:H6"/>
    <mergeCell ref="F3:H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305E0-3725-407C-A95D-48D81F84A5D8}">
  <sheetPr>
    <pageSetUpPr fitToPage="1"/>
  </sheetPr>
  <dimension ref="A2:M34"/>
  <sheetViews>
    <sheetView zoomScale="80" zoomScaleNormal="80" workbookViewId="0">
      <selection activeCell="A14" sqref="A14:B14"/>
    </sheetView>
  </sheetViews>
  <sheetFormatPr defaultRowHeight="15"/>
  <cols>
    <col min="1" max="1" width="21.140625" bestFit="1" customWidth="1"/>
    <col min="2" max="2" width="12.5703125" bestFit="1" customWidth="1"/>
    <col min="3" max="3" width="17.5703125" customWidth="1"/>
    <col min="4" max="4" width="11.5703125" bestFit="1" customWidth="1"/>
    <col min="5" max="5" width="19.140625" customWidth="1"/>
    <col min="6" max="6" width="18" customWidth="1"/>
    <col min="7" max="7" width="14" customWidth="1"/>
    <col min="8" max="8" width="23.42578125" customWidth="1"/>
    <col min="9" max="9" width="15.140625" customWidth="1"/>
    <col min="12" max="12" width="11.5703125" bestFit="1" customWidth="1"/>
    <col min="257" max="257" width="21.140625" bestFit="1" customWidth="1"/>
    <col min="258" max="258" width="12.5703125" bestFit="1" customWidth="1"/>
    <col min="259" max="259" width="17.5703125" customWidth="1"/>
    <col min="260" max="260" width="11.5703125" bestFit="1" customWidth="1"/>
    <col min="261" max="261" width="19.140625" customWidth="1"/>
    <col min="262" max="262" width="18" customWidth="1"/>
    <col min="263" max="263" width="14" customWidth="1"/>
    <col min="264" max="264" width="23.42578125" customWidth="1"/>
    <col min="513" max="513" width="21.140625" bestFit="1" customWidth="1"/>
    <col min="514" max="514" width="12.5703125" bestFit="1" customWidth="1"/>
    <col min="515" max="515" width="17.5703125" customWidth="1"/>
    <col min="516" max="516" width="11.5703125" bestFit="1" customWidth="1"/>
    <col min="517" max="517" width="19.140625" customWidth="1"/>
    <col min="518" max="518" width="18" customWidth="1"/>
    <col min="519" max="519" width="14" customWidth="1"/>
    <col min="520" max="520" width="23.42578125" customWidth="1"/>
    <col min="769" max="769" width="21.140625" bestFit="1" customWidth="1"/>
    <col min="770" max="770" width="12.5703125" bestFit="1" customWidth="1"/>
    <col min="771" max="771" width="17.5703125" customWidth="1"/>
    <col min="772" max="772" width="11.5703125" bestFit="1" customWidth="1"/>
    <col min="773" max="773" width="19.140625" customWidth="1"/>
    <col min="774" max="774" width="18" customWidth="1"/>
    <col min="775" max="775" width="14" customWidth="1"/>
    <col min="776" max="776" width="23.42578125" customWidth="1"/>
    <col min="1025" max="1025" width="21.140625" bestFit="1" customWidth="1"/>
    <col min="1026" max="1026" width="12.5703125" bestFit="1" customWidth="1"/>
    <col min="1027" max="1027" width="17.5703125" customWidth="1"/>
    <col min="1028" max="1028" width="11.5703125" bestFit="1" customWidth="1"/>
    <col min="1029" max="1029" width="19.140625" customWidth="1"/>
    <col min="1030" max="1030" width="18" customWidth="1"/>
    <col min="1031" max="1031" width="14" customWidth="1"/>
    <col min="1032" max="1032" width="23.42578125" customWidth="1"/>
    <col min="1281" max="1281" width="21.140625" bestFit="1" customWidth="1"/>
    <col min="1282" max="1282" width="12.5703125" bestFit="1" customWidth="1"/>
    <col min="1283" max="1283" width="17.5703125" customWidth="1"/>
    <col min="1284" max="1284" width="11.5703125" bestFit="1" customWidth="1"/>
    <col min="1285" max="1285" width="19.140625" customWidth="1"/>
    <col min="1286" max="1286" width="18" customWidth="1"/>
    <col min="1287" max="1287" width="14" customWidth="1"/>
    <col min="1288" max="1288" width="23.42578125" customWidth="1"/>
    <col min="1537" max="1537" width="21.140625" bestFit="1" customWidth="1"/>
    <col min="1538" max="1538" width="12.5703125" bestFit="1" customWidth="1"/>
    <col min="1539" max="1539" width="17.5703125" customWidth="1"/>
    <col min="1540" max="1540" width="11.5703125" bestFit="1" customWidth="1"/>
    <col min="1541" max="1541" width="19.140625" customWidth="1"/>
    <col min="1542" max="1542" width="18" customWidth="1"/>
    <col min="1543" max="1543" width="14" customWidth="1"/>
    <col min="1544" max="1544" width="23.42578125" customWidth="1"/>
    <col min="1793" max="1793" width="21.140625" bestFit="1" customWidth="1"/>
    <col min="1794" max="1794" width="12.5703125" bestFit="1" customWidth="1"/>
    <col min="1795" max="1795" width="17.5703125" customWidth="1"/>
    <col min="1796" max="1796" width="11.5703125" bestFit="1" customWidth="1"/>
    <col min="1797" max="1797" width="19.140625" customWidth="1"/>
    <col min="1798" max="1798" width="18" customWidth="1"/>
    <col min="1799" max="1799" width="14" customWidth="1"/>
    <col min="1800" max="1800" width="23.42578125" customWidth="1"/>
    <col min="2049" max="2049" width="21.140625" bestFit="1" customWidth="1"/>
    <col min="2050" max="2050" width="12.5703125" bestFit="1" customWidth="1"/>
    <col min="2051" max="2051" width="17.5703125" customWidth="1"/>
    <col min="2052" max="2052" width="11.5703125" bestFit="1" customWidth="1"/>
    <col min="2053" max="2053" width="19.140625" customWidth="1"/>
    <col min="2054" max="2054" width="18" customWidth="1"/>
    <col min="2055" max="2055" width="14" customWidth="1"/>
    <col min="2056" max="2056" width="23.42578125" customWidth="1"/>
    <col min="2305" max="2305" width="21.140625" bestFit="1" customWidth="1"/>
    <col min="2306" max="2306" width="12.5703125" bestFit="1" customWidth="1"/>
    <col min="2307" max="2307" width="17.5703125" customWidth="1"/>
    <col min="2308" max="2308" width="11.5703125" bestFit="1" customWidth="1"/>
    <col min="2309" max="2309" width="19.140625" customWidth="1"/>
    <col min="2310" max="2310" width="18" customWidth="1"/>
    <col min="2311" max="2311" width="14" customWidth="1"/>
    <col min="2312" max="2312" width="23.42578125" customWidth="1"/>
    <col min="2561" max="2561" width="21.140625" bestFit="1" customWidth="1"/>
    <col min="2562" max="2562" width="12.5703125" bestFit="1" customWidth="1"/>
    <col min="2563" max="2563" width="17.5703125" customWidth="1"/>
    <col min="2564" max="2564" width="11.5703125" bestFit="1" customWidth="1"/>
    <col min="2565" max="2565" width="19.140625" customWidth="1"/>
    <col min="2566" max="2566" width="18" customWidth="1"/>
    <col min="2567" max="2567" width="14" customWidth="1"/>
    <col min="2568" max="2568" width="23.42578125" customWidth="1"/>
    <col min="2817" max="2817" width="21.140625" bestFit="1" customWidth="1"/>
    <col min="2818" max="2818" width="12.5703125" bestFit="1" customWidth="1"/>
    <col min="2819" max="2819" width="17.5703125" customWidth="1"/>
    <col min="2820" max="2820" width="11.5703125" bestFit="1" customWidth="1"/>
    <col min="2821" max="2821" width="19.140625" customWidth="1"/>
    <col min="2822" max="2822" width="18" customWidth="1"/>
    <col min="2823" max="2823" width="14" customWidth="1"/>
    <col min="2824" max="2824" width="23.42578125" customWidth="1"/>
    <col min="3073" max="3073" width="21.140625" bestFit="1" customWidth="1"/>
    <col min="3074" max="3074" width="12.5703125" bestFit="1" customWidth="1"/>
    <col min="3075" max="3075" width="17.5703125" customWidth="1"/>
    <col min="3076" max="3076" width="11.5703125" bestFit="1" customWidth="1"/>
    <col min="3077" max="3077" width="19.140625" customWidth="1"/>
    <col min="3078" max="3078" width="18" customWidth="1"/>
    <col min="3079" max="3079" width="14" customWidth="1"/>
    <col min="3080" max="3080" width="23.42578125" customWidth="1"/>
    <col min="3329" max="3329" width="21.140625" bestFit="1" customWidth="1"/>
    <col min="3330" max="3330" width="12.5703125" bestFit="1" customWidth="1"/>
    <col min="3331" max="3331" width="17.5703125" customWidth="1"/>
    <col min="3332" max="3332" width="11.5703125" bestFit="1" customWidth="1"/>
    <col min="3333" max="3333" width="19.140625" customWidth="1"/>
    <col min="3334" max="3334" width="18" customWidth="1"/>
    <col min="3335" max="3335" width="14" customWidth="1"/>
    <col min="3336" max="3336" width="23.42578125" customWidth="1"/>
    <col min="3585" max="3585" width="21.140625" bestFit="1" customWidth="1"/>
    <col min="3586" max="3586" width="12.5703125" bestFit="1" customWidth="1"/>
    <col min="3587" max="3587" width="17.5703125" customWidth="1"/>
    <col min="3588" max="3588" width="11.5703125" bestFit="1" customWidth="1"/>
    <col min="3589" max="3589" width="19.140625" customWidth="1"/>
    <col min="3590" max="3590" width="18" customWidth="1"/>
    <col min="3591" max="3591" width="14" customWidth="1"/>
    <col min="3592" max="3592" width="23.42578125" customWidth="1"/>
    <col min="3841" max="3841" width="21.140625" bestFit="1" customWidth="1"/>
    <col min="3842" max="3842" width="12.5703125" bestFit="1" customWidth="1"/>
    <col min="3843" max="3843" width="17.5703125" customWidth="1"/>
    <col min="3844" max="3844" width="11.5703125" bestFit="1" customWidth="1"/>
    <col min="3845" max="3845" width="19.140625" customWidth="1"/>
    <col min="3846" max="3846" width="18" customWidth="1"/>
    <col min="3847" max="3847" width="14" customWidth="1"/>
    <col min="3848" max="3848" width="23.42578125" customWidth="1"/>
    <col min="4097" max="4097" width="21.140625" bestFit="1" customWidth="1"/>
    <col min="4098" max="4098" width="12.5703125" bestFit="1" customWidth="1"/>
    <col min="4099" max="4099" width="17.5703125" customWidth="1"/>
    <col min="4100" max="4100" width="11.5703125" bestFit="1" customWidth="1"/>
    <col min="4101" max="4101" width="19.140625" customWidth="1"/>
    <col min="4102" max="4102" width="18" customWidth="1"/>
    <col min="4103" max="4103" width="14" customWidth="1"/>
    <col min="4104" max="4104" width="23.42578125" customWidth="1"/>
    <col min="4353" max="4353" width="21.140625" bestFit="1" customWidth="1"/>
    <col min="4354" max="4354" width="12.5703125" bestFit="1" customWidth="1"/>
    <col min="4355" max="4355" width="17.5703125" customWidth="1"/>
    <col min="4356" max="4356" width="11.5703125" bestFit="1" customWidth="1"/>
    <col min="4357" max="4357" width="19.140625" customWidth="1"/>
    <col min="4358" max="4358" width="18" customWidth="1"/>
    <col min="4359" max="4359" width="14" customWidth="1"/>
    <col min="4360" max="4360" width="23.42578125" customWidth="1"/>
    <col min="4609" max="4609" width="21.140625" bestFit="1" customWidth="1"/>
    <col min="4610" max="4610" width="12.5703125" bestFit="1" customWidth="1"/>
    <col min="4611" max="4611" width="17.5703125" customWidth="1"/>
    <col min="4612" max="4612" width="11.5703125" bestFit="1" customWidth="1"/>
    <col min="4613" max="4613" width="19.140625" customWidth="1"/>
    <col min="4614" max="4614" width="18" customWidth="1"/>
    <col min="4615" max="4615" width="14" customWidth="1"/>
    <col min="4616" max="4616" width="23.42578125" customWidth="1"/>
    <col min="4865" max="4865" width="21.140625" bestFit="1" customWidth="1"/>
    <col min="4866" max="4866" width="12.5703125" bestFit="1" customWidth="1"/>
    <col min="4867" max="4867" width="17.5703125" customWidth="1"/>
    <col min="4868" max="4868" width="11.5703125" bestFit="1" customWidth="1"/>
    <col min="4869" max="4869" width="19.140625" customWidth="1"/>
    <col min="4870" max="4870" width="18" customWidth="1"/>
    <col min="4871" max="4871" width="14" customWidth="1"/>
    <col min="4872" max="4872" width="23.42578125" customWidth="1"/>
    <col min="5121" max="5121" width="21.140625" bestFit="1" customWidth="1"/>
    <col min="5122" max="5122" width="12.5703125" bestFit="1" customWidth="1"/>
    <col min="5123" max="5123" width="17.5703125" customWidth="1"/>
    <col min="5124" max="5124" width="11.5703125" bestFit="1" customWidth="1"/>
    <col min="5125" max="5125" width="19.140625" customWidth="1"/>
    <col min="5126" max="5126" width="18" customWidth="1"/>
    <col min="5127" max="5127" width="14" customWidth="1"/>
    <col min="5128" max="5128" width="23.42578125" customWidth="1"/>
    <col min="5377" max="5377" width="21.140625" bestFit="1" customWidth="1"/>
    <col min="5378" max="5378" width="12.5703125" bestFit="1" customWidth="1"/>
    <col min="5379" max="5379" width="17.5703125" customWidth="1"/>
    <col min="5380" max="5380" width="11.5703125" bestFit="1" customWidth="1"/>
    <col min="5381" max="5381" width="19.140625" customWidth="1"/>
    <col min="5382" max="5382" width="18" customWidth="1"/>
    <col min="5383" max="5383" width="14" customWidth="1"/>
    <col min="5384" max="5384" width="23.42578125" customWidth="1"/>
    <col min="5633" max="5633" width="21.140625" bestFit="1" customWidth="1"/>
    <col min="5634" max="5634" width="12.5703125" bestFit="1" customWidth="1"/>
    <col min="5635" max="5635" width="17.5703125" customWidth="1"/>
    <col min="5636" max="5636" width="11.5703125" bestFit="1" customWidth="1"/>
    <col min="5637" max="5637" width="19.140625" customWidth="1"/>
    <col min="5638" max="5638" width="18" customWidth="1"/>
    <col min="5639" max="5639" width="14" customWidth="1"/>
    <col min="5640" max="5640" width="23.42578125" customWidth="1"/>
    <col min="5889" max="5889" width="21.140625" bestFit="1" customWidth="1"/>
    <col min="5890" max="5890" width="12.5703125" bestFit="1" customWidth="1"/>
    <col min="5891" max="5891" width="17.5703125" customWidth="1"/>
    <col min="5892" max="5892" width="11.5703125" bestFit="1" customWidth="1"/>
    <col min="5893" max="5893" width="19.140625" customWidth="1"/>
    <col min="5894" max="5894" width="18" customWidth="1"/>
    <col min="5895" max="5895" width="14" customWidth="1"/>
    <col min="5896" max="5896" width="23.42578125" customWidth="1"/>
    <col min="6145" max="6145" width="21.140625" bestFit="1" customWidth="1"/>
    <col min="6146" max="6146" width="12.5703125" bestFit="1" customWidth="1"/>
    <col min="6147" max="6147" width="17.5703125" customWidth="1"/>
    <col min="6148" max="6148" width="11.5703125" bestFit="1" customWidth="1"/>
    <col min="6149" max="6149" width="19.140625" customWidth="1"/>
    <col min="6150" max="6150" width="18" customWidth="1"/>
    <col min="6151" max="6151" width="14" customWidth="1"/>
    <col min="6152" max="6152" width="23.42578125" customWidth="1"/>
    <col min="6401" max="6401" width="21.140625" bestFit="1" customWidth="1"/>
    <col min="6402" max="6402" width="12.5703125" bestFit="1" customWidth="1"/>
    <col min="6403" max="6403" width="17.5703125" customWidth="1"/>
    <col min="6404" max="6404" width="11.5703125" bestFit="1" customWidth="1"/>
    <col min="6405" max="6405" width="19.140625" customWidth="1"/>
    <col min="6406" max="6406" width="18" customWidth="1"/>
    <col min="6407" max="6407" width="14" customWidth="1"/>
    <col min="6408" max="6408" width="23.42578125" customWidth="1"/>
    <col min="6657" max="6657" width="21.140625" bestFit="1" customWidth="1"/>
    <col min="6658" max="6658" width="12.5703125" bestFit="1" customWidth="1"/>
    <col min="6659" max="6659" width="17.5703125" customWidth="1"/>
    <col min="6660" max="6660" width="11.5703125" bestFit="1" customWidth="1"/>
    <col min="6661" max="6661" width="19.140625" customWidth="1"/>
    <col min="6662" max="6662" width="18" customWidth="1"/>
    <col min="6663" max="6663" width="14" customWidth="1"/>
    <col min="6664" max="6664" width="23.42578125" customWidth="1"/>
    <col min="6913" max="6913" width="21.140625" bestFit="1" customWidth="1"/>
    <col min="6914" max="6914" width="12.5703125" bestFit="1" customWidth="1"/>
    <col min="6915" max="6915" width="17.5703125" customWidth="1"/>
    <col min="6916" max="6916" width="11.5703125" bestFit="1" customWidth="1"/>
    <col min="6917" max="6917" width="19.140625" customWidth="1"/>
    <col min="6918" max="6918" width="18" customWidth="1"/>
    <col min="6919" max="6919" width="14" customWidth="1"/>
    <col min="6920" max="6920" width="23.42578125" customWidth="1"/>
    <col min="7169" max="7169" width="21.140625" bestFit="1" customWidth="1"/>
    <col min="7170" max="7170" width="12.5703125" bestFit="1" customWidth="1"/>
    <col min="7171" max="7171" width="17.5703125" customWidth="1"/>
    <col min="7172" max="7172" width="11.5703125" bestFit="1" customWidth="1"/>
    <col min="7173" max="7173" width="19.140625" customWidth="1"/>
    <col min="7174" max="7174" width="18" customWidth="1"/>
    <col min="7175" max="7175" width="14" customWidth="1"/>
    <col min="7176" max="7176" width="23.42578125" customWidth="1"/>
    <col min="7425" max="7425" width="21.140625" bestFit="1" customWidth="1"/>
    <col min="7426" max="7426" width="12.5703125" bestFit="1" customWidth="1"/>
    <col min="7427" max="7427" width="17.5703125" customWidth="1"/>
    <col min="7428" max="7428" width="11.5703125" bestFit="1" customWidth="1"/>
    <col min="7429" max="7429" width="19.140625" customWidth="1"/>
    <col min="7430" max="7430" width="18" customWidth="1"/>
    <col min="7431" max="7431" width="14" customWidth="1"/>
    <col min="7432" max="7432" width="23.42578125" customWidth="1"/>
    <col min="7681" max="7681" width="21.140625" bestFit="1" customWidth="1"/>
    <col min="7682" max="7682" width="12.5703125" bestFit="1" customWidth="1"/>
    <col min="7683" max="7683" width="17.5703125" customWidth="1"/>
    <col min="7684" max="7684" width="11.5703125" bestFit="1" customWidth="1"/>
    <col min="7685" max="7685" width="19.140625" customWidth="1"/>
    <col min="7686" max="7686" width="18" customWidth="1"/>
    <col min="7687" max="7687" width="14" customWidth="1"/>
    <col min="7688" max="7688" width="23.42578125" customWidth="1"/>
    <col min="7937" max="7937" width="21.140625" bestFit="1" customWidth="1"/>
    <col min="7938" max="7938" width="12.5703125" bestFit="1" customWidth="1"/>
    <col min="7939" max="7939" width="17.5703125" customWidth="1"/>
    <col min="7940" max="7940" width="11.5703125" bestFit="1" customWidth="1"/>
    <col min="7941" max="7941" width="19.140625" customWidth="1"/>
    <col min="7942" max="7942" width="18" customWidth="1"/>
    <col min="7943" max="7943" width="14" customWidth="1"/>
    <col min="7944" max="7944" width="23.42578125" customWidth="1"/>
    <col min="8193" max="8193" width="21.140625" bestFit="1" customWidth="1"/>
    <col min="8194" max="8194" width="12.5703125" bestFit="1" customWidth="1"/>
    <col min="8195" max="8195" width="17.5703125" customWidth="1"/>
    <col min="8196" max="8196" width="11.5703125" bestFit="1" customWidth="1"/>
    <col min="8197" max="8197" width="19.140625" customWidth="1"/>
    <col min="8198" max="8198" width="18" customWidth="1"/>
    <col min="8199" max="8199" width="14" customWidth="1"/>
    <col min="8200" max="8200" width="23.42578125" customWidth="1"/>
    <col min="8449" max="8449" width="21.140625" bestFit="1" customWidth="1"/>
    <col min="8450" max="8450" width="12.5703125" bestFit="1" customWidth="1"/>
    <col min="8451" max="8451" width="17.5703125" customWidth="1"/>
    <col min="8452" max="8452" width="11.5703125" bestFit="1" customWidth="1"/>
    <col min="8453" max="8453" width="19.140625" customWidth="1"/>
    <col min="8454" max="8454" width="18" customWidth="1"/>
    <col min="8455" max="8455" width="14" customWidth="1"/>
    <col min="8456" max="8456" width="23.42578125" customWidth="1"/>
    <col min="8705" max="8705" width="21.140625" bestFit="1" customWidth="1"/>
    <col min="8706" max="8706" width="12.5703125" bestFit="1" customWidth="1"/>
    <col min="8707" max="8707" width="17.5703125" customWidth="1"/>
    <col min="8708" max="8708" width="11.5703125" bestFit="1" customWidth="1"/>
    <col min="8709" max="8709" width="19.140625" customWidth="1"/>
    <col min="8710" max="8710" width="18" customWidth="1"/>
    <col min="8711" max="8711" width="14" customWidth="1"/>
    <col min="8712" max="8712" width="23.42578125" customWidth="1"/>
    <col min="8961" max="8961" width="21.140625" bestFit="1" customWidth="1"/>
    <col min="8962" max="8962" width="12.5703125" bestFit="1" customWidth="1"/>
    <col min="8963" max="8963" width="17.5703125" customWidth="1"/>
    <col min="8964" max="8964" width="11.5703125" bestFit="1" customWidth="1"/>
    <col min="8965" max="8965" width="19.140625" customWidth="1"/>
    <col min="8966" max="8966" width="18" customWidth="1"/>
    <col min="8967" max="8967" width="14" customWidth="1"/>
    <col min="8968" max="8968" width="23.42578125" customWidth="1"/>
    <col min="9217" max="9217" width="21.140625" bestFit="1" customWidth="1"/>
    <col min="9218" max="9218" width="12.5703125" bestFit="1" customWidth="1"/>
    <col min="9219" max="9219" width="17.5703125" customWidth="1"/>
    <col min="9220" max="9220" width="11.5703125" bestFit="1" customWidth="1"/>
    <col min="9221" max="9221" width="19.140625" customWidth="1"/>
    <col min="9222" max="9222" width="18" customWidth="1"/>
    <col min="9223" max="9223" width="14" customWidth="1"/>
    <col min="9224" max="9224" width="23.42578125" customWidth="1"/>
    <col min="9473" max="9473" width="21.140625" bestFit="1" customWidth="1"/>
    <col min="9474" max="9474" width="12.5703125" bestFit="1" customWidth="1"/>
    <col min="9475" max="9475" width="17.5703125" customWidth="1"/>
    <col min="9476" max="9476" width="11.5703125" bestFit="1" customWidth="1"/>
    <col min="9477" max="9477" width="19.140625" customWidth="1"/>
    <col min="9478" max="9478" width="18" customWidth="1"/>
    <col min="9479" max="9479" width="14" customWidth="1"/>
    <col min="9480" max="9480" width="23.42578125" customWidth="1"/>
    <col min="9729" max="9729" width="21.140625" bestFit="1" customWidth="1"/>
    <col min="9730" max="9730" width="12.5703125" bestFit="1" customWidth="1"/>
    <col min="9731" max="9731" width="17.5703125" customWidth="1"/>
    <col min="9732" max="9732" width="11.5703125" bestFit="1" customWidth="1"/>
    <col min="9733" max="9733" width="19.140625" customWidth="1"/>
    <col min="9734" max="9734" width="18" customWidth="1"/>
    <col min="9735" max="9735" width="14" customWidth="1"/>
    <col min="9736" max="9736" width="23.42578125" customWidth="1"/>
    <col min="9985" max="9985" width="21.140625" bestFit="1" customWidth="1"/>
    <col min="9986" max="9986" width="12.5703125" bestFit="1" customWidth="1"/>
    <col min="9987" max="9987" width="17.5703125" customWidth="1"/>
    <col min="9988" max="9988" width="11.5703125" bestFit="1" customWidth="1"/>
    <col min="9989" max="9989" width="19.140625" customWidth="1"/>
    <col min="9990" max="9990" width="18" customWidth="1"/>
    <col min="9991" max="9991" width="14" customWidth="1"/>
    <col min="9992" max="9992" width="23.42578125" customWidth="1"/>
    <col min="10241" max="10241" width="21.140625" bestFit="1" customWidth="1"/>
    <col min="10242" max="10242" width="12.5703125" bestFit="1" customWidth="1"/>
    <col min="10243" max="10243" width="17.5703125" customWidth="1"/>
    <col min="10244" max="10244" width="11.5703125" bestFit="1" customWidth="1"/>
    <col min="10245" max="10245" width="19.140625" customWidth="1"/>
    <col min="10246" max="10246" width="18" customWidth="1"/>
    <col min="10247" max="10247" width="14" customWidth="1"/>
    <col min="10248" max="10248" width="23.42578125" customWidth="1"/>
    <col min="10497" max="10497" width="21.140625" bestFit="1" customWidth="1"/>
    <col min="10498" max="10498" width="12.5703125" bestFit="1" customWidth="1"/>
    <col min="10499" max="10499" width="17.5703125" customWidth="1"/>
    <col min="10500" max="10500" width="11.5703125" bestFit="1" customWidth="1"/>
    <col min="10501" max="10501" width="19.140625" customWidth="1"/>
    <col min="10502" max="10502" width="18" customWidth="1"/>
    <col min="10503" max="10503" width="14" customWidth="1"/>
    <col min="10504" max="10504" width="23.42578125" customWidth="1"/>
    <col min="10753" max="10753" width="21.140625" bestFit="1" customWidth="1"/>
    <col min="10754" max="10754" width="12.5703125" bestFit="1" customWidth="1"/>
    <col min="10755" max="10755" width="17.5703125" customWidth="1"/>
    <col min="10756" max="10756" width="11.5703125" bestFit="1" customWidth="1"/>
    <col min="10757" max="10757" width="19.140625" customWidth="1"/>
    <col min="10758" max="10758" width="18" customWidth="1"/>
    <col min="10759" max="10759" width="14" customWidth="1"/>
    <col min="10760" max="10760" width="23.42578125" customWidth="1"/>
    <col min="11009" max="11009" width="21.140625" bestFit="1" customWidth="1"/>
    <col min="11010" max="11010" width="12.5703125" bestFit="1" customWidth="1"/>
    <col min="11011" max="11011" width="17.5703125" customWidth="1"/>
    <col min="11012" max="11012" width="11.5703125" bestFit="1" customWidth="1"/>
    <col min="11013" max="11013" width="19.140625" customWidth="1"/>
    <col min="11014" max="11014" width="18" customWidth="1"/>
    <col min="11015" max="11015" width="14" customWidth="1"/>
    <col min="11016" max="11016" width="23.42578125" customWidth="1"/>
    <col min="11265" max="11265" width="21.140625" bestFit="1" customWidth="1"/>
    <col min="11266" max="11266" width="12.5703125" bestFit="1" customWidth="1"/>
    <col min="11267" max="11267" width="17.5703125" customWidth="1"/>
    <col min="11268" max="11268" width="11.5703125" bestFit="1" customWidth="1"/>
    <col min="11269" max="11269" width="19.140625" customWidth="1"/>
    <col min="11270" max="11270" width="18" customWidth="1"/>
    <col min="11271" max="11271" width="14" customWidth="1"/>
    <col min="11272" max="11272" width="23.42578125" customWidth="1"/>
    <col min="11521" max="11521" width="21.140625" bestFit="1" customWidth="1"/>
    <col min="11522" max="11522" width="12.5703125" bestFit="1" customWidth="1"/>
    <col min="11523" max="11523" width="17.5703125" customWidth="1"/>
    <col min="11524" max="11524" width="11.5703125" bestFit="1" customWidth="1"/>
    <col min="11525" max="11525" width="19.140625" customWidth="1"/>
    <col min="11526" max="11526" width="18" customWidth="1"/>
    <col min="11527" max="11527" width="14" customWidth="1"/>
    <col min="11528" max="11528" width="23.42578125" customWidth="1"/>
    <col min="11777" max="11777" width="21.140625" bestFit="1" customWidth="1"/>
    <col min="11778" max="11778" width="12.5703125" bestFit="1" customWidth="1"/>
    <col min="11779" max="11779" width="17.5703125" customWidth="1"/>
    <col min="11780" max="11780" width="11.5703125" bestFit="1" customWidth="1"/>
    <col min="11781" max="11781" width="19.140625" customWidth="1"/>
    <col min="11782" max="11782" width="18" customWidth="1"/>
    <col min="11783" max="11783" width="14" customWidth="1"/>
    <col min="11784" max="11784" width="23.42578125" customWidth="1"/>
    <col min="12033" max="12033" width="21.140625" bestFit="1" customWidth="1"/>
    <col min="12034" max="12034" width="12.5703125" bestFit="1" customWidth="1"/>
    <col min="12035" max="12035" width="17.5703125" customWidth="1"/>
    <col min="12036" max="12036" width="11.5703125" bestFit="1" customWidth="1"/>
    <col min="12037" max="12037" width="19.140625" customWidth="1"/>
    <col min="12038" max="12038" width="18" customWidth="1"/>
    <col min="12039" max="12039" width="14" customWidth="1"/>
    <col min="12040" max="12040" width="23.42578125" customWidth="1"/>
    <col min="12289" max="12289" width="21.140625" bestFit="1" customWidth="1"/>
    <col min="12290" max="12290" width="12.5703125" bestFit="1" customWidth="1"/>
    <col min="12291" max="12291" width="17.5703125" customWidth="1"/>
    <col min="12292" max="12292" width="11.5703125" bestFit="1" customWidth="1"/>
    <col min="12293" max="12293" width="19.140625" customWidth="1"/>
    <col min="12294" max="12294" width="18" customWidth="1"/>
    <col min="12295" max="12295" width="14" customWidth="1"/>
    <col min="12296" max="12296" width="23.42578125" customWidth="1"/>
    <col min="12545" max="12545" width="21.140625" bestFit="1" customWidth="1"/>
    <col min="12546" max="12546" width="12.5703125" bestFit="1" customWidth="1"/>
    <col min="12547" max="12547" width="17.5703125" customWidth="1"/>
    <col min="12548" max="12548" width="11.5703125" bestFit="1" customWidth="1"/>
    <col min="12549" max="12549" width="19.140625" customWidth="1"/>
    <col min="12550" max="12550" width="18" customWidth="1"/>
    <col min="12551" max="12551" width="14" customWidth="1"/>
    <col min="12552" max="12552" width="23.42578125" customWidth="1"/>
    <col min="12801" max="12801" width="21.140625" bestFit="1" customWidth="1"/>
    <col min="12802" max="12802" width="12.5703125" bestFit="1" customWidth="1"/>
    <col min="12803" max="12803" width="17.5703125" customWidth="1"/>
    <col min="12804" max="12804" width="11.5703125" bestFit="1" customWidth="1"/>
    <col min="12805" max="12805" width="19.140625" customWidth="1"/>
    <col min="12806" max="12806" width="18" customWidth="1"/>
    <col min="12807" max="12807" width="14" customWidth="1"/>
    <col min="12808" max="12808" width="23.42578125" customWidth="1"/>
    <col min="13057" max="13057" width="21.140625" bestFit="1" customWidth="1"/>
    <col min="13058" max="13058" width="12.5703125" bestFit="1" customWidth="1"/>
    <col min="13059" max="13059" width="17.5703125" customWidth="1"/>
    <col min="13060" max="13060" width="11.5703125" bestFit="1" customWidth="1"/>
    <col min="13061" max="13061" width="19.140625" customWidth="1"/>
    <col min="13062" max="13062" width="18" customWidth="1"/>
    <col min="13063" max="13063" width="14" customWidth="1"/>
    <col min="13064" max="13064" width="23.42578125" customWidth="1"/>
    <col min="13313" max="13313" width="21.140625" bestFit="1" customWidth="1"/>
    <col min="13314" max="13314" width="12.5703125" bestFit="1" customWidth="1"/>
    <col min="13315" max="13315" width="17.5703125" customWidth="1"/>
    <col min="13316" max="13316" width="11.5703125" bestFit="1" customWidth="1"/>
    <col min="13317" max="13317" width="19.140625" customWidth="1"/>
    <col min="13318" max="13318" width="18" customWidth="1"/>
    <col min="13319" max="13319" width="14" customWidth="1"/>
    <col min="13320" max="13320" width="23.42578125" customWidth="1"/>
    <col min="13569" max="13569" width="21.140625" bestFit="1" customWidth="1"/>
    <col min="13570" max="13570" width="12.5703125" bestFit="1" customWidth="1"/>
    <col min="13571" max="13571" width="17.5703125" customWidth="1"/>
    <col min="13572" max="13572" width="11.5703125" bestFit="1" customWidth="1"/>
    <col min="13573" max="13573" width="19.140625" customWidth="1"/>
    <col min="13574" max="13574" width="18" customWidth="1"/>
    <col min="13575" max="13575" width="14" customWidth="1"/>
    <col min="13576" max="13576" width="23.42578125" customWidth="1"/>
    <col min="13825" max="13825" width="21.140625" bestFit="1" customWidth="1"/>
    <col min="13826" max="13826" width="12.5703125" bestFit="1" customWidth="1"/>
    <col min="13827" max="13827" width="17.5703125" customWidth="1"/>
    <col min="13828" max="13828" width="11.5703125" bestFit="1" customWidth="1"/>
    <col min="13829" max="13829" width="19.140625" customWidth="1"/>
    <col min="13830" max="13830" width="18" customWidth="1"/>
    <col min="13831" max="13831" width="14" customWidth="1"/>
    <col min="13832" max="13832" width="23.42578125" customWidth="1"/>
    <col min="14081" max="14081" width="21.140625" bestFit="1" customWidth="1"/>
    <col min="14082" max="14082" width="12.5703125" bestFit="1" customWidth="1"/>
    <col min="14083" max="14083" width="17.5703125" customWidth="1"/>
    <col min="14084" max="14084" width="11.5703125" bestFit="1" customWidth="1"/>
    <col min="14085" max="14085" width="19.140625" customWidth="1"/>
    <col min="14086" max="14086" width="18" customWidth="1"/>
    <col min="14087" max="14087" width="14" customWidth="1"/>
    <col min="14088" max="14088" width="23.42578125" customWidth="1"/>
    <col min="14337" max="14337" width="21.140625" bestFit="1" customWidth="1"/>
    <col min="14338" max="14338" width="12.5703125" bestFit="1" customWidth="1"/>
    <col min="14339" max="14339" width="17.5703125" customWidth="1"/>
    <col min="14340" max="14340" width="11.5703125" bestFit="1" customWidth="1"/>
    <col min="14341" max="14341" width="19.140625" customWidth="1"/>
    <col min="14342" max="14342" width="18" customWidth="1"/>
    <col min="14343" max="14343" width="14" customWidth="1"/>
    <col min="14344" max="14344" width="23.42578125" customWidth="1"/>
    <col min="14593" max="14593" width="21.140625" bestFit="1" customWidth="1"/>
    <col min="14594" max="14594" width="12.5703125" bestFit="1" customWidth="1"/>
    <col min="14595" max="14595" width="17.5703125" customWidth="1"/>
    <col min="14596" max="14596" width="11.5703125" bestFit="1" customWidth="1"/>
    <col min="14597" max="14597" width="19.140625" customWidth="1"/>
    <col min="14598" max="14598" width="18" customWidth="1"/>
    <col min="14599" max="14599" width="14" customWidth="1"/>
    <col min="14600" max="14600" width="23.42578125" customWidth="1"/>
    <col min="14849" max="14849" width="21.140625" bestFit="1" customWidth="1"/>
    <col min="14850" max="14850" width="12.5703125" bestFit="1" customWidth="1"/>
    <col min="14851" max="14851" width="17.5703125" customWidth="1"/>
    <col min="14852" max="14852" width="11.5703125" bestFit="1" customWidth="1"/>
    <col min="14853" max="14853" width="19.140625" customWidth="1"/>
    <col min="14854" max="14854" width="18" customWidth="1"/>
    <col min="14855" max="14855" width="14" customWidth="1"/>
    <col min="14856" max="14856" width="23.42578125" customWidth="1"/>
    <col min="15105" max="15105" width="21.140625" bestFit="1" customWidth="1"/>
    <col min="15106" max="15106" width="12.5703125" bestFit="1" customWidth="1"/>
    <col min="15107" max="15107" width="17.5703125" customWidth="1"/>
    <col min="15108" max="15108" width="11.5703125" bestFit="1" customWidth="1"/>
    <col min="15109" max="15109" width="19.140625" customWidth="1"/>
    <col min="15110" max="15110" width="18" customWidth="1"/>
    <col min="15111" max="15111" width="14" customWidth="1"/>
    <col min="15112" max="15112" width="23.42578125" customWidth="1"/>
    <col min="15361" max="15361" width="21.140625" bestFit="1" customWidth="1"/>
    <col min="15362" max="15362" width="12.5703125" bestFit="1" customWidth="1"/>
    <col min="15363" max="15363" width="17.5703125" customWidth="1"/>
    <col min="15364" max="15364" width="11.5703125" bestFit="1" customWidth="1"/>
    <col min="15365" max="15365" width="19.140625" customWidth="1"/>
    <col min="15366" max="15366" width="18" customWidth="1"/>
    <col min="15367" max="15367" width="14" customWidth="1"/>
    <col min="15368" max="15368" width="23.42578125" customWidth="1"/>
    <col min="15617" max="15617" width="21.140625" bestFit="1" customWidth="1"/>
    <col min="15618" max="15618" width="12.5703125" bestFit="1" customWidth="1"/>
    <col min="15619" max="15619" width="17.5703125" customWidth="1"/>
    <col min="15620" max="15620" width="11.5703125" bestFit="1" customWidth="1"/>
    <col min="15621" max="15621" width="19.140625" customWidth="1"/>
    <col min="15622" max="15622" width="18" customWidth="1"/>
    <col min="15623" max="15623" width="14" customWidth="1"/>
    <col min="15624" max="15624" width="23.42578125" customWidth="1"/>
    <col min="15873" max="15873" width="21.140625" bestFit="1" customWidth="1"/>
    <col min="15874" max="15874" width="12.5703125" bestFit="1" customWidth="1"/>
    <col min="15875" max="15875" width="17.5703125" customWidth="1"/>
    <col min="15876" max="15876" width="11.5703125" bestFit="1" customWidth="1"/>
    <col min="15877" max="15877" width="19.140625" customWidth="1"/>
    <col min="15878" max="15878" width="18" customWidth="1"/>
    <col min="15879" max="15879" width="14" customWidth="1"/>
    <col min="15880" max="15880" width="23.42578125" customWidth="1"/>
    <col min="16129" max="16129" width="21.140625" bestFit="1" customWidth="1"/>
    <col min="16130" max="16130" width="12.5703125" bestFit="1" customWidth="1"/>
    <col min="16131" max="16131" width="17.5703125" customWidth="1"/>
    <col min="16132" max="16132" width="11.5703125" bestFit="1" customWidth="1"/>
    <col min="16133" max="16133" width="19.140625" customWidth="1"/>
    <col min="16134" max="16134" width="18" customWidth="1"/>
    <col min="16135" max="16135" width="14" customWidth="1"/>
    <col min="16136" max="16136" width="23.42578125" customWidth="1"/>
  </cols>
  <sheetData>
    <row r="2" spans="1:11">
      <c r="A2" t="s">
        <v>400</v>
      </c>
      <c r="B2" s="207">
        <v>2.97</v>
      </c>
    </row>
    <row r="3" spans="1:11">
      <c r="A3" t="s">
        <v>401</v>
      </c>
      <c r="B3" s="208">
        <v>30000</v>
      </c>
    </row>
    <row r="4" spans="1:11">
      <c r="A4" t="s">
        <v>402</v>
      </c>
      <c r="B4">
        <v>4</v>
      </c>
    </row>
    <row r="5" spans="1:11">
      <c r="A5" t="s">
        <v>403</v>
      </c>
      <c r="B5" s="209">
        <v>0.08</v>
      </c>
    </row>
    <row r="6" spans="1:11">
      <c r="A6" t="s">
        <v>404</v>
      </c>
      <c r="B6" s="210">
        <v>0.65</v>
      </c>
    </row>
    <row r="8" spans="1:11">
      <c r="A8" s="717" t="s">
        <v>405</v>
      </c>
      <c r="B8" s="718"/>
      <c r="C8" s="212" t="s">
        <v>406</v>
      </c>
    </row>
    <row r="9" spans="1:11">
      <c r="A9" s="213" t="s">
        <v>32</v>
      </c>
      <c r="B9" s="136">
        <v>0</v>
      </c>
      <c r="C9" s="202">
        <f>B9*H20</f>
        <v>0</v>
      </c>
    </row>
    <row r="10" spans="1:11">
      <c r="A10" s="214" t="s">
        <v>33</v>
      </c>
      <c r="B10" s="136">
        <v>1</v>
      </c>
      <c r="C10" s="202">
        <f>B10*H26</f>
        <v>22724.014285714286</v>
      </c>
    </row>
    <row r="11" spans="1:11">
      <c r="A11" s="214" t="s">
        <v>34</v>
      </c>
      <c r="B11" s="136">
        <v>2</v>
      </c>
      <c r="C11" s="202">
        <f>B11*H32</f>
        <v>58246.048648648648</v>
      </c>
    </row>
    <row r="12" spans="1:11">
      <c r="A12" s="214" t="s">
        <v>72</v>
      </c>
      <c r="B12" s="136">
        <v>0.25</v>
      </c>
      <c r="C12" s="202">
        <f>B12*I34</f>
        <v>9458.75</v>
      </c>
    </row>
    <row r="13" spans="1:11">
      <c r="A13" s="212" t="s">
        <v>366</v>
      </c>
      <c r="B13" s="211">
        <f>SUM(B9:B12)</f>
        <v>3.25</v>
      </c>
      <c r="C13" s="215">
        <f>SUM(C9:C12)</f>
        <v>90428.812934362941</v>
      </c>
    </row>
    <row r="14" spans="1:11">
      <c r="A14" s="471" t="s">
        <v>407</v>
      </c>
      <c r="B14" s="472"/>
      <c r="C14" s="286">
        <f>(C13/5000)*B6</f>
        <v>11.755745681467182</v>
      </c>
      <c r="D14" s="216"/>
      <c r="E14" s="216"/>
      <c r="F14" s="217"/>
    </row>
    <row r="16" spans="1:11" s="218" customFormat="1">
      <c r="A16" s="218" t="s">
        <v>408</v>
      </c>
      <c r="B16" s="218" t="s">
        <v>747</v>
      </c>
      <c r="C16" s="218" t="s">
        <v>409</v>
      </c>
      <c r="D16" s="218" t="s">
        <v>410</v>
      </c>
      <c r="E16" s="218" t="s">
        <v>411</v>
      </c>
      <c r="F16" s="218" t="s">
        <v>412</v>
      </c>
      <c r="G16" s="218" t="s">
        <v>413</v>
      </c>
      <c r="H16" s="218" t="s">
        <v>414</v>
      </c>
      <c r="K16" s="218" t="s">
        <v>748</v>
      </c>
    </row>
    <row r="17" spans="1:11">
      <c r="A17" t="s">
        <v>415</v>
      </c>
      <c r="B17" s="219">
        <v>25748</v>
      </c>
      <c r="C17">
        <v>32</v>
      </c>
      <c r="D17" s="219">
        <f>(B17*$B$5)</f>
        <v>2059.84</v>
      </c>
      <c r="E17" s="163">
        <f>B17/$B$4</f>
        <v>6437</v>
      </c>
      <c r="F17" s="163">
        <f>($B$3/C17)*$B$2</f>
        <v>2784.375</v>
      </c>
      <c r="G17" s="220">
        <v>4000</v>
      </c>
      <c r="H17" s="163">
        <f>G17+F17+E17+D17</f>
        <v>15281.215</v>
      </c>
      <c r="K17">
        <v>26045</v>
      </c>
    </row>
    <row r="18" spans="1:11">
      <c r="A18" t="s">
        <v>416</v>
      </c>
      <c r="B18" s="219">
        <v>22725</v>
      </c>
      <c r="C18">
        <v>30</v>
      </c>
      <c r="D18" s="219">
        <f>(B18*$B$5)</f>
        <v>1818</v>
      </c>
      <c r="E18" s="163">
        <f>B18/$B$4</f>
        <v>5681.25</v>
      </c>
      <c r="F18" s="163">
        <f>($B$3/C18)*$B$2</f>
        <v>2970</v>
      </c>
      <c r="G18" s="220">
        <v>4000</v>
      </c>
      <c r="H18" s="163">
        <f>G18+F18+E18+D18</f>
        <v>14469.25</v>
      </c>
      <c r="K18">
        <v>22995</v>
      </c>
    </row>
    <row r="19" spans="1:11">
      <c r="A19" t="s">
        <v>417</v>
      </c>
      <c r="B19" s="219">
        <v>28500</v>
      </c>
      <c r="C19">
        <v>27</v>
      </c>
      <c r="D19" s="219">
        <f>(B19*$B$5)</f>
        <v>2280</v>
      </c>
      <c r="E19" s="163">
        <f>B19/$B$4</f>
        <v>7125</v>
      </c>
      <c r="F19" s="163">
        <f>($B$3/C19)*$B$2</f>
        <v>3300</v>
      </c>
      <c r="G19" s="220">
        <v>4000</v>
      </c>
      <c r="H19" s="163">
        <f>G19+F19+E19+D19</f>
        <v>16705</v>
      </c>
      <c r="K19">
        <v>27425</v>
      </c>
    </row>
    <row r="20" spans="1:11" s="218" customFormat="1">
      <c r="A20" s="218" t="s">
        <v>418</v>
      </c>
      <c r="B20" s="221">
        <f>AVERAGE(B17:B19)</f>
        <v>25657.666666666668</v>
      </c>
      <c r="C20" s="222">
        <f>AVERAGE(C17:C19)</f>
        <v>29.666666666666668</v>
      </c>
      <c r="D20" s="221">
        <f>(B20*$B$5)</f>
        <v>2052.6133333333337</v>
      </c>
      <c r="E20" s="223">
        <f>B20/$B$4</f>
        <v>6414.416666666667</v>
      </c>
      <c r="F20" s="223">
        <f>($B$3/C20)*$B$2</f>
        <v>3003.370786516854</v>
      </c>
      <c r="G20" s="224">
        <v>4000</v>
      </c>
      <c r="H20" s="223">
        <f>G20+F20+E20+D20</f>
        <v>15470.400786516857</v>
      </c>
      <c r="K20" s="218">
        <v>25488.333333333332</v>
      </c>
    </row>
    <row r="21" spans="1:11">
      <c r="G21" s="207"/>
    </row>
    <row r="22" spans="1:11" s="218" customFormat="1">
      <c r="A22" s="218" t="s">
        <v>419</v>
      </c>
      <c r="B22" s="218" t="s">
        <v>747</v>
      </c>
      <c r="C22" s="218" t="s">
        <v>409</v>
      </c>
      <c r="D22" s="218" t="s">
        <v>410</v>
      </c>
      <c r="E22" s="218" t="s">
        <v>411</v>
      </c>
      <c r="F22" s="218" t="s">
        <v>412</v>
      </c>
      <c r="G22" s="218" t="s">
        <v>413</v>
      </c>
      <c r="H22" s="218" t="s">
        <v>414</v>
      </c>
      <c r="K22" s="218" t="s">
        <v>748</v>
      </c>
    </row>
    <row r="23" spans="1:11">
      <c r="A23" t="s">
        <v>420</v>
      </c>
      <c r="B23" s="225">
        <v>44290</v>
      </c>
      <c r="C23">
        <v>19</v>
      </c>
      <c r="D23" s="225">
        <f>(B23*$B$5)</f>
        <v>3543.2000000000003</v>
      </c>
      <c r="E23" s="163">
        <f>B23/$B$4</f>
        <v>11072.5</v>
      </c>
      <c r="F23" s="163">
        <f>($B$3/C23)*$B$2</f>
        <v>4689.4736842105267</v>
      </c>
      <c r="G23" s="207">
        <v>4500</v>
      </c>
      <c r="H23" s="163">
        <f>G23+F23+E23+D23</f>
        <v>23805.173684210527</v>
      </c>
      <c r="K23">
        <v>37185</v>
      </c>
    </row>
    <row r="24" spans="1:11">
      <c r="A24" t="s">
        <v>421</v>
      </c>
      <c r="B24" s="225">
        <v>41000</v>
      </c>
      <c r="C24">
        <v>19</v>
      </c>
      <c r="D24" s="225">
        <f>(B24*$B$5)</f>
        <v>3280</v>
      </c>
      <c r="E24" s="163">
        <f>B24/$B$4</f>
        <v>10250</v>
      </c>
      <c r="F24" s="163">
        <f>($B$3/C24)*$B$2</f>
        <v>4689.4736842105267</v>
      </c>
      <c r="G24" s="207">
        <v>4500</v>
      </c>
      <c r="H24" s="163">
        <f>G24+F24+E24+D24</f>
        <v>22719.473684210527</v>
      </c>
      <c r="K24">
        <v>37840</v>
      </c>
    </row>
    <row r="25" spans="1:11">
      <c r="A25" t="s">
        <v>422</v>
      </c>
      <c r="B25" s="225">
        <v>36990</v>
      </c>
      <c r="C25">
        <v>18</v>
      </c>
      <c r="D25" s="225">
        <f>(B25*$B$5)</f>
        <v>2959.2000000000003</v>
      </c>
      <c r="E25" s="163">
        <f>B25/$B$4</f>
        <v>9247.5</v>
      </c>
      <c r="F25" s="163">
        <f>($B$3/C25)*$B$2</f>
        <v>4950.0000000000009</v>
      </c>
      <c r="G25" s="207">
        <v>4500</v>
      </c>
      <c r="H25" s="163">
        <f>G25+F25+E25+D25</f>
        <v>21656.7</v>
      </c>
      <c r="K25">
        <v>33200</v>
      </c>
    </row>
    <row r="26" spans="1:11" s="218" customFormat="1">
      <c r="A26" s="218" t="s">
        <v>418</v>
      </c>
      <c r="B26" s="226">
        <f>AVERAGE(B23:B25)</f>
        <v>40760</v>
      </c>
      <c r="C26" s="389">
        <f>AVERAGE(C23:C25)</f>
        <v>18.666666666666668</v>
      </c>
      <c r="D26" s="226">
        <f>(B26*$B$5)</f>
        <v>3260.8</v>
      </c>
      <c r="E26" s="223">
        <f>B26/$B$4</f>
        <v>10190</v>
      </c>
      <c r="F26" s="223">
        <f>($B$3/C26)*$B$2</f>
        <v>4773.2142857142862</v>
      </c>
      <c r="G26" s="227">
        <v>4500</v>
      </c>
      <c r="H26" s="223">
        <f>G26+F26+E26+D26</f>
        <v>22724.014285714286</v>
      </c>
      <c r="K26" s="218">
        <v>36075</v>
      </c>
    </row>
    <row r="27" spans="1:11">
      <c r="D27" s="225"/>
      <c r="G27" s="207"/>
    </row>
    <row r="28" spans="1:11" s="218" customFormat="1">
      <c r="A28" s="218" t="s">
        <v>423</v>
      </c>
      <c r="B28" s="218" t="s">
        <v>782</v>
      </c>
      <c r="C28" s="218" t="s">
        <v>409</v>
      </c>
      <c r="D28" s="218" t="s">
        <v>410</v>
      </c>
      <c r="E28" s="218" t="s">
        <v>411</v>
      </c>
      <c r="F28" s="218" t="s">
        <v>412</v>
      </c>
      <c r="G28" s="218" t="s">
        <v>413</v>
      </c>
      <c r="H28" s="218" t="s">
        <v>414</v>
      </c>
      <c r="K28" s="218" t="s">
        <v>748</v>
      </c>
    </row>
    <row r="29" spans="1:11">
      <c r="A29" t="s">
        <v>424</v>
      </c>
      <c r="B29" s="225">
        <v>50545</v>
      </c>
      <c r="C29">
        <v>11</v>
      </c>
      <c r="D29" s="225">
        <f>(B29*$B$5)</f>
        <v>4043.6</v>
      </c>
      <c r="E29" s="163">
        <f>B29/$B$4</f>
        <v>12636.25</v>
      </c>
      <c r="F29" s="163">
        <f>($B$3/C29)*$B$2</f>
        <v>8100.0000000000009</v>
      </c>
      <c r="G29" s="207">
        <v>4500</v>
      </c>
      <c r="H29" s="163">
        <f>G29+F29+E29+D29</f>
        <v>29279.85</v>
      </c>
      <c r="K29">
        <v>40700</v>
      </c>
    </row>
    <row r="30" spans="1:11">
      <c r="A30" t="s">
        <v>425</v>
      </c>
      <c r="B30" s="225">
        <v>60275</v>
      </c>
      <c r="C30">
        <v>15</v>
      </c>
      <c r="D30" s="225">
        <f>(B30*$B$5)</f>
        <v>4822</v>
      </c>
      <c r="E30" s="163">
        <f>B30/$B$4</f>
        <v>15068.75</v>
      </c>
      <c r="F30" s="163">
        <f>($B$3/C30)*$B$2</f>
        <v>5940</v>
      </c>
      <c r="G30" s="207">
        <v>4500</v>
      </c>
      <c r="H30" s="163">
        <f>G30+F30+E30+D30</f>
        <v>30330.75</v>
      </c>
      <c r="K30">
        <v>53145</v>
      </c>
    </row>
    <row r="31" spans="1:11">
      <c r="A31" t="s">
        <v>426</v>
      </c>
      <c r="B31" s="225">
        <v>47350</v>
      </c>
      <c r="C31">
        <v>11</v>
      </c>
      <c r="D31" s="225">
        <f>(B31*$B$5)</f>
        <v>3788</v>
      </c>
      <c r="E31" s="163">
        <f>B31/$B$4</f>
        <v>11837.5</v>
      </c>
      <c r="F31" s="163">
        <f>($B$3/C31)*$B$2</f>
        <v>8100.0000000000009</v>
      </c>
      <c r="G31" s="207">
        <v>4500</v>
      </c>
      <c r="H31" s="163">
        <f>G31+F31+E31+D31</f>
        <v>28225.5</v>
      </c>
      <c r="K31">
        <v>44900</v>
      </c>
    </row>
    <row r="32" spans="1:11" s="218" customFormat="1">
      <c r="A32" s="218" t="s">
        <v>418</v>
      </c>
      <c r="B32" s="226">
        <f>AVERAGE(B29:B31)</f>
        <v>52723.333333333336</v>
      </c>
      <c r="C32" s="389">
        <f>AVERAGE(C29:C31)</f>
        <v>12.333333333333334</v>
      </c>
      <c r="D32" s="226">
        <f>(B32*$B$5)</f>
        <v>4217.8666666666668</v>
      </c>
      <c r="E32" s="223">
        <f>B32/$B$4</f>
        <v>13180.833333333334</v>
      </c>
      <c r="F32" s="223">
        <f>($B$3/C32)*$B$2</f>
        <v>7224.3243243243251</v>
      </c>
      <c r="G32" s="227">
        <v>4500</v>
      </c>
      <c r="H32" s="223">
        <f>G32+F32+E32+D32</f>
        <v>29123.024324324324</v>
      </c>
      <c r="K32" s="218">
        <v>46248.333333333336</v>
      </c>
    </row>
    <row r="33" spans="1:13">
      <c r="H33" s="207"/>
      <c r="M33" s="163"/>
    </row>
    <row r="34" spans="1:13" s="218" customFormat="1">
      <c r="A34" s="218" t="s">
        <v>35</v>
      </c>
      <c r="B34" s="221">
        <v>72500</v>
      </c>
      <c r="C34" s="221"/>
      <c r="D34" s="218">
        <v>10</v>
      </c>
      <c r="E34" s="226">
        <f>(B34*$B$5)</f>
        <v>5800</v>
      </c>
      <c r="F34" s="223">
        <f>B34/$B$4</f>
        <v>18125</v>
      </c>
      <c r="G34" s="223">
        <f>($B$3/D34)*$B$2</f>
        <v>8910</v>
      </c>
      <c r="H34" s="227">
        <v>5000</v>
      </c>
      <c r="I34" s="223">
        <f>H34+G34+F34+E34</f>
        <v>37835</v>
      </c>
    </row>
  </sheetData>
  <mergeCells count="1">
    <mergeCell ref="A8:B8"/>
  </mergeCells>
  <pageMargins left="0.7" right="0.7" top="0.75" bottom="0.75" header="0.3" footer="0.3"/>
  <pageSetup scale="8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BC08-7420-4A67-9E90-E0A6D9E1878F}">
  <sheetPr>
    <pageSetUpPr fitToPage="1"/>
  </sheetPr>
  <dimension ref="A2:M34"/>
  <sheetViews>
    <sheetView topLeftCell="A22" zoomScaleNormal="100" workbookViewId="0">
      <selection activeCell="S9" sqref="S9"/>
    </sheetView>
  </sheetViews>
  <sheetFormatPr defaultRowHeight="15"/>
  <cols>
    <col min="1" max="1" width="21.140625" bestFit="1" customWidth="1"/>
    <col min="2" max="2" width="12.5703125" bestFit="1" customWidth="1"/>
    <col min="3" max="3" width="17.5703125" customWidth="1"/>
    <col min="4" max="4" width="11.5703125" bestFit="1" customWidth="1"/>
    <col min="5" max="5" width="19.140625" customWidth="1"/>
    <col min="6" max="6" width="18" customWidth="1"/>
    <col min="7" max="7" width="14" customWidth="1"/>
    <col min="8" max="8" width="23.42578125" customWidth="1"/>
    <col min="9" max="9" width="15.140625" customWidth="1"/>
    <col min="12" max="12" width="11.5703125" bestFit="1" customWidth="1"/>
    <col min="257" max="257" width="21.140625" bestFit="1" customWidth="1"/>
    <col min="258" max="258" width="12.5703125" bestFit="1" customWidth="1"/>
    <col min="259" max="259" width="17.5703125" customWidth="1"/>
    <col min="260" max="260" width="11.5703125" bestFit="1" customWidth="1"/>
    <col min="261" max="261" width="19.140625" customWidth="1"/>
    <col min="262" max="262" width="18" customWidth="1"/>
    <col min="263" max="263" width="14" customWidth="1"/>
    <col min="264" max="264" width="23.42578125" customWidth="1"/>
    <col min="513" max="513" width="21.140625" bestFit="1" customWidth="1"/>
    <col min="514" max="514" width="12.5703125" bestFit="1" customWidth="1"/>
    <col min="515" max="515" width="17.5703125" customWidth="1"/>
    <col min="516" max="516" width="11.5703125" bestFit="1" customWidth="1"/>
    <col min="517" max="517" width="19.140625" customWidth="1"/>
    <col min="518" max="518" width="18" customWidth="1"/>
    <col min="519" max="519" width="14" customWidth="1"/>
    <col min="520" max="520" width="23.42578125" customWidth="1"/>
    <col min="769" max="769" width="21.140625" bestFit="1" customWidth="1"/>
    <col min="770" max="770" width="12.5703125" bestFit="1" customWidth="1"/>
    <col min="771" max="771" width="17.5703125" customWidth="1"/>
    <col min="772" max="772" width="11.5703125" bestFit="1" customWidth="1"/>
    <col min="773" max="773" width="19.140625" customWidth="1"/>
    <col min="774" max="774" width="18" customWidth="1"/>
    <col min="775" max="775" width="14" customWidth="1"/>
    <col min="776" max="776" width="23.42578125" customWidth="1"/>
    <col min="1025" max="1025" width="21.140625" bestFit="1" customWidth="1"/>
    <col min="1026" max="1026" width="12.5703125" bestFit="1" customWidth="1"/>
    <col min="1027" max="1027" width="17.5703125" customWidth="1"/>
    <col min="1028" max="1028" width="11.5703125" bestFit="1" customWidth="1"/>
    <col min="1029" max="1029" width="19.140625" customWidth="1"/>
    <col min="1030" max="1030" width="18" customWidth="1"/>
    <col min="1031" max="1031" width="14" customWidth="1"/>
    <col min="1032" max="1032" width="23.42578125" customWidth="1"/>
    <col min="1281" max="1281" width="21.140625" bestFit="1" customWidth="1"/>
    <col min="1282" max="1282" width="12.5703125" bestFit="1" customWidth="1"/>
    <col min="1283" max="1283" width="17.5703125" customWidth="1"/>
    <col min="1284" max="1284" width="11.5703125" bestFit="1" customWidth="1"/>
    <col min="1285" max="1285" width="19.140625" customWidth="1"/>
    <col min="1286" max="1286" width="18" customWidth="1"/>
    <col min="1287" max="1287" width="14" customWidth="1"/>
    <col min="1288" max="1288" width="23.42578125" customWidth="1"/>
    <col min="1537" max="1537" width="21.140625" bestFit="1" customWidth="1"/>
    <col min="1538" max="1538" width="12.5703125" bestFit="1" customWidth="1"/>
    <col min="1539" max="1539" width="17.5703125" customWidth="1"/>
    <col min="1540" max="1540" width="11.5703125" bestFit="1" customWidth="1"/>
    <col min="1541" max="1541" width="19.140625" customWidth="1"/>
    <col min="1542" max="1542" width="18" customWidth="1"/>
    <col min="1543" max="1543" width="14" customWidth="1"/>
    <col min="1544" max="1544" width="23.42578125" customWidth="1"/>
    <col min="1793" max="1793" width="21.140625" bestFit="1" customWidth="1"/>
    <col min="1794" max="1794" width="12.5703125" bestFit="1" customWidth="1"/>
    <col min="1795" max="1795" width="17.5703125" customWidth="1"/>
    <col min="1796" max="1796" width="11.5703125" bestFit="1" customWidth="1"/>
    <col min="1797" max="1797" width="19.140625" customWidth="1"/>
    <col min="1798" max="1798" width="18" customWidth="1"/>
    <col min="1799" max="1799" width="14" customWidth="1"/>
    <col min="1800" max="1800" width="23.42578125" customWidth="1"/>
    <col min="2049" max="2049" width="21.140625" bestFit="1" customWidth="1"/>
    <col min="2050" max="2050" width="12.5703125" bestFit="1" customWidth="1"/>
    <col min="2051" max="2051" width="17.5703125" customWidth="1"/>
    <col min="2052" max="2052" width="11.5703125" bestFit="1" customWidth="1"/>
    <col min="2053" max="2053" width="19.140625" customWidth="1"/>
    <col min="2054" max="2054" width="18" customWidth="1"/>
    <col min="2055" max="2055" width="14" customWidth="1"/>
    <col min="2056" max="2056" width="23.42578125" customWidth="1"/>
    <col min="2305" max="2305" width="21.140625" bestFit="1" customWidth="1"/>
    <col min="2306" max="2306" width="12.5703125" bestFit="1" customWidth="1"/>
    <col min="2307" max="2307" width="17.5703125" customWidth="1"/>
    <col min="2308" max="2308" width="11.5703125" bestFit="1" customWidth="1"/>
    <col min="2309" max="2309" width="19.140625" customWidth="1"/>
    <col min="2310" max="2310" width="18" customWidth="1"/>
    <col min="2311" max="2311" width="14" customWidth="1"/>
    <col min="2312" max="2312" width="23.42578125" customWidth="1"/>
    <col min="2561" max="2561" width="21.140625" bestFit="1" customWidth="1"/>
    <col min="2562" max="2562" width="12.5703125" bestFit="1" customWidth="1"/>
    <col min="2563" max="2563" width="17.5703125" customWidth="1"/>
    <col min="2564" max="2564" width="11.5703125" bestFit="1" customWidth="1"/>
    <col min="2565" max="2565" width="19.140625" customWidth="1"/>
    <col min="2566" max="2566" width="18" customWidth="1"/>
    <col min="2567" max="2567" width="14" customWidth="1"/>
    <col min="2568" max="2568" width="23.42578125" customWidth="1"/>
    <col min="2817" max="2817" width="21.140625" bestFit="1" customWidth="1"/>
    <col min="2818" max="2818" width="12.5703125" bestFit="1" customWidth="1"/>
    <col min="2819" max="2819" width="17.5703125" customWidth="1"/>
    <col min="2820" max="2820" width="11.5703125" bestFit="1" customWidth="1"/>
    <col min="2821" max="2821" width="19.140625" customWidth="1"/>
    <col min="2822" max="2822" width="18" customWidth="1"/>
    <col min="2823" max="2823" width="14" customWidth="1"/>
    <col min="2824" max="2824" width="23.42578125" customWidth="1"/>
    <col min="3073" max="3073" width="21.140625" bestFit="1" customWidth="1"/>
    <col min="3074" max="3074" width="12.5703125" bestFit="1" customWidth="1"/>
    <col min="3075" max="3075" width="17.5703125" customWidth="1"/>
    <col min="3076" max="3076" width="11.5703125" bestFit="1" customWidth="1"/>
    <col min="3077" max="3077" width="19.140625" customWidth="1"/>
    <col min="3078" max="3078" width="18" customWidth="1"/>
    <col min="3079" max="3079" width="14" customWidth="1"/>
    <col min="3080" max="3080" width="23.42578125" customWidth="1"/>
    <col min="3329" max="3329" width="21.140625" bestFit="1" customWidth="1"/>
    <col min="3330" max="3330" width="12.5703125" bestFit="1" customWidth="1"/>
    <col min="3331" max="3331" width="17.5703125" customWidth="1"/>
    <col min="3332" max="3332" width="11.5703125" bestFit="1" customWidth="1"/>
    <col min="3333" max="3333" width="19.140625" customWidth="1"/>
    <col min="3334" max="3334" width="18" customWidth="1"/>
    <col min="3335" max="3335" width="14" customWidth="1"/>
    <col min="3336" max="3336" width="23.42578125" customWidth="1"/>
    <col min="3585" max="3585" width="21.140625" bestFit="1" customWidth="1"/>
    <col min="3586" max="3586" width="12.5703125" bestFit="1" customWidth="1"/>
    <col min="3587" max="3587" width="17.5703125" customWidth="1"/>
    <col min="3588" max="3588" width="11.5703125" bestFit="1" customWidth="1"/>
    <col min="3589" max="3589" width="19.140625" customWidth="1"/>
    <col min="3590" max="3590" width="18" customWidth="1"/>
    <col min="3591" max="3591" width="14" customWidth="1"/>
    <col min="3592" max="3592" width="23.42578125" customWidth="1"/>
    <col min="3841" max="3841" width="21.140625" bestFit="1" customWidth="1"/>
    <col min="3842" max="3842" width="12.5703125" bestFit="1" customWidth="1"/>
    <col min="3843" max="3843" width="17.5703125" customWidth="1"/>
    <col min="3844" max="3844" width="11.5703125" bestFit="1" customWidth="1"/>
    <col min="3845" max="3845" width="19.140625" customWidth="1"/>
    <col min="3846" max="3846" width="18" customWidth="1"/>
    <col min="3847" max="3847" width="14" customWidth="1"/>
    <col min="3848" max="3848" width="23.42578125" customWidth="1"/>
    <col min="4097" max="4097" width="21.140625" bestFit="1" customWidth="1"/>
    <col min="4098" max="4098" width="12.5703125" bestFit="1" customWidth="1"/>
    <col min="4099" max="4099" width="17.5703125" customWidth="1"/>
    <col min="4100" max="4100" width="11.5703125" bestFit="1" customWidth="1"/>
    <col min="4101" max="4101" width="19.140625" customWidth="1"/>
    <col min="4102" max="4102" width="18" customWidth="1"/>
    <col min="4103" max="4103" width="14" customWidth="1"/>
    <col min="4104" max="4104" width="23.42578125" customWidth="1"/>
    <col min="4353" max="4353" width="21.140625" bestFit="1" customWidth="1"/>
    <col min="4354" max="4354" width="12.5703125" bestFit="1" customWidth="1"/>
    <col min="4355" max="4355" width="17.5703125" customWidth="1"/>
    <col min="4356" max="4356" width="11.5703125" bestFit="1" customWidth="1"/>
    <col min="4357" max="4357" width="19.140625" customWidth="1"/>
    <col min="4358" max="4358" width="18" customWidth="1"/>
    <col min="4359" max="4359" width="14" customWidth="1"/>
    <col min="4360" max="4360" width="23.42578125" customWidth="1"/>
    <col min="4609" max="4609" width="21.140625" bestFit="1" customWidth="1"/>
    <col min="4610" max="4610" width="12.5703125" bestFit="1" customWidth="1"/>
    <col min="4611" max="4611" width="17.5703125" customWidth="1"/>
    <col min="4612" max="4612" width="11.5703125" bestFit="1" customWidth="1"/>
    <col min="4613" max="4613" width="19.140625" customWidth="1"/>
    <col min="4614" max="4614" width="18" customWidth="1"/>
    <col min="4615" max="4615" width="14" customWidth="1"/>
    <col min="4616" max="4616" width="23.42578125" customWidth="1"/>
    <col min="4865" max="4865" width="21.140625" bestFit="1" customWidth="1"/>
    <col min="4866" max="4866" width="12.5703125" bestFit="1" customWidth="1"/>
    <col min="4867" max="4867" width="17.5703125" customWidth="1"/>
    <col min="4868" max="4868" width="11.5703125" bestFit="1" customWidth="1"/>
    <col min="4869" max="4869" width="19.140625" customWidth="1"/>
    <col min="4870" max="4870" width="18" customWidth="1"/>
    <col min="4871" max="4871" width="14" customWidth="1"/>
    <col min="4872" max="4872" width="23.42578125" customWidth="1"/>
    <col min="5121" max="5121" width="21.140625" bestFit="1" customWidth="1"/>
    <col min="5122" max="5122" width="12.5703125" bestFit="1" customWidth="1"/>
    <col min="5123" max="5123" width="17.5703125" customWidth="1"/>
    <col min="5124" max="5124" width="11.5703125" bestFit="1" customWidth="1"/>
    <col min="5125" max="5125" width="19.140625" customWidth="1"/>
    <col min="5126" max="5126" width="18" customWidth="1"/>
    <col min="5127" max="5127" width="14" customWidth="1"/>
    <col min="5128" max="5128" width="23.42578125" customWidth="1"/>
    <col min="5377" max="5377" width="21.140625" bestFit="1" customWidth="1"/>
    <col min="5378" max="5378" width="12.5703125" bestFit="1" customWidth="1"/>
    <col min="5379" max="5379" width="17.5703125" customWidth="1"/>
    <col min="5380" max="5380" width="11.5703125" bestFit="1" customWidth="1"/>
    <col min="5381" max="5381" width="19.140625" customWidth="1"/>
    <col min="5382" max="5382" width="18" customWidth="1"/>
    <col min="5383" max="5383" width="14" customWidth="1"/>
    <col min="5384" max="5384" width="23.42578125" customWidth="1"/>
    <col min="5633" max="5633" width="21.140625" bestFit="1" customWidth="1"/>
    <col min="5634" max="5634" width="12.5703125" bestFit="1" customWidth="1"/>
    <col min="5635" max="5635" width="17.5703125" customWidth="1"/>
    <col min="5636" max="5636" width="11.5703125" bestFit="1" customWidth="1"/>
    <col min="5637" max="5637" width="19.140625" customWidth="1"/>
    <col min="5638" max="5638" width="18" customWidth="1"/>
    <col min="5639" max="5639" width="14" customWidth="1"/>
    <col min="5640" max="5640" width="23.42578125" customWidth="1"/>
    <col min="5889" max="5889" width="21.140625" bestFit="1" customWidth="1"/>
    <col min="5890" max="5890" width="12.5703125" bestFit="1" customWidth="1"/>
    <col min="5891" max="5891" width="17.5703125" customWidth="1"/>
    <col min="5892" max="5892" width="11.5703125" bestFit="1" customWidth="1"/>
    <col min="5893" max="5893" width="19.140625" customWidth="1"/>
    <col min="5894" max="5894" width="18" customWidth="1"/>
    <col min="5895" max="5895" width="14" customWidth="1"/>
    <col min="5896" max="5896" width="23.42578125" customWidth="1"/>
    <col min="6145" max="6145" width="21.140625" bestFit="1" customWidth="1"/>
    <col min="6146" max="6146" width="12.5703125" bestFit="1" customWidth="1"/>
    <col min="6147" max="6147" width="17.5703125" customWidth="1"/>
    <col min="6148" max="6148" width="11.5703125" bestFit="1" customWidth="1"/>
    <col min="6149" max="6149" width="19.140625" customWidth="1"/>
    <col min="6150" max="6150" width="18" customWidth="1"/>
    <col min="6151" max="6151" width="14" customWidth="1"/>
    <col min="6152" max="6152" width="23.42578125" customWidth="1"/>
    <col min="6401" max="6401" width="21.140625" bestFit="1" customWidth="1"/>
    <col min="6402" max="6402" width="12.5703125" bestFit="1" customWidth="1"/>
    <col min="6403" max="6403" width="17.5703125" customWidth="1"/>
    <col min="6404" max="6404" width="11.5703125" bestFit="1" customWidth="1"/>
    <col min="6405" max="6405" width="19.140625" customWidth="1"/>
    <col min="6406" max="6406" width="18" customWidth="1"/>
    <col min="6407" max="6407" width="14" customWidth="1"/>
    <col min="6408" max="6408" width="23.42578125" customWidth="1"/>
    <col min="6657" max="6657" width="21.140625" bestFit="1" customWidth="1"/>
    <col min="6658" max="6658" width="12.5703125" bestFit="1" customWidth="1"/>
    <col min="6659" max="6659" width="17.5703125" customWidth="1"/>
    <col min="6660" max="6660" width="11.5703125" bestFit="1" customWidth="1"/>
    <col min="6661" max="6661" width="19.140625" customWidth="1"/>
    <col min="6662" max="6662" width="18" customWidth="1"/>
    <col min="6663" max="6663" width="14" customWidth="1"/>
    <col min="6664" max="6664" width="23.42578125" customWidth="1"/>
    <col min="6913" max="6913" width="21.140625" bestFit="1" customWidth="1"/>
    <col min="6914" max="6914" width="12.5703125" bestFit="1" customWidth="1"/>
    <col min="6915" max="6915" width="17.5703125" customWidth="1"/>
    <col min="6916" max="6916" width="11.5703125" bestFit="1" customWidth="1"/>
    <col min="6917" max="6917" width="19.140625" customWidth="1"/>
    <col min="6918" max="6918" width="18" customWidth="1"/>
    <col min="6919" max="6919" width="14" customWidth="1"/>
    <col min="6920" max="6920" width="23.42578125" customWidth="1"/>
    <col min="7169" max="7169" width="21.140625" bestFit="1" customWidth="1"/>
    <col min="7170" max="7170" width="12.5703125" bestFit="1" customWidth="1"/>
    <col min="7171" max="7171" width="17.5703125" customWidth="1"/>
    <col min="7172" max="7172" width="11.5703125" bestFit="1" customWidth="1"/>
    <col min="7173" max="7173" width="19.140625" customWidth="1"/>
    <col min="7174" max="7174" width="18" customWidth="1"/>
    <col min="7175" max="7175" width="14" customWidth="1"/>
    <col min="7176" max="7176" width="23.42578125" customWidth="1"/>
    <col min="7425" max="7425" width="21.140625" bestFit="1" customWidth="1"/>
    <col min="7426" max="7426" width="12.5703125" bestFit="1" customWidth="1"/>
    <col min="7427" max="7427" width="17.5703125" customWidth="1"/>
    <col min="7428" max="7428" width="11.5703125" bestFit="1" customWidth="1"/>
    <col min="7429" max="7429" width="19.140625" customWidth="1"/>
    <col min="7430" max="7430" width="18" customWidth="1"/>
    <col min="7431" max="7431" width="14" customWidth="1"/>
    <col min="7432" max="7432" width="23.42578125" customWidth="1"/>
    <col min="7681" max="7681" width="21.140625" bestFit="1" customWidth="1"/>
    <col min="7682" max="7682" width="12.5703125" bestFit="1" customWidth="1"/>
    <col min="7683" max="7683" width="17.5703125" customWidth="1"/>
    <col min="7684" max="7684" width="11.5703125" bestFit="1" customWidth="1"/>
    <col min="7685" max="7685" width="19.140625" customWidth="1"/>
    <col min="7686" max="7686" width="18" customWidth="1"/>
    <col min="7687" max="7687" width="14" customWidth="1"/>
    <col min="7688" max="7688" width="23.42578125" customWidth="1"/>
    <col min="7937" max="7937" width="21.140625" bestFit="1" customWidth="1"/>
    <col min="7938" max="7938" width="12.5703125" bestFit="1" customWidth="1"/>
    <col min="7939" max="7939" width="17.5703125" customWidth="1"/>
    <col min="7940" max="7940" width="11.5703125" bestFit="1" customWidth="1"/>
    <col min="7941" max="7941" width="19.140625" customWidth="1"/>
    <col min="7942" max="7942" width="18" customWidth="1"/>
    <col min="7943" max="7943" width="14" customWidth="1"/>
    <col min="7944" max="7944" width="23.42578125" customWidth="1"/>
    <col min="8193" max="8193" width="21.140625" bestFit="1" customWidth="1"/>
    <col min="8194" max="8194" width="12.5703125" bestFit="1" customWidth="1"/>
    <col min="8195" max="8195" width="17.5703125" customWidth="1"/>
    <col min="8196" max="8196" width="11.5703125" bestFit="1" customWidth="1"/>
    <col min="8197" max="8197" width="19.140625" customWidth="1"/>
    <col min="8198" max="8198" width="18" customWidth="1"/>
    <col min="8199" max="8199" width="14" customWidth="1"/>
    <col min="8200" max="8200" width="23.42578125" customWidth="1"/>
    <col min="8449" max="8449" width="21.140625" bestFit="1" customWidth="1"/>
    <col min="8450" max="8450" width="12.5703125" bestFit="1" customWidth="1"/>
    <col min="8451" max="8451" width="17.5703125" customWidth="1"/>
    <col min="8452" max="8452" width="11.5703125" bestFit="1" customWidth="1"/>
    <col min="8453" max="8453" width="19.140625" customWidth="1"/>
    <col min="8454" max="8454" width="18" customWidth="1"/>
    <col min="8455" max="8455" width="14" customWidth="1"/>
    <col min="8456" max="8456" width="23.42578125" customWidth="1"/>
    <col min="8705" max="8705" width="21.140625" bestFit="1" customWidth="1"/>
    <col min="8706" max="8706" width="12.5703125" bestFit="1" customWidth="1"/>
    <col min="8707" max="8707" width="17.5703125" customWidth="1"/>
    <col min="8708" max="8708" width="11.5703125" bestFit="1" customWidth="1"/>
    <col min="8709" max="8709" width="19.140625" customWidth="1"/>
    <col min="8710" max="8710" width="18" customWidth="1"/>
    <col min="8711" max="8711" width="14" customWidth="1"/>
    <col min="8712" max="8712" width="23.42578125" customWidth="1"/>
    <col min="8961" max="8961" width="21.140625" bestFit="1" customWidth="1"/>
    <col min="8962" max="8962" width="12.5703125" bestFit="1" customWidth="1"/>
    <col min="8963" max="8963" width="17.5703125" customWidth="1"/>
    <col min="8964" max="8964" width="11.5703125" bestFit="1" customWidth="1"/>
    <col min="8965" max="8965" width="19.140625" customWidth="1"/>
    <col min="8966" max="8966" width="18" customWidth="1"/>
    <col min="8967" max="8967" width="14" customWidth="1"/>
    <col min="8968" max="8968" width="23.42578125" customWidth="1"/>
    <col min="9217" max="9217" width="21.140625" bestFit="1" customWidth="1"/>
    <col min="9218" max="9218" width="12.5703125" bestFit="1" customWidth="1"/>
    <col min="9219" max="9219" width="17.5703125" customWidth="1"/>
    <col min="9220" max="9220" width="11.5703125" bestFit="1" customWidth="1"/>
    <col min="9221" max="9221" width="19.140625" customWidth="1"/>
    <col min="9222" max="9222" width="18" customWidth="1"/>
    <col min="9223" max="9223" width="14" customWidth="1"/>
    <col min="9224" max="9224" width="23.42578125" customWidth="1"/>
    <col min="9473" max="9473" width="21.140625" bestFit="1" customWidth="1"/>
    <col min="9474" max="9474" width="12.5703125" bestFit="1" customWidth="1"/>
    <col min="9475" max="9475" width="17.5703125" customWidth="1"/>
    <col min="9476" max="9476" width="11.5703125" bestFit="1" customWidth="1"/>
    <col min="9477" max="9477" width="19.140625" customWidth="1"/>
    <col min="9478" max="9478" width="18" customWidth="1"/>
    <col min="9479" max="9479" width="14" customWidth="1"/>
    <col min="9480" max="9480" width="23.42578125" customWidth="1"/>
    <col min="9729" max="9729" width="21.140625" bestFit="1" customWidth="1"/>
    <col min="9730" max="9730" width="12.5703125" bestFit="1" customWidth="1"/>
    <col min="9731" max="9731" width="17.5703125" customWidth="1"/>
    <col min="9732" max="9732" width="11.5703125" bestFit="1" customWidth="1"/>
    <col min="9733" max="9733" width="19.140625" customWidth="1"/>
    <col min="9734" max="9734" width="18" customWidth="1"/>
    <col min="9735" max="9735" width="14" customWidth="1"/>
    <col min="9736" max="9736" width="23.42578125" customWidth="1"/>
    <col min="9985" max="9985" width="21.140625" bestFit="1" customWidth="1"/>
    <col min="9986" max="9986" width="12.5703125" bestFit="1" customWidth="1"/>
    <col min="9987" max="9987" width="17.5703125" customWidth="1"/>
    <col min="9988" max="9988" width="11.5703125" bestFit="1" customWidth="1"/>
    <col min="9989" max="9989" width="19.140625" customWidth="1"/>
    <col min="9990" max="9990" width="18" customWidth="1"/>
    <col min="9991" max="9991" width="14" customWidth="1"/>
    <col min="9992" max="9992" width="23.42578125" customWidth="1"/>
    <col min="10241" max="10241" width="21.140625" bestFit="1" customWidth="1"/>
    <col min="10242" max="10242" width="12.5703125" bestFit="1" customWidth="1"/>
    <col min="10243" max="10243" width="17.5703125" customWidth="1"/>
    <col min="10244" max="10244" width="11.5703125" bestFit="1" customWidth="1"/>
    <col min="10245" max="10245" width="19.140625" customWidth="1"/>
    <col min="10246" max="10246" width="18" customWidth="1"/>
    <col min="10247" max="10247" width="14" customWidth="1"/>
    <col min="10248" max="10248" width="23.42578125" customWidth="1"/>
    <col min="10497" max="10497" width="21.140625" bestFit="1" customWidth="1"/>
    <col min="10498" max="10498" width="12.5703125" bestFit="1" customWidth="1"/>
    <col min="10499" max="10499" width="17.5703125" customWidth="1"/>
    <col min="10500" max="10500" width="11.5703125" bestFit="1" customWidth="1"/>
    <col min="10501" max="10501" width="19.140625" customWidth="1"/>
    <col min="10502" max="10502" width="18" customWidth="1"/>
    <col min="10503" max="10503" width="14" customWidth="1"/>
    <col min="10504" max="10504" width="23.42578125" customWidth="1"/>
    <col min="10753" max="10753" width="21.140625" bestFit="1" customWidth="1"/>
    <col min="10754" max="10754" width="12.5703125" bestFit="1" customWidth="1"/>
    <col min="10755" max="10755" width="17.5703125" customWidth="1"/>
    <col min="10756" max="10756" width="11.5703125" bestFit="1" customWidth="1"/>
    <col min="10757" max="10757" width="19.140625" customWidth="1"/>
    <col min="10758" max="10758" width="18" customWidth="1"/>
    <col min="10759" max="10759" width="14" customWidth="1"/>
    <col min="10760" max="10760" width="23.42578125" customWidth="1"/>
    <col min="11009" max="11009" width="21.140625" bestFit="1" customWidth="1"/>
    <col min="11010" max="11010" width="12.5703125" bestFit="1" customWidth="1"/>
    <col min="11011" max="11011" width="17.5703125" customWidth="1"/>
    <col min="11012" max="11012" width="11.5703125" bestFit="1" customWidth="1"/>
    <col min="11013" max="11013" width="19.140625" customWidth="1"/>
    <col min="11014" max="11014" width="18" customWidth="1"/>
    <col min="11015" max="11015" width="14" customWidth="1"/>
    <col min="11016" max="11016" width="23.42578125" customWidth="1"/>
    <col min="11265" max="11265" width="21.140625" bestFit="1" customWidth="1"/>
    <col min="11266" max="11266" width="12.5703125" bestFit="1" customWidth="1"/>
    <col min="11267" max="11267" width="17.5703125" customWidth="1"/>
    <col min="11268" max="11268" width="11.5703125" bestFit="1" customWidth="1"/>
    <col min="11269" max="11269" width="19.140625" customWidth="1"/>
    <col min="11270" max="11270" width="18" customWidth="1"/>
    <col min="11271" max="11271" width="14" customWidth="1"/>
    <col min="11272" max="11272" width="23.42578125" customWidth="1"/>
    <col min="11521" max="11521" width="21.140625" bestFit="1" customWidth="1"/>
    <col min="11522" max="11522" width="12.5703125" bestFit="1" customWidth="1"/>
    <col min="11523" max="11523" width="17.5703125" customWidth="1"/>
    <col min="11524" max="11524" width="11.5703125" bestFit="1" customWidth="1"/>
    <col min="11525" max="11525" width="19.140625" customWidth="1"/>
    <col min="11526" max="11526" width="18" customWidth="1"/>
    <col min="11527" max="11527" width="14" customWidth="1"/>
    <col min="11528" max="11528" width="23.42578125" customWidth="1"/>
    <col min="11777" max="11777" width="21.140625" bestFit="1" customWidth="1"/>
    <col min="11778" max="11778" width="12.5703125" bestFit="1" customWidth="1"/>
    <col min="11779" max="11779" width="17.5703125" customWidth="1"/>
    <col min="11780" max="11780" width="11.5703125" bestFit="1" customWidth="1"/>
    <col min="11781" max="11781" width="19.140625" customWidth="1"/>
    <col min="11782" max="11782" width="18" customWidth="1"/>
    <col min="11783" max="11783" width="14" customWidth="1"/>
    <col min="11784" max="11784" width="23.42578125" customWidth="1"/>
    <col min="12033" max="12033" width="21.140625" bestFit="1" customWidth="1"/>
    <col min="12034" max="12034" width="12.5703125" bestFit="1" customWidth="1"/>
    <col min="12035" max="12035" width="17.5703125" customWidth="1"/>
    <col min="12036" max="12036" width="11.5703125" bestFit="1" customWidth="1"/>
    <col min="12037" max="12037" width="19.140625" customWidth="1"/>
    <col min="12038" max="12038" width="18" customWidth="1"/>
    <col min="12039" max="12039" width="14" customWidth="1"/>
    <col min="12040" max="12040" width="23.42578125" customWidth="1"/>
    <col min="12289" max="12289" width="21.140625" bestFit="1" customWidth="1"/>
    <col min="12290" max="12290" width="12.5703125" bestFit="1" customWidth="1"/>
    <col min="12291" max="12291" width="17.5703125" customWidth="1"/>
    <col min="12292" max="12292" width="11.5703125" bestFit="1" customWidth="1"/>
    <col min="12293" max="12293" width="19.140625" customWidth="1"/>
    <col min="12294" max="12294" width="18" customWidth="1"/>
    <col min="12295" max="12295" width="14" customWidth="1"/>
    <col min="12296" max="12296" width="23.42578125" customWidth="1"/>
    <col min="12545" max="12545" width="21.140625" bestFit="1" customWidth="1"/>
    <col min="12546" max="12546" width="12.5703125" bestFit="1" customWidth="1"/>
    <col min="12547" max="12547" width="17.5703125" customWidth="1"/>
    <col min="12548" max="12548" width="11.5703125" bestFit="1" customWidth="1"/>
    <col min="12549" max="12549" width="19.140625" customWidth="1"/>
    <col min="12550" max="12550" width="18" customWidth="1"/>
    <col min="12551" max="12551" width="14" customWidth="1"/>
    <col min="12552" max="12552" width="23.42578125" customWidth="1"/>
    <col min="12801" max="12801" width="21.140625" bestFit="1" customWidth="1"/>
    <col min="12802" max="12802" width="12.5703125" bestFit="1" customWidth="1"/>
    <col min="12803" max="12803" width="17.5703125" customWidth="1"/>
    <col min="12804" max="12804" width="11.5703125" bestFit="1" customWidth="1"/>
    <col min="12805" max="12805" width="19.140625" customWidth="1"/>
    <col min="12806" max="12806" width="18" customWidth="1"/>
    <col min="12807" max="12807" width="14" customWidth="1"/>
    <col min="12808" max="12808" width="23.42578125" customWidth="1"/>
    <col min="13057" max="13057" width="21.140625" bestFit="1" customWidth="1"/>
    <col min="13058" max="13058" width="12.5703125" bestFit="1" customWidth="1"/>
    <col min="13059" max="13059" width="17.5703125" customWidth="1"/>
    <col min="13060" max="13060" width="11.5703125" bestFit="1" customWidth="1"/>
    <col min="13061" max="13061" width="19.140625" customWidth="1"/>
    <col min="13062" max="13062" width="18" customWidth="1"/>
    <col min="13063" max="13063" width="14" customWidth="1"/>
    <col min="13064" max="13064" width="23.42578125" customWidth="1"/>
    <col min="13313" max="13313" width="21.140625" bestFit="1" customWidth="1"/>
    <col min="13314" max="13314" width="12.5703125" bestFit="1" customWidth="1"/>
    <col min="13315" max="13315" width="17.5703125" customWidth="1"/>
    <col min="13316" max="13316" width="11.5703125" bestFit="1" customWidth="1"/>
    <col min="13317" max="13317" width="19.140625" customWidth="1"/>
    <col min="13318" max="13318" width="18" customWidth="1"/>
    <col min="13319" max="13319" width="14" customWidth="1"/>
    <col min="13320" max="13320" width="23.42578125" customWidth="1"/>
    <col min="13569" max="13569" width="21.140625" bestFit="1" customWidth="1"/>
    <col min="13570" max="13570" width="12.5703125" bestFit="1" customWidth="1"/>
    <col min="13571" max="13571" width="17.5703125" customWidth="1"/>
    <col min="13572" max="13572" width="11.5703125" bestFit="1" customWidth="1"/>
    <col min="13573" max="13573" width="19.140625" customWidth="1"/>
    <col min="13574" max="13574" width="18" customWidth="1"/>
    <col min="13575" max="13575" width="14" customWidth="1"/>
    <col min="13576" max="13576" width="23.42578125" customWidth="1"/>
    <col min="13825" max="13825" width="21.140625" bestFit="1" customWidth="1"/>
    <col min="13826" max="13826" width="12.5703125" bestFit="1" customWidth="1"/>
    <col min="13827" max="13827" width="17.5703125" customWidth="1"/>
    <col min="13828" max="13828" width="11.5703125" bestFit="1" customWidth="1"/>
    <col min="13829" max="13829" width="19.140625" customWidth="1"/>
    <col min="13830" max="13830" width="18" customWidth="1"/>
    <col min="13831" max="13831" width="14" customWidth="1"/>
    <col min="13832" max="13832" width="23.42578125" customWidth="1"/>
    <col min="14081" max="14081" width="21.140625" bestFit="1" customWidth="1"/>
    <col min="14082" max="14082" width="12.5703125" bestFit="1" customWidth="1"/>
    <col min="14083" max="14083" width="17.5703125" customWidth="1"/>
    <col min="14084" max="14084" width="11.5703125" bestFit="1" customWidth="1"/>
    <col min="14085" max="14085" width="19.140625" customWidth="1"/>
    <col min="14086" max="14086" width="18" customWidth="1"/>
    <col min="14087" max="14087" width="14" customWidth="1"/>
    <col min="14088" max="14088" width="23.42578125" customWidth="1"/>
    <col min="14337" max="14337" width="21.140625" bestFit="1" customWidth="1"/>
    <col min="14338" max="14338" width="12.5703125" bestFit="1" customWidth="1"/>
    <col min="14339" max="14339" width="17.5703125" customWidth="1"/>
    <col min="14340" max="14340" width="11.5703125" bestFit="1" customWidth="1"/>
    <col min="14341" max="14341" width="19.140625" customWidth="1"/>
    <col min="14342" max="14342" width="18" customWidth="1"/>
    <col min="14343" max="14343" width="14" customWidth="1"/>
    <col min="14344" max="14344" width="23.42578125" customWidth="1"/>
    <col min="14593" max="14593" width="21.140625" bestFit="1" customWidth="1"/>
    <col min="14594" max="14594" width="12.5703125" bestFit="1" customWidth="1"/>
    <col min="14595" max="14595" width="17.5703125" customWidth="1"/>
    <col min="14596" max="14596" width="11.5703125" bestFit="1" customWidth="1"/>
    <col min="14597" max="14597" width="19.140625" customWidth="1"/>
    <col min="14598" max="14598" width="18" customWidth="1"/>
    <col min="14599" max="14599" width="14" customWidth="1"/>
    <col min="14600" max="14600" width="23.42578125" customWidth="1"/>
    <col min="14849" max="14849" width="21.140625" bestFit="1" customWidth="1"/>
    <col min="14850" max="14850" width="12.5703125" bestFit="1" customWidth="1"/>
    <col min="14851" max="14851" width="17.5703125" customWidth="1"/>
    <col min="14852" max="14852" width="11.5703125" bestFit="1" customWidth="1"/>
    <col min="14853" max="14853" width="19.140625" customWidth="1"/>
    <col min="14854" max="14854" width="18" customWidth="1"/>
    <col min="14855" max="14855" width="14" customWidth="1"/>
    <col min="14856" max="14856" width="23.42578125" customWidth="1"/>
    <col min="15105" max="15105" width="21.140625" bestFit="1" customWidth="1"/>
    <col min="15106" max="15106" width="12.5703125" bestFit="1" customWidth="1"/>
    <col min="15107" max="15107" width="17.5703125" customWidth="1"/>
    <col min="15108" max="15108" width="11.5703125" bestFit="1" customWidth="1"/>
    <col min="15109" max="15109" width="19.140625" customWidth="1"/>
    <col min="15110" max="15110" width="18" customWidth="1"/>
    <col min="15111" max="15111" width="14" customWidth="1"/>
    <col min="15112" max="15112" width="23.42578125" customWidth="1"/>
    <col min="15361" max="15361" width="21.140625" bestFit="1" customWidth="1"/>
    <col min="15362" max="15362" width="12.5703125" bestFit="1" customWidth="1"/>
    <col min="15363" max="15363" width="17.5703125" customWidth="1"/>
    <col min="15364" max="15364" width="11.5703125" bestFit="1" customWidth="1"/>
    <col min="15365" max="15365" width="19.140625" customWidth="1"/>
    <col min="15366" max="15366" width="18" customWidth="1"/>
    <col min="15367" max="15367" width="14" customWidth="1"/>
    <col min="15368" max="15368" width="23.42578125" customWidth="1"/>
    <col min="15617" max="15617" width="21.140625" bestFit="1" customWidth="1"/>
    <col min="15618" max="15618" width="12.5703125" bestFit="1" customWidth="1"/>
    <col min="15619" max="15619" width="17.5703125" customWidth="1"/>
    <col min="15620" max="15620" width="11.5703125" bestFit="1" customWidth="1"/>
    <col min="15621" max="15621" width="19.140625" customWidth="1"/>
    <col min="15622" max="15622" width="18" customWidth="1"/>
    <col min="15623" max="15623" width="14" customWidth="1"/>
    <col min="15624" max="15624" width="23.42578125" customWidth="1"/>
    <col min="15873" max="15873" width="21.140625" bestFit="1" customWidth="1"/>
    <col min="15874" max="15874" width="12.5703125" bestFit="1" customWidth="1"/>
    <col min="15875" max="15875" width="17.5703125" customWidth="1"/>
    <col min="15876" max="15876" width="11.5703125" bestFit="1" customWidth="1"/>
    <col min="15877" max="15877" width="19.140625" customWidth="1"/>
    <col min="15878" max="15878" width="18" customWidth="1"/>
    <col min="15879" max="15879" width="14" customWidth="1"/>
    <col min="15880" max="15880" width="23.42578125" customWidth="1"/>
    <col min="16129" max="16129" width="21.140625" bestFit="1" customWidth="1"/>
    <col min="16130" max="16130" width="12.5703125" bestFit="1" customWidth="1"/>
    <col min="16131" max="16131" width="17.5703125" customWidth="1"/>
    <col min="16132" max="16132" width="11.5703125" bestFit="1" customWidth="1"/>
    <col min="16133" max="16133" width="19.140625" customWidth="1"/>
    <col min="16134" max="16134" width="18" customWidth="1"/>
    <col min="16135" max="16135" width="14" customWidth="1"/>
    <col min="16136" max="16136" width="23.42578125" customWidth="1"/>
  </cols>
  <sheetData>
    <row r="2" spans="1:12">
      <c r="A2" t="s">
        <v>400</v>
      </c>
      <c r="B2" s="207">
        <v>2.97</v>
      </c>
    </row>
    <row r="3" spans="1:12">
      <c r="A3" t="s">
        <v>401</v>
      </c>
      <c r="B3" s="208">
        <v>30000</v>
      </c>
    </row>
    <row r="4" spans="1:12">
      <c r="A4" t="s">
        <v>402</v>
      </c>
      <c r="B4">
        <v>4</v>
      </c>
    </row>
    <row r="5" spans="1:12">
      <c r="A5" t="s">
        <v>403</v>
      </c>
      <c r="B5" s="209">
        <v>0.08</v>
      </c>
    </row>
    <row r="6" spans="1:12">
      <c r="A6" t="s">
        <v>404</v>
      </c>
      <c r="B6" s="210">
        <v>0.65</v>
      </c>
    </row>
    <row r="8" spans="1:12">
      <c r="A8" s="717" t="s">
        <v>405</v>
      </c>
      <c r="B8" s="718"/>
      <c r="C8" s="212" t="s">
        <v>406</v>
      </c>
    </row>
    <row r="9" spans="1:12">
      <c r="A9" s="213" t="s">
        <v>32</v>
      </c>
      <c r="B9" s="136">
        <v>0</v>
      </c>
      <c r="C9" s="202">
        <f>B9*I20</f>
        <v>0</v>
      </c>
    </row>
    <row r="10" spans="1:12">
      <c r="A10" s="214" t="s">
        <v>33</v>
      </c>
      <c r="B10" s="136">
        <v>1</v>
      </c>
      <c r="C10" s="202">
        <f>B10*I26</f>
        <v>21177.964285714286</v>
      </c>
    </row>
    <row r="11" spans="1:12">
      <c r="A11" s="214" t="s">
        <v>34</v>
      </c>
      <c r="B11" s="136">
        <v>2</v>
      </c>
      <c r="C11" s="202">
        <f>B11*I32</f>
        <v>53972.548648648648</v>
      </c>
    </row>
    <row r="12" spans="1:12">
      <c r="A12" s="214" t="s">
        <v>72</v>
      </c>
      <c r="B12" s="136">
        <v>0.25</v>
      </c>
      <c r="C12" s="202">
        <f>B12*I34</f>
        <v>9458.75</v>
      </c>
    </row>
    <row r="13" spans="1:12">
      <c r="A13" s="212" t="s">
        <v>366</v>
      </c>
      <c r="B13" s="211">
        <f>SUM(B9:B12)</f>
        <v>3.25</v>
      </c>
      <c r="C13" s="215">
        <f>SUM(C9:C12)</f>
        <v>84609.262934362938</v>
      </c>
    </row>
    <row r="14" spans="1:12">
      <c r="A14" s="719" t="s">
        <v>407</v>
      </c>
      <c r="B14" s="720"/>
      <c r="C14" s="286">
        <f>(C13/5000)*B6</f>
        <v>10.999204181467183</v>
      </c>
      <c r="D14" s="216"/>
      <c r="E14" s="216"/>
      <c r="F14" s="217"/>
    </row>
    <row r="16" spans="1:12" s="218" customFormat="1">
      <c r="A16" s="218" t="s">
        <v>408</v>
      </c>
      <c r="B16" s="218" t="s">
        <v>748</v>
      </c>
      <c r="C16" s="218" t="s">
        <v>747</v>
      </c>
      <c r="D16" s="218" t="s">
        <v>409</v>
      </c>
      <c r="E16" s="218" t="s">
        <v>410</v>
      </c>
      <c r="F16" s="218" t="s">
        <v>411</v>
      </c>
      <c r="G16" s="218" t="s">
        <v>412</v>
      </c>
      <c r="H16" s="218" t="s">
        <v>413</v>
      </c>
      <c r="I16" s="218" t="s">
        <v>414</v>
      </c>
      <c r="L16" s="218" t="s">
        <v>748</v>
      </c>
    </row>
    <row r="17" spans="1:12">
      <c r="A17" t="s">
        <v>415</v>
      </c>
      <c r="B17" s="219">
        <v>26045</v>
      </c>
      <c r="C17" s="219">
        <v>25748</v>
      </c>
      <c r="D17">
        <v>32</v>
      </c>
      <c r="E17" s="219">
        <f>(B17*$B$5)</f>
        <v>2083.6</v>
      </c>
      <c r="F17" s="163">
        <f>B17/$B$4</f>
        <v>6511.25</v>
      </c>
      <c r="G17" s="163">
        <f>($B$3/D17)*$B$2</f>
        <v>2784.375</v>
      </c>
      <c r="H17" s="220">
        <v>4000</v>
      </c>
      <c r="I17" s="163">
        <f>H17+G17+F17+E17</f>
        <v>15379.225</v>
      </c>
      <c r="L17">
        <v>26045</v>
      </c>
    </row>
    <row r="18" spans="1:12">
      <c r="A18" t="s">
        <v>416</v>
      </c>
      <c r="B18" s="219">
        <v>22995</v>
      </c>
      <c r="C18" s="219">
        <v>22725</v>
      </c>
      <c r="D18">
        <v>30</v>
      </c>
      <c r="E18" s="219">
        <f>(B18*$B$5)</f>
        <v>1839.6000000000001</v>
      </c>
      <c r="F18" s="163">
        <f>B18/$B$4</f>
        <v>5748.75</v>
      </c>
      <c r="G18" s="163">
        <f>($B$3/D18)*$B$2</f>
        <v>2970</v>
      </c>
      <c r="H18" s="220">
        <v>4000</v>
      </c>
      <c r="I18" s="163">
        <f>H18+G18+F18+E18</f>
        <v>14558.35</v>
      </c>
      <c r="L18">
        <v>22995</v>
      </c>
    </row>
    <row r="19" spans="1:12">
      <c r="A19" t="s">
        <v>417</v>
      </c>
      <c r="B19" s="219">
        <v>27425</v>
      </c>
      <c r="C19" s="219">
        <v>28500</v>
      </c>
      <c r="D19">
        <v>27</v>
      </c>
      <c r="E19" s="219">
        <f>(B19*$B$5)</f>
        <v>2194</v>
      </c>
      <c r="F19" s="163">
        <f>B19/$B$4</f>
        <v>6856.25</v>
      </c>
      <c r="G19" s="163">
        <f>($B$3/D19)*$B$2</f>
        <v>3300</v>
      </c>
      <c r="H19" s="220">
        <v>4000</v>
      </c>
      <c r="I19" s="163">
        <f>H19+G19+F19+E19</f>
        <v>16350.25</v>
      </c>
      <c r="L19">
        <v>27425</v>
      </c>
    </row>
    <row r="20" spans="1:12" s="218" customFormat="1">
      <c r="A20" s="218" t="s">
        <v>418</v>
      </c>
      <c r="B20" s="221">
        <f>AVERAGE(B17:B19)</f>
        <v>25488.333333333332</v>
      </c>
      <c r="C20" s="221">
        <f>AVERAGE(C17:C19)</f>
        <v>25657.666666666668</v>
      </c>
      <c r="D20" s="222">
        <f>AVERAGE(D17:D19)</f>
        <v>29.666666666666668</v>
      </c>
      <c r="E20" s="221">
        <f>(B20*$B$5)</f>
        <v>2039.0666666666666</v>
      </c>
      <c r="F20" s="223">
        <f>B20/$B$4</f>
        <v>6372.083333333333</v>
      </c>
      <c r="G20" s="223">
        <f>($B$3/D20)*$B$2</f>
        <v>3003.370786516854</v>
      </c>
      <c r="H20" s="224">
        <v>4000</v>
      </c>
      <c r="I20" s="223">
        <f>H20+G20+F20+E20</f>
        <v>15414.520786516852</v>
      </c>
      <c r="L20" s="390">
        <v>25488.333333333332</v>
      </c>
    </row>
    <row r="21" spans="1:12">
      <c r="H21" s="207"/>
    </row>
    <row r="22" spans="1:12" s="218" customFormat="1">
      <c r="A22" s="218" t="s">
        <v>419</v>
      </c>
      <c r="B22" s="218" t="s">
        <v>748</v>
      </c>
      <c r="C22" s="218" t="s">
        <v>747</v>
      </c>
      <c r="D22" s="218" t="s">
        <v>409</v>
      </c>
      <c r="E22" s="218" t="s">
        <v>410</v>
      </c>
      <c r="F22" s="218" t="s">
        <v>411</v>
      </c>
      <c r="G22" s="218" t="s">
        <v>412</v>
      </c>
      <c r="H22" s="218" t="s">
        <v>413</v>
      </c>
      <c r="I22" s="218" t="s">
        <v>414</v>
      </c>
      <c r="L22" s="218" t="s">
        <v>748</v>
      </c>
    </row>
    <row r="23" spans="1:12">
      <c r="A23" t="s">
        <v>420</v>
      </c>
      <c r="B23" s="225">
        <v>37185</v>
      </c>
      <c r="C23" s="225">
        <v>44290</v>
      </c>
      <c r="D23">
        <v>19</v>
      </c>
      <c r="E23" s="225">
        <f>(B23*$B$5)</f>
        <v>2974.8</v>
      </c>
      <c r="F23" s="163">
        <f>B23/$B$4</f>
        <v>9296.25</v>
      </c>
      <c r="G23" s="163">
        <f>($B$3/D23)*$B$2</f>
        <v>4689.4736842105267</v>
      </c>
      <c r="H23" s="207">
        <v>4500</v>
      </c>
      <c r="I23" s="163">
        <f>H23+G23+F23+E23</f>
        <v>21460.523684210526</v>
      </c>
      <c r="L23">
        <v>37185</v>
      </c>
    </row>
    <row r="24" spans="1:12">
      <c r="A24" t="s">
        <v>421</v>
      </c>
      <c r="B24" s="225">
        <v>37840</v>
      </c>
      <c r="C24" s="225">
        <v>41000</v>
      </c>
      <c r="D24">
        <v>19</v>
      </c>
      <c r="E24" s="225">
        <f>(B24*$B$5)</f>
        <v>3027.2000000000003</v>
      </c>
      <c r="F24" s="163">
        <f>B24/$B$4</f>
        <v>9460</v>
      </c>
      <c r="G24" s="163">
        <f>($B$3/D24)*$B$2</f>
        <v>4689.4736842105267</v>
      </c>
      <c r="H24" s="207">
        <v>4500</v>
      </c>
      <c r="I24" s="163">
        <f>H24+G24+F24+E24</f>
        <v>21676.673684210527</v>
      </c>
      <c r="L24">
        <v>37840</v>
      </c>
    </row>
    <row r="25" spans="1:12">
      <c r="A25" t="s">
        <v>422</v>
      </c>
      <c r="B25" s="225">
        <v>33200</v>
      </c>
      <c r="C25" s="225">
        <v>36990</v>
      </c>
      <c r="D25">
        <v>18</v>
      </c>
      <c r="E25" s="225">
        <f>(B25*$B$5)</f>
        <v>2656</v>
      </c>
      <c r="F25" s="163">
        <f>B25/$B$4</f>
        <v>8300</v>
      </c>
      <c r="G25" s="163">
        <f>($B$3/D25)*$B$2</f>
        <v>4950.0000000000009</v>
      </c>
      <c r="H25" s="207">
        <v>4500</v>
      </c>
      <c r="I25" s="163">
        <f>H25+G25+F25+E25</f>
        <v>20406</v>
      </c>
      <c r="L25">
        <v>33200</v>
      </c>
    </row>
    <row r="26" spans="1:12" s="218" customFormat="1">
      <c r="A26" s="218" t="s">
        <v>418</v>
      </c>
      <c r="B26" s="226">
        <f>AVERAGE(B23:B25)</f>
        <v>36075</v>
      </c>
      <c r="C26" s="226">
        <f>AVERAGE(C23:C25)</f>
        <v>40760</v>
      </c>
      <c r="D26" s="218">
        <f>AVERAGE(D23:D25)</f>
        <v>18.666666666666668</v>
      </c>
      <c r="E26" s="226">
        <f>(B26*$B$5)</f>
        <v>2886</v>
      </c>
      <c r="F26" s="223">
        <f>B26/$B$4</f>
        <v>9018.75</v>
      </c>
      <c r="G26" s="223">
        <f>($B$3/D26)*$B$2</f>
        <v>4773.2142857142862</v>
      </c>
      <c r="H26" s="227">
        <v>4500</v>
      </c>
      <c r="I26" s="223">
        <f>H26+G26+F26+E26</f>
        <v>21177.964285714286</v>
      </c>
      <c r="L26" s="218">
        <v>36075</v>
      </c>
    </row>
    <row r="27" spans="1:12">
      <c r="E27" s="225"/>
      <c r="H27" s="207"/>
    </row>
    <row r="28" spans="1:12" s="218" customFormat="1">
      <c r="A28" s="218" t="s">
        <v>423</v>
      </c>
      <c r="B28" s="218" t="s">
        <v>748</v>
      </c>
      <c r="C28" s="218" t="s">
        <v>747</v>
      </c>
      <c r="D28" s="218" t="s">
        <v>409</v>
      </c>
      <c r="E28" s="218" t="s">
        <v>410</v>
      </c>
      <c r="F28" s="218" t="s">
        <v>411</v>
      </c>
      <c r="G28" s="218" t="s">
        <v>412</v>
      </c>
      <c r="H28" s="218" t="s">
        <v>413</v>
      </c>
      <c r="I28" s="218" t="s">
        <v>414</v>
      </c>
      <c r="L28" s="218" t="s">
        <v>748</v>
      </c>
    </row>
    <row r="29" spans="1:12">
      <c r="A29" t="s">
        <v>424</v>
      </c>
      <c r="B29" s="225">
        <v>40700</v>
      </c>
      <c r="C29" s="225">
        <v>50545</v>
      </c>
      <c r="D29">
        <v>11</v>
      </c>
      <c r="E29" s="225">
        <f>(B29*$B$5)</f>
        <v>3256</v>
      </c>
      <c r="F29" s="163">
        <f>B29/$B$4</f>
        <v>10175</v>
      </c>
      <c r="G29" s="163">
        <f>($B$3/D29)*$B$2</f>
        <v>8100.0000000000009</v>
      </c>
      <c r="H29" s="207">
        <v>4500</v>
      </c>
      <c r="I29" s="163">
        <f>H29+G29+F29+E29</f>
        <v>26031</v>
      </c>
      <c r="L29">
        <v>40700</v>
      </c>
    </row>
    <row r="30" spans="1:12">
      <c r="A30" t="s">
        <v>425</v>
      </c>
      <c r="B30" s="225">
        <v>53145</v>
      </c>
      <c r="C30" s="225">
        <v>60275</v>
      </c>
      <c r="D30">
        <v>15</v>
      </c>
      <c r="E30" s="225">
        <f>(B30*$B$5)</f>
        <v>4251.6000000000004</v>
      </c>
      <c r="F30" s="163">
        <f>B30/$B$4</f>
        <v>13286.25</v>
      </c>
      <c r="G30" s="163">
        <f>($B$3/D30)*$B$2</f>
        <v>5940</v>
      </c>
      <c r="H30" s="207">
        <v>4500</v>
      </c>
      <c r="I30" s="163">
        <f>H30+G30+F30+E30</f>
        <v>27977.85</v>
      </c>
      <c r="L30">
        <v>53145</v>
      </c>
    </row>
    <row r="31" spans="1:12">
      <c r="A31" t="s">
        <v>426</v>
      </c>
      <c r="B31" s="225">
        <v>44900</v>
      </c>
      <c r="C31" s="225">
        <v>47350</v>
      </c>
      <c r="D31">
        <v>11</v>
      </c>
      <c r="E31" s="225">
        <f>(B31*$B$5)</f>
        <v>3592</v>
      </c>
      <c r="F31" s="163">
        <f>B31/$B$4</f>
        <v>11225</v>
      </c>
      <c r="G31" s="163">
        <f>($B$3/D31)*$B$2</f>
        <v>8100.0000000000009</v>
      </c>
      <c r="H31" s="207">
        <v>4500</v>
      </c>
      <c r="I31" s="163">
        <f>H31+G31+F31+E31</f>
        <v>27417</v>
      </c>
      <c r="L31">
        <v>44900</v>
      </c>
    </row>
    <row r="32" spans="1:12" s="218" customFormat="1">
      <c r="A32" s="218" t="s">
        <v>418</v>
      </c>
      <c r="B32" s="226">
        <f>AVERAGE(B29:B31)</f>
        <v>46248.333333333336</v>
      </c>
      <c r="C32" s="226">
        <f>AVERAGE(C29:C31)</f>
        <v>52723.333333333336</v>
      </c>
      <c r="D32" s="218">
        <f>AVERAGE(D29:D31)</f>
        <v>12.333333333333334</v>
      </c>
      <c r="E32" s="226">
        <f>(B32*$B$5)</f>
        <v>3699.8666666666668</v>
      </c>
      <c r="F32" s="223">
        <f>B32/$B$4</f>
        <v>11562.083333333334</v>
      </c>
      <c r="G32" s="223">
        <f>($B$3/D32)*$B$2</f>
        <v>7224.3243243243251</v>
      </c>
      <c r="H32" s="227">
        <v>4500</v>
      </c>
      <c r="I32" s="223">
        <f>H32+G32+F32+E32</f>
        <v>26986.274324324324</v>
      </c>
      <c r="L32" s="390">
        <v>46248.333333333336</v>
      </c>
    </row>
    <row r="33" spans="1:13">
      <c r="H33" s="207"/>
      <c r="M33" s="163"/>
    </row>
    <row r="34" spans="1:13" s="218" customFormat="1">
      <c r="A34" s="218" t="s">
        <v>35</v>
      </c>
      <c r="B34" s="267">
        <v>72500</v>
      </c>
      <c r="C34" s="267"/>
      <c r="D34" s="218">
        <v>10</v>
      </c>
      <c r="E34" s="226">
        <f>(B34*$B$5)</f>
        <v>5800</v>
      </c>
      <c r="F34" s="223">
        <f>B34/$B$4</f>
        <v>18125</v>
      </c>
      <c r="G34" s="223">
        <f>($B$3/D34)*$B$2</f>
        <v>8910</v>
      </c>
      <c r="H34" s="227">
        <v>5000</v>
      </c>
      <c r="I34" s="223">
        <f>H34+G34+F34+E34</f>
        <v>37835</v>
      </c>
    </row>
  </sheetData>
  <mergeCells count="2">
    <mergeCell ref="A8:B8"/>
    <mergeCell ref="A14:B14"/>
  </mergeCells>
  <pageMargins left="0.7" right="0.7" top="0.75" bottom="0.75" header="0.3" footer="0.3"/>
  <pageSetup scale="8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MAY 2024 BLS</vt:lpstr>
      <vt:lpstr>Fall CAF 2025</vt:lpstr>
      <vt:lpstr>SUMMARY</vt:lpstr>
      <vt:lpstr>Master Data</vt:lpstr>
      <vt:lpstr>Add Ons</vt:lpstr>
      <vt:lpstr>RDP Add On Model</vt:lpstr>
      <vt:lpstr>Vehicle Add-Ons</vt:lpstr>
      <vt:lpstr>Transportation</vt:lpstr>
      <vt:lpstr>Transportation FY25</vt:lpstr>
      <vt:lpstr>Rate Chart</vt:lpstr>
      <vt:lpstr>Occupancy</vt:lpstr>
      <vt:lpstr>Rate Component</vt:lpstr>
      <vt:lpstr>Model Calculator</vt:lpstr>
      <vt:lpstr>GAS Average</vt:lpstr>
      <vt:lpstr>Transportation!Print_Area</vt:lpstr>
      <vt:lpstr>'Transportation FY25'!Print_Area</vt:lpstr>
      <vt:lpstr>'Fall CAF 2025'!Print_Titles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Dylan Lattimore</dc:creator>
  <cp:lastModifiedBy>Harrison, Deborah (EHS)</cp:lastModifiedBy>
  <cp:lastPrinted>2019-11-12T20:14:01Z</cp:lastPrinted>
  <dcterms:created xsi:type="dcterms:W3CDTF">2019-10-31T18:36:20Z</dcterms:created>
  <dcterms:modified xsi:type="dcterms:W3CDTF">2026-05-27T18:20:33Z</dcterms:modified>
</cp:coreProperties>
</file>