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6624" tabRatio="908"/>
  </bookViews>
  <sheets>
    <sheet name="Outreach and Engagement" sheetId="3" r:id="rId1"/>
    <sheet name=" Safe Haven 7-9, 10-12 beds" sheetId="4" r:id="rId2"/>
    <sheet name=" Housing First - HOP " sheetId="5" r:id="rId3"/>
    <sheet name="Housing First - ATARP " sheetId="6" r:id="rId4"/>
    <sheet name=" Program Staffing Sup" sheetId="7" r:id="rId5"/>
    <sheet name=" Dual DX (donated)" sheetId="8" r:id="rId6"/>
    <sheet name="Dual DX (w-occupancy)" sheetId="9" r:id="rId7"/>
    <sheet name="CAF Fall 2020" sheetId="2" r:id="rId8"/>
    <sheet name="Chart" sheetId="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Key1" hidden="1">#REF!</definedName>
    <definedName name="_Sort" hidden="1">#REF!</definedName>
    <definedName name="Area">[4]Sheet2!$A$2:$A$28</definedName>
    <definedName name="ARENEW">[5]amendA!$B$1:$U$51</definedName>
    <definedName name="asdfasdf">#REF!</definedName>
    <definedName name="ATTABOY">[5]amendA!$B$2:$S$2</definedName>
    <definedName name="AutoInsurance">[6]Universal!$C$19</definedName>
    <definedName name="Average">#REF!</definedName>
    <definedName name="BB6_4">#REF!</definedName>
    <definedName name="CAF_NEW">[7]RawDataCalcs!$L$70:$DB$70</definedName>
    <definedName name="Cap">[8]RawDataCalcs!$L$13:$DB$13</definedName>
    <definedName name="COLA">[6]Universal!$C$12</definedName>
    <definedName name="Data">#REF!</definedName>
    <definedName name="Electricity">[6]Universal!$C$21</definedName>
    <definedName name="FiveDay">[6]Universal!$C$17</definedName>
    <definedName name="Floor">[8]RawDataCalcs!$L$12:$DB$12</definedName>
    <definedName name="Fringe">[6]Universal!$C$8</definedName>
    <definedName name="FROM">[5]amendA!$G$7</definedName>
    <definedName name="Funds">'[9]RawDataCalcs3386&amp;3401'!$L$68:$DB$68</definedName>
    <definedName name="GA">[6]Universal!$C$13</definedName>
    <definedName name="Gas">[6]Universal!$C$22</definedName>
    <definedName name="gk" localSheetId="2">#REF!</definedName>
    <definedName name="gk" localSheetId="4">#REF!</definedName>
    <definedName name="gk" localSheetId="3">#REF!</definedName>
    <definedName name="gk" localSheetId="0">#REF!</definedName>
    <definedName name="gk">#REF!</definedName>
    <definedName name="hhh">#REF!</definedName>
    <definedName name="Holidays">[6]Universal!$C$49:$C$59</definedName>
    <definedName name="JailDAverage">#REF!</definedName>
    <definedName name="JailDCap">[10]ALLRawDataCalcs!$L$80:$DB$80</definedName>
    <definedName name="JailDFloor">[10]ALLRawDataCalcs!$L$79:$DB$79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'[11]List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il">[6]Universal!$C$23</definedName>
    <definedName name="ok">#REF!</definedName>
    <definedName name="Paydays">[6]Universal!$C$33:$N$33</definedName>
    <definedName name="Phone">[6]Universal!$C$25</definedName>
    <definedName name="_xlnm.Print_Area" localSheetId="2">' Housing First - HOP '!$G$1:$O$38</definedName>
    <definedName name="_xlnm.Print_Area" localSheetId="4">' Program Staffing Sup'!$B$1:$L$50</definedName>
    <definedName name="_xlnm.Print_Area" localSheetId="1">' Safe Haven 7-9, 10-12 beds'!$G$1:$O$42</definedName>
    <definedName name="_xlnm.Print_Area" localSheetId="8">Chart!$B$3:$G$32</definedName>
    <definedName name="_xlnm.Print_Area" localSheetId="3">'Housing First - ATARP '!$G$1:$Q$28</definedName>
    <definedName name="_xlnm.Print_Area" localSheetId="0">'Outreach and Engagement'!$A$1:$I$38</definedName>
    <definedName name="_xlnm.Print_Titles" localSheetId="7">'CAF Fall 2020'!$A:$A</definedName>
    <definedName name="Program_File">#REF!</definedName>
    <definedName name="Programs">'[11]List of Programs'!$B$3:$B$19</definedName>
    <definedName name="PropInsurance">[6]Universal!$C$20</definedName>
    <definedName name="ProvFTE">'[12]FTE Data'!$A$3:$AW$56</definedName>
    <definedName name="PTO_Hours">[6]Universal!$F$72:$F$78</definedName>
    <definedName name="PTO_Years">[6]Universal!$B$72:$B$78</definedName>
    <definedName name="PurchasedBy">'[12]FTE Data'!$C$263:$AZ$657</definedName>
    <definedName name="REGION">[4]Sheet2!$B$1:$B$5</definedName>
    <definedName name="Relief">[6]Universal!$C$14</definedName>
    <definedName name="resmay2007">#REF!</definedName>
    <definedName name="SevenDay">[6]Universal!$C$18</definedName>
    <definedName name="Site_list">[12]Lists!$A$2:$A$53</definedName>
    <definedName name="Source">#REF!</definedName>
    <definedName name="Source_2" localSheetId="2">#REF!</definedName>
    <definedName name="Source_2" localSheetId="4">#REF!</definedName>
    <definedName name="Source_2" localSheetId="3">#REF!</definedName>
    <definedName name="Source_2" localSheetId="0">#REF!</definedName>
    <definedName name="Source_2">#REF!</definedName>
    <definedName name="SourcePathAndFileName">#REF!</definedName>
    <definedName name="StaffApp">[6]Universal!$C$11</definedName>
    <definedName name="Tax">[6]Universal!$C$7</definedName>
    <definedName name="TO">[5]amendA!$K$7:$O$7</definedName>
    <definedName name="Total_UFR" localSheetId="2">#REF!</definedName>
    <definedName name="Total_UFR" localSheetId="4">#REF!</definedName>
    <definedName name="Total_UFR" localSheetId="3">#REF!</definedName>
    <definedName name="Total_UFR" localSheetId="0">#REF!</definedName>
    <definedName name="Total_UFR">#REF!</definedName>
    <definedName name="Total_UFRs">#REF!</definedName>
    <definedName name="Total_UFRs_">#REF!</definedName>
    <definedName name="TotalDays">[6]Universal!$C$30:$N$30</definedName>
    <definedName name="UFR">'[13]Complete UFR List'!#REF!</definedName>
    <definedName name="UFRS">'[13]Complete UFR List'!#REF!</definedName>
    <definedName name="VacAccr">[6]Universal!$C$9</definedName>
    <definedName name="VBB">[6]Universal!$C$10</definedName>
    <definedName name="VBBDist">[6]Universal!$B$35:$N$35</definedName>
    <definedName name="VBBLines">[6]Universal!$B$85:$B$97</definedName>
    <definedName name="Wages5">[6]Universal!$C$37:$N$37</definedName>
    <definedName name="Wages7">[6]Universal!$C$38:$N$38</definedName>
    <definedName name="Water">[6]Universal!$C$24</definedName>
    <definedName name="Weekdays">[6]Universal!$C$31:$N$31</definedName>
  </definedNames>
  <calcPr calcId="145621"/>
</workbook>
</file>

<file path=xl/calcChain.xml><?xml version="1.0" encoding="utf-8"?>
<calcChain xmlns="http://schemas.openxmlformats.org/spreadsheetml/2006/main">
  <c r="C39" i="9" l="1"/>
  <c r="C38" i="9"/>
  <c r="C37" i="9"/>
  <c r="C36" i="9"/>
  <c r="C40" i="9" s="1"/>
  <c r="C41" i="9" s="1"/>
  <c r="C32" i="9"/>
  <c r="D28" i="9"/>
  <c r="C28" i="9"/>
  <c r="J27" i="9"/>
  <c r="I27" i="9"/>
  <c r="D27" i="9"/>
  <c r="C27" i="9"/>
  <c r="C26" i="9"/>
  <c r="L23" i="9"/>
  <c r="K23" i="9"/>
  <c r="L22" i="9"/>
  <c r="I22" i="9"/>
  <c r="K21" i="9"/>
  <c r="L21" i="9" s="1"/>
  <c r="I21" i="9"/>
  <c r="C21" i="9"/>
  <c r="C22" i="9" s="1"/>
  <c r="K14" i="9" s="1"/>
  <c r="C20" i="9"/>
  <c r="I18" i="9"/>
  <c r="C18" i="9"/>
  <c r="J17" i="9"/>
  <c r="I17" i="9"/>
  <c r="C16" i="9"/>
  <c r="K15" i="9"/>
  <c r="I15" i="9"/>
  <c r="C15" i="9"/>
  <c r="I14" i="9"/>
  <c r="K13" i="9"/>
  <c r="I13" i="9"/>
  <c r="K12" i="9"/>
  <c r="I12" i="9"/>
  <c r="K11" i="9"/>
  <c r="I11" i="9"/>
  <c r="K10" i="9"/>
  <c r="I10" i="9"/>
  <c r="K9" i="9"/>
  <c r="I9" i="9"/>
  <c r="K8" i="9"/>
  <c r="I8" i="9"/>
  <c r="K7" i="9"/>
  <c r="J7" i="9"/>
  <c r="L7" i="9" s="1"/>
  <c r="I7" i="9"/>
  <c r="L5" i="9"/>
  <c r="C35" i="8"/>
  <c r="C34" i="8"/>
  <c r="C33" i="8"/>
  <c r="C32" i="8"/>
  <c r="C36" i="8" s="1"/>
  <c r="C37" i="8" s="1"/>
  <c r="C22" i="8" s="1"/>
  <c r="L14" i="8" s="1"/>
  <c r="D30" i="8"/>
  <c r="C27" i="8"/>
  <c r="C26" i="8"/>
  <c r="K25" i="8"/>
  <c r="C25" i="8"/>
  <c r="C25" i="9" s="1"/>
  <c r="J18" i="9" s="1"/>
  <c r="A22" i="8"/>
  <c r="L21" i="8"/>
  <c r="M21" i="8" s="1"/>
  <c r="C21" i="8"/>
  <c r="A21" i="8"/>
  <c r="M20" i="8"/>
  <c r="J20" i="8"/>
  <c r="C20" i="8"/>
  <c r="A20" i="8"/>
  <c r="A19" i="8"/>
  <c r="K18" i="8"/>
  <c r="J18" i="8"/>
  <c r="C18" i="8"/>
  <c r="A18" i="8"/>
  <c r="K17" i="8"/>
  <c r="J17" i="8"/>
  <c r="A17" i="8"/>
  <c r="C16" i="8"/>
  <c r="A16" i="8"/>
  <c r="L15" i="8"/>
  <c r="J15" i="8"/>
  <c r="C15" i="8"/>
  <c r="A15" i="8"/>
  <c r="J14" i="8"/>
  <c r="L13" i="8"/>
  <c r="J13" i="8"/>
  <c r="L12" i="8"/>
  <c r="J12" i="8"/>
  <c r="L11" i="8"/>
  <c r="J11" i="8"/>
  <c r="L10" i="8"/>
  <c r="J10" i="8"/>
  <c r="L9" i="8"/>
  <c r="J9" i="8"/>
  <c r="L8" i="8"/>
  <c r="J8" i="8"/>
  <c r="L7" i="8"/>
  <c r="K7" i="8"/>
  <c r="M7" i="8" s="1"/>
  <c r="J7" i="8"/>
  <c r="M5" i="8"/>
  <c r="E17" i="7"/>
  <c r="D17" i="7"/>
  <c r="C17" i="7"/>
  <c r="E18" i="6"/>
  <c r="C17" i="6"/>
  <c r="O15" i="6"/>
  <c r="I15" i="6"/>
  <c r="C15" i="6"/>
  <c r="O12" i="6" s="1"/>
  <c r="C14" i="6"/>
  <c r="O10" i="6"/>
  <c r="I10" i="6"/>
  <c r="P8" i="6"/>
  <c r="M8" i="6"/>
  <c r="J8" i="6"/>
  <c r="G8" i="6"/>
  <c r="P7" i="6"/>
  <c r="M7" i="6"/>
  <c r="J7" i="6"/>
  <c r="G7" i="6"/>
  <c r="AC6" i="6"/>
  <c r="P6" i="6"/>
  <c r="P9" i="6" s="1"/>
  <c r="M6" i="6"/>
  <c r="J6" i="6"/>
  <c r="G6" i="6"/>
  <c r="C6" i="6"/>
  <c r="O7" i="6" s="1"/>
  <c r="Q7" i="6" s="1"/>
  <c r="AC5" i="6"/>
  <c r="M5" i="6"/>
  <c r="J5" i="6"/>
  <c r="J9" i="6" s="1"/>
  <c r="G5" i="6"/>
  <c r="AC4" i="6"/>
  <c r="AC3" i="6"/>
  <c r="AC7" i="6" s="1"/>
  <c r="AC8" i="6" s="1"/>
  <c r="Q3" i="6"/>
  <c r="K3" i="6"/>
  <c r="L22" i="5"/>
  <c r="L21" i="5"/>
  <c r="G21" i="5"/>
  <c r="H18" i="5"/>
  <c r="G18" i="5"/>
  <c r="M17" i="5"/>
  <c r="L17" i="5"/>
  <c r="J17" i="5"/>
  <c r="M16" i="5"/>
  <c r="H16" i="5"/>
  <c r="C16" i="5"/>
  <c r="M15" i="5"/>
  <c r="L15" i="5"/>
  <c r="H15" i="5"/>
  <c r="C15" i="5"/>
  <c r="E10" i="5"/>
  <c r="C10" i="5"/>
  <c r="M12" i="5" s="1"/>
  <c r="N9" i="5"/>
  <c r="L9" i="5"/>
  <c r="I9" i="5"/>
  <c r="G9" i="5"/>
  <c r="N8" i="5"/>
  <c r="N10" i="5" s="1"/>
  <c r="L8" i="5"/>
  <c r="I8" i="5"/>
  <c r="I10" i="5" s="1"/>
  <c r="G8" i="5"/>
  <c r="B8" i="5"/>
  <c r="D29" i="4"/>
  <c r="D28" i="4"/>
  <c r="D27" i="4"/>
  <c r="D26" i="4"/>
  <c r="D30" i="4" s="1"/>
  <c r="D31" i="4" s="1"/>
  <c r="E22" i="4"/>
  <c r="E17" i="5" s="1"/>
  <c r="C21" i="4"/>
  <c r="E20" i="4"/>
  <c r="C20" i="4"/>
  <c r="M19" i="4"/>
  <c r="L19" i="4"/>
  <c r="M18" i="4"/>
  <c r="L18" i="4"/>
  <c r="H18" i="4"/>
  <c r="H17" i="4"/>
  <c r="G17" i="4"/>
  <c r="O16" i="4"/>
  <c r="M16" i="4"/>
  <c r="M15" i="4"/>
  <c r="O15" i="4" s="1"/>
  <c r="H15" i="4"/>
  <c r="J15" i="4" s="1"/>
  <c r="E15" i="4"/>
  <c r="M14" i="4"/>
  <c r="J14" i="4"/>
  <c r="H14" i="4"/>
  <c r="E14" i="4"/>
  <c r="C14" i="4"/>
  <c r="N13" i="4"/>
  <c r="M13" i="4"/>
  <c r="O13" i="4" s="1"/>
  <c r="H13" i="4"/>
  <c r="I12" i="4"/>
  <c r="H12" i="4"/>
  <c r="J12" i="4" s="1"/>
  <c r="M10" i="4"/>
  <c r="H9" i="4"/>
  <c r="N8" i="4"/>
  <c r="L8" i="4"/>
  <c r="N7" i="4"/>
  <c r="L7" i="4"/>
  <c r="I7" i="4"/>
  <c r="G7" i="4"/>
  <c r="C7" i="4"/>
  <c r="M8" i="4" s="1"/>
  <c r="O8" i="4" s="1"/>
  <c r="N6" i="4"/>
  <c r="L6" i="4"/>
  <c r="I6" i="4"/>
  <c r="G6" i="4"/>
  <c r="N5" i="4"/>
  <c r="N9" i="4" s="1"/>
  <c r="M5" i="4"/>
  <c r="O5" i="4" s="1"/>
  <c r="L5" i="4"/>
  <c r="I5" i="4"/>
  <c r="I8" i="4" s="1"/>
  <c r="H5" i="4"/>
  <c r="J5" i="4" s="1"/>
  <c r="G5" i="4"/>
  <c r="E5" i="4"/>
  <c r="E4" i="4"/>
  <c r="E4" i="5" s="1"/>
  <c r="E4" i="6" s="1"/>
  <c r="C4" i="4"/>
  <c r="C4" i="5" s="1"/>
  <c r="O3" i="4"/>
  <c r="O14" i="4" s="1"/>
  <c r="J3" i="4"/>
  <c r="J13" i="4" s="1"/>
  <c r="F17" i="3"/>
  <c r="C17" i="3"/>
  <c r="G17" i="3" s="1"/>
  <c r="F16" i="3"/>
  <c r="C16" i="3"/>
  <c r="C16" i="6" s="1"/>
  <c r="G14" i="3"/>
  <c r="I14" i="3" s="1"/>
  <c r="G13" i="3"/>
  <c r="I13" i="3" s="1"/>
  <c r="G12" i="3"/>
  <c r="I12" i="3" s="1"/>
  <c r="C12" i="3"/>
  <c r="G9" i="3"/>
  <c r="H7" i="3"/>
  <c r="F7" i="3"/>
  <c r="H6" i="3"/>
  <c r="F6" i="3"/>
  <c r="C6" i="3"/>
  <c r="G7" i="3" s="1"/>
  <c r="I7" i="3" s="1"/>
  <c r="H5" i="3"/>
  <c r="I5" i="3" s="1"/>
  <c r="G5" i="3"/>
  <c r="F5" i="3"/>
  <c r="BW26" i="2"/>
  <c r="BV26" i="2"/>
  <c r="BU26" i="2"/>
  <c r="BT26" i="2"/>
  <c r="BS26" i="2"/>
  <c r="BR26" i="2"/>
  <c r="BQ26" i="2"/>
  <c r="BP26" i="2"/>
  <c r="BY26" i="2" s="1"/>
  <c r="BY28" i="2" s="1"/>
  <c r="BW25" i="2"/>
  <c r="BV25" i="2"/>
  <c r="BU25" i="2"/>
  <c r="BT25" i="2"/>
  <c r="BS25" i="2"/>
  <c r="BR25" i="2"/>
  <c r="BQ25" i="2"/>
  <c r="BP25" i="2"/>
  <c r="BY22" i="2"/>
  <c r="BP22" i="2"/>
  <c r="C24" i="1"/>
  <c r="H23" i="1"/>
  <c r="D23" i="1"/>
  <c r="D24" i="1" s="1"/>
  <c r="C22" i="1"/>
  <c r="H21" i="1"/>
  <c r="D21" i="1"/>
  <c r="D22" i="1" s="1"/>
  <c r="C20" i="1"/>
  <c r="H19" i="1"/>
  <c r="D19" i="1"/>
  <c r="D20" i="1" s="1"/>
  <c r="C18" i="1"/>
  <c r="H17" i="1"/>
  <c r="D17" i="1"/>
  <c r="D18" i="1" s="1"/>
  <c r="C16" i="1"/>
  <c r="H15" i="1"/>
  <c r="D15" i="1"/>
  <c r="D16" i="1" s="1"/>
  <c r="C14" i="1"/>
  <c r="H13" i="1"/>
  <c r="D13" i="1"/>
  <c r="D14" i="1" s="1"/>
  <c r="C12" i="1"/>
  <c r="C5" i="4" s="1"/>
  <c r="M6" i="4" s="1"/>
  <c r="O6" i="4" s="1"/>
  <c r="D11" i="1"/>
  <c r="D12" i="1" s="1"/>
  <c r="C10" i="1"/>
  <c r="H9" i="1"/>
  <c r="D9" i="1"/>
  <c r="D10" i="1" s="1"/>
  <c r="C8" i="1"/>
  <c r="C5" i="3" s="1"/>
  <c r="G6" i="3" s="1"/>
  <c r="I6" i="3" s="1"/>
  <c r="H7" i="1"/>
  <c r="D7" i="1"/>
  <c r="D8" i="1" s="1"/>
  <c r="C6" i="1"/>
  <c r="C5" i="5" s="1"/>
  <c r="H5" i="1"/>
  <c r="D5" i="1"/>
  <c r="D6" i="1" s="1"/>
  <c r="I8" i="3" l="1"/>
  <c r="J18" i="5"/>
  <c r="J16" i="5"/>
  <c r="J15" i="5"/>
  <c r="O15" i="5"/>
  <c r="O17" i="5"/>
  <c r="O16" i="5"/>
  <c r="M9" i="5"/>
  <c r="O9" i="5" s="1"/>
  <c r="H9" i="5"/>
  <c r="J9" i="5" s="1"/>
  <c r="I17" i="3"/>
  <c r="C4" i="6"/>
  <c r="M8" i="5"/>
  <c r="O8" i="5" s="1"/>
  <c r="O10" i="5" s="1"/>
  <c r="O12" i="5" s="1"/>
  <c r="H8" i="5"/>
  <c r="J8" i="5" s="1"/>
  <c r="J10" i="5" s="1"/>
  <c r="C33" i="9"/>
  <c r="J29" i="9" s="1"/>
  <c r="K28" i="8"/>
  <c r="C30" i="8" s="1"/>
  <c r="C18" i="6"/>
  <c r="C17" i="5"/>
  <c r="C22" i="4"/>
  <c r="C18" i="3"/>
  <c r="G19" i="3" s="1"/>
  <c r="J7" i="1"/>
  <c r="J15" i="1"/>
  <c r="J19" i="1"/>
  <c r="C9" i="9"/>
  <c r="J11" i="9" s="1"/>
  <c r="L11" i="9" s="1"/>
  <c r="C9" i="8"/>
  <c r="K11" i="8" s="1"/>
  <c r="M11" i="8" s="1"/>
  <c r="J23" i="1"/>
  <c r="J5" i="1"/>
  <c r="J9" i="1"/>
  <c r="J13" i="1"/>
  <c r="C7" i="8"/>
  <c r="C10" i="9"/>
  <c r="J12" i="9" s="1"/>
  <c r="L12" i="9" s="1"/>
  <c r="C10" i="8"/>
  <c r="K12" i="8" s="1"/>
  <c r="M12" i="8" s="1"/>
  <c r="J17" i="1"/>
  <c r="J21" i="1"/>
  <c r="C8" i="9"/>
  <c r="J10" i="9" s="1"/>
  <c r="L10" i="9" s="1"/>
  <c r="C8" i="8"/>
  <c r="K10" i="8" s="1"/>
  <c r="M10" i="8" s="1"/>
  <c r="O14" i="6"/>
  <c r="I14" i="6"/>
  <c r="G16" i="3"/>
  <c r="C6" i="4"/>
  <c r="H12" i="5"/>
  <c r="J12" i="5" s="1"/>
  <c r="H21" i="5"/>
  <c r="M21" i="5"/>
  <c r="M22" i="5"/>
  <c r="H22" i="5"/>
  <c r="J22" i="5" s="1"/>
  <c r="Q12" i="6"/>
  <c r="L16" i="8"/>
  <c r="K16" i="9"/>
  <c r="C13" i="9"/>
  <c r="J15" i="9" s="1"/>
  <c r="L15" i="9" s="1"/>
  <c r="C11" i="9"/>
  <c r="J13" i="9" s="1"/>
  <c r="L13" i="9" s="1"/>
  <c r="C13" i="8"/>
  <c r="K15" i="8" s="1"/>
  <c r="M15" i="8" s="1"/>
  <c r="C11" i="8"/>
  <c r="K13" i="8" s="1"/>
  <c r="M13" i="8" s="1"/>
  <c r="C12" i="9"/>
  <c r="J14" i="9" s="1"/>
  <c r="L14" i="9" s="1"/>
  <c r="C12" i="8"/>
  <c r="K14" i="8" s="1"/>
  <c r="M14" i="8" s="1"/>
  <c r="C5" i="6"/>
  <c r="C6" i="9"/>
  <c r="J8" i="9" s="1"/>
  <c r="L8" i="9" s="1"/>
  <c r="C6" i="8"/>
  <c r="K8" i="8" s="1"/>
  <c r="M8" i="8" s="1"/>
  <c r="H7" i="4"/>
  <c r="J7" i="4" s="1"/>
  <c r="I12" i="6"/>
  <c r="K12" i="6" s="1"/>
  <c r="C7" i="6"/>
  <c r="I7" i="6"/>
  <c r="K7" i="6" s="1"/>
  <c r="M16" i="8" l="1"/>
  <c r="O6" i="6"/>
  <c r="Q6" i="6" s="1"/>
  <c r="I6" i="6"/>
  <c r="K6" i="6" s="1"/>
  <c r="O8" i="6"/>
  <c r="Q8" i="6" s="1"/>
  <c r="I8" i="6"/>
  <c r="K8" i="6" s="1"/>
  <c r="O22" i="5"/>
  <c r="M7" i="4"/>
  <c r="O7" i="4" s="1"/>
  <c r="O9" i="4" s="1"/>
  <c r="H6" i="4"/>
  <c r="J6" i="4" s="1"/>
  <c r="J8" i="4" s="1"/>
  <c r="C7" i="9"/>
  <c r="J9" i="9" s="1"/>
  <c r="L9" i="9" s="1"/>
  <c r="L16" i="9" s="1"/>
  <c r="K9" i="8"/>
  <c r="M9" i="8" s="1"/>
  <c r="M25" i="5"/>
  <c r="H25" i="5"/>
  <c r="J13" i="5"/>
  <c r="J19" i="5" s="1"/>
  <c r="O5" i="6"/>
  <c r="Q5" i="6" s="1"/>
  <c r="I5" i="6"/>
  <c r="K5" i="6" s="1"/>
  <c r="K9" i="6" s="1"/>
  <c r="M21" i="4"/>
  <c r="H21" i="4"/>
  <c r="O17" i="6"/>
  <c r="I17" i="6"/>
  <c r="O13" i="5"/>
  <c r="O19" i="5" s="1"/>
  <c r="I10" i="3"/>
  <c r="I15" i="3" s="1"/>
  <c r="I9" i="3"/>
  <c r="I18" i="3" l="1"/>
  <c r="I16" i="3"/>
  <c r="K15" i="6"/>
  <c r="K10" i="6"/>
  <c r="K11" i="6"/>
  <c r="K13" i="6" s="1"/>
  <c r="L18" i="9"/>
  <c r="L19" i="9" s="1"/>
  <c r="L25" i="9" s="1"/>
  <c r="L17" i="9"/>
  <c r="O19" i="4"/>
  <c r="O10" i="4"/>
  <c r="O11" i="4" s="1"/>
  <c r="O17" i="4" s="1"/>
  <c r="Q9" i="6"/>
  <c r="J18" i="4"/>
  <c r="J9" i="4"/>
  <c r="J10" i="4" s="1"/>
  <c r="J16" i="4" s="1"/>
  <c r="J21" i="5"/>
  <c r="J23" i="5" s="1"/>
  <c r="O21" i="5"/>
  <c r="O23" i="5" s="1"/>
  <c r="M17" i="8"/>
  <c r="M18" i="8"/>
  <c r="J27" i="5" l="1"/>
  <c r="J29" i="5" s="1"/>
  <c r="J25" i="5"/>
  <c r="O20" i="4"/>
  <c r="O18" i="4"/>
  <c r="O27" i="5"/>
  <c r="O29" i="5" s="1"/>
  <c r="O25" i="5"/>
  <c r="J20" i="4"/>
  <c r="J17" i="4"/>
  <c r="Q15" i="6"/>
  <c r="Q10" i="6"/>
  <c r="Q11" i="6" s="1"/>
  <c r="Q13" i="6" s="1"/>
  <c r="L27" i="9"/>
  <c r="L28" i="9"/>
  <c r="L29" i="9" s="1"/>
  <c r="L30" i="9" s="1"/>
  <c r="L32" i="9" s="1"/>
  <c r="L34" i="9" s="1"/>
  <c r="K14" i="6"/>
  <c r="K16" i="6" s="1"/>
  <c r="I19" i="3"/>
  <c r="I20" i="3"/>
  <c r="I21" i="3" s="1"/>
  <c r="M19" i="8"/>
  <c r="M23" i="8" s="1"/>
  <c r="K17" i="6" l="1"/>
  <c r="K18" i="6" s="1"/>
  <c r="K19" i="6" s="1"/>
  <c r="Q16" i="6"/>
  <c r="Q14" i="6"/>
  <c r="J22" i="4"/>
  <c r="J23" i="4" s="1"/>
  <c r="J24" i="4" s="1"/>
  <c r="J21" i="4"/>
  <c r="M26" i="8"/>
  <c r="M25" i="8"/>
  <c r="O22" i="4"/>
  <c r="O23" i="4" s="1"/>
  <c r="O24" i="4" s="1"/>
  <c r="O21" i="4"/>
  <c r="M28" i="8" l="1"/>
  <c r="M29" i="8" s="1"/>
  <c r="M32" i="8" s="1"/>
  <c r="M34" i="8" s="1"/>
  <c r="Q18" i="6"/>
  <c r="Q19" i="6" s="1"/>
  <c r="Q17" i="6"/>
</calcChain>
</file>

<file path=xl/sharedStrings.xml><?xml version="1.0" encoding="utf-8"?>
<sst xmlns="http://schemas.openxmlformats.org/spreadsheetml/2006/main" count="626" uniqueCount="336">
  <si>
    <t>KLS</t>
  </si>
  <si>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</si>
  <si>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</si>
  <si>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</si>
  <si>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</si>
  <si>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</si>
  <si>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</si>
  <si>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</si>
  <si>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</si>
  <si>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</si>
  <si>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</si>
  <si>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</si>
  <si>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</si>
  <si>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</si>
  <si>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</si>
  <si>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</si>
  <si>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</si>
  <si>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</si>
  <si>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</si>
  <si>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</si>
  <si>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</si>
  <si>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</si>
  <si>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</si>
  <si>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</si>
  <si>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</si>
  <si>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</si>
  <si>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</si>
  <si>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</si>
  <si>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</si>
  <si>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</si>
  <si>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</si>
  <si>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</si>
  <si>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</si>
  <si>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</si>
  <si>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</si>
  <si>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</si>
  <si>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</si>
  <si>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</si>
  <si>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</si>
  <si>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</si>
  <si>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</si>
  <si>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</si>
  <si>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</si>
  <si>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</si>
  <si>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</si>
  <si>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</si>
  <si>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</si>
  <si>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</si>
  <si>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</si>
  <si>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</si>
  <si>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</si>
  <si>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and Relief Staff are benchmarked to Direct Care</t>
  </si>
  <si>
    <t xml:space="preserve">Overnight staff (asleep or awake) benchmarked to $14.25 / hr </t>
  </si>
  <si>
    <t>CY20 min. wage = $13.50 and CY20 min. wage = $14.25</t>
  </si>
  <si>
    <t xml:space="preserve">Tax and Fringe  =  </t>
  </si>
  <si>
    <t>Benchmarked to FY21 Commonwealth (office of the Comptroller) T&amp;F rate, less terminal leave, retirement and Paid Family Medical Leave tax</t>
  </si>
  <si>
    <t>PFLMA</t>
  </si>
  <si>
    <t>FY21 Benchmark</t>
  </si>
  <si>
    <t>Admin Allocation</t>
  </si>
  <si>
    <t>C.257 Benchmark</t>
  </si>
  <si>
    <t>Massachusetts Economic Indicators</t>
  </si>
  <si>
    <t>IHS Markit, Fall 2020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</si>
  <si>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</si>
  <si>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</si>
  <si>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</si>
  <si>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</si>
  <si>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</si>
  <si>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</si>
  <si>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</si>
  <si>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</si>
  <si>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</si>
  <si>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</si>
  <si>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</si>
  <si>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</si>
  <si>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</si>
  <si>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</si>
  <si>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</si>
  <si>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</si>
  <si>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</si>
  <si>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</si>
  <si>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</si>
  <si>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</si>
  <si>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</si>
  <si>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</si>
  <si>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</si>
  <si>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</si>
  <si>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</si>
  <si>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</si>
  <si>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</si>
  <si>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</si>
  <si>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</si>
  <si>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</si>
  <si>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</si>
  <si>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</si>
  <si>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</si>
  <si>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</si>
  <si>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</si>
  <si>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</si>
  <si>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</si>
  <si>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</si>
  <si>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</si>
  <si>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</si>
  <si>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</si>
  <si>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</si>
  <si>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</si>
  <si>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</si>
  <si>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</si>
  <si>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</si>
  <si>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</si>
  <si>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</si>
  <si>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</si>
  <si>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</si>
  <si>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</si>
  <si>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</si>
  <si>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</si>
  <si>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</si>
  <si>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</si>
  <si>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</si>
  <si>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</si>
  <si>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</si>
  <si>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</si>
  <si>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</si>
  <si>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</si>
  <si>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</si>
  <si>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</si>
  <si>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</si>
  <si>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</si>
  <si>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</si>
  <si>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</si>
  <si>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</si>
  <si>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</si>
  <si>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</si>
  <si>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</si>
  <si>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</si>
  <si>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</si>
  <si>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</si>
  <si>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</si>
  <si>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</si>
  <si>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</si>
  <si>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</si>
  <si>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</si>
  <si>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</si>
  <si>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</si>
  <si>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</si>
  <si>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</si>
  <si>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</si>
  <si>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</si>
  <si>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</si>
  <si>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</si>
  <si>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</si>
  <si>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</si>
  <si>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</si>
  <si>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</si>
  <si>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</si>
  <si>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</si>
  <si>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</si>
  <si>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</si>
  <si>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</si>
  <si>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</si>
  <si>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</si>
  <si>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</si>
  <si>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</si>
  <si>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FY21Q4</t>
  </si>
  <si>
    <t>Average</t>
  </si>
  <si>
    <t xml:space="preserve">Prospective rate period: </t>
  </si>
  <si>
    <t>FY22 &amp; FY23</t>
  </si>
  <si>
    <t>CAF:</t>
  </si>
  <si>
    <t>Adult Homelessness Support - Outreach and Engagement - Master Data Look-up Table</t>
  </si>
  <si>
    <t>Adult Homelessness Support - Outreach and Engagement</t>
  </si>
  <si>
    <t>Benchmark Salaries</t>
  </si>
  <si>
    <t>Source</t>
  </si>
  <si>
    <t>Service Unit: Per Month Capacity</t>
  </si>
  <si>
    <t>Total Months:</t>
  </si>
  <si>
    <t>Management</t>
  </si>
  <si>
    <t>FY19 UFR Data wtg avg act.codes 3040-3043</t>
  </si>
  <si>
    <t>Salary</t>
  </si>
  <si>
    <t>FTE</t>
  </si>
  <si>
    <t>Expense</t>
  </si>
  <si>
    <t>Direct Care - Bachelors Level</t>
  </si>
  <si>
    <t>BLS Benchmark</t>
  </si>
  <si>
    <t>Clinician, LICSW</t>
  </si>
  <si>
    <t>Benchmark FTEs</t>
  </si>
  <si>
    <t xml:space="preserve">Program Director </t>
  </si>
  <si>
    <t>Purchaser Recommendation</t>
  </si>
  <si>
    <t>Total Staffing Costs:</t>
  </si>
  <si>
    <t>Counselor, Bachelors Level</t>
  </si>
  <si>
    <t>Tax &amp; Fringe:</t>
  </si>
  <si>
    <t>Total Compensation</t>
  </si>
  <si>
    <t>Benchmark Expenses</t>
  </si>
  <si>
    <t>Unit Rate</t>
  </si>
  <si>
    <t>Units</t>
  </si>
  <si>
    <t>Tax &amp; Fringe</t>
  </si>
  <si>
    <t>Benchmarked to FY21 Commonwealth (office of the Comptroller)</t>
  </si>
  <si>
    <t>Psychiatry consultation, per hour</t>
  </si>
  <si>
    <t>Benchmarked to  101 CMR 413: YITs</t>
  </si>
  <si>
    <t>Occupancy - 150 ft2 / FTE</t>
  </si>
  <si>
    <t>Benchmarked to office space in 101 CMR 426: ACCS</t>
  </si>
  <si>
    <t>Program support, per client per month</t>
  </si>
  <si>
    <t>Program support, per client, per day</t>
  </si>
  <si>
    <t>FY19 UFR Data for Activity code 3040</t>
  </si>
  <si>
    <t>Subtotal Program Costs</t>
  </si>
  <si>
    <t>Administrative Allocation</t>
  </si>
  <si>
    <t>101 CMR 420.00: Rates for Adult Long Term Residential Services</t>
  </si>
  <si>
    <t>PFLMA Trust Contribution</t>
  </si>
  <si>
    <t>Effective 7/1/19</t>
  </si>
  <si>
    <t>CAF</t>
  </si>
  <si>
    <t xml:space="preserve"> Prospective FY22 and FY23</t>
  </si>
  <si>
    <t>TOTAL</t>
  </si>
  <si>
    <t>Total with CAF</t>
  </si>
  <si>
    <t xml:space="preserve">RATE </t>
  </si>
  <si>
    <t>Adult Homelessness Support - Safe Haven - Master Data Look-up Table</t>
  </si>
  <si>
    <t>Adult Homelessness Support - Safe Haven - 7-9 Bed Model</t>
  </si>
  <si>
    <t>Adult Homelessness Support - Safe Haven - 9-12 Bed Model</t>
  </si>
  <si>
    <t>Beds:</t>
  </si>
  <si>
    <t>Bed days:</t>
  </si>
  <si>
    <t>FTEs</t>
  </si>
  <si>
    <t>Caseworker</t>
  </si>
  <si>
    <t xml:space="preserve">Direct Care </t>
  </si>
  <si>
    <t>Relief</t>
  </si>
  <si>
    <t>7-9</t>
  </si>
  <si>
    <t>10-12</t>
  </si>
  <si>
    <t>Total Staffing:</t>
  </si>
  <si>
    <t>Tax &amp; fringe:</t>
  </si>
  <si>
    <t>Caseworker/manager non-masters</t>
  </si>
  <si>
    <t>Total Compensation:</t>
  </si>
  <si>
    <t>Unit Cost</t>
  </si>
  <si>
    <t>Medical (NP), per hour</t>
  </si>
  <si>
    <t>Occupancy, per client / day</t>
  </si>
  <si>
    <t>Meals, per client / day*</t>
  </si>
  <si>
    <t>Program support, per bed or slot</t>
  </si>
  <si>
    <t>NP hours per week</t>
  </si>
  <si>
    <t>FY19 UFR Data wtg avg act.code 3041</t>
  </si>
  <si>
    <t>RATE per day / client</t>
  </si>
  <si>
    <t>Utilization</t>
  </si>
  <si>
    <t>Relief Assumptions:</t>
  </si>
  <si>
    <t>Days</t>
  </si>
  <si>
    <t>Hours</t>
  </si>
  <si>
    <t>Vacation</t>
  </si>
  <si>
    <t>Sick/ personal</t>
  </si>
  <si>
    <t>Holidays</t>
  </si>
  <si>
    <t>Training</t>
  </si>
  <si>
    <t>Total Hours per FTE:</t>
  </si>
  <si>
    <t>Relief Factor (% of FTE)</t>
  </si>
  <si>
    <t>Adult Homelessness Support - Housing First HOP - Master Data Look-up Table</t>
  </si>
  <si>
    <t>Housing First Category of Services</t>
  </si>
  <si>
    <t>Housing Options Programs (HOP) - Low intensity</t>
  </si>
  <si>
    <t>HOP Model 1</t>
  </si>
  <si>
    <t>Hop Model 2</t>
  </si>
  <si>
    <t>Direct Care</t>
  </si>
  <si>
    <t>*Housing Search &amp; Subsidy Management</t>
  </si>
  <si>
    <t>Supportive Service</t>
  </si>
  <si>
    <t>Model 1</t>
  </si>
  <si>
    <t>Model 2</t>
  </si>
  <si>
    <t xml:space="preserve">Clients: </t>
  </si>
  <si>
    <t>Total program staff</t>
  </si>
  <si>
    <t>Staff mileage - per FTE</t>
  </si>
  <si>
    <t xml:space="preserve">FY19 UFRs for activity codes 3042 </t>
  </si>
  <si>
    <t>Tax &amp; fringe</t>
  </si>
  <si>
    <t>Personal client allowance</t>
  </si>
  <si>
    <t>Supplies and Materials per FTE</t>
  </si>
  <si>
    <t>Subtotal program costs</t>
  </si>
  <si>
    <t>RATE per client / month</t>
  </si>
  <si>
    <t>Adult Homelessness Supports - ATARP Models - Master Data Look-up Table</t>
  </si>
  <si>
    <t>Adult Homelessness Support - ATARP Model A - 9-12 person model</t>
  </si>
  <si>
    <t>Adult Homelessness Support - ATARP Model B - 6-8 person model</t>
  </si>
  <si>
    <t xml:space="preserve">Average clients: </t>
  </si>
  <si>
    <t>Client-days per year:</t>
  </si>
  <si>
    <t xml:space="preserve">Client-days per year: </t>
  </si>
  <si>
    <t xml:space="preserve">Managment </t>
  </si>
  <si>
    <t>Program support (clerical)</t>
  </si>
  <si>
    <t>Relief staffing</t>
  </si>
  <si>
    <t>Model A</t>
  </si>
  <si>
    <t>Model B</t>
  </si>
  <si>
    <t>Program Director (Lic. SA Counselor)</t>
  </si>
  <si>
    <t>Direct Care II</t>
  </si>
  <si>
    <t>Total compensation</t>
  </si>
  <si>
    <t>M&amp;G</t>
  </si>
  <si>
    <t>RATE per client / enrolled day</t>
  </si>
  <si>
    <t>Direct Care III</t>
  </si>
  <si>
    <t>Clinician w/Independent License</t>
  </si>
  <si>
    <t>Total Tax &amp; Fringe</t>
  </si>
  <si>
    <t>Subtotal Compensation</t>
  </si>
  <si>
    <t>PFMLA</t>
  </si>
  <si>
    <t>TOTAL COMPENSATION</t>
  </si>
  <si>
    <t>Proposed FY22 Monthly Rates (1.0 FTE)</t>
  </si>
  <si>
    <t>Proposed FY22 Monthly Rates (0.50FTE)</t>
  </si>
  <si>
    <t>Proposed FY22 Monthly Rates (0.25FTE)</t>
  </si>
  <si>
    <t>Per Diem</t>
  </si>
  <si>
    <t>MASTER DATA LOOK-UP TABLE  (Updated Model - Donated Space)</t>
  </si>
  <si>
    <t>BENCHMARK SALARIES</t>
  </si>
  <si>
    <t>SOURCE</t>
  </si>
  <si>
    <t>Adult Individual Support  - Dual Diagnosis Shelter Model (Donated Space)</t>
  </si>
  <si>
    <t>Program Director</t>
  </si>
  <si>
    <t>FY19 UFR Wtg Avg</t>
  </si>
  <si>
    <t xml:space="preserve">Beds: </t>
  </si>
  <si>
    <t xml:space="preserve">Bed days: </t>
  </si>
  <si>
    <t>Clinical Program Director</t>
  </si>
  <si>
    <t xml:space="preserve">BLS Salary Benchmark  </t>
  </si>
  <si>
    <t>Assistant Clinical Program Director</t>
  </si>
  <si>
    <t>RN - Masters/APRN</t>
  </si>
  <si>
    <t>RN - Non Masters</t>
  </si>
  <si>
    <t>Social Worker - LICSW</t>
  </si>
  <si>
    <t>Secretary/Clerical</t>
  </si>
  <si>
    <t>Total Staffing</t>
  </si>
  <si>
    <t>Program Support (per client annually)</t>
  </si>
  <si>
    <t>BENCHMARK EXPENSES</t>
  </si>
  <si>
    <t>Admin. Allocation</t>
  </si>
  <si>
    <t>Subcontracts</t>
  </si>
  <si>
    <t>Rebased with prior CAFs</t>
  </si>
  <si>
    <t>Program Support (per client annually)*</t>
  </si>
  <si>
    <t>Contribution to PFMLA Trust</t>
  </si>
  <si>
    <t>Rate Review CAF Fall 2020</t>
  </si>
  <si>
    <t>Benchmark Chapter 257</t>
  </si>
  <si>
    <t>vacation</t>
  </si>
  <si>
    <t xml:space="preserve">Total </t>
  </si>
  <si>
    <t>sick/ personal</t>
  </si>
  <si>
    <t>holidays</t>
  </si>
  <si>
    <t>Per bed day</t>
  </si>
  <si>
    <t>training</t>
  </si>
  <si>
    <t>% of FTE</t>
  </si>
  <si>
    <t>* Program Support includes allowances for Program Supplies and Materials and Program Support</t>
  </si>
  <si>
    <t>MASTER DATA LOOK-UP TABLE  (Updated Model - With Occupancy)</t>
  </si>
  <si>
    <t>Adult Individual Support  - Dual Diagnosis Shelter Model (With Occupancy)</t>
  </si>
  <si>
    <t xml:space="preserve">FY19 UFR Data </t>
  </si>
  <si>
    <t>Capacity:</t>
  </si>
  <si>
    <t>Expenses</t>
  </si>
  <si>
    <t>FY21 C.257 Benchmark</t>
  </si>
  <si>
    <t>Total Reimb Excl M &amp; G</t>
  </si>
  <si>
    <t>Occupancy purchased (per bed day)</t>
  </si>
  <si>
    <t>Rate Review  CAF</t>
  </si>
  <si>
    <t>CAF 1</t>
  </si>
  <si>
    <t>Base period FY17 prospective period 7/1/17-6/30/19</t>
  </si>
  <si>
    <t>Rate Review CAF</t>
  </si>
  <si>
    <t>Base period FY19Q4 prospective period 7/1/19-6/30/21</t>
  </si>
  <si>
    <t>Total</t>
  </si>
  <si>
    <t>Prospective FY22 and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</si>
</sst>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0.000"/>
    <numFmt numFmtId="168" formatCode="0.0"/>
    <numFmt numFmtId="169" formatCode="_(&quot;$&quot;* #,##0_);_(&quot;$&quot;* \(#,##0\);_(&quot;$&quot;* &quot;-&quot;??_);_(@_)"/>
    <numFmt numFmtId="170" formatCode="_(* #,##0_);_(* \(#,##0\);_(* &quot;-&quot;??_);_(@_)"/>
    <numFmt numFmtId="171" formatCode="0.000%"/>
    <numFmt numFmtId="172" formatCode="\$#,##0"/>
    <numFmt numFmtId="173" formatCode="0.0%"/>
    <numFmt numFmtId="174" formatCode="&quot;$&quot;#,##0.00000"/>
    <numFmt numFmtId="175" formatCode="_(* #,##0.00000_);_(* \(#,##0.00000\);_(* &quot;-&quot;??_);_(@_)"/>
    <numFmt numFmtId="176" formatCode="m/d/yy;@"/>
    <numFmt numFmtId="177" formatCode="#,###,##0.00;\(#,###,##0.00\)"/>
    <numFmt numFmtId="178" formatCode="&quot;$&quot;#,###,##0.00;\(&quot;$&quot;#,###,##0.00\)"/>
    <numFmt numFmtId="179" formatCode="#,##0.00%;\(#,##0.00%\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</font>
    <font>
      <u/>
      <sz val="12"/>
      <name val="Calibri"/>
      <family val="2"/>
      <scheme val="minor"/>
    </font>
    <font>
      <sz val="18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</font>
    <font>
      <b/>
      <sz val="1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2"/>
      <color indexed="9"/>
      <name val="Calibri"/>
      <family val="2"/>
    </font>
    <font>
      <sz val="12"/>
      <color theme="1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1"/>
      <name val="Calibri"/>
      <family val="2"/>
    </font>
    <font>
      <i/>
      <sz val="12"/>
      <color indexed="8"/>
      <name val="Calibri"/>
      <family val="2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72"/>
      <name val="MS Sans Serif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8.85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129"/>
    </font>
    <font>
      <b/>
      <sz val="12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EB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6">
    <xf numFmtId="0" fontId="0" fillId="0" borderId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3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3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3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3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40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7" borderId="0" applyNumberFormat="0" applyBorder="0" applyAlignment="0" applyProtection="0"/>
    <xf numFmtId="0" fontId="63" fillId="31" borderId="0" applyNumberFormat="0" applyBorder="0" applyAlignment="0" applyProtection="0"/>
    <xf numFmtId="0" fontId="64" fillId="2" borderId="0" applyNumberFormat="0" applyBorder="0" applyAlignment="0" applyProtection="0"/>
    <xf numFmtId="0" fontId="65" fillId="0" borderId="67" applyNumberFormat="0" applyFont="0" applyProtection="0">
      <alignment wrapText="1"/>
    </xf>
    <xf numFmtId="0" fontId="66" fillId="48" borderId="68" applyNumberFormat="0" applyAlignment="0" applyProtection="0"/>
    <xf numFmtId="0" fontId="66" fillId="48" borderId="68" applyNumberFormat="0" applyAlignment="0" applyProtection="0"/>
    <xf numFmtId="0" fontId="66" fillId="48" borderId="68" applyNumberFormat="0" applyAlignment="0" applyProtection="0"/>
    <xf numFmtId="0" fontId="67" fillId="49" borderId="69" applyNumberFormat="0" applyAlignment="0" applyProtection="0"/>
    <xf numFmtId="41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70" applyNumberFormat="0" applyProtection="0">
      <alignment wrapText="1"/>
    </xf>
    <xf numFmtId="177" fontId="72" fillId="0" borderId="0"/>
    <xf numFmtId="177" fontId="72" fillId="0" borderId="0"/>
    <xf numFmtId="178" fontId="72" fillId="0" borderId="0"/>
    <xf numFmtId="178" fontId="72" fillId="0" borderId="0"/>
    <xf numFmtId="179" fontId="72" fillId="0" borderId="0"/>
    <xf numFmtId="179" fontId="72" fillId="0" borderId="0"/>
    <xf numFmtId="0" fontId="73" fillId="32" borderId="0" applyNumberFormat="0" applyBorder="0" applyAlignment="0" applyProtection="0"/>
    <xf numFmtId="0" fontId="74" fillId="0" borderId="71" applyNumberFormat="0" applyProtection="0">
      <alignment wrapText="1"/>
    </xf>
    <xf numFmtId="0" fontId="75" fillId="0" borderId="72" applyNumberFormat="0" applyFill="0" applyAlignment="0" applyProtection="0"/>
    <xf numFmtId="0" fontId="3" fillId="0" borderId="1" applyNumberFormat="0" applyFill="0" applyAlignment="0" applyProtection="0"/>
    <xf numFmtId="0" fontId="75" fillId="0" borderId="72" applyNumberFormat="0" applyFill="0" applyAlignment="0" applyProtection="0"/>
    <xf numFmtId="0" fontId="76" fillId="0" borderId="73" applyNumberFormat="0" applyFill="0" applyAlignment="0" applyProtection="0"/>
    <xf numFmtId="0" fontId="4" fillId="0" borderId="2" applyNumberFormat="0" applyFill="0" applyAlignment="0" applyProtection="0"/>
    <xf numFmtId="0" fontId="76" fillId="0" borderId="73" applyNumberFormat="0" applyFill="0" applyAlignment="0" applyProtection="0"/>
    <xf numFmtId="0" fontId="77" fillId="0" borderId="74" applyNumberFormat="0" applyFill="0" applyAlignment="0" applyProtection="0"/>
    <xf numFmtId="0" fontId="5" fillId="0" borderId="3" applyNumberFormat="0" applyFill="0" applyAlignment="0" applyProtection="0"/>
    <xf numFmtId="0" fontId="77" fillId="0" borderId="74" applyNumberFormat="0" applyFill="0" applyAlignment="0" applyProtection="0"/>
    <xf numFmtId="0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35" borderId="68" applyNumberFormat="0" applyAlignment="0" applyProtection="0"/>
    <xf numFmtId="0" fontId="80" fillId="35" borderId="68" applyNumberFormat="0" applyAlignment="0" applyProtection="0"/>
    <xf numFmtId="0" fontId="80" fillId="35" borderId="68" applyNumberFormat="0" applyAlignment="0" applyProtection="0"/>
    <xf numFmtId="0" fontId="81" fillId="0" borderId="75" applyNumberFormat="0" applyFill="0" applyAlignment="0" applyProtection="0"/>
    <xf numFmtId="0" fontId="6" fillId="0" borderId="4" applyNumberFormat="0" applyFill="0" applyAlignment="0" applyProtection="0"/>
    <xf numFmtId="0" fontId="81" fillId="0" borderId="75" applyNumberFormat="0" applyFill="0" applyAlignment="0" applyProtection="0"/>
    <xf numFmtId="0" fontId="82" fillId="50" borderId="0" applyNumberFormat="0" applyBorder="0" applyAlignment="0" applyProtection="0"/>
    <xf numFmtId="0" fontId="83" fillId="0" borderId="0"/>
    <xf numFmtId="0" fontId="36" fillId="0" borderId="0"/>
    <xf numFmtId="0" fontId="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36" fillId="0" borderId="0"/>
    <xf numFmtId="0" fontId="85" fillId="0" borderId="0"/>
    <xf numFmtId="0" fontId="85" fillId="0" borderId="0"/>
    <xf numFmtId="0" fontId="36" fillId="0" borderId="0"/>
    <xf numFmtId="0" fontId="68" fillId="0" borderId="0"/>
    <xf numFmtId="0" fontId="13" fillId="0" borderId="0"/>
    <xf numFmtId="0" fontId="13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68" fillId="0" borderId="0"/>
    <xf numFmtId="0" fontId="86" fillId="0" borderId="0"/>
    <xf numFmtId="0" fontId="12" fillId="0" borderId="0"/>
    <xf numFmtId="0" fontId="13" fillId="0" borderId="0" applyAlignment="0"/>
    <xf numFmtId="0" fontId="87" fillId="0" borderId="0" applyAlignment="0"/>
    <xf numFmtId="0" fontId="8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89" fillId="0" borderId="0"/>
    <xf numFmtId="0" fontId="69" fillId="0" borderId="0">
      <alignment vertical="top"/>
    </xf>
    <xf numFmtId="0" fontId="70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3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3" fillId="0" borderId="0"/>
    <xf numFmtId="0" fontId="68" fillId="0" borderId="0"/>
    <xf numFmtId="0" fontId="68" fillId="0" borderId="0"/>
    <xf numFmtId="0" fontId="36" fillId="0" borderId="0"/>
    <xf numFmtId="0" fontId="26" fillId="0" borderId="0"/>
    <xf numFmtId="0" fontId="8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8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3" borderId="5" applyNumberFormat="0" applyFont="0" applyAlignment="0" applyProtection="0"/>
    <xf numFmtId="0" fontId="12" fillId="3" borderId="5" applyNumberFormat="0" applyFont="0" applyAlignment="0" applyProtection="0"/>
    <xf numFmtId="0" fontId="13" fillId="51" borderId="76" applyNumberFormat="0" applyFont="0" applyAlignment="0" applyProtection="0"/>
    <xf numFmtId="0" fontId="12" fillId="3" borderId="5" applyNumberFormat="0" applyFont="0" applyAlignment="0" applyProtection="0"/>
    <xf numFmtId="0" fontId="90" fillId="48" borderId="77" applyNumberFormat="0" applyAlignment="0" applyProtection="0"/>
    <xf numFmtId="0" fontId="90" fillId="48" borderId="77" applyNumberFormat="0" applyAlignment="0" applyProtection="0"/>
    <xf numFmtId="0" fontId="90" fillId="48" borderId="77" applyNumberFormat="0" applyAlignment="0" applyProtection="0"/>
    <xf numFmtId="0" fontId="74" fillId="0" borderId="78" applyNumberFormat="0" applyProtection="0">
      <alignment wrapText="1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2" fillId="0" borderId="0"/>
    <xf numFmtId="0" fontId="72" fillId="0" borderId="0"/>
    <xf numFmtId="0" fontId="85" fillId="0" borderId="0" applyNumberFormat="0" applyBorder="0" applyAlignment="0"/>
    <xf numFmtId="0" fontId="72" fillId="0" borderId="0"/>
    <xf numFmtId="0" fontId="69" fillId="0" borderId="0" applyNumberFormat="0" applyBorder="0" applyAlignment="0"/>
    <xf numFmtId="0" fontId="92" fillId="0" borderId="0"/>
    <xf numFmtId="0" fontId="92" fillId="0" borderId="0"/>
    <xf numFmtId="0" fontId="93" fillId="0" borderId="0"/>
    <xf numFmtId="0" fontId="93" fillId="0" borderId="0"/>
    <xf numFmtId="0" fontId="94" fillId="0" borderId="0"/>
    <xf numFmtId="0" fontId="93" fillId="0" borderId="0"/>
    <xf numFmtId="0" fontId="94" fillId="0" borderId="0"/>
    <xf numFmtId="0" fontId="95" fillId="0" borderId="0" applyNumberFormat="0" applyProtection="0">
      <alignment horizontal="left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7" fillId="0" borderId="79" applyNumberFormat="0" applyFill="0" applyAlignment="0" applyProtection="0"/>
    <xf numFmtId="0" fontId="9" fillId="0" borderId="6" applyNumberFormat="0" applyFill="0" applyAlignment="0" applyProtection="0"/>
    <xf numFmtId="0" fontId="97" fillId="0" borderId="79" applyNumberFormat="0" applyFill="0" applyAlignment="0" applyProtection="0"/>
    <xf numFmtId="0" fontId="9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8" fillId="0" borderId="0" applyNumberFormat="0" applyFill="0" applyBorder="0" applyAlignment="0" applyProtection="0"/>
  </cellStyleXfs>
  <cellXfs count="775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left" vertical="top"/>
    </xf>
    <xf numFmtId="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7" xfId="0" applyFont="1" applyBorder="1"/>
    <xf numFmtId="165" fontId="11" fillId="0" borderId="8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165" fontId="0" fillId="0" borderId="11" xfId="0" applyNumberFormat="1" applyBorder="1"/>
    <xf numFmtId="165" fontId="0" fillId="0" borderId="0" xfId="0" applyNumberFormat="1"/>
    <xf numFmtId="0" fontId="11" fillId="0" borderId="12" xfId="0" applyFont="1" applyBorder="1"/>
    <xf numFmtId="166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166" fontId="0" fillId="0" borderId="15" xfId="0" applyNumberFormat="1" applyBorder="1"/>
    <xf numFmtId="0" fontId="11" fillId="0" borderId="16" xfId="0" applyFont="1" applyBorder="1"/>
    <xf numFmtId="166" fontId="11" fillId="0" borderId="13" xfId="0" applyNumberFormat="1" applyFont="1" applyBorder="1" applyAlignment="1">
      <alignment horizontal="center"/>
    </xf>
    <xf numFmtId="0" fontId="11" fillId="0" borderId="13" xfId="0" applyFont="1" applyBorder="1"/>
    <xf numFmtId="165" fontId="7" fillId="0" borderId="0" xfId="0" applyNumberFormat="1" applyFont="1"/>
    <xf numFmtId="165" fontId="0" fillId="0" borderId="11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11" fillId="0" borderId="12" xfId="0" applyFont="1" applyBorder="1" applyAlignment="1">
      <alignment wrapText="1"/>
    </xf>
    <xf numFmtId="165" fontId="11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165" fontId="0" fillId="0" borderId="19" xfId="0" applyNumberFormat="1" applyBorder="1"/>
    <xf numFmtId="0" fontId="11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3" applyFont="1" applyAlignment="1">
      <alignment horizontal="center"/>
    </xf>
    <xf numFmtId="0" fontId="14" fillId="16" borderId="9" xfId="4" applyFont="1" applyFill="1" applyBorder="1"/>
    <xf numFmtId="0" fontId="15" fillId="16" borderId="10" xfId="4" applyFont="1" applyFill="1" applyBorder="1"/>
    <xf numFmtId="0" fontId="13" fillId="0" borderId="0" xfId="4"/>
    <xf numFmtId="0" fontId="15" fillId="16" borderId="0" xfId="4" applyFont="1" applyFill="1"/>
    <xf numFmtId="0" fontId="16" fillId="16" borderId="18" xfId="4" applyFont="1" applyFill="1" applyBorder="1"/>
    <xf numFmtId="0" fontId="17" fillId="16" borderId="13" xfId="4" applyFont="1" applyFill="1" applyBorder="1"/>
    <xf numFmtId="0" fontId="16" fillId="16" borderId="14" xfId="4" applyFont="1" applyFill="1" applyBorder="1"/>
    <xf numFmtId="0" fontId="16" fillId="0" borderId="0" xfId="4" applyFont="1"/>
    <xf numFmtId="0" fontId="18" fillId="17" borderId="0" xfId="5" applyFont="1" applyFill="1"/>
    <xf numFmtId="0" fontId="18" fillId="18" borderId="0" xfId="5" applyFont="1" applyFill="1"/>
    <xf numFmtId="0" fontId="18" fillId="19" borderId="0" xfId="5" applyFont="1" applyFill="1"/>
    <xf numFmtId="0" fontId="18" fillId="20" borderId="0" xfId="5" applyFont="1" applyFill="1"/>
    <xf numFmtId="0" fontId="18" fillId="21" borderId="0" xfId="5" applyFont="1" applyFill="1"/>
    <xf numFmtId="14" fontId="16" fillId="0" borderId="0" xfId="4" applyNumberFormat="1" applyFont="1"/>
    <xf numFmtId="167" fontId="13" fillId="0" borderId="0" xfId="4" applyNumberFormat="1"/>
    <xf numFmtId="2" fontId="13" fillId="0" borderId="0" xfId="4" applyNumberFormat="1"/>
    <xf numFmtId="168" fontId="13" fillId="0" borderId="0" xfId="4" applyNumberFormat="1"/>
    <xf numFmtId="0" fontId="16" fillId="0" borderId="0" xfId="6" applyFont="1"/>
    <xf numFmtId="0" fontId="13" fillId="0" borderId="0" xfId="6"/>
    <xf numFmtId="0" fontId="19" fillId="0" borderId="0" xfId="6" applyFont="1"/>
    <xf numFmtId="0" fontId="20" fillId="0" borderId="0" xfId="6" applyFont="1"/>
    <xf numFmtId="0" fontId="13" fillId="0" borderId="20" xfId="6" applyBorder="1"/>
    <xf numFmtId="0" fontId="13" fillId="0" borderId="21" xfId="6" applyBorder="1"/>
    <xf numFmtId="0" fontId="13" fillId="0" borderId="22" xfId="6" applyBorder="1"/>
    <xf numFmtId="0" fontId="13" fillId="0" borderId="23" xfId="6" applyBorder="1"/>
    <xf numFmtId="0" fontId="13" fillId="0" borderId="0" xfId="6" applyBorder="1" applyAlignment="1">
      <alignment horizontal="right"/>
    </xf>
    <xf numFmtId="0" fontId="13" fillId="0" borderId="0" xfId="6" applyBorder="1"/>
    <xf numFmtId="0" fontId="13" fillId="0" borderId="24" xfId="6" applyBorder="1"/>
    <xf numFmtId="0" fontId="21" fillId="0" borderId="24" xfId="6" applyFont="1" applyBorder="1" applyAlignment="1">
      <alignment horizontal="center"/>
    </xf>
    <xf numFmtId="167" fontId="13" fillId="0" borderId="0" xfId="4" applyNumberFormat="1" applyAlignment="1">
      <alignment horizontal="left"/>
    </xf>
    <xf numFmtId="167" fontId="13" fillId="0" borderId="24" xfId="6" applyNumberFormat="1" applyBorder="1" applyAlignment="1">
      <alignment horizontal="center"/>
    </xf>
    <xf numFmtId="0" fontId="13" fillId="0" borderId="24" xfId="6" applyBorder="1" applyAlignment="1">
      <alignment horizontal="center"/>
    </xf>
    <xf numFmtId="14" fontId="16" fillId="0" borderId="0" xfId="4" applyNumberFormat="1" applyFont="1" applyAlignment="1">
      <alignment horizontal="right"/>
    </xf>
    <xf numFmtId="0" fontId="16" fillId="22" borderId="0" xfId="6" applyFont="1" applyFill="1" applyBorder="1" applyAlignment="1">
      <alignment horizontal="right"/>
    </xf>
    <xf numFmtId="10" fontId="16" fillId="22" borderId="24" xfId="7" applyNumberFormat="1" applyFont="1" applyFill="1" applyBorder="1" applyAlignment="1">
      <alignment horizontal="center"/>
    </xf>
    <xf numFmtId="0" fontId="13" fillId="0" borderId="25" xfId="6" applyBorder="1"/>
    <xf numFmtId="0" fontId="13" fillId="0" borderId="17" xfId="6" applyBorder="1"/>
    <xf numFmtId="0" fontId="13" fillId="0" borderId="26" xfId="6" applyBorder="1"/>
    <xf numFmtId="0" fontId="22" fillId="0" borderId="0" xfId="0" applyFont="1" applyFill="1"/>
    <xf numFmtId="169" fontId="22" fillId="0" borderId="0" xfId="2" applyNumberFormat="1" applyFont="1" applyFill="1" applyBorder="1" applyAlignment="1">
      <alignment horizontal="right"/>
    </xf>
    <xf numFmtId="0" fontId="22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14" fontId="22" fillId="0" borderId="0" xfId="1" applyNumberFormat="1" applyFont="1" applyFill="1" applyAlignment="1">
      <alignment horizontal="left"/>
    </xf>
    <xf numFmtId="170" fontId="22" fillId="0" borderId="0" xfId="1" applyNumberFormat="1" applyFont="1" applyFill="1"/>
    <xf numFmtId="0" fontId="23" fillId="0" borderId="0" xfId="0" applyFont="1" applyFill="1"/>
    <xf numFmtId="0" fontId="24" fillId="0" borderId="2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169" fontId="25" fillId="0" borderId="30" xfId="2" applyNumberFormat="1" applyFont="1" applyFill="1" applyBorder="1" applyAlignment="1">
      <alignment horizontal="center"/>
    </xf>
    <xf numFmtId="169" fontId="25" fillId="0" borderId="17" xfId="2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/>
    </xf>
    <xf numFmtId="0" fontId="25" fillId="0" borderId="12" xfId="0" applyFont="1" applyFill="1" applyBorder="1"/>
    <xf numFmtId="0" fontId="22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right"/>
    </xf>
    <xf numFmtId="0" fontId="22" fillId="0" borderId="18" xfId="0" applyFont="1" applyFill="1" applyBorder="1" applyAlignment="1">
      <alignment horizontal="center" wrapText="1"/>
    </xf>
    <xf numFmtId="44" fontId="22" fillId="0" borderId="0" xfId="2" applyFont="1" applyFill="1"/>
    <xf numFmtId="0" fontId="22" fillId="0" borderId="12" xfId="0" applyFont="1" applyFill="1" applyBorder="1"/>
    <xf numFmtId="6" fontId="22" fillId="0" borderId="0" xfId="0" applyNumberFormat="1" applyFont="1" applyFill="1" applyBorder="1" applyAlignment="1">
      <alignment horizontal="center"/>
    </xf>
    <xf numFmtId="0" fontId="22" fillId="0" borderId="32" xfId="0" applyFont="1" applyFill="1" applyBorder="1" applyAlignment="1">
      <alignment horizontal="left"/>
    </xf>
    <xf numFmtId="0" fontId="25" fillId="0" borderId="30" xfId="0" applyFont="1" applyFill="1" applyBorder="1"/>
    <xf numFmtId="0" fontId="25" fillId="0" borderId="17" xfId="0" applyFont="1" applyFill="1" applyBorder="1" applyAlignment="1">
      <alignment horizontal="center" wrapText="1"/>
    </xf>
    <xf numFmtId="0" fontId="25" fillId="0" borderId="17" xfId="0" applyFont="1" applyFill="1" applyBorder="1" applyAlignment="1">
      <alignment horizontal="center"/>
    </xf>
    <xf numFmtId="169" fontId="25" fillId="0" borderId="33" xfId="2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vertical="center"/>
    </xf>
    <xf numFmtId="0" fontId="22" fillId="0" borderId="34" xfId="0" applyFont="1" applyFill="1" applyBorder="1" applyAlignment="1">
      <alignment horizontal="left"/>
    </xf>
    <xf numFmtId="8" fontId="22" fillId="0" borderId="0" xfId="0" applyNumberFormat="1" applyFont="1" applyFill="1"/>
    <xf numFmtId="6" fontId="22" fillId="0" borderId="21" xfId="0" applyNumberFormat="1" applyFont="1" applyFill="1" applyBorder="1" applyAlignment="1">
      <alignment horizontal="center" wrapText="1"/>
    </xf>
    <xf numFmtId="2" fontId="22" fillId="0" borderId="21" xfId="0" applyNumberFormat="1" applyFont="1" applyFill="1" applyBorder="1" applyAlignment="1">
      <alignment horizontal="center"/>
    </xf>
    <xf numFmtId="166" fontId="22" fillId="0" borderId="18" xfId="2" applyNumberFormat="1" applyFont="1" applyFill="1" applyBorder="1" applyAlignment="1">
      <alignment horizontal="right"/>
    </xf>
    <xf numFmtId="10" fontId="22" fillId="0" borderId="0" xfId="3" applyNumberFormat="1" applyFont="1" applyFill="1"/>
    <xf numFmtId="0" fontId="22" fillId="0" borderId="30" xfId="0" applyFont="1" applyFill="1" applyBorder="1"/>
    <xf numFmtId="6" fontId="22" fillId="0" borderId="17" xfId="0" applyNumberFormat="1" applyFont="1" applyFill="1" applyBorder="1" applyAlignment="1">
      <alignment horizontal="center"/>
    </xf>
    <xf numFmtId="6" fontId="22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166" fontId="22" fillId="0" borderId="18" xfId="2" applyNumberFormat="1" applyFont="1" applyFill="1" applyBorder="1" applyAlignment="1">
      <alignment horizontal="right" vertical="center"/>
    </xf>
    <xf numFmtId="0" fontId="25" fillId="0" borderId="0" xfId="0" applyFont="1" applyFill="1"/>
    <xf numFmtId="166" fontId="25" fillId="0" borderId="35" xfId="2" applyNumberFormat="1" applyFont="1" applyFill="1" applyBorder="1" applyAlignment="1">
      <alignment horizontal="center"/>
    </xf>
    <xf numFmtId="166" fontId="25" fillId="0" borderId="36" xfId="2" applyNumberFormat="1" applyFont="1" applyFill="1" applyBorder="1" applyAlignment="1">
      <alignment horizontal="center"/>
    </xf>
    <xf numFmtId="0" fontId="22" fillId="0" borderId="37" xfId="0" applyFont="1" applyFill="1" applyBorder="1" applyAlignment="1">
      <alignment horizontal="left"/>
    </xf>
    <xf numFmtId="6" fontId="22" fillId="0" borderId="0" xfId="0" applyNumberFormat="1" applyFont="1" applyFill="1" applyBorder="1" applyAlignment="1">
      <alignment horizontal="center" wrapText="1"/>
    </xf>
    <xf numFmtId="2" fontId="22" fillId="0" borderId="0" xfId="0" applyNumberFormat="1" applyFont="1" applyFill="1" applyBorder="1" applyAlignment="1">
      <alignment horizontal="center"/>
    </xf>
    <xf numFmtId="6" fontId="25" fillId="0" borderId="36" xfId="0" applyNumberFormat="1" applyFont="1" applyFill="1" applyBorder="1" applyAlignment="1">
      <alignment horizontal="center" wrapText="1"/>
    </xf>
    <xf numFmtId="2" fontId="25" fillId="0" borderId="36" xfId="0" applyNumberFormat="1" applyFont="1" applyFill="1" applyBorder="1" applyAlignment="1">
      <alignment horizontal="center"/>
    </xf>
    <xf numFmtId="166" fontId="25" fillId="0" borderId="38" xfId="2" applyNumberFormat="1" applyFont="1" applyFill="1" applyBorder="1" applyAlignment="1">
      <alignment horizontal="right"/>
    </xf>
    <xf numFmtId="10" fontId="22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2" fontId="22" fillId="0" borderId="17" xfId="0" applyNumberFormat="1" applyFont="1" applyFill="1" applyBorder="1" applyAlignment="1">
      <alignment horizontal="center"/>
    </xf>
    <xf numFmtId="0" fontId="22" fillId="0" borderId="31" xfId="0" applyFont="1" applyFill="1" applyBorder="1" applyAlignment="1">
      <alignment horizontal="left"/>
    </xf>
    <xf numFmtId="0" fontId="25" fillId="0" borderId="35" xfId="0" applyFont="1" applyFill="1" applyBorder="1"/>
    <xf numFmtId="0" fontId="25" fillId="0" borderId="36" xfId="0" applyFont="1" applyFill="1" applyBorder="1" applyAlignment="1">
      <alignment horizontal="center" wrapText="1"/>
    </xf>
    <xf numFmtId="0" fontId="25" fillId="0" borderId="36" xfId="0" applyFont="1" applyFill="1" applyBorder="1" applyAlignment="1">
      <alignment horizontal="center"/>
    </xf>
    <xf numFmtId="166" fontId="22" fillId="0" borderId="12" xfId="2" applyNumberFormat="1" applyFont="1" applyFill="1" applyBorder="1" applyAlignment="1">
      <alignment horizontal="left"/>
    </xf>
    <xf numFmtId="10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 wrapText="1"/>
    </xf>
    <xf numFmtId="8" fontId="22" fillId="0" borderId="0" xfId="0" applyNumberFormat="1" applyFont="1" applyFill="1" applyBorder="1" applyAlignment="1">
      <alignment horizontal="center"/>
    </xf>
    <xf numFmtId="0" fontId="25" fillId="0" borderId="35" xfId="0" applyFont="1" applyFill="1" applyBorder="1" applyAlignment="1">
      <alignment horizontal="left"/>
    </xf>
    <xf numFmtId="10" fontId="25" fillId="0" borderId="36" xfId="0" applyNumberFormat="1" applyFont="1" applyFill="1" applyBorder="1" applyAlignment="1">
      <alignment horizontal="center" wrapText="1"/>
    </xf>
    <xf numFmtId="166" fontId="22" fillId="0" borderId="30" xfId="2" applyNumberFormat="1" applyFont="1" applyFill="1" applyBorder="1" applyAlignment="1">
      <alignment horizontal="left"/>
    </xf>
    <xf numFmtId="10" fontId="22" fillId="0" borderId="26" xfId="0" applyNumberFormat="1" applyFont="1" applyFill="1" applyBorder="1" applyAlignment="1">
      <alignment horizontal="center"/>
    </xf>
    <xf numFmtId="166" fontId="22" fillId="0" borderId="12" xfId="0" applyNumberFormat="1" applyFont="1" applyFill="1" applyBorder="1"/>
    <xf numFmtId="0" fontId="26" fillId="0" borderId="12" xfId="0" applyFont="1" applyFill="1" applyBorder="1" applyAlignment="1">
      <alignment horizontal="left"/>
    </xf>
    <xf numFmtId="10" fontId="22" fillId="0" borderId="22" xfId="0" applyNumberFormat="1" applyFont="1" applyFill="1" applyBorder="1" applyAlignment="1">
      <alignment horizontal="center"/>
    </xf>
    <xf numFmtId="0" fontId="26" fillId="0" borderId="18" xfId="0" applyFont="1" applyFill="1" applyBorder="1" applyAlignment="1">
      <alignment horizontal="left"/>
    </xf>
    <xf numFmtId="10" fontId="22" fillId="0" borderId="17" xfId="0" applyNumberFormat="1" applyFont="1" applyFill="1" applyBorder="1" applyAlignment="1">
      <alignment horizontal="center"/>
    </xf>
    <xf numFmtId="0" fontId="22" fillId="0" borderId="0" xfId="0" applyFont="1" applyFill="1" applyBorder="1"/>
    <xf numFmtId="169" fontId="22" fillId="0" borderId="16" xfId="2" applyNumberFormat="1" applyFont="1" applyFill="1" applyBorder="1" applyAlignment="1"/>
    <xf numFmtId="10" fontId="22" fillId="0" borderId="13" xfId="0" applyNumberFormat="1" applyFont="1" applyFill="1" applyBorder="1" applyAlignment="1">
      <alignment horizontal="center"/>
    </xf>
    <xf numFmtId="0" fontId="22" fillId="0" borderId="39" xfId="0" applyFont="1" applyFill="1" applyBorder="1" applyAlignment="1">
      <alignment horizontal="left"/>
    </xf>
    <xf numFmtId="169" fontId="22" fillId="0" borderId="0" xfId="2" applyNumberFormat="1" applyFont="1" applyFill="1" applyAlignment="1">
      <alignment horizontal="right"/>
    </xf>
    <xf numFmtId="0" fontId="22" fillId="0" borderId="0" xfId="0" applyFont="1" applyFill="1" applyAlignment="1">
      <alignment horizontal="center"/>
    </xf>
    <xf numFmtId="10" fontId="22" fillId="0" borderId="36" xfId="0" applyNumberFormat="1" applyFont="1" applyFill="1" applyBorder="1" applyAlignment="1">
      <alignment horizontal="center" wrapText="1"/>
    </xf>
    <xf numFmtId="0" fontId="25" fillId="0" borderId="16" xfId="0" applyFont="1" applyFill="1" applyBorder="1"/>
    <xf numFmtId="0" fontId="22" fillId="0" borderId="13" xfId="0" applyFont="1" applyFill="1" applyBorder="1" applyAlignment="1">
      <alignment horizontal="center" wrapText="1"/>
    </xf>
    <xf numFmtId="0" fontId="22" fillId="0" borderId="13" xfId="0" applyFont="1" applyFill="1" applyBorder="1" applyAlignment="1">
      <alignment horizontal="center"/>
    </xf>
    <xf numFmtId="166" fontId="25" fillId="22" borderId="14" xfId="2" applyNumberFormat="1" applyFont="1" applyFill="1" applyBorder="1" applyAlignment="1">
      <alignment horizontal="right"/>
    </xf>
    <xf numFmtId="8" fontId="22" fillId="0" borderId="0" xfId="0" applyNumberFormat="1" applyFont="1" applyFill="1" applyAlignment="1">
      <alignment horizontal="center"/>
    </xf>
    <xf numFmtId="43" fontId="22" fillId="0" borderId="0" xfId="1" applyFont="1" applyFill="1"/>
    <xf numFmtId="0" fontId="22" fillId="0" borderId="27" xfId="0" applyFont="1" applyFill="1" applyBorder="1"/>
    <xf numFmtId="166" fontId="25" fillId="0" borderId="29" xfId="2" applyNumberFormat="1" applyFont="1" applyFill="1" applyBorder="1" applyAlignment="1">
      <alignment horizontal="right"/>
    </xf>
    <xf numFmtId="10" fontId="22" fillId="0" borderId="0" xfId="0" applyNumberFormat="1" applyFont="1" applyFill="1"/>
    <xf numFmtId="0" fontId="27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8" fillId="0" borderId="0" xfId="0" applyFont="1" applyFill="1" applyBorder="1"/>
    <xf numFmtId="171" fontId="22" fillId="0" borderId="0" xfId="3" applyNumberFormat="1" applyFont="1" applyFill="1"/>
    <xf numFmtId="0" fontId="29" fillId="0" borderId="0" xfId="0" applyFont="1" applyFill="1" applyBorder="1"/>
    <xf numFmtId="0" fontId="30" fillId="0" borderId="0" xfId="0" applyFont="1" applyFill="1" applyBorder="1" applyAlignment="1"/>
    <xf numFmtId="0" fontId="29" fillId="0" borderId="0" xfId="0" applyFont="1" applyFill="1"/>
    <xf numFmtId="14" fontId="22" fillId="0" borderId="0" xfId="0" applyNumberFormat="1" applyFont="1" applyFill="1" applyBorder="1" applyAlignment="1">
      <alignment horizontal="left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169" fontId="25" fillId="0" borderId="40" xfId="2" applyNumberFormat="1" applyFont="1" applyFill="1" applyBorder="1" applyAlignment="1">
      <alignment horizontal="center"/>
    </xf>
    <xf numFmtId="169" fontId="25" fillId="0" borderId="8" xfId="2" applyNumberFormat="1" applyFont="1" applyFill="1" applyBorder="1" applyAlignment="1">
      <alignment horizontal="center"/>
    </xf>
    <xf numFmtId="169" fontId="25" fillId="0" borderId="41" xfId="2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18" xfId="0" applyFont="1" applyFill="1" applyBorder="1" applyAlignment="1">
      <alignment horizontal="center"/>
    </xf>
    <xf numFmtId="6" fontId="22" fillId="0" borderId="21" xfId="0" applyNumberFormat="1" applyFont="1" applyFill="1" applyBorder="1" applyAlignment="1">
      <alignment horizontal="center"/>
    </xf>
    <xf numFmtId="40" fontId="25" fillId="0" borderId="17" xfId="0" applyNumberFormat="1" applyFont="1" applyFill="1" applyBorder="1" applyAlignment="1">
      <alignment horizontal="center" vertical="center" wrapText="1"/>
    </xf>
    <xf numFmtId="38" fontId="25" fillId="0" borderId="33" xfId="0" applyNumberFormat="1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left"/>
    </xf>
    <xf numFmtId="6" fontId="22" fillId="0" borderId="0" xfId="0" applyNumberFormat="1" applyFont="1" applyFill="1" applyBorder="1" applyAlignment="1">
      <alignment horizontal="center"/>
    </xf>
    <xf numFmtId="40" fontId="22" fillId="0" borderId="12" xfId="0" applyNumberFormat="1" applyFont="1" applyFill="1" applyBorder="1" applyAlignment="1">
      <alignment horizontal="left"/>
    </xf>
    <xf numFmtId="166" fontId="22" fillId="0" borderId="0" xfId="0" applyNumberFormat="1" applyFont="1" applyFill="1" applyBorder="1"/>
    <xf numFmtId="40" fontId="22" fillId="0" borderId="0" xfId="0" applyNumberFormat="1" applyFont="1" applyFill="1" applyBorder="1" applyAlignment="1">
      <alignment horizontal="center" vertical="center"/>
    </xf>
    <xf numFmtId="166" fontId="22" fillId="0" borderId="18" xfId="0" applyNumberFormat="1" applyFont="1" applyFill="1" applyBorder="1" applyAlignment="1">
      <alignment horizontal="right" vertical="center"/>
    </xf>
    <xf numFmtId="40" fontId="22" fillId="0" borderId="0" xfId="0" applyNumberFormat="1" applyFont="1" applyFill="1" applyBorder="1" applyAlignment="1">
      <alignment horizontal="center"/>
    </xf>
    <xf numFmtId="0" fontId="22" fillId="0" borderId="30" xfId="0" applyFont="1" applyFill="1" applyBorder="1" applyAlignment="1">
      <alignment horizontal="left"/>
    </xf>
    <xf numFmtId="6" fontId="22" fillId="0" borderId="17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 vertical="center"/>
    </xf>
    <xf numFmtId="166" fontId="25" fillId="0" borderId="35" xfId="2" applyNumberFormat="1" applyFont="1" applyFill="1" applyBorder="1" applyAlignment="1">
      <alignment horizontal="center"/>
    </xf>
    <xf numFmtId="49" fontId="25" fillId="0" borderId="36" xfId="2" applyNumberFormat="1" applyFont="1" applyFill="1" applyBorder="1" applyAlignment="1">
      <alignment horizontal="center"/>
    </xf>
    <xf numFmtId="49" fontId="25" fillId="0" borderId="17" xfId="2" applyNumberFormat="1" applyFont="1" applyFill="1" applyBorder="1" applyAlignment="1">
      <alignment horizontal="center"/>
    </xf>
    <xf numFmtId="166" fontId="25" fillId="0" borderId="36" xfId="0" applyNumberFormat="1" applyFont="1" applyFill="1" applyBorder="1" applyAlignment="1">
      <alignment horizontal="right" vertical="center"/>
    </xf>
    <xf numFmtId="40" fontId="25" fillId="0" borderId="36" xfId="0" applyNumberFormat="1" applyFont="1" applyFill="1" applyBorder="1" applyAlignment="1">
      <alignment horizontal="center" vertical="center"/>
    </xf>
    <xf numFmtId="166" fontId="25" fillId="0" borderId="38" xfId="0" applyNumberFormat="1" applyFont="1" applyFill="1" applyBorder="1" applyAlignment="1">
      <alignment horizontal="right"/>
    </xf>
    <xf numFmtId="0" fontId="28" fillId="0" borderId="0" xfId="0" applyFont="1" applyFill="1" applyAlignment="1">
      <alignment vertical="center"/>
    </xf>
    <xf numFmtId="10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6" fontId="22" fillId="0" borderId="18" xfId="0" applyNumberFormat="1" applyFont="1" applyFill="1" applyBorder="1" applyAlignment="1">
      <alignment horizontal="right"/>
    </xf>
    <xf numFmtId="0" fontId="25" fillId="0" borderId="3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5" fillId="0" borderId="18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 vertical="center"/>
    </xf>
    <xf numFmtId="166" fontId="25" fillId="0" borderId="42" xfId="2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vertical="center"/>
    </xf>
    <xf numFmtId="8" fontId="22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vertical="center"/>
    </xf>
    <xf numFmtId="10" fontId="22" fillId="0" borderId="21" xfId="0" applyNumberFormat="1" applyFont="1" applyFill="1" applyBorder="1" applyAlignment="1">
      <alignment horizontal="center"/>
    </xf>
    <xf numFmtId="10" fontId="22" fillId="0" borderId="22" xfId="0" applyNumberFormat="1" applyFont="1" applyFill="1" applyBorder="1" applyAlignment="1">
      <alignment horizontal="center"/>
    </xf>
    <xf numFmtId="7" fontId="22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65" fontId="22" fillId="0" borderId="24" xfId="0" applyNumberFormat="1" applyFont="1" applyFill="1" applyBorder="1" applyAlignment="1">
      <alignment horizontal="center" vertical="center"/>
    </xf>
    <xf numFmtId="6" fontId="22" fillId="0" borderId="0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31" fillId="0" borderId="0" xfId="0" applyFont="1" applyFill="1" applyAlignment="1">
      <alignment vertical="center"/>
    </xf>
    <xf numFmtId="166" fontId="22" fillId="0" borderId="0" xfId="0" applyNumberFormat="1" applyFont="1" applyFill="1" applyBorder="1" applyAlignment="1">
      <alignment horizontal="center" vertical="center"/>
    </xf>
    <xf numFmtId="166" fontId="22" fillId="0" borderId="24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9" fillId="0" borderId="12" xfId="0" applyFont="1" applyFill="1" applyBorder="1"/>
    <xf numFmtId="166" fontId="22" fillId="0" borderId="30" xfId="2" applyNumberFormat="1" applyFont="1" applyFill="1" applyBorder="1" applyAlignment="1">
      <alignment horizontal="left" vertical="center"/>
    </xf>
    <xf numFmtId="10" fontId="22" fillId="0" borderId="17" xfId="0" applyNumberFormat="1" applyFont="1" applyFill="1" applyBorder="1" applyAlignment="1">
      <alignment horizontal="center" vertical="center"/>
    </xf>
    <xf numFmtId="10" fontId="22" fillId="0" borderId="26" xfId="0" applyNumberFormat="1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left" vertical="center"/>
    </xf>
    <xf numFmtId="0" fontId="32" fillId="0" borderId="0" xfId="0" applyFont="1" applyFill="1"/>
    <xf numFmtId="0" fontId="25" fillId="0" borderId="43" xfId="0" applyFont="1" applyFill="1" applyBorder="1"/>
    <xf numFmtId="0" fontId="25" fillId="0" borderId="44" xfId="0" applyFont="1" applyFill="1" applyBorder="1" applyAlignment="1">
      <alignment horizontal="center" vertical="center"/>
    </xf>
    <xf numFmtId="166" fontId="25" fillId="0" borderId="45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vertical="center"/>
    </xf>
    <xf numFmtId="10" fontId="26" fillId="0" borderId="21" xfId="3" applyNumberFormat="1" applyFont="1" applyFill="1" applyBorder="1" applyAlignment="1">
      <alignment horizontal="center" vertical="center"/>
    </xf>
    <xf numFmtId="10" fontId="26" fillId="0" borderId="46" xfId="3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/>
    </xf>
    <xf numFmtId="0" fontId="29" fillId="0" borderId="0" xfId="0" applyFont="1" applyFill="1" applyAlignment="1">
      <alignment vertical="center"/>
    </xf>
    <xf numFmtId="10" fontId="22" fillId="0" borderId="13" xfId="0" applyNumberFormat="1" applyFont="1" applyFill="1" applyBorder="1" applyAlignment="1">
      <alignment horizontal="center"/>
    </xf>
    <xf numFmtId="10" fontId="22" fillId="0" borderId="47" xfId="0" applyNumberFormat="1" applyFont="1" applyFill="1" applyBorder="1" applyAlignment="1">
      <alignment horizontal="center"/>
    </xf>
    <xf numFmtId="165" fontId="25" fillId="0" borderId="18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9" fontId="22" fillId="0" borderId="28" xfId="0" applyNumberFormat="1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/>
    </xf>
    <xf numFmtId="165" fontId="25" fillId="22" borderId="29" xfId="0" applyNumberFormat="1" applyFont="1" applyFill="1" applyBorder="1" applyAlignment="1">
      <alignment horizontal="right"/>
    </xf>
    <xf numFmtId="0" fontId="34" fillId="0" borderId="20" xfId="0" applyFont="1" applyFill="1" applyBorder="1"/>
    <xf numFmtId="0" fontId="34" fillId="0" borderId="21" xfId="0" applyFont="1" applyFill="1" applyBorder="1" applyAlignment="1">
      <alignment horizontal="center"/>
    </xf>
    <xf numFmtId="172" fontId="34" fillId="0" borderId="22" xfId="0" applyNumberFormat="1" applyFont="1" applyFill="1" applyBorder="1" applyAlignment="1">
      <alignment horizontal="center"/>
    </xf>
    <xf numFmtId="0" fontId="31" fillId="0" borderId="23" xfId="0" applyFont="1" applyFill="1" applyBorder="1"/>
    <xf numFmtId="0" fontId="31" fillId="0" borderId="0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/>
    </xf>
    <xf numFmtId="0" fontId="35" fillId="0" borderId="0" xfId="0" applyFont="1" applyFill="1"/>
    <xf numFmtId="10" fontId="29" fillId="0" borderId="0" xfId="3" applyNumberFormat="1" applyFont="1" applyFill="1"/>
    <xf numFmtId="0" fontId="31" fillId="0" borderId="23" xfId="0" applyFont="1" applyFill="1" applyBorder="1" applyAlignment="1">
      <alignment horizontal="left"/>
    </xf>
    <xf numFmtId="0" fontId="31" fillId="0" borderId="48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right"/>
    </xf>
    <xf numFmtId="0" fontId="31" fillId="0" borderId="25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left"/>
    </xf>
    <xf numFmtId="173" fontId="37" fillId="0" borderId="26" xfId="8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165" fontId="25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38" fontId="25" fillId="0" borderId="0" xfId="0" applyNumberFormat="1" applyFont="1" applyFill="1" applyBorder="1" applyAlignment="1">
      <alignment horizontal="center" wrapText="1"/>
    </xf>
    <xf numFmtId="165" fontId="29" fillId="0" borderId="0" xfId="0" applyNumberFormat="1" applyFont="1" applyFill="1"/>
    <xf numFmtId="166" fontId="23" fillId="0" borderId="0" xfId="0" applyNumberFormat="1" applyFont="1" applyFill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left"/>
    </xf>
    <xf numFmtId="0" fontId="39" fillId="0" borderId="27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37" fillId="0" borderId="0" xfId="0" applyFont="1" applyFill="1" applyBorder="1" applyAlignment="1"/>
    <xf numFmtId="0" fontId="39" fillId="0" borderId="7" xfId="0" applyFont="1" applyFill="1" applyBorder="1" applyAlignment="1">
      <alignment horizontal="center"/>
    </xf>
    <xf numFmtId="0" fontId="39" fillId="0" borderId="9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169" fontId="37" fillId="0" borderId="40" xfId="2" applyNumberFormat="1" applyFont="1" applyFill="1" applyBorder="1" applyAlignment="1">
      <alignment horizontal="center"/>
    </xf>
    <xf numFmtId="169" fontId="37" fillId="0" borderId="8" xfId="2" applyNumberFormat="1" applyFont="1" applyFill="1" applyBorder="1" applyAlignment="1">
      <alignment horizontal="center"/>
    </xf>
    <xf numFmtId="169" fontId="37" fillId="0" borderId="41" xfId="2" applyNumberFormat="1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39" fillId="0" borderId="16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9" fillId="0" borderId="14" xfId="0" applyFont="1" applyFill="1" applyBorder="1" applyAlignment="1">
      <alignment horizontal="center"/>
    </xf>
    <xf numFmtId="0" fontId="40" fillId="0" borderId="12" xfId="0" applyFont="1" applyFill="1" applyBorder="1"/>
    <xf numFmtId="6" fontId="40" fillId="0" borderId="21" xfId="0" applyNumberFormat="1" applyFont="1" applyFill="1" applyBorder="1" applyAlignment="1">
      <alignment horizontal="center"/>
    </xf>
    <xf numFmtId="6" fontId="40" fillId="0" borderId="22" xfId="0" applyNumberFormat="1" applyFont="1" applyFill="1" applyBorder="1" applyAlignment="1">
      <alignment horizontal="center"/>
    </xf>
    <xf numFmtId="0" fontId="40" fillId="0" borderId="32" xfId="0" applyFont="1" applyFill="1" applyBorder="1" applyAlignment="1">
      <alignment horizontal="left"/>
    </xf>
    <xf numFmtId="0" fontId="11" fillId="0" borderId="0" xfId="0" applyFont="1" applyFill="1" applyBorder="1"/>
    <xf numFmtId="0" fontId="41" fillId="0" borderId="0" xfId="0" applyFont="1" applyFill="1" applyAlignment="1">
      <alignment horizontal="left"/>
    </xf>
    <xf numFmtId="0" fontId="4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/>
    <xf numFmtId="0" fontId="40" fillId="0" borderId="30" xfId="0" applyFont="1" applyFill="1" applyBorder="1"/>
    <xf numFmtId="6" fontId="40" fillId="0" borderId="17" xfId="0" applyNumberFormat="1" applyFont="1" applyFill="1" applyBorder="1" applyAlignment="1">
      <alignment horizontal="center"/>
    </xf>
    <xf numFmtId="6" fontId="40" fillId="0" borderId="26" xfId="0" applyNumberFormat="1" applyFont="1" applyFill="1" applyBorder="1" applyAlignment="1">
      <alignment horizontal="center"/>
    </xf>
    <xf numFmtId="0" fontId="41" fillId="0" borderId="17" xfId="0" applyFont="1" applyFill="1" applyBorder="1" applyAlignment="1">
      <alignment horizontal="left"/>
    </xf>
    <xf numFmtId="0" fontId="41" fillId="0" borderId="0" xfId="0" applyFont="1" applyFill="1" applyAlignment="1">
      <alignment horizontal="center"/>
    </xf>
    <xf numFmtId="0" fontId="41" fillId="0" borderId="0" xfId="0" applyFont="1" applyFill="1"/>
    <xf numFmtId="166" fontId="42" fillId="0" borderId="35" xfId="2" applyNumberFormat="1" applyFont="1" applyFill="1" applyBorder="1" applyAlignment="1">
      <alignment horizontal="center"/>
    </xf>
    <xf numFmtId="166" fontId="42" fillId="0" borderId="36" xfId="2" applyNumberFormat="1" applyFont="1" applyFill="1" applyBorder="1" applyAlignment="1"/>
    <xf numFmtId="166" fontId="42" fillId="0" borderId="42" xfId="2" applyNumberFormat="1" applyFont="1" applyFill="1" applyBorder="1" applyAlignment="1"/>
    <xf numFmtId="0" fontId="40" fillId="0" borderId="37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right"/>
    </xf>
    <xf numFmtId="0" fontId="11" fillId="0" borderId="22" xfId="0" applyFont="1" applyFill="1" applyBorder="1" applyAlignment="1">
      <alignment horizontal="center"/>
    </xf>
    <xf numFmtId="2" fontId="11" fillId="0" borderId="21" xfId="0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41" fillId="0" borderId="24" xfId="0" applyFont="1" applyFill="1" applyBorder="1" applyAlignment="1">
      <alignment horizontal="center"/>
    </xf>
    <xf numFmtId="0" fontId="40" fillId="0" borderId="12" xfId="0" applyFont="1" applyFill="1" applyBorder="1" applyAlignment="1">
      <alignment vertical="center"/>
    </xf>
    <xf numFmtId="2" fontId="40" fillId="0" borderId="0" xfId="0" applyNumberFormat="1" applyFont="1" applyFill="1" applyBorder="1" applyAlignment="1">
      <alignment horizontal="center" vertical="center"/>
    </xf>
    <xf numFmtId="166" fontId="11" fillId="0" borderId="21" xfId="0" applyNumberFormat="1" applyFont="1" applyFill="1" applyBorder="1" applyAlignment="1">
      <alignment horizontal="right"/>
    </xf>
    <xf numFmtId="166" fontId="11" fillId="0" borderId="22" xfId="0" applyNumberFormat="1" applyFont="1" applyFill="1" applyBorder="1" applyAlignment="1">
      <alignment horizontal="right"/>
    </xf>
    <xf numFmtId="174" fontId="11" fillId="0" borderId="0" xfId="0" applyNumberFormat="1" applyFont="1" applyFill="1"/>
    <xf numFmtId="6" fontId="11" fillId="0" borderId="21" xfId="0" applyNumberFormat="1" applyFont="1" applyFill="1" applyBorder="1" applyAlignment="1">
      <alignment horizontal="center"/>
    </xf>
    <xf numFmtId="166" fontId="42" fillId="0" borderId="35" xfId="2" applyNumberFormat="1" applyFont="1" applyFill="1" applyBorder="1" applyAlignment="1">
      <alignment horizontal="center"/>
    </xf>
    <xf numFmtId="166" fontId="42" fillId="0" borderId="36" xfId="2" applyNumberFormat="1" applyFont="1" applyFill="1" applyBorder="1" applyAlignment="1">
      <alignment horizontal="center"/>
    </xf>
    <xf numFmtId="166" fontId="42" fillId="0" borderId="42" xfId="2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166" fontId="11" fillId="0" borderId="24" xfId="0" applyNumberFormat="1" applyFont="1" applyFill="1" applyBorder="1" applyAlignment="1">
      <alignment horizontal="right"/>
    </xf>
    <xf numFmtId="6" fontId="11" fillId="0" borderId="0" xfId="0" applyNumberFormat="1" applyFont="1" applyFill="1" applyBorder="1" applyAlignment="1">
      <alignment horizontal="center"/>
    </xf>
    <xf numFmtId="166" fontId="40" fillId="0" borderId="12" xfId="2" applyNumberFormat="1" applyFont="1" applyFill="1" applyBorder="1" applyAlignment="1">
      <alignment horizontal="left"/>
    </xf>
    <xf numFmtId="10" fontId="40" fillId="0" borderId="21" xfId="0" applyNumberFormat="1" applyFont="1" applyFill="1" applyBorder="1" applyAlignment="1">
      <alignment horizontal="center"/>
    </xf>
    <xf numFmtId="10" fontId="40" fillId="0" borderId="22" xfId="0" applyNumberFormat="1" applyFont="1" applyFill="1" applyBorder="1" applyAlignment="1">
      <alignment horizontal="center"/>
    </xf>
    <xf numFmtId="0" fontId="41" fillId="0" borderId="49" xfId="0" applyFont="1" applyFill="1" applyBorder="1" applyAlignment="1">
      <alignment horizontal="left"/>
    </xf>
    <xf numFmtId="166" fontId="41" fillId="0" borderId="36" xfId="0" applyNumberFormat="1" applyFont="1" applyFill="1" applyBorder="1" applyAlignment="1">
      <alignment horizontal="right"/>
    </xf>
    <xf numFmtId="2" fontId="41" fillId="0" borderId="36" xfId="0" applyNumberFormat="1" applyFont="1" applyFill="1" applyBorder="1" applyAlignment="1">
      <alignment horizontal="center"/>
    </xf>
    <xf numFmtId="166" fontId="41" fillId="0" borderId="42" xfId="0" applyNumberFormat="1" applyFont="1" applyFill="1" applyBorder="1" applyAlignment="1">
      <alignment horizontal="right"/>
    </xf>
    <xf numFmtId="0" fontId="41" fillId="0" borderId="36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165" fontId="40" fillId="0" borderId="0" xfId="0" applyNumberFormat="1" applyFont="1" applyFill="1" applyBorder="1" applyAlignment="1">
      <alignment horizontal="center" wrapText="1"/>
    </xf>
    <xf numFmtId="165" fontId="40" fillId="0" borderId="24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left"/>
    </xf>
    <xf numFmtId="165" fontId="31" fillId="0" borderId="0" xfId="0" applyNumberFormat="1" applyFont="1" applyFill="1" applyBorder="1" applyAlignment="1">
      <alignment horizontal="center" wrapText="1"/>
    </xf>
    <xf numFmtId="165" fontId="31" fillId="0" borderId="24" xfId="0" applyNumberFormat="1" applyFont="1" applyFill="1" applyBorder="1" applyAlignment="1">
      <alignment horizontal="center" wrapText="1"/>
    </xf>
    <xf numFmtId="0" fontId="31" fillId="0" borderId="32" xfId="0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center"/>
    </xf>
    <xf numFmtId="166" fontId="31" fillId="0" borderId="0" xfId="0" applyNumberFormat="1" applyFont="1" applyFill="1" applyBorder="1" applyAlignment="1">
      <alignment horizontal="center" wrapText="1"/>
    </xf>
    <xf numFmtId="166" fontId="31" fillId="0" borderId="24" xfId="0" applyNumberFormat="1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left"/>
    </xf>
    <xf numFmtId="0" fontId="41" fillId="0" borderId="0" xfId="0" applyFont="1" applyFill="1" applyBorder="1"/>
    <xf numFmtId="0" fontId="41" fillId="0" borderId="23" xfId="0" applyFont="1" applyFill="1" applyBorder="1" applyAlignment="1">
      <alignment horizontal="left"/>
    </xf>
    <xf numFmtId="0" fontId="41" fillId="0" borderId="21" xfId="0" applyFont="1" applyFill="1" applyBorder="1" applyAlignment="1">
      <alignment horizontal="center"/>
    </xf>
    <xf numFmtId="166" fontId="41" fillId="0" borderId="24" xfId="0" applyNumberFormat="1" applyFont="1" applyFill="1" applyBorder="1" applyAlignment="1">
      <alignment horizontal="right"/>
    </xf>
    <xf numFmtId="166" fontId="31" fillId="0" borderId="30" xfId="2" applyNumberFormat="1" applyFont="1" applyFill="1" applyBorder="1" applyAlignment="1">
      <alignment horizontal="left"/>
    </xf>
    <xf numFmtId="10" fontId="31" fillId="0" borderId="17" xfId="0" applyNumberFormat="1" applyFont="1" applyFill="1" applyBorder="1" applyAlignment="1">
      <alignment horizontal="center"/>
    </xf>
    <xf numFmtId="10" fontId="31" fillId="0" borderId="26" xfId="0" applyNumberFormat="1" applyFont="1" applyFill="1" applyBorder="1" applyAlignment="1">
      <alignment horizontal="center"/>
    </xf>
    <xf numFmtId="0" fontId="31" fillId="0" borderId="31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66" fontId="31" fillId="0" borderId="12" xfId="2" applyNumberFormat="1" applyFont="1" applyFill="1" applyBorder="1" applyAlignment="1">
      <alignment horizontal="left"/>
    </xf>
    <xf numFmtId="10" fontId="31" fillId="0" borderId="36" xfId="0" applyNumberFormat="1" applyFont="1" applyFill="1" applyBorder="1" applyAlignment="1">
      <alignment horizontal="center"/>
    </xf>
    <xf numFmtId="10" fontId="31" fillId="0" borderId="42" xfId="0" applyNumberFormat="1" applyFont="1" applyFill="1" applyBorder="1" applyAlignment="1">
      <alignment horizontal="center"/>
    </xf>
    <xf numFmtId="169" fontId="40" fillId="0" borderId="16" xfId="2" applyNumberFormat="1" applyFont="1" applyFill="1" applyBorder="1" applyAlignment="1"/>
    <xf numFmtId="10" fontId="40" fillId="0" borderId="50" xfId="0" applyNumberFormat="1" applyFont="1" applyFill="1" applyBorder="1" applyAlignment="1">
      <alignment horizontal="center"/>
    </xf>
    <xf numFmtId="10" fontId="40" fillId="0" borderId="51" xfId="0" applyNumberFormat="1" applyFont="1" applyFill="1" applyBorder="1" applyAlignment="1">
      <alignment horizontal="center"/>
    </xf>
    <xf numFmtId="0" fontId="43" fillId="0" borderId="39" xfId="0" applyFont="1" applyFill="1" applyBorder="1" applyAlignment="1">
      <alignment horizontal="left"/>
    </xf>
    <xf numFmtId="165" fontId="44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37" fillId="0" borderId="49" xfId="0" applyFont="1" applyFill="1" applyBorder="1" applyAlignment="1">
      <alignment horizontal="left"/>
    </xf>
    <xf numFmtId="0" fontId="37" fillId="0" borderId="36" xfId="0" applyFont="1" applyFill="1" applyBorder="1" applyAlignment="1">
      <alignment horizontal="center"/>
    </xf>
    <xf numFmtId="166" fontId="37" fillId="0" borderId="42" xfId="0" applyNumberFormat="1" applyFont="1" applyFill="1" applyBorder="1" applyAlignment="1">
      <alignment horizontal="right"/>
    </xf>
    <xf numFmtId="174" fontId="31" fillId="0" borderId="0" xfId="0" applyNumberFormat="1" applyFont="1" applyFill="1"/>
    <xf numFmtId="166" fontId="31" fillId="0" borderId="24" xfId="0" applyNumberFormat="1" applyFont="1" applyFill="1" applyBorder="1" applyAlignment="1">
      <alignment horizontal="right"/>
    </xf>
    <xf numFmtId="166" fontId="31" fillId="0" borderId="23" xfId="0" applyNumberFormat="1" applyFont="1" applyFill="1" applyBorder="1" applyAlignment="1">
      <alignment horizontal="left"/>
    </xf>
    <xf numFmtId="10" fontId="31" fillId="0" borderId="0" xfId="0" applyNumberFormat="1" applyFont="1" applyFill="1" applyBorder="1" applyAlignment="1">
      <alignment horizontal="center"/>
    </xf>
    <xf numFmtId="0" fontId="37" fillId="0" borderId="52" xfId="0" applyFont="1" applyFill="1" applyBorder="1" applyAlignment="1">
      <alignment horizontal="left"/>
    </xf>
    <xf numFmtId="0" fontId="37" fillId="0" borderId="44" xfId="0" applyFont="1" applyFill="1" applyBorder="1" applyAlignment="1">
      <alignment horizontal="center"/>
    </xf>
    <xf numFmtId="166" fontId="37" fillId="0" borderId="48" xfId="0" applyNumberFormat="1" applyFont="1" applyFill="1" applyBorder="1" applyAlignment="1">
      <alignment horizontal="right"/>
    </xf>
    <xf numFmtId="0" fontId="41" fillId="0" borderId="0" xfId="0" applyFont="1"/>
    <xf numFmtId="10" fontId="41" fillId="0" borderId="36" xfId="0" applyNumberFormat="1" applyFont="1" applyFill="1" applyBorder="1" applyAlignment="1">
      <alignment horizontal="center"/>
    </xf>
    <xf numFmtId="0" fontId="45" fillId="0" borderId="0" xfId="0" applyFont="1" applyFill="1" applyBorder="1"/>
    <xf numFmtId="0" fontId="46" fillId="0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right"/>
    </xf>
    <xf numFmtId="0" fontId="48" fillId="0" borderId="0" xfId="0" applyFont="1" applyFill="1" applyBorder="1"/>
    <xf numFmtId="0" fontId="11" fillId="0" borderId="2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center"/>
    </xf>
    <xf numFmtId="165" fontId="41" fillId="22" borderId="26" xfId="0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75" fontId="11" fillId="0" borderId="0" xfId="1" applyNumberFormat="1" applyFont="1" applyFill="1" applyAlignment="1">
      <alignment horizontal="center"/>
    </xf>
    <xf numFmtId="10" fontId="11" fillId="0" borderId="0" xfId="3" applyNumberFormat="1" applyFont="1" applyAlignment="1">
      <alignment horizontal="center"/>
    </xf>
    <xf numFmtId="10" fontId="11" fillId="0" borderId="0" xfId="3" applyNumberFormat="1" applyFont="1"/>
    <xf numFmtId="0" fontId="11" fillId="0" borderId="0" xfId="0" applyFont="1" applyBorder="1" applyAlignment="1">
      <alignment horizontal="center"/>
    </xf>
    <xf numFmtId="17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3" fillId="0" borderId="0" xfId="0" applyFont="1"/>
    <xf numFmtId="0" fontId="50" fillId="0" borderId="0" xfId="0" applyFont="1" applyBorder="1"/>
    <xf numFmtId="14" fontId="50" fillId="0" borderId="0" xfId="0" applyNumberFormat="1" applyFont="1" applyBorder="1" applyAlignment="1">
      <alignment horizontal="left"/>
    </xf>
    <xf numFmtId="0" fontId="50" fillId="0" borderId="0" xfId="0" applyFont="1" applyBorder="1" applyAlignment="1">
      <alignment horizontal="center"/>
    </xf>
    <xf numFmtId="0" fontId="43" fillId="0" borderId="0" xfId="0" applyFont="1" applyBorder="1"/>
    <xf numFmtId="0" fontId="51" fillId="23" borderId="7" xfId="0" applyFont="1" applyFill="1" applyBorder="1" applyAlignment="1">
      <alignment horizontal="center"/>
    </xf>
    <xf numFmtId="0" fontId="51" fillId="23" borderId="9" xfId="0" applyFont="1" applyFill="1" applyBorder="1" applyAlignment="1">
      <alignment horizontal="center"/>
    </xf>
    <xf numFmtId="0" fontId="51" fillId="23" borderId="29" xfId="0" applyFont="1" applyFill="1" applyBorder="1" applyAlignment="1">
      <alignment horizontal="center"/>
    </xf>
    <xf numFmtId="0" fontId="50" fillId="0" borderId="0" xfId="0" applyFont="1"/>
    <xf numFmtId="0" fontId="24" fillId="0" borderId="27" xfId="0" applyFont="1" applyFill="1" applyBorder="1" applyAlignment="1">
      <alignment horizontal="center" wrapText="1"/>
    </xf>
    <xf numFmtId="0" fontId="24" fillId="0" borderId="28" xfId="0" applyFont="1" applyFill="1" applyBorder="1" applyAlignment="1">
      <alignment horizontal="center" wrapText="1"/>
    </xf>
    <xf numFmtId="0" fontId="24" fillId="0" borderId="29" xfId="0" applyFont="1" applyFill="1" applyBorder="1" applyAlignment="1">
      <alignment horizontal="center" wrapText="1"/>
    </xf>
    <xf numFmtId="0" fontId="50" fillId="0" borderId="49" xfId="0" applyFont="1" applyFill="1" applyBorder="1"/>
    <xf numFmtId="0" fontId="50" fillId="0" borderId="36" xfId="0" applyFont="1" applyFill="1" applyBorder="1" applyAlignment="1">
      <alignment horizontal="center"/>
    </xf>
    <xf numFmtId="0" fontId="50" fillId="0" borderId="42" xfId="0" applyFont="1" applyFill="1" applyBorder="1" applyAlignment="1">
      <alignment horizontal="center"/>
    </xf>
    <xf numFmtId="0" fontId="47" fillId="0" borderId="35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47" fillId="0" borderId="53" xfId="0" applyFont="1" applyBorder="1" applyAlignment="1">
      <alignment horizontal="center"/>
    </xf>
    <xf numFmtId="0" fontId="50" fillId="0" borderId="49" xfId="0" applyFont="1" applyFill="1" applyBorder="1" applyAlignment="1">
      <alignment horizontal="right"/>
    </xf>
    <xf numFmtId="0" fontId="50" fillId="0" borderId="36" xfId="0" applyFont="1" applyFill="1" applyBorder="1" applyAlignment="1">
      <alignment horizontal="right"/>
    </xf>
    <xf numFmtId="0" fontId="50" fillId="0" borderId="30" xfId="0" applyFont="1" applyFill="1" applyBorder="1" applyAlignment="1">
      <alignment horizontal="right"/>
    </xf>
    <xf numFmtId="0" fontId="50" fillId="0" borderId="17" xfId="0" applyFont="1" applyFill="1" applyBorder="1" applyAlignment="1">
      <alignment horizontal="center"/>
    </xf>
    <xf numFmtId="0" fontId="50" fillId="0" borderId="17" xfId="0" applyFont="1" applyFill="1" applyBorder="1" applyAlignment="1">
      <alignment horizontal="right"/>
    </xf>
    <xf numFmtId="0" fontId="50" fillId="0" borderId="33" xfId="0" applyFont="1" applyFill="1" applyBorder="1" applyAlignment="1">
      <alignment horizontal="center"/>
    </xf>
    <xf numFmtId="0" fontId="50" fillId="0" borderId="23" xfId="0" applyFont="1" applyFill="1" applyBorder="1"/>
    <xf numFmtId="0" fontId="50" fillId="0" borderId="0" xfId="0" applyFont="1" applyFill="1" applyBorder="1" applyAlignment="1">
      <alignment horizontal="center"/>
    </xf>
    <xf numFmtId="0" fontId="50" fillId="0" borderId="24" xfId="0" applyFont="1" applyFill="1" applyBorder="1" applyAlignment="1">
      <alignment horizontal="center"/>
    </xf>
    <xf numFmtId="0" fontId="50" fillId="0" borderId="12" xfId="0" applyFont="1" applyFill="1" applyBorder="1"/>
    <xf numFmtId="6" fontId="43" fillId="0" borderId="0" xfId="0" applyNumberFormat="1" applyFont="1" applyBorder="1" applyAlignment="1">
      <alignment horizontal="center"/>
    </xf>
    <xf numFmtId="0" fontId="43" fillId="0" borderId="32" xfId="0" applyFont="1" applyBorder="1"/>
    <xf numFmtId="0" fontId="50" fillId="0" borderId="0" xfId="0" applyFont="1" applyFill="1" applyBorder="1"/>
    <xf numFmtId="0" fontId="52" fillId="0" borderId="35" xfId="0" applyFont="1" applyFill="1" applyBorder="1"/>
    <xf numFmtId="0" fontId="52" fillId="0" borderId="36" xfId="0" applyFont="1" applyFill="1" applyBorder="1"/>
    <xf numFmtId="0" fontId="52" fillId="0" borderId="36" xfId="0" applyFont="1" applyFill="1" applyBorder="1" applyAlignment="1">
      <alignment horizontal="center"/>
    </xf>
    <xf numFmtId="0" fontId="52" fillId="0" borderId="38" xfId="0" applyFont="1" applyFill="1" applyBorder="1" applyAlignment="1">
      <alignment horizontal="center"/>
    </xf>
    <xf numFmtId="0" fontId="52" fillId="0" borderId="30" xfId="0" applyFont="1" applyFill="1" applyBorder="1"/>
    <xf numFmtId="0" fontId="52" fillId="0" borderId="17" xfId="0" applyFont="1" applyFill="1" applyBorder="1"/>
    <xf numFmtId="0" fontId="52" fillId="0" borderId="17" xfId="0" applyFont="1" applyFill="1" applyBorder="1" applyAlignment="1">
      <alignment horizontal="center"/>
    </xf>
    <xf numFmtId="0" fontId="52" fillId="0" borderId="33" xfId="0" applyFont="1" applyFill="1" applyBorder="1" applyAlignment="1">
      <alignment horizontal="center"/>
    </xf>
    <xf numFmtId="0" fontId="50" fillId="0" borderId="12" xfId="0" applyFont="1" applyFill="1" applyBorder="1" applyAlignment="1">
      <alignment vertical="center"/>
    </xf>
    <xf numFmtId="6" fontId="43" fillId="0" borderId="0" xfId="0" applyNumberFormat="1" applyFont="1" applyFill="1" applyBorder="1" applyAlignment="1">
      <alignment horizontal="center"/>
    </xf>
    <xf numFmtId="6" fontId="22" fillId="0" borderId="0" xfId="0" applyNumberFormat="1" applyFont="1" applyFill="1" applyBorder="1" applyAlignment="1">
      <alignment horizontal="right"/>
    </xf>
    <xf numFmtId="2" fontId="50" fillId="0" borderId="0" xfId="0" applyNumberFormat="1" applyFont="1" applyFill="1" applyBorder="1" applyAlignment="1">
      <alignment horizontal="center"/>
    </xf>
    <xf numFmtId="6" fontId="50" fillId="0" borderId="18" xfId="0" applyNumberFormat="1" applyFont="1" applyFill="1" applyBorder="1" applyAlignment="1">
      <alignment horizontal="right"/>
    </xf>
    <xf numFmtId="0" fontId="50" fillId="0" borderId="0" xfId="0" applyFont="1" applyFill="1"/>
    <xf numFmtId="0" fontId="50" fillId="0" borderId="0" xfId="0" applyFont="1" applyFill="1" applyBorder="1" applyAlignment="1">
      <alignment vertical="center"/>
    </xf>
    <xf numFmtId="6" fontId="50" fillId="0" borderId="18" xfId="0" applyNumberFormat="1" applyFont="1" applyFill="1" applyBorder="1" applyAlignment="1">
      <alignment horizontal="right" vertical="center"/>
    </xf>
    <xf numFmtId="0" fontId="50" fillId="0" borderId="25" xfId="0" applyFont="1" applyFill="1" applyBorder="1"/>
    <xf numFmtId="0" fontId="50" fillId="0" borderId="26" xfId="0" applyFont="1" applyFill="1" applyBorder="1" applyAlignment="1">
      <alignment horizontal="center"/>
    </xf>
    <xf numFmtId="0" fontId="53" fillId="0" borderId="0" xfId="0" applyFont="1" applyFill="1" applyAlignment="1">
      <alignment horizontal="right"/>
    </xf>
    <xf numFmtId="0" fontId="50" fillId="0" borderId="0" xfId="0" applyFont="1" applyFill="1" applyBorder="1" applyAlignment="1">
      <alignment horizontal="right"/>
    </xf>
    <xf numFmtId="0" fontId="47" fillId="0" borderId="35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43" fillId="0" borderId="37" xfId="0" applyFont="1" applyBorder="1"/>
    <xf numFmtId="0" fontId="43" fillId="0" borderId="0" xfId="0" applyFont="1" applyFill="1"/>
    <xf numFmtId="0" fontId="50" fillId="0" borderId="17" xfId="0" applyFont="1" applyFill="1" applyBorder="1"/>
    <xf numFmtId="173" fontId="50" fillId="0" borderId="26" xfId="3" applyNumberFormat="1" applyFont="1" applyFill="1" applyBorder="1" applyAlignment="1">
      <alignment horizontal="center"/>
    </xf>
    <xf numFmtId="6" fontId="52" fillId="0" borderId="36" xfId="0" applyNumberFormat="1" applyFont="1" applyFill="1" applyBorder="1" applyAlignment="1">
      <alignment horizontal="right"/>
    </xf>
    <xf numFmtId="2" fontId="52" fillId="0" borderId="36" xfId="0" applyNumberFormat="1" applyFont="1" applyFill="1" applyBorder="1" applyAlignment="1">
      <alignment horizontal="center"/>
    </xf>
    <xf numFmtId="5" fontId="52" fillId="0" borderId="38" xfId="0" applyNumberFormat="1" applyFont="1" applyFill="1" applyBorder="1" applyAlignment="1">
      <alignment horizontal="right"/>
    </xf>
    <xf numFmtId="2" fontId="50" fillId="0" borderId="0" xfId="0" applyNumberFormat="1" applyFont="1" applyFill="1" applyBorder="1" applyAlignment="1">
      <alignment horizontal="center" vertical="center"/>
    </xf>
    <xf numFmtId="10" fontId="50" fillId="0" borderId="0" xfId="0" applyNumberFormat="1" applyFont="1" applyFill="1" applyBorder="1" applyAlignment="1">
      <alignment horizontal="right"/>
    </xf>
    <xf numFmtId="5" fontId="50" fillId="0" borderId="18" xfId="0" applyNumberFormat="1" applyFont="1" applyFill="1" applyBorder="1" applyAlignment="1">
      <alignment horizontal="right"/>
    </xf>
    <xf numFmtId="0" fontId="52" fillId="0" borderId="36" xfId="0" applyFont="1" applyFill="1" applyBorder="1" applyAlignment="1">
      <alignment horizontal="right"/>
    </xf>
    <xf numFmtId="5" fontId="22" fillId="0" borderId="18" xfId="0" applyNumberFormat="1" applyFont="1" applyFill="1" applyBorder="1" applyAlignment="1">
      <alignment horizontal="right"/>
    </xf>
    <xf numFmtId="0" fontId="43" fillId="0" borderId="34" xfId="0" applyFont="1" applyBorder="1"/>
    <xf numFmtId="0" fontId="25" fillId="0" borderId="36" xfId="0" applyFont="1" applyFill="1" applyBorder="1"/>
    <xf numFmtId="0" fontId="25" fillId="0" borderId="36" xfId="0" applyFont="1" applyFill="1" applyBorder="1" applyAlignment="1">
      <alignment horizontal="right"/>
    </xf>
    <xf numFmtId="5" fontId="25" fillId="0" borderId="38" xfId="0" applyNumberFormat="1" applyFont="1" applyFill="1" applyBorder="1" applyAlignment="1">
      <alignment horizontal="right"/>
    </xf>
    <xf numFmtId="0" fontId="43" fillId="0" borderId="12" xfId="0" applyFont="1" applyBorder="1" applyAlignment="1">
      <alignment horizontal="left"/>
    </xf>
    <xf numFmtId="10" fontId="43" fillId="0" borderId="0" xfId="3" applyNumberFormat="1" applyFont="1" applyBorder="1" applyAlignment="1">
      <alignment horizontal="center"/>
    </xf>
    <xf numFmtId="10" fontId="22" fillId="0" borderId="0" xfId="3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center"/>
    </xf>
    <xf numFmtId="0" fontId="22" fillId="0" borderId="32" xfId="0" applyFont="1" applyFill="1" applyBorder="1"/>
    <xf numFmtId="10" fontId="22" fillId="0" borderId="0" xfId="0" applyNumberFormat="1" applyFont="1" applyFill="1" applyBorder="1" applyAlignment="1">
      <alignment horizontal="center"/>
    </xf>
    <xf numFmtId="0" fontId="25" fillId="0" borderId="54" xfId="0" applyFont="1" applyFill="1" applyBorder="1"/>
    <xf numFmtId="0" fontId="25" fillId="0" borderId="55" xfId="0" applyFont="1" applyFill="1" applyBorder="1"/>
    <xf numFmtId="0" fontId="25" fillId="0" borderId="55" xfId="0" applyFont="1" applyFill="1" applyBorder="1" applyAlignment="1">
      <alignment horizontal="right"/>
    </xf>
    <xf numFmtId="10" fontId="25" fillId="0" borderId="55" xfId="3" applyNumberFormat="1" applyFont="1" applyFill="1" applyBorder="1" applyAlignment="1">
      <alignment horizontal="center"/>
    </xf>
    <xf numFmtId="5" fontId="25" fillId="0" borderId="56" xfId="0" applyNumberFormat="1" applyFont="1" applyFill="1" applyBorder="1" applyAlignment="1">
      <alignment horizontal="right"/>
    </xf>
    <xf numFmtId="0" fontId="25" fillId="0" borderId="44" xfId="0" applyFont="1" applyFill="1" applyBorder="1"/>
    <xf numFmtId="0" fontId="25" fillId="0" borderId="44" xfId="0" applyFont="1" applyFill="1" applyBorder="1" applyAlignment="1">
      <alignment horizontal="right"/>
    </xf>
    <xf numFmtId="10" fontId="25" fillId="0" borderId="44" xfId="3" applyNumberFormat="1" applyFont="1" applyFill="1" applyBorder="1" applyAlignment="1">
      <alignment horizontal="center"/>
    </xf>
    <xf numFmtId="5" fontId="25" fillId="0" borderId="45" xfId="0" applyNumberFormat="1" applyFont="1" applyFill="1" applyBorder="1" applyAlignment="1">
      <alignment horizontal="right"/>
    </xf>
    <xf numFmtId="0" fontId="22" fillId="0" borderId="57" xfId="0" applyFont="1" applyFill="1" applyBorder="1" applyAlignment="1">
      <alignment horizontal="left"/>
    </xf>
    <xf numFmtId="10" fontId="22" fillId="0" borderId="50" xfId="0" applyNumberFormat="1" applyFont="1" applyFill="1" applyBorder="1" applyAlignment="1">
      <alignment horizontal="center"/>
    </xf>
    <xf numFmtId="0" fontId="22" fillId="0" borderId="50" xfId="0" applyFont="1" applyFill="1" applyBorder="1" applyAlignment="1">
      <alignment horizontal="center"/>
    </xf>
    <xf numFmtId="10" fontId="25" fillId="0" borderId="36" xfId="3" applyNumberFormat="1" applyFont="1" applyFill="1" applyBorder="1" applyAlignment="1">
      <alignment horizontal="right"/>
    </xf>
    <xf numFmtId="0" fontId="50" fillId="0" borderId="16" xfId="0" applyFont="1" applyFill="1" applyBorder="1"/>
    <xf numFmtId="0" fontId="50" fillId="0" borderId="13" xfId="0" applyFont="1" applyFill="1" applyBorder="1"/>
    <xf numFmtId="0" fontId="50" fillId="0" borderId="13" xfId="0" applyFont="1" applyFill="1" applyBorder="1" applyAlignment="1">
      <alignment horizontal="right"/>
    </xf>
    <xf numFmtId="0" fontId="50" fillId="0" borderId="13" xfId="0" applyFont="1" applyFill="1" applyBorder="1" applyAlignment="1">
      <alignment horizontal="center"/>
    </xf>
    <xf numFmtId="7" fontId="52" fillId="22" borderId="14" xfId="0" applyNumberFormat="1" applyFont="1" applyFill="1" applyBorder="1" applyAlignment="1">
      <alignment horizontal="right"/>
    </xf>
    <xf numFmtId="0" fontId="52" fillId="0" borderId="0" xfId="0" applyFont="1" applyFill="1"/>
    <xf numFmtId="7" fontId="54" fillId="0" borderId="0" xfId="0" applyNumberFormat="1" applyFont="1" applyFill="1" applyBorder="1" applyAlignment="1">
      <alignment horizontal="right"/>
    </xf>
    <xf numFmtId="0" fontId="43" fillId="0" borderId="0" xfId="0" applyFont="1" applyAlignment="1">
      <alignment horizontal="center"/>
    </xf>
    <xf numFmtId="165" fontId="43" fillId="0" borderId="0" xfId="0" applyNumberFormat="1" applyFont="1" applyAlignment="1">
      <alignment horizontal="right"/>
    </xf>
    <xf numFmtId="0" fontId="45" fillId="0" borderId="0" xfId="0" applyFont="1" applyBorder="1"/>
    <xf numFmtId="0" fontId="46" fillId="0" borderId="0" xfId="0" applyFont="1" applyBorder="1" applyAlignment="1">
      <alignment horizontal="center"/>
    </xf>
    <xf numFmtId="0" fontId="50" fillId="0" borderId="0" xfId="0" applyFont="1" applyBorder="1" applyAlignment="1"/>
    <xf numFmtId="0" fontId="48" fillId="0" borderId="0" xfId="0" applyFont="1" applyBorder="1"/>
    <xf numFmtId="0" fontId="43" fillId="0" borderId="0" xfId="0" applyFont="1" applyBorder="1" applyAlignment="1">
      <alignment horizontal="center"/>
    </xf>
    <xf numFmtId="10" fontId="43" fillId="0" borderId="0" xfId="3" applyNumberFormat="1" applyFont="1" applyAlignment="1">
      <alignment horizontal="center"/>
    </xf>
    <xf numFmtId="10" fontId="43" fillId="0" borderId="0" xfId="3" applyNumberFormat="1" applyFont="1"/>
    <xf numFmtId="8" fontId="43" fillId="0" borderId="0" xfId="0" applyNumberFormat="1" applyFont="1"/>
    <xf numFmtId="0" fontId="50" fillId="0" borderId="0" xfId="0" quotePrefix="1" applyFont="1" applyBorder="1" applyAlignment="1"/>
    <xf numFmtId="44" fontId="43" fillId="0" borderId="0" xfId="2" applyFont="1"/>
    <xf numFmtId="14" fontId="22" fillId="0" borderId="0" xfId="0" applyNumberFormat="1" applyFont="1" applyFill="1" applyBorder="1"/>
    <xf numFmtId="14" fontId="29" fillId="0" borderId="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4" fontId="55" fillId="0" borderId="0" xfId="0" applyNumberFormat="1" applyFont="1" applyFill="1" applyBorder="1" applyAlignment="1">
      <alignment horizontal="left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Border="1"/>
    <xf numFmtId="0" fontId="55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Border="1"/>
    <xf numFmtId="0" fontId="10" fillId="24" borderId="27" xfId="0" applyFont="1" applyFill="1" applyBorder="1" applyAlignment="1">
      <alignment horizontal="center"/>
    </xf>
    <xf numFmtId="0" fontId="10" fillId="24" borderId="28" xfId="0" applyFont="1" applyFill="1" applyBorder="1" applyAlignment="1">
      <alignment horizontal="center" wrapText="1"/>
    </xf>
    <xf numFmtId="0" fontId="10" fillId="24" borderId="29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/>
    </xf>
    <xf numFmtId="0" fontId="29" fillId="0" borderId="7" xfId="0" applyFont="1" applyBorder="1" applyAlignment="1">
      <alignment horizontal="right"/>
    </xf>
    <xf numFmtId="166" fontId="29" fillId="0" borderId="7" xfId="0" applyNumberFormat="1" applyFont="1" applyBorder="1" applyAlignment="1">
      <alignment horizontal="center"/>
    </xf>
    <xf numFmtId="166" fontId="29" fillId="0" borderId="9" xfId="0" applyNumberFormat="1" applyFont="1" applyFill="1" applyBorder="1" applyAlignment="1">
      <alignment horizontal="center"/>
    </xf>
    <xf numFmtId="166" fontId="29" fillId="0" borderId="10" xfId="0" applyNumberFormat="1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29" fillId="0" borderId="12" xfId="0" applyFont="1" applyBorder="1" applyAlignment="1">
      <alignment horizontal="right"/>
    </xf>
    <xf numFmtId="10" fontId="0" fillId="0" borderId="12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10" fontId="0" fillId="0" borderId="18" xfId="0" applyNumberFormat="1" applyFont="1" applyBorder="1" applyAlignment="1">
      <alignment horizontal="center"/>
    </xf>
    <xf numFmtId="0" fontId="58" fillId="0" borderId="0" xfId="0" applyFont="1" applyFill="1" applyBorder="1" applyAlignment="1">
      <alignment horizontal="center" vertical="center"/>
    </xf>
    <xf numFmtId="166" fontId="0" fillId="0" borderId="12" xfId="0" applyNumberFormat="1" applyFont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8" fontId="29" fillId="0" borderId="0" xfId="0" applyNumberFormat="1" applyFont="1" applyFill="1" applyBorder="1" applyAlignment="1">
      <alignment horizontal="center"/>
    </xf>
    <xf numFmtId="6" fontId="29" fillId="0" borderId="0" xfId="0" applyNumberFormat="1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5" fontId="1" fillId="0" borderId="12" xfId="9" applyNumberFormat="1" applyFont="1" applyFill="1" applyBorder="1" applyAlignment="1">
      <alignment horizontal="center"/>
    </xf>
    <xf numFmtId="5" fontId="1" fillId="0" borderId="0" xfId="9" applyNumberFormat="1" applyFont="1" applyFill="1" applyBorder="1" applyAlignment="1">
      <alignment horizontal="center"/>
    </xf>
    <xf numFmtId="5" fontId="1" fillId="0" borderId="18" xfId="9" applyNumberFormat="1" applyFont="1" applyFill="1" applyBorder="1" applyAlignment="1">
      <alignment horizontal="center"/>
    </xf>
    <xf numFmtId="44" fontId="22" fillId="0" borderId="0" xfId="0" applyNumberFormat="1" applyFont="1" applyFill="1" applyBorder="1"/>
    <xf numFmtId="169" fontId="25" fillId="0" borderId="0" xfId="0" applyNumberFormat="1" applyFont="1" applyFill="1" applyBorder="1" applyAlignment="1">
      <alignment horizontal="center"/>
    </xf>
    <xf numFmtId="166" fontId="0" fillId="0" borderId="43" xfId="0" applyNumberFormat="1" applyFont="1" applyBorder="1" applyAlignment="1">
      <alignment horizontal="center"/>
    </xf>
    <xf numFmtId="166" fontId="0" fillId="0" borderId="44" xfId="0" applyNumberFormat="1" applyFont="1" applyFill="1" applyBorder="1" applyAlignment="1">
      <alignment horizontal="center"/>
    </xf>
    <xf numFmtId="166" fontId="0" fillId="0" borderId="45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right"/>
    </xf>
    <xf numFmtId="166" fontId="10" fillId="22" borderId="16" xfId="0" applyNumberFormat="1" applyFont="1" applyFill="1" applyBorder="1" applyAlignment="1">
      <alignment horizontal="center"/>
    </xf>
    <xf numFmtId="166" fontId="10" fillId="22" borderId="13" xfId="0" applyNumberFormat="1" applyFont="1" applyFill="1" applyBorder="1" applyAlignment="1">
      <alignment horizontal="center"/>
    </xf>
    <xf numFmtId="166" fontId="10" fillId="22" borderId="14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44" fontId="22" fillId="0" borderId="0" xfId="2" applyFont="1" applyFill="1" applyBorder="1"/>
    <xf numFmtId="44" fontId="22" fillId="0" borderId="0" xfId="2" applyFont="1" applyFill="1" applyBorder="1" applyAlignment="1">
      <alignment horizontal="center"/>
    </xf>
    <xf numFmtId="10" fontId="22" fillId="0" borderId="0" xfId="3" applyNumberFormat="1" applyFont="1" applyFill="1" applyBorder="1"/>
    <xf numFmtId="10" fontId="31" fillId="0" borderId="0" xfId="0" applyNumberFormat="1" applyFont="1" applyFill="1" applyBorder="1" applyAlignment="1">
      <alignment horizontal="center"/>
    </xf>
    <xf numFmtId="44" fontId="22" fillId="0" borderId="0" xfId="2" applyFont="1" applyFill="1" applyBorder="1" applyAlignment="1">
      <alignment horizontal="right" vertical="center"/>
    </xf>
    <xf numFmtId="166" fontId="25" fillId="0" borderId="0" xfId="0" applyNumberFormat="1" applyFont="1" applyFill="1" applyBorder="1" applyAlignment="1">
      <alignment horizontal="center"/>
    </xf>
    <xf numFmtId="44" fontId="22" fillId="25" borderId="0" xfId="2" applyFont="1" applyFill="1" applyBorder="1" applyAlignment="1">
      <alignment horizontal="center"/>
    </xf>
    <xf numFmtId="5" fontId="25" fillId="0" borderId="0" xfId="0" applyNumberFormat="1" applyFont="1" applyFill="1" applyBorder="1" applyAlignment="1">
      <alignment horizontal="left"/>
    </xf>
    <xf numFmtId="44" fontId="22" fillId="25" borderId="0" xfId="2" applyFont="1" applyFill="1" applyBorder="1" applyAlignment="1"/>
    <xf numFmtId="0" fontId="22" fillId="0" borderId="0" xfId="0" applyFont="1" applyFill="1" applyBorder="1" applyAlignment="1"/>
    <xf numFmtId="165" fontId="25" fillId="0" borderId="0" xfId="0" applyNumberFormat="1" applyFont="1" applyFill="1" applyBorder="1" applyAlignment="1">
      <alignment horizontal="center"/>
    </xf>
    <xf numFmtId="169" fontId="22" fillId="0" borderId="0" xfId="0" applyNumberFormat="1" applyFont="1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right" vertical="center"/>
    </xf>
    <xf numFmtId="5" fontId="22" fillId="0" borderId="0" xfId="0" applyNumberFormat="1" applyFont="1" applyFill="1" applyBorder="1" applyAlignme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6" borderId="20" xfId="0" applyFont="1" applyFill="1" applyBorder="1" applyAlignment="1">
      <alignment horizontal="center" vertical="center"/>
    </xf>
    <xf numFmtId="0" fontId="49" fillId="26" borderId="21" xfId="0" applyFont="1" applyFill="1" applyBorder="1" applyAlignment="1">
      <alignment horizontal="center" vertical="center"/>
    </xf>
    <xf numFmtId="0" fontId="49" fillId="26" borderId="22" xfId="0" applyFont="1" applyFill="1" applyBorder="1" applyAlignment="1">
      <alignment horizontal="center" vertical="center"/>
    </xf>
    <xf numFmtId="176" fontId="59" fillId="0" borderId="0" xfId="0" applyNumberFormat="1" applyFont="1" applyAlignment="1">
      <alignment horizontal="left"/>
    </xf>
    <xf numFmtId="0" fontId="47" fillId="27" borderId="25" xfId="0" applyFont="1" applyFill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/>
    </xf>
    <xf numFmtId="0" fontId="47" fillId="27" borderId="58" xfId="0" applyFont="1" applyFill="1" applyBorder="1" applyAlignment="1">
      <alignment horizontal="center" vertical="center"/>
    </xf>
    <xf numFmtId="0" fontId="47" fillId="27" borderId="8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31" fillId="27" borderId="23" xfId="0" applyFont="1" applyFill="1" applyBorder="1"/>
    <xf numFmtId="0" fontId="31" fillId="27" borderId="0" xfId="0" applyFont="1" applyFill="1" applyBorder="1"/>
    <xf numFmtId="6" fontId="31" fillId="27" borderId="0" xfId="0" applyNumberFormat="1" applyFont="1" applyFill="1" applyBorder="1" applyAlignment="1">
      <alignment horizontal="center"/>
    </xf>
    <xf numFmtId="0" fontId="31" fillId="27" borderId="23" xfId="0" applyFont="1" applyFill="1" applyBorder="1" applyAlignment="1">
      <alignment horizontal="left"/>
    </xf>
    <xf numFmtId="49" fontId="31" fillId="27" borderId="0" xfId="0" applyNumberFormat="1" applyFont="1" applyFill="1" applyBorder="1" applyAlignment="1">
      <alignment horizontal="left"/>
    </xf>
    <xf numFmtId="0" fontId="31" fillId="27" borderId="22" xfId="0" applyFont="1" applyFill="1" applyBorder="1"/>
    <xf numFmtId="0" fontId="22" fillId="0" borderId="0" xfId="0" applyFont="1"/>
    <xf numFmtId="0" fontId="22" fillId="0" borderId="49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center"/>
    </xf>
    <xf numFmtId="0" fontId="22" fillId="0" borderId="42" xfId="0" applyFont="1" applyFill="1" applyBorder="1" applyAlignment="1">
      <alignment horizontal="center"/>
    </xf>
    <xf numFmtId="0" fontId="22" fillId="27" borderId="23" xfId="0" applyFont="1" applyFill="1" applyBorder="1"/>
    <xf numFmtId="0" fontId="22" fillId="27" borderId="0" xfId="0" applyFont="1" applyFill="1" applyBorder="1"/>
    <xf numFmtId="0" fontId="31" fillId="27" borderId="0" xfId="0" applyFont="1" applyFill="1" applyBorder="1" applyAlignment="1">
      <alignment horizontal="left"/>
    </xf>
    <xf numFmtId="0" fontId="31" fillId="27" borderId="24" xfId="0" applyFont="1" applyFill="1" applyBorder="1"/>
    <xf numFmtId="0" fontId="22" fillId="0" borderId="25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6" fontId="31" fillId="0" borderId="0" xfId="0" applyNumberFormat="1" applyFont="1" applyFill="1" applyBorder="1" applyAlignment="1">
      <alignment horizontal="center"/>
    </xf>
    <xf numFmtId="166" fontId="31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0" fontId="31" fillId="27" borderId="25" xfId="0" applyFont="1" applyFill="1" applyBorder="1"/>
    <xf numFmtId="0" fontId="31" fillId="27" borderId="26" xfId="0" applyFont="1" applyFill="1" applyBorder="1"/>
    <xf numFmtId="6" fontId="31" fillId="0" borderId="0" xfId="0" applyNumberFormat="1" applyFont="1" applyFill="1" applyBorder="1" applyAlignment="1">
      <alignment horizontal="left"/>
    </xf>
    <xf numFmtId="0" fontId="37" fillId="27" borderId="49" xfId="0" applyFont="1" applyFill="1" applyBorder="1" applyAlignment="1">
      <alignment horizontal="center"/>
    </xf>
    <xf numFmtId="0" fontId="37" fillId="27" borderId="36" xfId="0" applyFont="1" applyFill="1" applyBorder="1" applyAlignment="1">
      <alignment horizontal="center"/>
    </xf>
    <xf numFmtId="0" fontId="31" fillId="27" borderId="49" xfId="0" applyFont="1" applyFill="1" applyBorder="1" applyAlignment="1">
      <alignment horizontal="left"/>
    </xf>
    <xf numFmtId="0" fontId="31" fillId="27" borderId="36" xfId="0" applyFont="1" applyFill="1" applyBorder="1" applyAlignment="1">
      <alignment horizontal="left"/>
    </xf>
    <xf numFmtId="0" fontId="31" fillId="27" borderId="42" xfId="0" applyFont="1" applyFill="1" applyBorder="1"/>
    <xf numFmtId="6" fontId="31" fillId="0" borderId="0" xfId="0" applyNumberFormat="1" applyFont="1" applyFill="1" applyBorder="1" applyAlignment="1">
      <alignment horizontal="left" vertical="top"/>
    </xf>
    <xf numFmtId="0" fontId="37" fillId="27" borderId="0" xfId="0" applyFont="1" applyFill="1" applyBorder="1" applyAlignment="1">
      <alignment horizontal="center"/>
    </xf>
    <xf numFmtId="2" fontId="31" fillId="27" borderId="0" xfId="0" applyNumberFormat="1" applyFont="1" applyFill="1" applyBorder="1" applyAlignment="1">
      <alignment horizontal="center"/>
    </xf>
    <xf numFmtId="0" fontId="37" fillId="0" borderId="49" xfId="0" applyFont="1" applyFill="1" applyBorder="1"/>
    <xf numFmtId="2" fontId="37" fillId="0" borderId="36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166" fontId="31" fillId="0" borderId="0" xfId="0" applyNumberFormat="1" applyFont="1" applyFill="1" applyBorder="1" applyAlignment="1">
      <alignment horizontal="left"/>
    </xf>
    <xf numFmtId="0" fontId="60" fillId="0" borderId="23" xfId="0" applyFont="1" applyFill="1" applyBorder="1"/>
    <xf numFmtId="0" fontId="31" fillId="27" borderId="17" xfId="0" applyFont="1" applyFill="1" applyBorder="1"/>
    <xf numFmtId="2" fontId="31" fillId="27" borderId="17" xfId="0" applyNumberFormat="1" applyFont="1" applyFill="1" applyBorder="1" applyAlignment="1">
      <alignment horizontal="center"/>
    </xf>
    <xf numFmtId="0" fontId="31" fillId="27" borderId="25" xfId="0" applyFont="1" applyFill="1" applyBorder="1" applyAlignment="1">
      <alignment horizontal="left"/>
    </xf>
    <xf numFmtId="0" fontId="31" fillId="27" borderId="17" xfId="0" applyFont="1" applyFill="1" applyBorder="1" applyAlignment="1">
      <alignment horizontal="left"/>
    </xf>
    <xf numFmtId="0" fontId="31" fillId="0" borderId="36" xfId="0" applyFont="1" applyFill="1" applyBorder="1" applyAlignment="1">
      <alignment horizontal="center"/>
    </xf>
    <xf numFmtId="10" fontId="31" fillId="27" borderId="0" xfId="0" applyNumberFormat="1" applyFont="1" applyFill="1" applyBorder="1" applyAlignment="1">
      <alignment horizontal="center"/>
    </xf>
    <xf numFmtId="49" fontId="31" fillId="27" borderId="23" xfId="0" applyNumberFormat="1" applyFont="1" applyFill="1" applyBorder="1" applyAlignment="1">
      <alignment horizontal="left"/>
    </xf>
    <xf numFmtId="0" fontId="37" fillId="27" borderId="24" xfId="0" applyFont="1" applyFill="1" applyBorder="1"/>
    <xf numFmtId="0" fontId="37" fillId="0" borderId="52" xfId="0" applyFont="1" applyFill="1" applyBorder="1"/>
    <xf numFmtId="0" fontId="31" fillId="0" borderId="23" xfId="0" applyFont="1" applyBorder="1"/>
    <xf numFmtId="10" fontId="37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166" fontId="37" fillId="0" borderId="24" xfId="0" applyNumberFormat="1" applyFont="1" applyFill="1" applyBorder="1" applyAlignment="1">
      <alignment horizontal="right"/>
    </xf>
    <xf numFmtId="10" fontId="31" fillId="27" borderId="0" xfId="10" applyNumberFormat="1" applyFont="1" applyFill="1" applyBorder="1" applyAlignment="1">
      <alignment horizontal="center"/>
    </xf>
    <xf numFmtId="49" fontId="44" fillId="27" borderId="0" xfId="0" applyNumberFormat="1" applyFont="1" applyFill="1" applyBorder="1" applyAlignment="1">
      <alignment horizontal="left"/>
    </xf>
    <xf numFmtId="0" fontId="31" fillId="0" borderId="25" xfId="0" applyFont="1" applyFill="1" applyBorder="1"/>
    <xf numFmtId="0" fontId="31" fillId="0" borderId="17" xfId="0" applyFont="1" applyFill="1" applyBorder="1"/>
    <xf numFmtId="10" fontId="31" fillId="0" borderId="17" xfId="0" applyNumberFormat="1" applyFont="1" applyBorder="1" applyAlignment="1">
      <alignment horizontal="center"/>
    </xf>
    <xf numFmtId="0" fontId="37" fillId="0" borderId="49" xfId="0" applyFont="1" applyBorder="1"/>
    <xf numFmtId="0" fontId="37" fillId="0" borderId="17" xfId="0" applyFont="1" applyBorder="1"/>
    <xf numFmtId="0" fontId="37" fillId="0" borderId="26" xfId="0" applyFont="1" applyBorder="1"/>
    <xf numFmtId="0" fontId="37" fillId="27" borderId="25" xfId="0" applyFont="1" applyFill="1" applyBorder="1" applyAlignment="1">
      <alignment horizontal="right"/>
    </xf>
    <xf numFmtId="0" fontId="37" fillId="27" borderId="17" xfId="0" applyFont="1" applyFill="1" applyBorder="1" applyAlignment="1">
      <alignment horizontal="center"/>
    </xf>
    <xf numFmtId="0" fontId="37" fillId="27" borderId="26" xfId="0" applyFont="1" applyFill="1" applyBorder="1" applyAlignment="1">
      <alignment horizontal="center"/>
    </xf>
    <xf numFmtId="0" fontId="22" fillId="0" borderId="23" xfId="0" applyFont="1" applyBorder="1" applyAlignment="1"/>
    <xf numFmtId="0" fontId="22" fillId="0" borderId="0" xfId="0" applyFont="1" applyBorder="1" applyAlignment="1"/>
    <xf numFmtId="0" fontId="44" fillId="0" borderId="23" xfId="0" applyFont="1" applyFill="1" applyBorder="1"/>
    <xf numFmtId="10" fontId="53" fillId="0" borderId="0" xfId="0" applyNumberFormat="1" applyFont="1" applyFill="1" applyBorder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166" fontId="44" fillId="0" borderId="24" xfId="0" applyNumberFormat="1" applyFont="1" applyFill="1" applyBorder="1" applyAlignment="1">
      <alignment horizontal="right"/>
    </xf>
    <xf numFmtId="0" fontId="31" fillId="27" borderId="23" xfId="0" applyFont="1" applyFill="1" applyBorder="1" applyAlignment="1">
      <alignment horizontal="right"/>
    </xf>
    <xf numFmtId="0" fontId="31" fillId="27" borderId="0" xfId="0" applyFont="1" applyFill="1" applyBorder="1" applyAlignment="1">
      <alignment horizontal="center"/>
    </xf>
    <xf numFmtId="0" fontId="31" fillId="27" borderId="24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55" xfId="0" applyFont="1" applyFill="1" applyBorder="1" applyAlignment="1">
      <alignment horizontal="center"/>
    </xf>
    <xf numFmtId="166" fontId="37" fillId="0" borderId="59" xfId="0" applyNumberFormat="1" applyFont="1" applyFill="1" applyBorder="1" applyAlignment="1">
      <alignment horizontal="right"/>
    </xf>
    <xf numFmtId="8" fontId="31" fillId="0" borderId="0" xfId="0" applyNumberFormat="1" applyFont="1" applyFill="1" applyBorder="1" applyAlignment="1">
      <alignment horizontal="center"/>
    </xf>
    <xf numFmtId="0" fontId="31" fillId="0" borderId="60" xfId="0" applyFont="1" applyFill="1" applyBorder="1"/>
    <xf numFmtId="0" fontId="31" fillId="0" borderId="61" xfId="0" applyFont="1" applyFill="1" applyBorder="1" applyAlignment="1">
      <alignment horizontal="center"/>
    </xf>
    <xf numFmtId="0" fontId="31" fillId="0" borderId="62" xfId="0" applyFont="1" applyFill="1" applyBorder="1" applyAlignment="1">
      <alignment horizontal="right"/>
    </xf>
    <xf numFmtId="0" fontId="25" fillId="0" borderId="0" xfId="0" applyFont="1" applyBorder="1" applyAlignment="1">
      <alignment horizontal="center"/>
    </xf>
    <xf numFmtId="8" fontId="22" fillId="0" borderId="0" xfId="0" applyNumberFormat="1" applyFont="1" applyBorder="1" applyAlignment="1">
      <alignment horizontal="right"/>
    </xf>
    <xf numFmtId="9" fontId="31" fillId="0" borderId="0" xfId="0" applyNumberFormat="1" applyFont="1" applyFill="1" applyBorder="1" applyAlignment="1">
      <alignment horizontal="center"/>
    </xf>
    <xf numFmtId="165" fontId="37" fillId="22" borderId="24" xfId="0" applyNumberFormat="1" applyFont="1" applyFill="1" applyBorder="1" applyAlignment="1">
      <alignment horizontal="right"/>
    </xf>
    <xf numFmtId="0" fontId="31" fillId="27" borderId="25" xfId="0" applyFont="1" applyFill="1" applyBorder="1" applyAlignment="1">
      <alignment horizontal="right"/>
    </xf>
    <xf numFmtId="0" fontId="31" fillId="27" borderId="17" xfId="0" applyFont="1" applyFill="1" applyBorder="1" applyAlignment="1">
      <alignment horizontal="center"/>
    </xf>
    <xf numFmtId="0" fontId="31" fillId="27" borderId="26" xfId="0" applyFont="1" applyFill="1" applyBorder="1" applyAlignment="1">
      <alignment horizontal="center"/>
    </xf>
    <xf numFmtId="0" fontId="25" fillId="0" borderId="0" xfId="0" applyFont="1" applyBorder="1"/>
    <xf numFmtId="8" fontId="25" fillId="0" borderId="0" xfId="0" applyNumberFormat="1" applyFont="1" applyBorder="1" applyAlignment="1">
      <alignment horizontal="right"/>
    </xf>
    <xf numFmtId="6" fontId="31" fillId="0" borderId="0" xfId="0" applyNumberFormat="1" applyFont="1" applyFill="1" applyAlignment="1">
      <alignment horizontal="center"/>
    </xf>
    <xf numFmtId="9" fontId="22" fillId="0" borderId="17" xfId="0" applyNumberFormat="1" applyFont="1" applyFill="1" applyBorder="1" applyAlignment="1">
      <alignment horizontal="center"/>
    </xf>
    <xf numFmtId="165" fontId="37" fillId="0" borderId="26" xfId="0" applyNumberFormat="1" applyFont="1" applyFill="1" applyBorder="1" applyAlignment="1">
      <alignment horizontal="right"/>
    </xf>
    <xf numFmtId="165" fontId="43" fillId="0" borderId="0" xfId="0" applyNumberFormat="1" applyFont="1"/>
    <xf numFmtId="0" fontId="25" fillId="27" borderId="23" xfId="0" applyFont="1" applyFill="1" applyBorder="1" applyAlignment="1">
      <alignment horizontal="left"/>
    </xf>
    <xf numFmtId="0" fontId="31" fillId="27" borderId="0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2" fillId="0" borderId="0" xfId="0" applyFont="1" applyBorder="1"/>
    <xf numFmtId="9" fontId="22" fillId="0" borderId="0" xfId="0" applyNumberFormat="1" applyFont="1" applyBorder="1"/>
    <xf numFmtId="10" fontId="43" fillId="0" borderId="0" xfId="10" applyNumberFormat="1" applyFont="1"/>
    <xf numFmtId="0" fontId="31" fillId="27" borderId="17" xfId="0" applyFont="1" applyFill="1" applyBorder="1" applyAlignment="1">
      <alignment horizontal="right"/>
    </xf>
    <xf numFmtId="173" fontId="31" fillId="27" borderId="26" xfId="10" applyNumberFormat="1" applyFont="1" applyFill="1" applyBorder="1" applyAlignment="1">
      <alignment horizontal="center"/>
    </xf>
    <xf numFmtId="7" fontId="22" fillId="0" borderId="0" xfId="11" applyNumberFormat="1" applyFont="1"/>
    <xf numFmtId="0" fontId="47" fillId="0" borderId="0" xfId="0" applyFont="1" applyBorder="1"/>
    <xf numFmtId="10" fontId="47" fillId="0" borderId="0" xfId="10" applyNumberFormat="1" applyFont="1" applyBorder="1"/>
    <xf numFmtId="10" fontId="43" fillId="0" borderId="0" xfId="10" applyNumberFormat="1" applyFont="1" applyBorder="1"/>
    <xf numFmtId="44" fontId="47" fillId="0" borderId="0" xfId="0" applyNumberFormat="1" applyFont="1" applyBorder="1" applyAlignment="1">
      <alignment horizontal="center" vertical="center"/>
    </xf>
    <xf numFmtId="166" fontId="41" fillId="0" borderId="0" xfId="0" applyNumberFormat="1" applyFont="1" applyBorder="1" applyAlignment="1">
      <alignment horizontal="right"/>
    </xf>
    <xf numFmtId="166" fontId="47" fillId="0" borderId="0" xfId="0" applyNumberFormat="1" applyFont="1" applyBorder="1" applyAlignment="1">
      <alignment horizontal="center"/>
    </xf>
    <xf numFmtId="44" fontId="47" fillId="0" borderId="0" xfId="0" applyNumberFormat="1" applyFont="1" applyBorder="1" applyAlignment="1">
      <alignment horizontal="right"/>
    </xf>
    <xf numFmtId="6" fontId="43" fillId="0" borderId="0" xfId="0" applyNumberFormat="1" applyFont="1" applyBorder="1" applyAlignment="1">
      <alignment horizontal="center"/>
    </xf>
    <xf numFmtId="0" fontId="47" fillId="0" borderId="0" xfId="0" applyFont="1" applyBorder="1" applyAlignment="1">
      <alignment horizontal="right"/>
    </xf>
    <xf numFmtId="10" fontId="47" fillId="0" borderId="0" xfId="10" applyNumberFormat="1" applyFont="1" applyBorder="1" applyAlignment="1">
      <alignment horizontal="center"/>
    </xf>
    <xf numFmtId="0" fontId="61" fillId="28" borderId="27" xfId="0" applyFont="1" applyFill="1" applyBorder="1" applyAlignment="1">
      <alignment horizontal="center" vertical="center"/>
    </xf>
    <xf numFmtId="0" fontId="61" fillId="28" borderId="28" xfId="0" applyFont="1" applyFill="1" applyBorder="1" applyAlignment="1">
      <alignment horizontal="center" vertical="center"/>
    </xf>
    <xf numFmtId="0" fontId="61" fillId="28" borderId="29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horizontal="center" vertical="center"/>
    </xf>
    <xf numFmtId="0" fontId="47" fillId="27" borderId="63" xfId="0" applyFont="1" applyFill="1" applyBorder="1" applyAlignment="1">
      <alignment horizontal="center" vertical="center"/>
    </xf>
    <xf numFmtId="0" fontId="49" fillId="28" borderId="20" xfId="0" applyFont="1" applyFill="1" applyBorder="1" applyAlignment="1">
      <alignment horizontal="center" vertical="center"/>
    </xf>
    <xf numFmtId="0" fontId="49" fillId="28" borderId="21" xfId="0" applyFont="1" applyFill="1" applyBorder="1" applyAlignment="1">
      <alignment horizontal="center" vertical="center"/>
    </xf>
    <xf numFmtId="0" fontId="49" fillId="28" borderId="22" xfId="0" applyFont="1" applyFill="1" applyBorder="1" applyAlignment="1">
      <alignment horizontal="center" vertical="center"/>
    </xf>
    <xf numFmtId="0" fontId="31" fillId="27" borderId="12" xfId="0" applyFont="1" applyFill="1" applyBorder="1"/>
    <xf numFmtId="49" fontId="31" fillId="27" borderId="18" xfId="0" applyNumberFormat="1" applyFont="1" applyFill="1" applyBorder="1" applyAlignment="1">
      <alignment horizontal="left"/>
    </xf>
    <xf numFmtId="0" fontId="22" fillId="29" borderId="49" xfId="0" applyFont="1" applyFill="1" applyBorder="1" applyAlignment="1">
      <alignment horizontal="center"/>
    </xf>
    <xf numFmtId="0" fontId="22" fillId="29" borderId="36" xfId="0" applyFont="1" applyFill="1" applyBorder="1" applyAlignment="1">
      <alignment horizontal="center"/>
    </xf>
    <xf numFmtId="3" fontId="22" fillId="29" borderId="42" xfId="0" applyNumberFormat="1" applyFont="1" applyFill="1" applyBorder="1" applyAlignment="1">
      <alignment horizontal="center"/>
    </xf>
    <xf numFmtId="0" fontId="22" fillId="29" borderId="0" xfId="0" applyFont="1" applyFill="1" applyBorder="1" applyAlignment="1">
      <alignment horizontal="center"/>
    </xf>
    <xf numFmtId="0" fontId="22" fillId="27" borderId="12" xfId="0" applyFont="1" applyFill="1" applyBorder="1"/>
    <xf numFmtId="0" fontId="31" fillId="27" borderId="18" xfId="0" applyFont="1" applyFill="1" applyBorder="1" applyAlignment="1">
      <alignment horizontal="left"/>
    </xf>
    <xf numFmtId="0" fontId="25" fillId="29" borderId="25" xfId="0" applyFont="1" applyFill="1" applyBorder="1" applyAlignment="1">
      <alignment horizontal="left" vertical="center"/>
    </xf>
    <xf numFmtId="0" fontId="25" fillId="29" borderId="17" xfId="0" applyFont="1" applyFill="1" applyBorder="1" applyAlignment="1">
      <alignment horizontal="center"/>
    </xf>
    <xf numFmtId="0" fontId="25" fillId="29" borderId="17" xfId="0" applyFont="1" applyFill="1" applyBorder="1" applyAlignment="1">
      <alignment horizontal="center" vertical="center"/>
    </xf>
    <xf numFmtId="0" fontId="25" fillId="29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left"/>
    </xf>
    <xf numFmtId="166" fontId="31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166" fontId="31" fillId="0" borderId="24" xfId="0" applyNumberFormat="1" applyFont="1" applyBorder="1" applyAlignment="1">
      <alignment horizontal="right"/>
    </xf>
    <xf numFmtId="0" fontId="31" fillId="0" borderId="12" xfId="0" applyFont="1" applyFill="1" applyBorder="1"/>
    <xf numFmtId="0" fontId="31" fillId="0" borderId="0" xfId="0" applyFont="1" applyFill="1" applyBorder="1"/>
    <xf numFmtId="0" fontId="31" fillId="27" borderId="30" xfId="0" applyFont="1" applyFill="1" applyBorder="1"/>
    <xf numFmtId="0" fontId="37" fillId="27" borderId="57" xfId="0" applyFont="1" applyFill="1" applyBorder="1" applyAlignment="1">
      <alignment horizontal="center"/>
    </xf>
    <xf numFmtId="0" fontId="37" fillId="27" borderId="50" xfId="0" applyFont="1" applyFill="1" applyBorder="1" applyAlignment="1">
      <alignment horizontal="center"/>
    </xf>
    <xf numFmtId="0" fontId="31" fillId="27" borderId="64" xfId="0" applyFont="1" applyFill="1" applyBorder="1" applyAlignment="1">
      <alignment horizontal="left"/>
    </xf>
    <xf numFmtId="0" fontId="31" fillId="27" borderId="50" xfId="0" applyFont="1" applyFill="1" applyBorder="1" applyAlignment="1">
      <alignment horizontal="left"/>
    </xf>
    <xf numFmtId="0" fontId="31" fillId="27" borderId="65" xfId="0" applyFont="1" applyFill="1" applyBorder="1" applyAlignment="1">
      <alignment horizontal="left"/>
    </xf>
    <xf numFmtId="0" fontId="31" fillId="27" borderId="12" xfId="0" applyFont="1" applyFill="1" applyBorder="1" applyAlignment="1">
      <alignment horizontal="left"/>
    </xf>
    <xf numFmtId="0" fontId="37" fillId="0" borderId="36" xfId="0" applyFont="1" applyBorder="1" applyAlignment="1">
      <alignment horizontal="center"/>
    </xf>
    <xf numFmtId="2" fontId="37" fillId="0" borderId="36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right"/>
    </xf>
    <xf numFmtId="10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7" fillId="0" borderId="23" xfId="0" applyFont="1" applyBorder="1"/>
    <xf numFmtId="165" fontId="31" fillId="0" borderId="0" xfId="0" applyNumberFormat="1" applyFont="1" applyBorder="1" applyAlignment="1">
      <alignment horizontal="center"/>
    </xf>
    <xf numFmtId="0" fontId="31" fillId="27" borderId="33" xfId="0" applyFont="1" applyFill="1" applyBorder="1" applyAlignment="1">
      <alignment horizontal="left"/>
    </xf>
    <xf numFmtId="0" fontId="37" fillId="27" borderId="35" xfId="0" applyFont="1" applyFill="1" applyBorder="1" applyAlignment="1">
      <alignment horizontal="center"/>
    </xf>
    <xf numFmtId="0" fontId="31" fillId="27" borderId="38" xfId="0" applyFont="1" applyFill="1" applyBorder="1" applyAlignment="1">
      <alignment horizontal="left"/>
    </xf>
    <xf numFmtId="0" fontId="60" fillId="0" borderId="23" xfId="0" applyFont="1" applyBorder="1"/>
    <xf numFmtId="6" fontId="31" fillId="0" borderId="0" xfId="0" applyNumberFormat="1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8" fontId="31" fillId="27" borderId="0" xfId="0" applyNumberFormat="1" applyFont="1" applyFill="1" applyBorder="1" applyAlignment="1">
      <alignment horizontal="center"/>
    </xf>
    <xf numFmtId="49" fontId="31" fillId="27" borderId="23" xfId="0" applyNumberFormat="1" applyFont="1" applyFill="1" applyBorder="1" applyAlignment="1">
      <alignment horizontal="left" wrapText="1"/>
    </xf>
    <xf numFmtId="49" fontId="31" fillId="27" borderId="0" xfId="0" applyNumberFormat="1" applyFont="1" applyFill="1" applyBorder="1" applyAlignment="1">
      <alignment horizontal="left" wrapText="1"/>
    </xf>
    <xf numFmtId="49" fontId="31" fillId="27" borderId="18" xfId="0" applyNumberFormat="1" applyFont="1" applyFill="1" applyBorder="1" applyAlignment="1">
      <alignment horizontal="left" wrapText="1"/>
    </xf>
    <xf numFmtId="10" fontId="22" fillId="0" borderId="0" xfId="0" applyNumberFormat="1" applyFont="1" applyBorder="1" applyAlignment="1">
      <alignment horizontal="center"/>
    </xf>
    <xf numFmtId="0" fontId="31" fillId="0" borderId="52" xfId="0" applyFont="1" applyBorder="1"/>
    <xf numFmtId="0" fontId="37" fillId="0" borderId="44" xfId="0" applyFont="1" applyBorder="1" applyAlignment="1">
      <alignment horizontal="center"/>
    </xf>
    <xf numFmtId="166" fontId="37" fillId="0" borderId="48" xfId="0" applyNumberFormat="1" applyFont="1" applyBorder="1" applyAlignment="1">
      <alignment horizontal="right"/>
    </xf>
    <xf numFmtId="10" fontId="37" fillId="0" borderId="0" xfId="10" applyNumberFormat="1" applyFont="1" applyBorder="1" applyAlignment="1">
      <alignment horizontal="center"/>
    </xf>
    <xf numFmtId="166" fontId="37" fillId="0" borderId="24" xfId="0" applyNumberFormat="1" applyFont="1" applyBorder="1" applyAlignment="1">
      <alignment horizontal="right"/>
    </xf>
    <xf numFmtId="0" fontId="31" fillId="27" borderId="66" xfId="0" applyFont="1" applyFill="1" applyBorder="1"/>
    <xf numFmtId="0" fontId="31" fillId="27" borderId="21" xfId="0" applyFont="1" applyFill="1" applyBorder="1"/>
    <xf numFmtId="10" fontId="31" fillId="0" borderId="21" xfId="0" applyNumberFormat="1" applyFont="1" applyFill="1" applyBorder="1" applyAlignment="1">
      <alignment horizontal="center"/>
    </xf>
    <xf numFmtId="0" fontId="31" fillId="27" borderId="20" xfId="0" applyFont="1" applyFill="1" applyBorder="1" applyAlignment="1">
      <alignment horizontal="left"/>
    </xf>
    <xf numFmtId="49" fontId="31" fillId="27" borderId="21" xfId="0" applyNumberFormat="1" applyFont="1" applyFill="1" applyBorder="1" applyAlignment="1">
      <alignment horizontal="left"/>
    </xf>
    <xf numFmtId="49" fontId="31" fillId="27" borderId="46" xfId="0" applyNumberFormat="1" applyFont="1" applyFill="1" applyBorder="1" applyAlignment="1">
      <alignment horizontal="left"/>
    </xf>
    <xf numFmtId="0" fontId="44" fillId="0" borderId="23" xfId="0" applyFont="1" applyBorder="1"/>
    <xf numFmtId="10" fontId="53" fillId="0" borderId="0" xfId="0" applyNumberFormat="1" applyFont="1" applyBorder="1" applyAlignment="1">
      <alignment horizontal="center"/>
    </xf>
    <xf numFmtId="166" fontId="44" fillId="0" borderId="24" xfId="0" applyNumberFormat="1" applyFont="1" applyBorder="1" applyAlignment="1">
      <alignment horizontal="right"/>
    </xf>
    <xf numFmtId="0" fontId="31" fillId="27" borderId="49" xfId="0" applyFont="1" applyFill="1" applyBorder="1"/>
    <xf numFmtId="0" fontId="31" fillId="27" borderId="36" xfId="0" applyFont="1" applyFill="1" applyBorder="1"/>
    <xf numFmtId="10" fontId="31" fillId="0" borderId="36" xfId="0" applyNumberFormat="1" applyFont="1" applyFill="1" applyBorder="1" applyAlignment="1">
      <alignment horizontal="center"/>
    </xf>
    <xf numFmtId="49" fontId="31" fillId="27" borderId="36" xfId="0" applyNumberFormat="1" applyFont="1" applyFill="1" applyBorder="1" applyAlignment="1">
      <alignment horizontal="left"/>
    </xf>
    <xf numFmtId="49" fontId="31" fillId="27" borderId="42" xfId="0" applyNumberFormat="1" applyFont="1" applyFill="1" applyBorder="1" applyAlignment="1">
      <alignment horizontal="left"/>
    </xf>
    <xf numFmtId="0" fontId="31" fillId="0" borderId="20" xfId="0" applyFont="1" applyFill="1" applyBorder="1"/>
    <xf numFmtId="0" fontId="31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right"/>
    </xf>
    <xf numFmtId="0" fontId="37" fillId="0" borderId="0" xfId="0" applyFont="1" applyBorder="1"/>
    <xf numFmtId="9" fontId="31" fillId="0" borderId="0" xfId="0" applyNumberFormat="1" applyFont="1" applyBorder="1" applyAlignment="1">
      <alignment horizontal="center"/>
    </xf>
    <xf numFmtId="0" fontId="37" fillId="27" borderId="49" xfId="0" applyFont="1" applyFill="1" applyBorder="1" applyAlignment="1">
      <alignment horizontal="right"/>
    </xf>
    <xf numFmtId="0" fontId="37" fillId="27" borderId="36" xfId="0" applyFont="1" applyFill="1" applyBorder="1" applyAlignment="1">
      <alignment horizontal="center"/>
    </xf>
    <xf numFmtId="0" fontId="37" fillId="27" borderId="42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9" fontId="22" fillId="0" borderId="17" xfId="0" applyNumberFormat="1" applyFont="1" applyBorder="1" applyAlignment="1">
      <alignment horizontal="center"/>
    </xf>
    <xf numFmtId="8" fontId="22" fillId="0" borderId="0" xfId="0" applyNumberFormat="1" applyFont="1" applyBorder="1" applyAlignment="1">
      <alignment horizontal="center"/>
    </xf>
    <xf numFmtId="0" fontId="31" fillId="0" borderId="0" xfId="0" applyFont="1" applyFill="1"/>
    <xf numFmtId="0" fontId="25" fillId="0" borderId="0" xfId="0" applyFont="1"/>
    <xf numFmtId="10" fontId="25" fillId="0" borderId="0" xfId="10" applyNumberFormat="1" applyFont="1"/>
    <xf numFmtId="0" fontId="47" fillId="0" borderId="0" xfId="0" applyFont="1"/>
    <xf numFmtId="10" fontId="47" fillId="0" borderId="0" xfId="10" applyNumberFormat="1" applyFont="1"/>
    <xf numFmtId="171" fontId="43" fillId="0" borderId="0" xfId="10" applyNumberFormat="1" applyFont="1"/>
    <xf numFmtId="44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166" fontId="47" fillId="0" borderId="0" xfId="0" applyNumberFormat="1" applyFont="1" applyAlignment="1">
      <alignment horizontal="center"/>
    </xf>
    <xf numFmtId="166" fontId="47" fillId="0" borderId="0" xfId="0" applyNumberFormat="1" applyFont="1"/>
    <xf numFmtId="10" fontId="47" fillId="0" borderId="0" xfId="10" applyNumberFormat="1" applyFont="1" applyAlignment="1">
      <alignment horizontal="center"/>
    </xf>
    <xf numFmtId="44" fontId="47" fillId="0" borderId="0" xfId="0" applyNumberFormat="1" applyFont="1" applyAlignment="1">
      <alignment horizontal="right"/>
    </xf>
    <xf numFmtId="0" fontId="0" fillId="0" borderId="0" xfId="0" applyBorder="1" applyAlignment="1">
      <alignment vertical="center"/>
    </xf>
  </cellXfs>
  <cellStyles count="506">
    <cellStyle name="20% - Accent1 2" xfId="12"/>
    <cellStyle name="20% - Accent1 2 2" xfId="13"/>
    <cellStyle name="20% - Accent1 2 3" xfId="14"/>
    <cellStyle name="20% - Accent1 2 4" xfId="15"/>
    <cellStyle name="20% - Accent1 2 5" xfId="16"/>
    <cellStyle name="20% - Accent1 2 6" xfId="17"/>
    <cellStyle name="20% - Accent1 3" xfId="18"/>
    <cellStyle name="20% - Accent1 4" xfId="19"/>
    <cellStyle name="20% - Accent1 5" xfId="20"/>
    <cellStyle name="20% - Accent1 6" xfId="21"/>
    <cellStyle name="20% - Accent2 2" xfId="22"/>
    <cellStyle name="20% - Accent2 2 2" xfId="23"/>
    <cellStyle name="20% - Accent2 2 3" xfId="24"/>
    <cellStyle name="20% - Accent2 2 4" xfId="25"/>
    <cellStyle name="20% - Accent2 2 5" xfId="26"/>
    <cellStyle name="20% - Accent2 2 6" xfId="27"/>
    <cellStyle name="20% - Accent2 3" xfId="28"/>
    <cellStyle name="20% - Accent2 4" xfId="29"/>
    <cellStyle name="20% - Accent2 5" xfId="30"/>
    <cellStyle name="20% - Accent2 6" xfId="31"/>
    <cellStyle name="20% - Accent3 2" xfId="32"/>
    <cellStyle name="20% - Accent3 2 2" xfId="33"/>
    <cellStyle name="20% - Accent3 2 3" xfId="34"/>
    <cellStyle name="20% - Accent3 2 4" xfId="35"/>
    <cellStyle name="20% - Accent3 2 5" xfId="36"/>
    <cellStyle name="20% - Accent3 2 6" xfId="37"/>
    <cellStyle name="20% - Accent3 3" xfId="38"/>
    <cellStyle name="20% - Accent3 4" xfId="39"/>
    <cellStyle name="20% - Accent3 5" xfId="40"/>
    <cellStyle name="20% - Accent3 6" xfId="41"/>
    <cellStyle name="20% - Accent4 2" xfId="42"/>
    <cellStyle name="20% - Accent4 2 2" xfId="43"/>
    <cellStyle name="20% - Accent4 2 3" xfId="44"/>
    <cellStyle name="20% - Accent4 2 4" xfId="45"/>
    <cellStyle name="20% - Accent4 2 5" xfId="46"/>
    <cellStyle name="20% - Accent4 2 6" xfId="47"/>
    <cellStyle name="20% - Accent4 3" xfId="48"/>
    <cellStyle name="20% - Accent4 4" xfId="49"/>
    <cellStyle name="20% - Accent4 5" xfId="50"/>
    <cellStyle name="20% - Accent4 6" xfId="51"/>
    <cellStyle name="20% - Accent5 2" xfId="52"/>
    <cellStyle name="20% - Accent5 2 2" xfId="53"/>
    <cellStyle name="20% - Accent5 2 3" xfId="54"/>
    <cellStyle name="20% - Accent5 2 4" xfId="55"/>
    <cellStyle name="20% - Accent5 2 5" xfId="56"/>
    <cellStyle name="20% - Accent5 2 6" xfId="57"/>
    <cellStyle name="20% - Accent5 3" xfId="58"/>
    <cellStyle name="20% - Accent5 4" xfId="59"/>
    <cellStyle name="20% - Accent5 5" xfId="60"/>
    <cellStyle name="20% - Accent5 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2 6" xfId="67"/>
    <cellStyle name="20% - Accent6 3" xfId="68"/>
    <cellStyle name="20% - Accent6 4" xfId="69"/>
    <cellStyle name="20% - Accent6 5" xfId="70"/>
    <cellStyle name="20% - Accent6 6" xfId="71"/>
    <cellStyle name="40% - Accent1 2" xfId="72"/>
    <cellStyle name="40% - Accent1 2 2" xfId="73"/>
    <cellStyle name="40% - Accent1 2 3" xfId="74"/>
    <cellStyle name="40% - Accent1 2 4" xfId="75"/>
    <cellStyle name="40% - Accent1 2 5" xfId="76"/>
    <cellStyle name="40% - Accent1 2 6" xfId="77"/>
    <cellStyle name="40% - Accent1 3" xfId="78"/>
    <cellStyle name="40% - Accent1 4" xfId="79"/>
    <cellStyle name="40% - Accent1 5" xfId="80"/>
    <cellStyle name="40% - Accent1 6" xfId="81"/>
    <cellStyle name="40% - Accent2 2" xfId="82"/>
    <cellStyle name="40% - Accent2 2 2" xfId="83"/>
    <cellStyle name="40% - Accent2 2 3" xfId="84"/>
    <cellStyle name="40% - Accent2 2 4" xfId="85"/>
    <cellStyle name="40% - Accent2 2 5" xfId="86"/>
    <cellStyle name="40% - Accent2 2 6" xfId="87"/>
    <cellStyle name="40% - Accent2 3" xfId="88"/>
    <cellStyle name="40% - Accent2 4" xfId="89"/>
    <cellStyle name="40% - Accent2 5" xfId="90"/>
    <cellStyle name="40% - Accent2 6" xfId="91"/>
    <cellStyle name="40% - Accent3 2" xfId="92"/>
    <cellStyle name="40% - Accent3 2 2" xfId="93"/>
    <cellStyle name="40% - Accent3 2 3" xfId="94"/>
    <cellStyle name="40% - Accent3 2 4" xfId="95"/>
    <cellStyle name="40% - Accent3 2 5" xfId="96"/>
    <cellStyle name="40% - Accent3 2 6" xfId="97"/>
    <cellStyle name="40% - Accent3 3" xfId="98"/>
    <cellStyle name="40% - Accent3 4" xfId="99"/>
    <cellStyle name="40% - Accent3 5" xfId="100"/>
    <cellStyle name="40% - Accent3 6" xfId="101"/>
    <cellStyle name="40% - Accent4 2" xfId="102"/>
    <cellStyle name="40% - Accent4 2 2" xfId="103"/>
    <cellStyle name="40% - Accent4 2 3" xfId="104"/>
    <cellStyle name="40% - Accent4 2 4" xfId="105"/>
    <cellStyle name="40% - Accent4 2 5" xfId="106"/>
    <cellStyle name="40% - Accent4 2 6" xfId="107"/>
    <cellStyle name="40% - Accent4 3" xfId="108"/>
    <cellStyle name="40% - Accent4 4" xfId="109"/>
    <cellStyle name="40% - Accent4 5" xfId="110"/>
    <cellStyle name="40% - Accent4 6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2 6" xfId="117"/>
    <cellStyle name="40% - Accent5 3" xfId="118"/>
    <cellStyle name="40% - Accent5 4" xfId="119"/>
    <cellStyle name="40% - Accent5 5" xfId="120"/>
    <cellStyle name="40% - Accent5 6" xfId="121"/>
    <cellStyle name="40% - Accent6 2" xfId="122"/>
    <cellStyle name="40% - Accent6 2 2" xfId="123"/>
    <cellStyle name="40% - Accent6 2 3" xfId="124"/>
    <cellStyle name="40% - Accent6 2 4" xfId="125"/>
    <cellStyle name="40% - Accent6 2 5" xfId="126"/>
    <cellStyle name="40% - Accent6 2 6" xfId="127"/>
    <cellStyle name="40% - Accent6 3" xfId="128"/>
    <cellStyle name="40% - Accent6 4" xfId="129"/>
    <cellStyle name="40% - Accent6 5" xfId="130"/>
    <cellStyle name="40% - Accent6 6" xfId="131"/>
    <cellStyle name="60% - Accent1 2" xfId="132"/>
    <cellStyle name="60% - Accent2 2" xfId="133"/>
    <cellStyle name="60% - Accent3 2" xfId="134"/>
    <cellStyle name="60% - Accent4 2" xfId="135"/>
    <cellStyle name="60% - Accent5 2" xfId="136"/>
    <cellStyle name="60% - Accent6 2" xfId="137"/>
    <cellStyle name="Accent1 2" xfId="138"/>
    <cellStyle name="Accent2 2" xfId="139"/>
    <cellStyle name="Accent3 2" xfId="140"/>
    <cellStyle name="Accent4 2" xfId="141"/>
    <cellStyle name="Accent5 2" xfId="142"/>
    <cellStyle name="Accent6 2" xfId="143"/>
    <cellStyle name="Bad 2" xfId="144"/>
    <cellStyle name="Bad 3" xfId="145"/>
    <cellStyle name="Body: normal cell" xfId="146"/>
    <cellStyle name="Calculation 2" xfId="147"/>
    <cellStyle name="Calculation 2 2" xfId="148"/>
    <cellStyle name="Calculation 2 3" xfId="149"/>
    <cellStyle name="Check Cell 2" xfId="150"/>
    <cellStyle name="Comma" xfId="1" builtinId="3"/>
    <cellStyle name="Comma [0] 2" xfId="151"/>
    <cellStyle name="Comma 10" xfId="152"/>
    <cellStyle name="Comma 11" xfId="153"/>
    <cellStyle name="Comma 2" xfId="154"/>
    <cellStyle name="Comma 2 2" xfId="155"/>
    <cellStyle name="Comma 2 2 2" xfId="156"/>
    <cellStyle name="Comma 2 3" xfId="157"/>
    <cellStyle name="Comma 3" xfId="158"/>
    <cellStyle name="Comma 3 2" xfId="159"/>
    <cellStyle name="Comma 3 3" xfId="160"/>
    <cellStyle name="Comma 3 4" xfId="161"/>
    <cellStyle name="Comma 3 5" xfId="162"/>
    <cellStyle name="Comma 3 6" xfId="163"/>
    <cellStyle name="Comma 4" xfId="164"/>
    <cellStyle name="Comma 4 2" xfId="165"/>
    <cellStyle name="Comma 5" xfId="166"/>
    <cellStyle name="Comma 5 2" xfId="167"/>
    <cellStyle name="Comma 5 3" xfId="168"/>
    <cellStyle name="Comma 5 4" xfId="169"/>
    <cellStyle name="Comma 5 5" xfId="170"/>
    <cellStyle name="Comma 5 6" xfId="171"/>
    <cellStyle name="Comma 6" xfId="172"/>
    <cellStyle name="Comma 6 2" xfId="173"/>
    <cellStyle name="Comma 7" xfId="174"/>
    <cellStyle name="Comma 7 2" xfId="175"/>
    <cellStyle name="Comma 8" xfId="176"/>
    <cellStyle name="Comma 9" xfId="177"/>
    <cellStyle name="Currency" xfId="2" builtinId="4"/>
    <cellStyle name="Currency [0] 2" xfId="178"/>
    <cellStyle name="Currency 10" xfId="179"/>
    <cellStyle name="Currency 11" xfId="180"/>
    <cellStyle name="Currency 12" xfId="181"/>
    <cellStyle name="Currency 13" xfId="182"/>
    <cellStyle name="Currency 14" xfId="183"/>
    <cellStyle name="Currency 15" xfId="184"/>
    <cellStyle name="Currency 16" xfId="185"/>
    <cellStyle name="Currency 17" xfId="186"/>
    <cellStyle name="Currency 18" xfId="187"/>
    <cellStyle name="Currency 19" xfId="188"/>
    <cellStyle name="Currency 2" xfId="189"/>
    <cellStyle name="Currency 2 2" xfId="190"/>
    <cellStyle name="Currency 2 2 2" xfId="191"/>
    <cellStyle name="Currency 2 2 2 2" xfId="192"/>
    <cellStyle name="Currency 2 2 2 3" xfId="9"/>
    <cellStyle name="Currency 2 3" xfId="11"/>
    <cellStyle name="Currency 2 4" xfId="193"/>
    <cellStyle name="Currency 2 4 2" xfId="194"/>
    <cellStyle name="Currency 2 5" xfId="195"/>
    <cellStyle name="Currency 20" xfId="196"/>
    <cellStyle name="Currency 21" xfId="197"/>
    <cellStyle name="Currency 22" xfId="198"/>
    <cellStyle name="Currency 23" xfId="199"/>
    <cellStyle name="Currency 24" xfId="200"/>
    <cellStyle name="Currency 25" xfId="201"/>
    <cellStyle name="Currency 26" xfId="202"/>
    <cellStyle name="Currency 27" xfId="203"/>
    <cellStyle name="Currency 28" xfId="204"/>
    <cellStyle name="Currency 29" xfId="205"/>
    <cellStyle name="Currency 3" xfId="206"/>
    <cellStyle name="Currency 3 2" xfId="207"/>
    <cellStyle name="Currency 3 2 2" xfId="208"/>
    <cellStyle name="Currency 3 3" xfId="209"/>
    <cellStyle name="Currency 3 4" xfId="210"/>
    <cellStyle name="Currency 3 5" xfId="211"/>
    <cellStyle name="Currency 30" xfId="212"/>
    <cellStyle name="Currency 31" xfId="213"/>
    <cellStyle name="Currency 32" xfId="214"/>
    <cellStyle name="Currency 33" xfId="215"/>
    <cellStyle name="Currency 34" xfId="216"/>
    <cellStyle name="Currency 35" xfId="217"/>
    <cellStyle name="Currency 36" xfId="218"/>
    <cellStyle name="Currency 37" xfId="219"/>
    <cellStyle name="Currency 38" xfId="220"/>
    <cellStyle name="Currency 39" xfId="221"/>
    <cellStyle name="Currency 4" xfId="222"/>
    <cellStyle name="Currency 4 2" xfId="223"/>
    <cellStyle name="Currency 4 2 2" xfId="224"/>
    <cellStyle name="Currency 4 2 2 2" xfId="225"/>
    <cellStyle name="Currency 4 2 2 3" xfId="226"/>
    <cellStyle name="Currency 4 2 3" xfId="227"/>
    <cellStyle name="Currency 4 3" xfId="228"/>
    <cellStyle name="Currency 4 3 2" xfId="229"/>
    <cellStyle name="Currency 4 3 3" xfId="230"/>
    <cellStyle name="Currency 4 4" xfId="231"/>
    <cellStyle name="Currency 4 5" xfId="232"/>
    <cellStyle name="Currency 40" xfId="233"/>
    <cellStyle name="Currency 41" xfId="234"/>
    <cellStyle name="Currency 42" xfId="235"/>
    <cellStyle name="Currency 43" xfId="236"/>
    <cellStyle name="Currency 44" xfId="237"/>
    <cellStyle name="Currency 45" xfId="238"/>
    <cellStyle name="Currency 46" xfId="239"/>
    <cellStyle name="Currency 5" xfId="240"/>
    <cellStyle name="Currency 5 2" xfId="241"/>
    <cellStyle name="Currency 5 2 2" xfId="242"/>
    <cellStyle name="Currency 5 3" xfId="243"/>
    <cellStyle name="Currency 5 3 2" xfId="244"/>
    <cellStyle name="Currency 5 3 3" xfId="245"/>
    <cellStyle name="Currency 5 4" xfId="246"/>
    <cellStyle name="Currency 5 5" xfId="247"/>
    <cellStyle name="Currency 5 6" xfId="248"/>
    <cellStyle name="Currency 6" xfId="249"/>
    <cellStyle name="Currency 6 2" xfId="250"/>
    <cellStyle name="Currency 6 3" xfId="251"/>
    <cellStyle name="Currency 6 4" xfId="252"/>
    <cellStyle name="Currency 6 5" xfId="253"/>
    <cellStyle name="Currency 6 6" xfId="254"/>
    <cellStyle name="Currency 7" xfId="255"/>
    <cellStyle name="Currency 7 2" xfId="256"/>
    <cellStyle name="Currency 7 3" xfId="257"/>
    <cellStyle name="Currency 7 4" xfId="258"/>
    <cellStyle name="Currency 7 5" xfId="259"/>
    <cellStyle name="Currency 7 6" xfId="260"/>
    <cellStyle name="Currency 8" xfId="261"/>
    <cellStyle name="Currency 8 2" xfId="262"/>
    <cellStyle name="Currency 9" xfId="263"/>
    <cellStyle name="Explanatory Text 2" xfId="264"/>
    <cellStyle name="Explanatory Text 2 2" xfId="265"/>
    <cellStyle name="Explanatory Text 2 3" xfId="266"/>
    <cellStyle name="Font: Calibri, 9pt regular" xfId="267"/>
    <cellStyle name="Footnotes: top row" xfId="268"/>
    <cellStyle name="FRxAmtStyle" xfId="269"/>
    <cellStyle name="FRxAmtStyle 2" xfId="270"/>
    <cellStyle name="FRxCurrStyle" xfId="271"/>
    <cellStyle name="FRxCurrStyle 2" xfId="272"/>
    <cellStyle name="FRxPcntStyle" xfId="273"/>
    <cellStyle name="FRxPcntStyle 2" xfId="274"/>
    <cellStyle name="Good 2" xfId="275"/>
    <cellStyle name="Header: bottom row" xfId="276"/>
    <cellStyle name="Heading 1 2" xfId="277"/>
    <cellStyle name="Heading 1 2 2" xfId="278"/>
    <cellStyle name="Heading 1 2 3" xfId="279"/>
    <cellStyle name="Heading 2 2" xfId="280"/>
    <cellStyle name="Heading 2 2 2" xfId="281"/>
    <cellStyle name="Heading 2 2 3" xfId="282"/>
    <cellStyle name="Heading 3 2" xfId="283"/>
    <cellStyle name="Heading 3 2 2" xfId="284"/>
    <cellStyle name="Heading 3 2 3" xfId="285"/>
    <cellStyle name="Heading 4 2" xfId="286"/>
    <cellStyle name="Heading 4 2 2" xfId="287"/>
    <cellStyle name="Heading 4 2 3" xfId="288"/>
    <cellStyle name="Hyperlink 2" xfId="289"/>
    <cellStyle name="Hyperlink 3" xfId="290"/>
    <cellStyle name="Input 2" xfId="291"/>
    <cellStyle name="Input 2 2" xfId="292"/>
    <cellStyle name="Input 2 3" xfId="293"/>
    <cellStyle name="Linked Cell 2" xfId="294"/>
    <cellStyle name="Linked Cell 2 2" xfId="295"/>
    <cellStyle name="Linked Cell 2 3" xfId="296"/>
    <cellStyle name="Neutral 2" xfId="297"/>
    <cellStyle name="Normal" xfId="0" builtinId="0"/>
    <cellStyle name="Normal 10" xfId="298"/>
    <cellStyle name="Normal 10 2" xfId="299"/>
    <cellStyle name="Normal 10 3" xfId="300"/>
    <cellStyle name="Normal 10 3 2" xfId="301"/>
    <cellStyle name="Normal 11" xfId="302"/>
    <cellStyle name="Normal 11 2" xfId="303"/>
    <cellStyle name="Normal 11 2 2" xfId="304"/>
    <cellStyle name="Normal 12" xfId="305"/>
    <cellStyle name="Normal 12 2" xfId="306"/>
    <cellStyle name="Normal 12 3" xfId="307"/>
    <cellStyle name="Normal 12 4" xfId="308"/>
    <cellStyle name="Normal 12 5" xfId="309"/>
    <cellStyle name="Normal 12 6" xfId="310"/>
    <cellStyle name="Normal 13" xfId="311"/>
    <cellStyle name="Normal 13 2" xfId="312"/>
    <cellStyle name="Normal 14" xfId="313"/>
    <cellStyle name="Normal 14 2" xfId="314"/>
    <cellStyle name="Normal 15" xfId="315"/>
    <cellStyle name="Normal 15 2" xfId="316"/>
    <cellStyle name="Normal 16" xfId="317"/>
    <cellStyle name="Normal 17" xfId="318"/>
    <cellStyle name="Normal 17 2" xfId="319"/>
    <cellStyle name="Normal 18" xfId="320"/>
    <cellStyle name="Normal 18 2" xfId="321"/>
    <cellStyle name="Normal 19" xfId="322"/>
    <cellStyle name="Normal 2" xfId="323"/>
    <cellStyle name="Normal 2 2" xfId="324"/>
    <cellStyle name="Normal 2 2 2" xfId="325"/>
    <cellStyle name="Normal 2 2 3" xfId="326"/>
    <cellStyle name="Normal 2 3" xfId="327"/>
    <cellStyle name="Normal 2 3 2" xfId="328"/>
    <cellStyle name="Normal 2 3 3" xfId="329"/>
    <cellStyle name="Normal 2 3 4" xfId="330"/>
    <cellStyle name="Normal 2 3 5" xfId="331"/>
    <cellStyle name="Normal 2 3 6" xfId="332"/>
    <cellStyle name="Normal 2 4" xfId="333"/>
    <cellStyle name="Normal 2 4 2" xfId="334"/>
    <cellStyle name="Normal 2 4 3" xfId="335"/>
    <cellStyle name="Normal 2 5" xfId="336"/>
    <cellStyle name="Normal 2 5 2" xfId="337"/>
    <cellStyle name="Normal 2_13-14 PKG - BC premium breakdown includes figures(1)" xfId="338"/>
    <cellStyle name="Normal 20" xfId="4"/>
    <cellStyle name="Normal 21" xfId="339"/>
    <cellStyle name="Normal 22" xfId="340"/>
    <cellStyle name="Normal 23" xfId="341"/>
    <cellStyle name="Normal 23 2" xfId="342"/>
    <cellStyle name="Normal 3" xfId="343"/>
    <cellStyle name="Normal 3 2" xfId="344"/>
    <cellStyle name="Normal 3 2 2" xfId="345"/>
    <cellStyle name="Normal 3 2 3" xfId="346"/>
    <cellStyle name="Normal 3 2 4" xfId="347"/>
    <cellStyle name="Normal 3 2 5" xfId="348"/>
    <cellStyle name="Normal 3 2 6" xfId="349"/>
    <cellStyle name="Normal 3 3" xfId="350"/>
    <cellStyle name="Normal 3 3 2" xfId="351"/>
    <cellStyle name="Normal 3 4" xfId="352"/>
    <cellStyle name="Normal 3 4 2" xfId="353"/>
    <cellStyle name="Normal 3 5" xfId="354"/>
    <cellStyle name="Normal 3 9" xfId="355"/>
    <cellStyle name="Normal 4" xfId="356"/>
    <cellStyle name="Normal 4 2" xfId="6"/>
    <cellStyle name="Normal 4 2 2" xfId="357"/>
    <cellStyle name="Normal 4 2 2 2" xfId="358"/>
    <cellStyle name="Normal 4 2 2 3" xfId="359"/>
    <cellStyle name="Normal 4 2 3" xfId="360"/>
    <cellStyle name="Normal 4 2 3 2" xfId="361"/>
    <cellStyle name="Normal 4 3" xfId="362"/>
    <cellStyle name="Normal 4 3 2" xfId="363"/>
    <cellStyle name="Normal 4 3 3" xfId="364"/>
    <cellStyle name="Normal 4 4" xfId="365"/>
    <cellStyle name="Normal 5" xfId="366"/>
    <cellStyle name="Normal 5 2" xfId="367"/>
    <cellStyle name="Normal 5 2 2" xfId="368"/>
    <cellStyle name="Normal 5 3" xfId="369"/>
    <cellStyle name="Normal 5 3 2" xfId="370"/>
    <cellStyle name="Normal 6" xfId="371"/>
    <cellStyle name="Normal 6 2" xfId="372"/>
    <cellStyle name="Normal 6 2 2" xfId="373"/>
    <cellStyle name="Normal 6 2 2 2" xfId="374"/>
    <cellStyle name="Normal 6 2 2 3" xfId="375"/>
    <cellStyle name="Normal 6 2 2 4" xfId="376"/>
    <cellStyle name="Normal 6 2 2 5" xfId="377"/>
    <cellStyle name="Normal 6 2 2 6" xfId="378"/>
    <cellStyle name="Normal 6 2 3" xfId="379"/>
    <cellStyle name="Normal 6 2 4" xfId="380"/>
    <cellStyle name="Normal 6 2 5" xfId="381"/>
    <cellStyle name="Normal 6 2 6" xfId="382"/>
    <cellStyle name="Normal 6 2 7" xfId="383"/>
    <cellStyle name="Normal 6 2 8" xfId="5"/>
    <cellStyle name="Normal 6 3" xfId="384"/>
    <cellStyle name="Normal 6 3 2" xfId="385"/>
    <cellStyle name="Normal 6 3 3" xfId="386"/>
    <cellStyle name="Normal 6 3 4" xfId="387"/>
    <cellStyle name="Normal 6 3 5" xfId="388"/>
    <cellStyle name="Normal 6 3 6" xfId="389"/>
    <cellStyle name="Normal 6 4" xfId="390"/>
    <cellStyle name="Normal 6 4 2" xfId="391"/>
    <cellStyle name="Normal 6 4 3" xfId="392"/>
    <cellStyle name="Normal 6 4 4" xfId="393"/>
    <cellStyle name="Normal 6 4 5" xfId="394"/>
    <cellStyle name="Normal 6 4 6" xfId="395"/>
    <cellStyle name="Normal 6 5" xfId="396"/>
    <cellStyle name="Normal 6 6" xfId="397"/>
    <cellStyle name="Normal 6 7" xfId="398"/>
    <cellStyle name="Normal 6 8" xfId="399"/>
    <cellStyle name="Normal 6 9" xfId="400"/>
    <cellStyle name="Normal 7" xfId="401"/>
    <cellStyle name="Normal 7 2" xfId="402"/>
    <cellStyle name="Normal 7 3" xfId="403"/>
    <cellStyle name="Normal 8" xfId="404"/>
    <cellStyle name="Normal 8 2" xfId="405"/>
    <cellStyle name="Normal 8 2 2" xfId="406"/>
    <cellStyle name="Normal 8 2 3" xfId="407"/>
    <cellStyle name="Normal 8 2 4" xfId="408"/>
    <cellStyle name="Normal 8 2 5" xfId="409"/>
    <cellStyle name="Normal 8 2 6" xfId="410"/>
    <cellStyle name="Normal 8 3" xfId="411"/>
    <cellStyle name="Normal 8 4" xfId="412"/>
    <cellStyle name="Normal 8 5" xfId="413"/>
    <cellStyle name="Normal 8 6" xfId="414"/>
    <cellStyle name="Normal 8 7" xfId="415"/>
    <cellStyle name="Normal 8 8" xfId="416"/>
    <cellStyle name="Normal 9" xfId="417"/>
    <cellStyle name="Normal 9 2" xfId="418"/>
    <cellStyle name="Normal 9 2 2" xfId="419"/>
    <cellStyle name="Normal 9 2 3" xfId="420"/>
    <cellStyle name="Normal 9 3" xfId="421"/>
    <cellStyle name="Note 2" xfId="422"/>
    <cellStyle name="Note 2 2" xfId="423"/>
    <cellStyle name="Note 2 3" xfId="424"/>
    <cellStyle name="Note 3" xfId="425"/>
    <cellStyle name="Output 2" xfId="426"/>
    <cellStyle name="Output 2 2" xfId="427"/>
    <cellStyle name="Output 2 3" xfId="428"/>
    <cellStyle name="Parent row" xfId="429"/>
    <cellStyle name="Percent" xfId="3" builtinId="5"/>
    <cellStyle name="Percent 10" xfId="430"/>
    <cellStyle name="Percent 10 2" xfId="431"/>
    <cellStyle name="Percent 11" xfId="432"/>
    <cellStyle name="Percent 2" xfId="433"/>
    <cellStyle name="Percent 2 2" xfId="10"/>
    <cellStyle name="Percent 2 2 2" xfId="434"/>
    <cellStyle name="Percent 2 2 3" xfId="435"/>
    <cellStyle name="Percent 2 3" xfId="436"/>
    <cellStyle name="Percent 2 4" xfId="437"/>
    <cellStyle name="Percent 2 5" xfId="7"/>
    <cellStyle name="Percent 3" xfId="8"/>
    <cellStyle name="Percent 3 2" xfId="438"/>
    <cellStyle name="Percent 3 2 2" xfId="439"/>
    <cellStyle name="Percent 3 2 3" xfId="440"/>
    <cellStyle name="Percent 3 3" xfId="441"/>
    <cellStyle name="Percent 3 4" xfId="442"/>
    <cellStyle name="Percent 3 5" xfId="443"/>
    <cellStyle name="Percent 4" xfId="444"/>
    <cellStyle name="Percent 4 2" xfId="445"/>
    <cellStyle name="Percent 4 2 2" xfId="446"/>
    <cellStyle name="Percent 4 2 3" xfId="447"/>
    <cellStyle name="Percent 4 3" xfId="448"/>
    <cellStyle name="Percent 4 3 2" xfId="449"/>
    <cellStyle name="Percent 5" xfId="450"/>
    <cellStyle name="Percent 5 2" xfId="451"/>
    <cellStyle name="Percent 5 2 2" xfId="452"/>
    <cellStyle name="Percent 5 3" xfId="453"/>
    <cellStyle name="Percent 5 4" xfId="454"/>
    <cellStyle name="Percent 5 5" xfId="455"/>
    <cellStyle name="Percent 6" xfId="456"/>
    <cellStyle name="Percent 6 2" xfId="457"/>
    <cellStyle name="Percent 6 2 2" xfId="458"/>
    <cellStyle name="Percent 6 2 3" xfId="459"/>
    <cellStyle name="Percent 6 2 4" xfId="460"/>
    <cellStyle name="Percent 6 2 5" xfId="461"/>
    <cellStyle name="Percent 6 2 6" xfId="462"/>
    <cellStyle name="Percent 6 3" xfId="463"/>
    <cellStyle name="Percent 6 3 2" xfId="464"/>
    <cellStyle name="Percent 6 3 3" xfId="465"/>
    <cellStyle name="Percent 6 3 4" xfId="466"/>
    <cellStyle name="Percent 6 3 5" xfId="467"/>
    <cellStyle name="Percent 6 3 6" xfId="468"/>
    <cellStyle name="Percent 6 4" xfId="469"/>
    <cellStyle name="Percent 6 5" xfId="470"/>
    <cellStyle name="Percent 6 6" xfId="471"/>
    <cellStyle name="Percent 6 7" xfId="472"/>
    <cellStyle name="Percent 6 8" xfId="473"/>
    <cellStyle name="Percent 7" xfId="474"/>
    <cellStyle name="Percent 7 2" xfId="475"/>
    <cellStyle name="Percent 7 3" xfId="476"/>
    <cellStyle name="Percent 7 4" xfId="477"/>
    <cellStyle name="Percent 8" xfId="478"/>
    <cellStyle name="Percent 8 2" xfId="479"/>
    <cellStyle name="Percent 8 3" xfId="480"/>
    <cellStyle name="Percent 9" xfId="481"/>
    <cellStyle name="Percent 9 2" xfId="482"/>
    <cellStyle name="STYLE1" xfId="483"/>
    <cellStyle name="STYLE1 2" xfId="484"/>
    <cellStyle name="STYLE1 2 2" xfId="485"/>
    <cellStyle name="STYLE1 3" xfId="486"/>
    <cellStyle name="STYLE1_YEPs" xfId="487"/>
    <cellStyle name="STYLE2" xfId="488"/>
    <cellStyle name="STYLE2 2" xfId="489"/>
    <cellStyle name="STYLE3" xfId="490"/>
    <cellStyle name="STYLE3 2" xfId="491"/>
    <cellStyle name="STYLE3 3" xfId="492"/>
    <cellStyle name="STYLE4" xfId="493"/>
    <cellStyle name="STYLE5" xfId="494"/>
    <cellStyle name="Table title" xfId="495"/>
    <cellStyle name="Title 2" xfId="496"/>
    <cellStyle name="Title 2 2" xfId="497"/>
    <cellStyle name="Title 2 3" xfId="498"/>
    <cellStyle name="Title 3" xfId="499"/>
    <cellStyle name="Total 2" xfId="500"/>
    <cellStyle name="Total 2 2" xfId="501"/>
    <cellStyle name="Total 2 3" xfId="502"/>
    <cellStyle name="Warning Text 2" xfId="503"/>
    <cellStyle name="Warning Text 2 2" xfId="504"/>
    <cellStyle name="Warning Text 2 3" xfId="5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361689</xdr:colOff>
      <xdr:row>21</xdr:row>
      <xdr:rowOff>23263</xdr:rowOff>
    </xdr:from>
    <xdr:to>
      <xdr:col>3</xdr:col>
      <xdr:colOff>343248</xdr:colOff>
      <xdr:row>26</xdr:row>
      <xdr:rowOff>90987</xdr:rowOff>
    </xdr:to>
    <xdr:sp macro="" textlink="">
      <xdr:nvSpPr>
        <xdr:cNvPr id="2" name="TextBox 1"/>
        <xdr:cNvSpPr txBox="1"/>
      </xdr:nvSpPr>
      <xdr:spPr>
        <a:xfrm>
          <a:off x="361689" y="4534303"/>
          <a:ext cx="3928719" cy="1020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1"/>
            <a:t>*A HUD grant funds a housing subsidy for all 391 of the consumers in this group. As a result, HUD then requires the services above named "housing search" and "subsidy management." These services are funded jointly by DMH, DPH, and DDS.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41</xdr:row>
      <xdr:rowOff>117475</xdr:rowOff>
    </xdr:from>
    <xdr:to>
      <xdr:col>3</xdr:col>
      <xdr:colOff>444500</xdr:colOff>
      <xdr:row>42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5E960D92-B021-4B8C-9D3B-055C7981B761}"/>
            </a:ext>
          </a:extLst>
        </xdr:cNvPr>
        <xdr:cNvSpPr txBox="1"/>
      </xdr:nvSpPr>
      <xdr:spPr>
        <a:xfrm>
          <a:off x="3753485" y="8065135"/>
          <a:ext cx="118681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\Downloads\BLS%20Benchmark%20Analysis%20FOIA%20(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MH%20-%20Adult%20Homelessness%20Supports-%20CMR%20421/FY22%20Rate%20Review/1.%20Strategy%20Materials/Dual%20Dx%201.29.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Summary of Rates"/>
      <sheetName val="FI Summary"/>
      <sheetName val="Project Benchmarks"/>
      <sheetName val="2018 Safe Haven 7-9, 10-2 beds"/>
      <sheetName val="Chart"/>
      <sheetName val="2020 Fiscal Impact (2018 SPEND)"/>
      <sheetName val="Fiscal Impact"/>
      <sheetName val="CAF Fall 2020"/>
      <sheetName val="Outreach and Engagement"/>
      <sheetName val="2018 Outreach and Engagement"/>
      <sheetName val="BAD 2020 Safe Haven 7-9,10-12 "/>
      <sheetName val=" Safe Haven 7-9, 10-12 beds"/>
      <sheetName val=" Housing First - HOP "/>
      <sheetName val="2018 Housing First - HOP"/>
      <sheetName val="Housing First - ATARP "/>
      <sheetName val="2018 Housing First - ATARP"/>
      <sheetName val="2020 Program Staffing Sup w"/>
      <sheetName val=" Program Staffing Sup"/>
      <sheetName val="2018Program Staffing Sup w Grid"/>
      <sheetName val="Spring 2019 CAF"/>
      <sheetName val="Clean Data"/>
      <sheetName val="CAF Fall 2018"/>
      <sheetName val="CAF Spring2017"/>
      <sheetName val="Dual Dx Shelter donated space "/>
      <sheetName val="Dual Dx Shelter w occupancy"/>
      <sheetName val="Safe H Model 6 beds"/>
      <sheetName val="CAF"/>
      <sheetName val="3039&amp;3049 UFR data"/>
      <sheetName val="FY21 Add on Rates "/>
      <sheetName val="2020 Fiscal Impact (2019 SPEND)"/>
      <sheetName val=" Dual DX (donated)"/>
      <sheetName val="Dual DX (w-occupanc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yCoveModel"/>
      <sheetName val="Chart"/>
      <sheetName val="Original Dual Dx (Donated)"/>
      <sheetName val="FY22 Dual DX (donated)"/>
      <sheetName val="Dual Dx Shelter donated space"/>
      <sheetName val="Original Dual Dx (w-occupancy) "/>
      <sheetName val="FY22 Dual DX (w-occupancy)"/>
      <sheetName val="Fall 2018"/>
      <sheetName val="CAF Fall 2020"/>
      <sheetName val="BayCoveExpenses"/>
      <sheetName val="3039&amp;3049 UFR data"/>
      <sheetName val="FY15 Salary Benchmark"/>
      <sheetName val="Project Benchmarks"/>
      <sheetName val="FY17 UFR"/>
      <sheetName val="EXPENSE COMPARE"/>
      <sheetName val="Fiscal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BQ23">
            <v>2.3531493276716206E-2</v>
          </cell>
        </row>
      </sheetData>
      <sheetData sheetId="8"/>
      <sheetData sheetId="9">
        <row r="10">
          <cell r="J10">
            <v>0.17499999999999999</v>
          </cell>
        </row>
        <row r="11">
          <cell r="J11">
            <v>1</v>
          </cell>
        </row>
        <row r="12">
          <cell r="J12">
            <v>0.22500000000000001</v>
          </cell>
        </row>
        <row r="13">
          <cell r="J13">
            <v>1</v>
          </cell>
        </row>
        <row r="14">
          <cell r="J14">
            <v>12</v>
          </cell>
        </row>
        <row r="27">
          <cell r="F27">
            <v>85000</v>
          </cell>
        </row>
      </sheetData>
      <sheetData sheetId="10"/>
      <sheetData sheetId="11"/>
      <sheetData sheetId="12">
        <row r="32">
          <cell r="B32">
            <v>17.190000000000001</v>
          </cell>
        </row>
      </sheetData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E1" zoomScale="73" zoomScaleNormal="73" workbookViewId="0">
      <selection activeCell="E1" sqref="A1:XFD1"/>
    </sheetView>
  </sheetViews>
  <sheetFormatPr defaultColWidth="9.109375" defaultRowHeight="15.6"/>
  <cols>
    <col min="1" max="1" width="5.109375" style="75" customWidth="1"/>
    <col min="2" max="2" width="37" style="146" customWidth="1"/>
    <col min="3" max="3" width="14.5546875" style="147" customWidth="1"/>
    <col min="4" max="4" width="64" style="147" customWidth="1"/>
    <col min="5" max="5" width="9.109375" style="75"/>
    <col min="6" max="6" width="39" style="154" customWidth="1"/>
    <col min="7" max="7" width="18.33203125" style="80" customWidth="1"/>
    <col min="8" max="8" width="13.44140625" style="75" customWidth="1"/>
    <col min="9" max="9" width="14.5546875" style="75" customWidth="1"/>
    <col min="10" max="10" width="9.109375" style="75"/>
    <col min="11" max="11" width="22.44140625" style="75" customWidth="1"/>
    <col min="12" max="12" width="24.44140625" style="75" customWidth="1"/>
    <col min="13" max="16384" width="9.109375" style="75"/>
  </cols>
  <sheetData>
    <row r="1" spans="1:12" ht="18.600000000000001" customHeight="1" thickBot="1">
      <c r="B1" s="76"/>
      <c r="C1" s="77"/>
      <c r="D1" s="78"/>
      <c r="F1" s="79"/>
    </row>
    <row r="2" spans="1:12" s="81" customFormat="1" ht="45" customHeight="1" thickBot="1">
      <c r="B2" s="82" t="s">
        <v>167</v>
      </c>
      <c r="C2" s="83"/>
      <c r="D2" s="84"/>
      <c r="F2" s="82" t="s">
        <v>168</v>
      </c>
      <c r="G2" s="83"/>
      <c r="H2" s="83"/>
      <c r="I2" s="84"/>
    </row>
    <row r="3" spans="1:12" ht="15" customHeight="1">
      <c r="B3" s="85" t="s">
        <v>169</v>
      </c>
      <c r="C3" s="86"/>
      <c r="D3" s="87" t="s">
        <v>170</v>
      </c>
      <c r="F3" s="88" t="s">
        <v>171</v>
      </c>
      <c r="G3" s="89">
        <v>300</v>
      </c>
      <c r="H3" s="90" t="s">
        <v>172</v>
      </c>
      <c r="I3" s="91">
        <v>12</v>
      </c>
      <c r="K3" s="92"/>
    </row>
    <row r="4" spans="1:12" ht="15" customHeight="1">
      <c r="B4" s="93" t="s">
        <v>173</v>
      </c>
      <c r="C4" s="94">
        <v>64428</v>
      </c>
      <c r="D4" s="95" t="s">
        <v>174</v>
      </c>
      <c r="F4" s="96"/>
      <c r="G4" s="97" t="s">
        <v>175</v>
      </c>
      <c r="H4" s="98" t="s">
        <v>176</v>
      </c>
      <c r="I4" s="99" t="s">
        <v>177</v>
      </c>
      <c r="K4" s="92"/>
    </row>
    <row r="5" spans="1:12" ht="15" customHeight="1">
      <c r="B5" s="100" t="s">
        <v>178</v>
      </c>
      <c r="C5" s="94">
        <f>Chart!C8</f>
        <v>41516.800000000003</v>
      </c>
      <c r="D5" s="101" t="s">
        <v>179</v>
      </c>
      <c r="E5" s="102"/>
      <c r="F5" s="93" t="str">
        <f>B4</f>
        <v>Management</v>
      </c>
      <c r="G5" s="103">
        <f>C4</f>
        <v>64428</v>
      </c>
      <c r="H5" s="104">
        <f>C8</f>
        <v>1</v>
      </c>
      <c r="I5" s="105">
        <f>H5*G5</f>
        <v>64428</v>
      </c>
      <c r="K5" s="92"/>
      <c r="L5" s="106"/>
    </row>
    <row r="6" spans="1:12" ht="15" customHeight="1">
      <c r="B6" s="107" t="s">
        <v>180</v>
      </c>
      <c r="C6" s="108">
        <f>Chart!C16</f>
        <v>60923.199999999997</v>
      </c>
      <c r="D6" s="101" t="s">
        <v>179</v>
      </c>
      <c r="F6" s="93" t="str">
        <f t="shared" ref="F6:F7" si="0">B5</f>
        <v>Direct Care - Bachelors Level</v>
      </c>
      <c r="G6" s="109">
        <f>C5</f>
        <v>41516.800000000003</v>
      </c>
      <c r="H6" s="110">
        <f>C9</f>
        <v>2</v>
      </c>
      <c r="I6" s="111">
        <f>H6*G6</f>
        <v>83033.600000000006</v>
      </c>
      <c r="K6" s="92"/>
      <c r="L6" s="106"/>
    </row>
    <row r="7" spans="1:12" ht="15" customHeight="1">
      <c r="A7" s="112"/>
      <c r="B7" s="113" t="s">
        <v>181</v>
      </c>
      <c r="C7" s="114"/>
      <c r="D7" s="115"/>
      <c r="F7" s="107" t="str">
        <f t="shared" si="0"/>
        <v>Clinician, LICSW</v>
      </c>
      <c r="G7" s="116">
        <f>C6</f>
        <v>60923.199999999997</v>
      </c>
      <c r="H7" s="117">
        <f>C10</f>
        <v>1</v>
      </c>
      <c r="I7" s="105">
        <f>G7*H7</f>
        <v>60923.199999999997</v>
      </c>
      <c r="K7" s="92"/>
      <c r="L7" s="106"/>
    </row>
    <row r="8" spans="1:12" ht="15" customHeight="1">
      <c r="A8" s="112"/>
      <c r="B8" s="93" t="s">
        <v>182</v>
      </c>
      <c r="C8" s="117">
        <v>1</v>
      </c>
      <c r="D8" s="95" t="s">
        <v>183</v>
      </c>
      <c r="F8" s="96" t="s">
        <v>184</v>
      </c>
      <c r="G8" s="118"/>
      <c r="H8" s="119">
        <v>4</v>
      </c>
      <c r="I8" s="120">
        <f>SUM(I5:I7)</f>
        <v>208384.8</v>
      </c>
      <c r="K8" s="92"/>
      <c r="L8" s="106"/>
    </row>
    <row r="9" spans="1:12" ht="15" customHeight="1">
      <c r="A9" s="112"/>
      <c r="B9" s="100" t="s">
        <v>185</v>
      </c>
      <c r="C9" s="110">
        <v>2</v>
      </c>
      <c r="D9" s="95" t="s">
        <v>183</v>
      </c>
      <c r="F9" s="93" t="s">
        <v>186</v>
      </c>
      <c r="G9" s="121">
        <f>C12</f>
        <v>0.224</v>
      </c>
      <c r="H9" s="122"/>
      <c r="I9" s="105">
        <f>I8*G9</f>
        <v>46678.195200000002</v>
      </c>
      <c r="K9" s="92"/>
      <c r="L9" s="106"/>
    </row>
    <row r="10" spans="1:12" ht="15" customHeight="1">
      <c r="A10" s="112"/>
      <c r="B10" s="107" t="s">
        <v>180</v>
      </c>
      <c r="C10" s="123">
        <v>1</v>
      </c>
      <c r="D10" s="124" t="s">
        <v>183</v>
      </c>
      <c r="F10" s="125" t="s">
        <v>187</v>
      </c>
      <c r="G10" s="126"/>
      <c r="H10" s="127"/>
      <c r="I10" s="120">
        <f>SUM(I8:I9)</f>
        <v>255062.9952</v>
      </c>
      <c r="K10" s="92"/>
      <c r="L10" s="106"/>
    </row>
    <row r="11" spans="1:12" ht="15" customHeight="1">
      <c r="A11" s="112"/>
      <c r="B11" s="113" t="s">
        <v>188</v>
      </c>
      <c r="C11" s="114"/>
      <c r="D11" s="115"/>
      <c r="F11" s="93"/>
      <c r="G11" s="127" t="s">
        <v>189</v>
      </c>
      <c r="H11" s="127" t="s">
        <v>190</v>
      </c>
      <c r="I11" s="105"/>
      <c r="K11" s="92"/>
      <c r="L11" s="106"/>
    </row>
    <row r="12" spans="1:12" ht="15" customHeight="1">
      <c r="B12" s="128" t="s">
        <v>191</v>
      </c>
      <c r="C12" s="129">
        <f>Chart!C31</f>
        <v>0.224</v>
      </c>
      <c r="D12" s="95" t="s">
        <v>192</v>
      </c>
      <c r="F12" s="93" t="s">
        <v>193</v>
      </c>
      <c r="G12" s="130">
        <f>C13</f>
        <v>136.75</v>
      </c>
      <c r="H12" s="122">
        <v>104</v>
      </c>
      <c r="I12" s="105">
        <f>G12*H12</f>
        <v>14222</v>
      </c>
      <c r="K12" s="92"/>
      <c r="L12" s="106"/>
    </row>
    <row r="13" spans="1:12" ht="15" customHeight="1">
      <c r="B13" s="128" t="s">
        <v>193</v>
      </c>
      <c r="C13" s="131">
        <v>136.75</v>
      </c>
      <c r="D13" s="95" t="s">
        <v>194</v>
      </c>
      <c r="F13" s="93" t="s">
        <v>195</v>
      </c>
      <c r="G13" s="131">
        <f>C14</f>
        <v>25.22</v>
      </c>
      <c r="H13" s="132"/>
      <c r="I13" s="105">
        <f>150*H8*G13</f>
        <v>15132</v>
      </c>
      <c r="K13" s="92"/>
      <c r="L13" s="106"/>
    </row>
    <row r="14" spans="1:12" ht="15" customHeight="1">
      <c r="B14" s="128" t="s">
        <v>195</v>
      </c>
      <c r="C14" s="131">
        <v>25.22</v>
      </c>
      <c r="D14" s="95" t="s">
        <v>196</v>
      </c>
      <c r="F14" s="93" t="s">
        <v>197</v>
      </c>
      <c r="G14" s="131">
        <f>C15</f>
        <v>9.35</v>
      </c>
      <c r="H14" s="122"/>
      <c r="I14" s="105">
        <f>G14*G3*I3</f>
        <v>33660</v>
      </c>
      <c r="K14" s="92"/>
      <c r="L14" s="106"/>
    </row>
    <row r="15" spans="1:12" ht="15" customHeight="1">
      <c r="B15" s="128" t="s">
        <v>198</v>
      </c>
      <c r="C15" s="131">
        <v>9.35</v>
      </c>
      <c r="D15" s="95" t="s">
        <v>199</v>
      </c>
      <c r="F15" s="133" t="s">
        <v>200</v>
      </c>
      <c r="G15" s="134"/>
      <c r="H15" s="127"/>
      <c r="I15" s="120">
        <f>I10+SUM(I12:I14)</f>
        <v>318076.9952</v>
      </c>
      <c r="K15" s="92"/>
      <c r="L15" s="106"/>
    </row>
    <row r="16" spans="1:12" ht="15" customHeight="1">
      <c r="B16" s="135" t="s">
        <v>201</v>
      </c>
      <c r="C16" s="136">
        <f>Chart!C35</f>
        <v>0.12</v>
      </c>
      <c r="D16" s="124" t="s">
        <v>202</v>
      </c>
      <c r="F16" s="137" t="str">
        <f>B16</f>
        <v>Administrative Allocation</v>
      </c>
      <c r="G16" s="129">
        <f>C16</f>
        <v>0.12</v>
      </c>
      <c r="H16" s="122"/>
      <c r="I16" s="105">
        <f>I15*G16</f>
        <v>38169.239423999999</v>
      </c>
      <c r="K16" s="92"/>
      <c r="L16" s="106"/>
    </row>
    <row r="17" spans="2:12" ht="15" customHeight="1">
      <c r="B17" s="138" t="s">
        <v>203</v>
      </c>
      <c r="C17" s="139">
        <f>Chart!C33</f>
        <v>3.7000000000000002E-3</v>
      </c>
      <c r="D17" s="140" t="s">
        <v>204</v>
      </c>
      <c r="F17" s="93" t="str">
        <f>B17</f>
        <v>PFLMA Trust Contribution</v>
      </c>
      <c r="G17" s="141">
        <f>C17</f>
        <v>3.7000000000000002E-3</v>
      </c>
      <c r="H17" s="142"/>
      <c r="I17" s="105">
        <f>G17*I8</f>
        <v>771.02376000000004</v>
      </c>
      <c r="K17" s="92"/>
      <c r="L17" s="106"/>
    </row>
    <row r="18" spans="2:12" ht="15" customHeight="1" thickBot="1">
      <c r="B18" s="143" t="s">
        <v>205</v>
      </c>
      <c r="C18" s="144">
        <f>'CAF Fall 2020'!BY28</f>
        <v>1.9959404600811814E-2</v>
      </c>
      <c r="D18" s="145" t="s">
        <v>206</v>
      </c>
      <c r="F18" s="125" t="s">
        <v>207</v>
      </c>
      <c r="G18" s="97"/>
      <c r="H18" s="127"/>
      <c r="I18" s="120">
        <f>SUM(I15:I17)</f>
        <v>357017.25838400004</v>
      </c>
      <c r="K18" s="92"/>
      <c r="L18" s="106"/>
    </row>
    <row r="19" spans="2:12" ht="15" customHeight="1">
      <c r="F19" s="93" t="s">
        <v>205</v>
      </c>
      <c r="G19" s="148">
        <f>C18</f>
        <v>1.9959404600811814E-2</v>
      </c>
      <c r="H19" s="122"/>
      <c r="I19" s="105">
        <f>(I18-I8)*G19</f>
        <v>2966.6153736995811</v>
      </c>
      <c r="K19" s="92"/>
      <c r="L19" s="106"/>
    </row>
    <row r="20" spans="2:12" ht="15" customHeight="1">
      <c r="F20" s="125" t="s">
        <v>208</v>
      </c>
      <c r="G20" s="97"/>
      <c r="H20" s="127"/>
      <c r="I20" s="120">
        <f>SUM(I18:I19)</f>
        <v>359983.87375769962</v>
      </c>
      <c r="K20" s="92"/>
      <c r="L20" s="106"/>
    </row>
    <row r="21" spans="2:12" ht="15.6" customHeight="1" thickBot="1">
      <c r="F21" s="149" t="s">
        <v>209</v>
      </c>
      <c r="G21" s="150"/>
      <c r="H21" s="151"/>
      <c r="I21" s="152">
        <f>ROUND(I20/12,0)</f>
        <v>29999</v>
      </c>
      <c r="K21" s="92"/>
      <c r="L21" s="106"/>
    </row>
    <row r="22" spans="2:12" ht="15" customHeight="1" thickBot="1">
      <c r="C22" s="153"/>
      <c r="K22" s="92"/>
      <c r="L22" s="106"/>
    </row>
    <row r="23" spans="2:12" ht="15" customHeight="1" thickBot="1">
      <c r="H23" s="155"/>
      <c r="I23" s="156"/>
      <c r="K23" s="92"/>
      <c r="L23" s="106"/>
    </row>
    <row r="24" spans="2:12" ht="15" customHeight="1">
      <c r="L24" s="106"/>
    </row>
    <row r="25" spans="2:12" ht="15" customHeight="1">
      <c r="B25" s="76"/>
      <c r="C25" s="132"/>
      <c r="D25" s="122"/>
      <c r="I25" s="106"/>
      <c r="K25" s="106"/>
      <c r="L25" s="106"/>
    </row>
    <row r="26" spans="2:12" ht="15" customHeight="1">
      <c r="B26" s="76"/>
      <c r="C26" s="122"/>
      <c r="D26" s="122"/>
      <c r="G26" s="75"/>
      <c r="I26" s="157"/>
      <c r="L26" s="106"/>
    </row>
    <row r="27" spans="2:12" ht="15" customHeight="1">
      <c r="B27" s="158"/>
      <c r="C27" s="159"/>
      <c r="D27" s="159"/>
    </row>
    <row r="28" spans="2:12" ht="15" customHeight="1">
      <c r="B28" s="160"/>
      <c r="C28" s="159"/>
      <c r="D28" s="159"/>
    </row>
    <row r="29" spans="2:12" ht="18">
      <c r="B29" s="160"/>
      <c r="C29" s="159"/>
      <c r="D29" s="159"/>
    </row>
    <row r="30" spans="2:12" ht="18">
      <c r="B30" s="160"/>
      <c r="C30" s="159"/>
      <c r="D30" s="159"/>
    </row>
    <row r="31" spans="2:12" ht="18">
      <c r="B31" s="160"/>
      <c r="C31" s="122"/>
      <c r="D31" s="122"/>
      <c r="G31" s="161"/>
    </row>
    <row r="32" spans="2:12">
      <c r="B32" s="76"/>
      <c r="C32" s="122"/>
      <c r="D32" s="122"/>
    </row>
  </sheetData>
  <mergeCells count="5">
    <mergeCell ref="B2:D2"/>
    <mergeCell ref="F2:I2"/>
    <mergeCell ref="B3:C3"/>
    <mergeCell ref="B7:C7"/>
    <mergeCell ref="B11:C11"/>
  </mergeCells>
  <pageMargins left="0.2" right="0.2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opLeftCell="D1" zoomScale="70" zoomScaleNormal="70" zoomScalePageLayoutView="55" workbookViewId="0">
      <selection activeCell="D1" sqref="A1:XFD1"/>
    </sheetView>
  </sheetViews>
  <sheetFormatPr defaultColWidth="8.88671875" defaultRowHeight="15" customHeight="1"/>
  <cols>
    <col min="1" max="1" width="8.88671875" style="164"/>
    <col min="2" max="2" width="41.88671875" style="81" customWidth="1"/>
    <col min="3" max="3" width="9.5546875" style="81" customWidth="1"/>
    <col min="4" max="4" width="8.6640625" style="81" customWidth="1"/>
    <col min="5" max="5" width="63.109375" style="81" customWidth="1"/>
    <col min="6" max="6" width="4.44140625" style="164" customWidth="1"/>
    <col min="7" max="7" width="32.44140625" style="164" customWidth="1"/>
    <col min="8" max="8" width="12.6640625" style="164" customWidth="1"/>
    <col min="9" max="9" width="13.5546875" style="164" customWidth="1"/>
    <col min="10" max="10" width="11.6640625" style="164" customWidth="1"/>
    <col min="11" max="11" width="3.44140625" style="164" customWidth="1"/>
    <col min="12" max="12" width="38.33203125" style="164" customWidth="1"/>
    <col min="13" max="13" width="12.6640625" style="164" customWidth="1"/>
    <col min="14" max="14" width="10.5546875" style="164" customWidth="1"/>
    <col min="15" max="15" width="13.44140625" style="164" customWidth="1"/>
    <col min="16" max="17" width="8.88671875" style="164"/>
    <col min="18" max="18" width="29.109375" style="164" customWidth="1"/>
    <col min="19" max="19" width="8.88671875" style="164"/>
    <col min="20" max="20" width="17.33203125" style="164" customWidth="1"/>
    <col min="21" max="21" width="16.109375" style="164" customWidth="1"/>
    <col min="22" max="16384" width="8.88671875" style="164"/>
  </cols>
  <sheetData>
    <row r="1" spans="1:15" ht="15" customHeight="1" thickBot="1">
      <c r="A1" s="162"/>
      <c r="B1" s="163"/>
      <c r="C1" s="163"/>
      <c r="D1" s="163"/>
      <c r="E1" s="163"/>
      <c r="G1" s="165"/>
    </row>
    <row r="2" spans="1:15" ht="18.75" customHeight="1" thickBot="1">
      <c r="A2" s="162"/>
      <c r="B2" s="166" t="s">
        <v>210</v>
      </c>
      <c r="C2" s="167"/>
      <c r="D2" s="167"/>
      <c r="E2" s="168"/>
      <c r="G2" s="169" t="s">
        <v>211</v>
      </c>
      <c r="H2" s="170"/>
      <c r="I2" s="170"/>
      <c r="J2" s="171"/>
      <c r="L2" s="169" t="s">
        <v>212</v>
      </c>
      <c r="M2" s="170"/>
      <c r="N2" s="170"/>
      <c r="O2" s="171"/>
    </row>
    <row r="3" spans="1:15" ht="17.25" customHeight="1">
      <c r="A3" s="162"/>
      <c r="B3" s="172" t="s">
        <v>169</v>
      </c>
      <c r="C3" s="173"/>
      <c r="D3" s="174"/>
      <c r="E3" s="87" t="s">
        <v>170</v>
      </c>
      <c r="G3" s="175" t="s">
        <v>213</v>
      </c>
      <c r="H3" s="122">
        <v>8</v>
      </c>
      <c r="I3" s="176" t="s">
        <v>214</v>
      </c>
      <c r="J3" s="177">
        <f>H3*365</f>
        <v>2920</v>
      </c>
      <c r="L3" s="175" t="s">
        <v>213</v>
      </c>
      <c r="M3" s="122">
        <v>12</v>
      </c>
      <c r="N3" s="176" t="s">
        <v>214</v>
      </c>
      <c r="O3" s="177">
        <f>M3*365</f>
        <v>4380</v>
      </c>
    </row>
    <row r="4" spans="1:15" ht="15" customHeight="1">
      <c r="A4" s="162"/>
      <c r="B4" s="93" t="s">
        <v>182</v>
      </c>
      <c r="C4" s="178">
        <f>'Outreach and Engagement'!C4</f>
        <v>64428</v>
      </c>
      <c r="D4" s="178"/>
      <c r="E4" s="101" t="str">
        <f>'Outreach and Engagement'!D4</f>
        <v>FY19 UFR Data wtg avg act.codes 3040-3043</v>
      </c>
      <c r="G4" s="96" t="s">
        <v>5</v>
      </c>
      <c r="H4" s="179" t="s">
        <v>175</v>
      </c>
      <c r="I4" s="179" t="s">
        <v>215</v>
      </c>
      <c r="J4" s="180" t="s">
        <v>177</v>
      </c>
      <c r="L4" s="96" t="s">
        <v>5</v>
      </c>
      <c r="M4" s="179" t="s">
        <v>175</v>
      </c>
      <c r="N4" s="179" t="s">
        <v>215</v>
      </c>
      <c r="O4" s="180" t="s">
        <v>177</v>
      </c>
    </row>
    <row r="5" spans="1:15" ht="15" customHeight="1">
      <c r="A5" s="162"/>
      <c r="B5" s="181" t="s">
        <v>216</v>
      </c>
      <c r="C5" s="182">
        <f>Chart!C12</f>
        <v>43971.200000000004</v>
      </c>
      <c r="D5" s="182"/>
      <c r="E5" s="95" t="str">
        <f>'Outreach and Engagement'!D5</f>
        <v>BLS Benchmark</v>
      </c>
      <c r="G5" s="183" t="str">
        <f>B4</f>
        <v xml:space="preserve">Program Director </v>
      </c>
      <c r="H5" s="184">
        <f>C4</f>
        <v>64428</v>
      </c>
      <c r="I5" s="185">
        <f>C9</f>
        <v>1</v>
      </c>
      <c r="J5" s="186">
        <f>H5*I5</f>
        <v>64428</v>
      </c>
      <c r="L5" s="183" t="str">
        <f t="shared" ref="L5:M7" si="0">B4</f>
        <v xml:space="preserve">Program Director </v>
      </c>
      <c r="M5" s="184">
        <f t="shared" si="0"/>
        <v>64428</v>
      </c>
      <c r="N5" s="110">
        <f>D9</f>
        <v>1</v>
      </c>
      <c r="O5" s="186">
        <f>M5*N5</f>
        <v>64428</v>
      </c>
    </row>
    <row r="6" spans="1:15" ht="15" customHeight="1">
      <c r="A6" s="162"/>
      <c r="B6" s="181" t="s">
        <v>217</v>
      </c>
      <c r="C6" s="182">
        <f>Chart!C6</f>
        <v>32198.400000000001</v>
      </c>
      <c r="D6" s="182"/>
      <c r="E6" s="95" t="s">
        <v>179</v>
      </c>
      <c r="G6" s="181" t="str">
        <f t="shared" ref="G6:H6" si="1">B6</f>
        <v xml:space="preserve">Direct Care </v>
      </c>
      <c r="H6" s="184">
        <f t="shared" si="1"/>
        <v>32198.400000000001</v>
      </c>
      <c r="I6" s="187">
        <f>C11</f>
        <v>6</v>
      </c>
      <c r="J6" s="186">
        <f t="shared" ref="J6:J7" si="2">H6*I6</f>
        <v>193190.40000000002</v>
      </c>
      <c r="L6" s="181" t="str">
        <f t="shared" si="0"/>
        <v>Caseworker</v>
      </c>
      <c r="M6" s="184">
        <f t="shared" si="0"/>
        <v>43971.200000000004</v>
      </c>
      <c r="N6" s="110">
        <f>D10</f>
        <v>0.25</v>
      </c>
      <c r="O6" s="186">
        <f>M6*N6</f>
        <v>10992.800000000001</v>
      </c>
    </row>
    <row r="7" spans="1:15" ht="15" customHeight="1">
      <c r="A7" s="162"/>
      <c r="B7" s="188" t="s">
        <v>218</v>
      </c>
      <c r="C7" s="189">
        <f>Chart!C27</f>
        <v>32198</v>
      </c>
      <c r="D7" s="189"/>
      <c r="E7" s="124" t="s">
        <v>179</v>
      </c>
      <c r="G7" s="188" t="str">
        <f>B7</f>
        <v>Relief</v>
      </c>
      <c r="H7" s="190">
        <f>C7</f>
        <v>32198</v>
      </c>
      <c r="I7" s="110">
        <f>C12</f>
        <v>0.92307692307692313</v>
      </c>
      <c r="J7" s="186">
        <f t="shared" si="2"/>
        <v>29721.23076923077</v>
      </c>
      <c r="L7" s="181" t="str">
        <f t="shared" si="0"/>
        <v xml:space="preserve">Direct Care </v>
      </c>
      <c r="M7" s="184">
        <f>C6</f>
        <v>32198.400000000001</v>
      </c>
      <c r="N7" s="117">
        <f>D11</f>
        <v>8</v>
      </c>
      <c r="O7" s="186">
        <f>M7*N7</f>
        <v>257587.20000000001</v>
      </c>
    </row>
    <row r="8" spans="1:15" ht="15" customHeight="1">
      <c r="A8" s="162"/>
      <c r="B8" s="191" t="s">
        <v>181</v>
      </c>
      <c r="C8" s="192" t="s">
        <v>219</v>
      </c>
      <c r="D8" s="193" t="s">
        <v>220</v>
      </c>
      <c r="E8" s="124"/>
      <c r="G8" s="125" t="s">
        <v>221</v>
      </c>
      <c r="H8" s="194"/>
      <c r="I8" s="195">
        <f>SUM(I5:I7)</f>
        <v>7.9230769230769234</v>
      </c>
      <c r="J8" s="196">
        <f>SUM(J5:J7)</f>
        <v>287339.63076923077</v>
      </c>
      <c r="L8" s="188" t="str">
        <f>B7</f>
        <v>Relief</v>
      </c>
      <c r="M8" s="190">
        <f>C7</f>
        <v>32198</v>
      </c>
      <c r="N8" s="110">
        <f>D12</f>
        <v>1.2307692307692308</v>
      </c>
      <c r="O8" s="186">
        <f>M8*N8</f>
        <v>39628.307692307695</v>
      </c>
    </row>
    <row r="9" spans="1:15" ht="15" customHeight="1">
      <c r="A9" s="162"/>
      <c r="B9" s="93" t="s">
        <v>182</v>
      </c>
      <c r="C9" s="117">
        <v>1</v>
      </c>
      <c r="D9" s="117">
        <v>1</v>
      </c>
      <c r="E9" s="95" t="s">
        <v>183</v>
      </c>
      <c r="F9" s="197"/>
      <c r="G9" s="93" t="s">
        <v>222</v>
      </c>
      <c r="H9" s="198">
        <f>C14</f>
        <v>0.224</v>
      </c>
      <c r="I9" s="199"/>
      <c r="J9" s="200">
        <f>J8*H9</f>
        <v>64364.077292307695</v>
      </c>
      <c r="L9" s="125" t="s">
        <v>221</v>
      </c>
      <c r="M9" s="194"/>
      <c r="N9" s="195">
        <f>SUM(N5:N8)</f>
        <v>10.48076923076923</v>
      </c>
      <c r="O9" s="196">
        <f>SUM(O5:O8)</f>
        <v>372636.30769230769</v>
      </c>
    </row>
    <row r="10" spans="1:15" ht="15" customHeight="1">
      <c r="A10" s="162"/>
      <c r="B10" s="93" t="s">
        <v>223</v>
      </c>
      <c r="C10" s="117"/>
      <c r="D10" s="117">
        <v>0.25</v>
      </c>
      <c r="E10" s="95" t="s">
        <v>183</v>
      </c>
      <c r="F10" s="197"/>
      <c r="G10" s="125" t="s">
        <v>224</v>
      </c>
      <c r="H10" s="201"/>
      <c r="I10" s="201"/>
      <c r="J10" s="196">
        <f>SUM(J8:J9)</f>
        <v>351703.70806153846</v>
      </c>
      <c r="L10" s="93" t="s">
        <v>222</v>
      </c>
      <c r="M10" s="198">
        <f>C14</f>
        <v>0.224</v>
      </c>
      <c r="N10" s="199"/>
      <c r="O10" s="200">
        <f>O9*M10</f>
        <v>83470.532923076928</v>
      </c>
    </row>
    <row r="11" spans="1:15" ht="15" customHeight="1">
      <c r="A11" s="162"/>
      <c r="B11" s="93" t="s">
        <v>217</v>
      </c>
      <c r="C11" s="117">
        <v>6</v>
      </c>
      <c r="D11" s="117">
        <v>8</v>
      </c>
      <c r="E11" s="95" t="s">
        <v>183</v>
      </c>
      <c r="F11" s="197"/>
      <c r="G11" s="88"/>
      <c r="H11" s="202" t="s">
        <v>225</v>
      </c>
      <c r="I11" s="202" t="s">
        <v>190</v>
      </c>
      <c r="J11" s="203"/>
      <c r="K11" s="197"/>
      <c r="L11" s="125" t="s">
        <v>224</v>
      </c>
      <c r="M11" s="201"/>
      <c r="N11" s="201"/>
      <c r="O11" s="196">
        <f>SUM(O9:O10)</f>
        <v>456106.84061538463</v>
      </c>
    </row>
    <row r="12" spans="1:15" ht="15" customHeight="1">
      <c r="A12" s="162"/>
      <c r="B12" s="107" t="s">
        <v>218</v>
      </c>
      <c r="C12" s="123">
        <v>0.92307692307692313</v>
      </c>
      <c r="D12" s="123">
        <v>1.2307692307692308</v>
      </c>
      <c r="E12" s="124" t="s">
        <v>183</v>
      </c>
      <c r="F12" s="197"/>
      <c r="G12" s="93" t="s">
        <v>226</v>
      </c>
      <c r="H12" s="204">
        <f>C15</f>
        <v>83.56</v>
      </c>
      <c r="I12" s="199">
        <f>C16*52</f>
        <v>52</v>
      </c>
      <c r="J12" s="200">
        <f>H12*I12</f>
        <v>4345.12</v>
      </c>
      <c r="K12" s="197"/>
      <c r="L12" s="88"/>
      <c r="M12" s="202" t="s">
        <v>225</v>
      </c>
      <c r="N12" s="202" t="s">
        <v>190</v>
      </c>
      <c r="O12" s="203"/>
    </row>
    <row r="13" spans="1:15" ht="15" customHeight="1">
      <c r="A13" s="162"/>
      <c r="B13" s="113" t="s">
        <v>188</v>
      </c>
      <c r="C13" s="114"/>
      <c r="D13" s="205"/>
      <c r="E13" s="115"/>
      <c r="F13" s="197"/>
      <c r="G13" s="206" t="s">
        <v>227</v>
      </c>
      <c r="H13" s="204">
        <f>C17</f>
        <v>29.75</v>
      </c>
      <c r="I13" s="207"/>
      <c r="J13" s="186">
        <f>J3*H13</f>
        <v>86870</v>
      </c>
      <c r="K13" s="197"/>
      <c r="L13" s="93" t="s">
        <v>226</v>
      </c>
      <c r="M13" s="208">
        <f>C15</f>
        <v>83.56</v>
      </c>
      <c r="N13" s="199">
        <f>D16*52</f>
        <v>104</v>
      </c>
      <c r="O13" s="200">
        <f>M13*N13</f>
        <v>8690.24</v>
      </c>
    </row>
    <row r="14" spans="1:15" ht="15" customHeight="1">
      <c r="A14" s="162"/>
      <c r="B14" s="128" t="s">
        <v>191</v>
      </c>
      <c r="C14" s="209">
        <f>Chart!C31</f>
        <v>0.224</v>
      </c>
      <c r="D14" s="210"/>
      <c r="E14" s="95" t="str">
        <f>'Outreach and Engagement'!D12</f>
        <v>Benchmarked to FY21 Commonwealth (office of the Comptroller)</v>
      </c>
      <c r="F14" s="197"/>
      <c r="G14" s="93" t="s">
        <v>228</v>
      </c>
      <c r="H14" s="204">
        <f>C18</f>
        <v>8.33</v>
      </c>
      <c r="I14" s="211"/>
      <c r="J14" s="200">
        <f>H14*J3</f>
        <v>24323.599999999999</v>
      </c>
      <c r="K14" s="197"/>
      <c r="L14" s="206" t="s">
        <v>227</v>
      </c>
      <c r="M14" s="208">
        <f>C17</f>
        <v>29.75</v>
      </c>
      <c r="N14" s="207"/>
      <c r="O14" s="186">
        <f>O3*M14</f>
        <v>130305</v>
      </c>
    </row>
    <row r="15" spans="1:15" ht="15" customHeight="1">
      <c r="A15" s="162"/>
      <c r="B15" s="93" t="s">
        <v>226</v>
      </c>
      <c r="C15" s="212">
        <v>83.56</v>
      </c>
      <c r="D15" s="213"/>
      <c r="E15" s="95" t="str">
        <f>'Outreach and Engagement'!D13</f>
        <v>Benchmarked to  101 CMR 413: YITs</v>
      </c>
      <c r="F15" s="197"/>
      <c r="G15" s="93" t="s">
        <v>229</v>
      </c>
      <c r="H15" s="190">
        <f>C19</f>
        <v>1215.76</v>
      </c>
      <c r="I15" s="214"/>
      <c r="J15" s="200">
        <f>H15*H3</f>
        <v>9726.08</v>
      </c>
      <c r="K15" s="197"/>
      <c r="L15" s="93" t="s">
        <v>228</v>
      </c>
      <c r="M15" s="208">
        <f>C18</f>
        <v>8.33</v>
      </c>
      <c r="N15" s="211"/>
      <c r="O15" s="200">
        <f>M15*O3</f>
        <v>36485.4</v>
      </c>
    </row>
    <row r="16" spans="1:15" ht="15" customHeight="1">
      <c r="A16" s="162"/>
      <c r="B16" s="215" t="s">
        <v>230</v>
      </c>
      <c r="C16" s="110">
        <v>1</v>
      </c>
      <c r="D16" s="110">
        <v>2</v>
      </c>
      <c r="E16" s="95"/>
      <c r="F16" s="216"/>
      <c r="G16" s="125" t="s">
        <v>200</v>
      </c>
      <c r="H16" s="201"/>
      <c r="I16" s="201"/>
      <c r="J16" s="196">
        <f>J10+SUM(J12:J15)</f>
        <v>476968.50806153845</v>
      </c>
      <c r="K16" s="197"/>
      <c r="L16" s="93" t="s">
        <v>229</v>
      </c>
      <c r="M16" s="190">
        <f>C19</f>
        <v>1215.76</v>
      </c>
      <c r="N16" s="214"/>
      <c r="O16" s="200">
        <f>M16*M3</f>
        <v>14589.119999999999</v>
      </c>
    </row>
    <row r="17" spans="1:15" ht="15" customHeight="1">
      <c r="A17" s="162"/>
      <c r="B17" s="206" t="s">
        <v>227</v>
      </c>
      <c r="C17" s="212">
        <v>29.75</v>
      </c>
      <c r="D17" s="213"/>
      <c r="E17" s="95" t="s">
        <v>231</v>
      </c>
      <c r="F17" s="216"/>
      <c r="G17" s="137" t="str">
        <f>B20</f>
        <v>Administrative Allocation</v>
      </c>
      <c r="H17" s="198">
        <f>C20</f>
        <v>0.12</v>
      </c>
      <c r="I17" s="199"/>
      <c r="J17" s="200">
        <f>J16*H17</f>
        <v>57236.220967384616</v>
      </c>
      <c r="K17" s="197"/>
      <c r="L17" s="125" t="s">
        <v>200</v>
      </c>
      <c r="M17" s="201"/>
      <c r="N17" s="201"/>
      <c r="O17" s="196">
        <f>O11+SUM(O13:O16)</f>
        <v>646176.60061538464</v>
      </c>
    </row>
    <row r="18" spans="1:15" ht="15" customHeight="1">
      <c r="A18" s="162"/>
      <c r="B18" s="93" t="s">
        <v>228</v>
      </c>
      <c r="C18" s="212">
        <v>8.33</v>
      </c>
      <c r="D18" s="213"/>
      <c r="E18" s="95" t="s">
        <v>202</v>
      </c>
      <c r="F18" s="216"/>
      <c r="G18" s="138" t="s">
        <v>203</v>
      </c>
      <c r="H18" s="198">
        <f>C21</f>
        <v>3.7000000000000002E-3</v>
      </c>
      <c r="I18" s="199"/>
      <c r="J18" s="200">
        <f>H18*J8</f>
        <v>1063.1566338461539</v>
      </c>
      <c r="K18" s="216"/>
      <c r="L18" s="137" t="str">
        <f>B20</f>
        <v>Administrative Allocation</v>
      </c>
      <c r="M18" s="198">
        <f>C20</f>
        <v>0.12</v>
      </c>
      <c r="N18" s="199"/>
      <c r="O18" s="200">
        <f>O17*M18</f>
        <v>77541.192073846149</v>
      </c>
    </row>
    <row r="19" spans="1:15" ht="15" customHeight="1">
      <c r="A19" s="162"/>
      <c r="B19" s="93" t="s">
        <v>229</v>
      </c>
      <c r="C19" s="217">
        <v>1215.76</v>
      </c>
      <c r="D19" s="218"/>
      <c r="E19" s="95" t="s">
        <v>231</v>
      </c>
      <c r="F19" s="219"/>
      <c r="G19" s="138"/>
      <c r="H19" s="198"/>
      <c r="I19" s="199"/>
      <c r="J19" s="200"/>
      <c r="K19" s="216"/>
      <c r="L19" s="220" t="str">
        <f>B21</f>
        <v>PFLMA Trust Contribution</v>
      </c>
      <c r="M19" s="198">
        <f>C21</f>
        <v>3.7000000000000002E-3</v>
      </c>
      <c r="N19" s="199"/>
      <c r="O19" s="200">
        <f>M19*O9</f>
        <v>1378.7543384615385</v>
      </c>
    </row>
    <row r="20" spans="1:15" ht="15" customHeight="1" thickBot="1">
      <c r="A20" s="162"/>
      <c r="B20" s="221" t="s">
        <v>201</v>
      </c>
      <c r="C20" s="222">
        <f>Chart!C35</f>
        <v>0.12</v>
      </c>
      <c r="D20" s="223"/>
      <c r="E20" s="224" t="str">
        <f>Chart!F35</f>
        <v>C.257 Benchmark</v>
      </c>
      <c r="F20" s="225"/>
      <c r="G20" s="226" t="s">
        <v>207</v>
      </c>
      <c r="H20" s="227"/>
      <c r="I20" s="227"/>
      <c r="J20" s="228">
        <f>SUM(J16:J18)</f>
        <v>535267.8856627692</v>
      </c>
      <c r="K20" s="216"/>
      <c r="L20" s="226" t="s">
        <v>207</v>
      </c>
      <c r="M20" s="227"/>
      <c r="N20" s="227"/>
      <c r="O20" s="228">
        <f>SUM(O17:O19)</f>
        <v>725096.54702769232</v>
      </c>
    </row>
    <row r="21" spans="1:15" s="233" customFormat="1" ht="15" customHeight="1" thickTop="1">
      <c r="A21" s="229"/>
      <c r="B21" s="138" t="s">
        <v>203</v>
      </c>
      <c r="C21" s="230">
        <f>Chart!C33</f>
        <v>3.7000000000000002E-3</v>
      </c>
      <c r="D21" s="231"/>
      <c r="E21" s="232" t="s">
        <v>204</v>
      </c>
      <c r="F21" s="164"/>
      <c r="G21" s="93" t="s">
        <v>205</v>
      </c>
      <c r="H21" s="198">
        <f>C22</f>
        <v>1.9959404600811814E-2</v>
      </c>
      <c r="I21" s="199"/>
      <c r="J21" s="200">
        <f>(J20-J8)*H21</f>
        <v>4948.5003513933352</v>
      </c>
      <c r="K21" s="219"/>
      <c r="L21" s="93" t="s">
        <v>205</v>
      </c>
      <c r="M21" s="198">
        <f>C22</f>
        <v>1.9959404600811814E-2</v>
      </c>
      <c r="N21" s="199"/>
      <c r="O21" s="200">
        <f>(O20-O9)*M21</f>
        <v>7034.8965225939091</v>
      </c>
    </row>
    <row r="22" spans="1:15" ht="15" customHeight="1" thickBot="1">
      <c r="A22" s="162"/>
      <c r="B22" s="143" t="s">
        <v>205</v>
      </c>
      <c r="C22" s="234">
        <f>'CAF Fall 2020'!BY28</f>
        <v>1.9959404600811814E-2</v>
      </c>
      <c r="D22" s="235"/>
      <c r="E22" s="145" t="str">
        <f>'Outreach and Engagement'!D18</f>
        <v xml:space="preserve"> Prospective FY22 and FY23</v>
      </c>
      <c r="G22" s="125" t="s">
        <v>208</v>
      </c>
      <c r="H22" s="201"/>
      <c r="I22" s="201"/>
      <c r="J22" s="196">
        <f>SUM(J20:J21)</f>
        <v>540216.38601416256</v>
      </c>
      <c r="K22" s="225"/>
      <c r="L22" s="125" t="s">
        <v>208</v>
      </c>
      <c r="M22" s="201"/>
      <c r="N22" s="201"/>
      <c r="O22" s="196">
        <f>SUM(O20:O21)</f>
        <v>732131.44355028623</v>
      </c>
    </row>
    <row r="23" spans="1:15" ht="15" customHeight="1" thickBot="1">
      <c r="A23" s="162"/>
      <c r="B23" s="146"/>
      <c r="C23" s="147"/>
      <c r="D23" s="147"/>
      <c r="E23" s="147"/>
      <c r="G23" s="93" t="s">
        <v>232</v>
      </c>
      <c r="H23" s="199"/>
      <c r="I23" s="199"/>
      <c r="J23" s="236">
        <f>J22/J3</f>
        <v>185.0056116486858</v>
      </c>
      <c r="L23" s="93" t="s">
        <v>232</v>
      </c>
      <c r="M23" s="199"/>
      <c r="N23" s="199"/>
      <c r="O23" s="236">
        <f>O22/O3</f>
        <v>167.15329761422061</v>
      </c>
    </row>
    <row r="24" spans="1:15" ht="15" customHeight="1" thickBot="1">
      <c r="A24" s="162"/>
      <c r="B24" s="237"/>
      <c r="C24" s="237"/>
      <c r="D24" s="237"/>
      <c r="E24" s="237"/>
      <c r="G24" s="155" t="s">
        <v>233</v>
      </c>
      <c r="H24" s="238">
        <v>0.98</v>
      </c>
      <c r="I24" s="239"/>
      <c r="J24" s="240">
        <f>ROUND(J23/H24,2)</f>
        <v>188.78</v>
      </c>
      <c r="L24" s="155" t="s">
        <v>233</v>
      </c>
      <c r="M24" s="238">
        <v>0.98</v>
      </c>
      <c r="N24" s="239"/>
      <c r="O24" s="240">
        <f>ROUND(O23/M24,2)</f>
        <v>170.56</v>
      </c>
    </row>
    <row r="25" spans="1:15" ht="15" customHeight="1">
      <c r="A25" s="162"/>
      <c r="B25" s="241" t="s">
        <v>234</v>
      </c>
      <c r="C25" s="242" t="s">
        <v>235</v>
      </c>
      <c r="D25" s="243" t="s">
        <v>236</v>
      </c>
      <c r="E25" s="237"/>
    </row>
    <row r="26" spans="1:15" ht="15" customHeight="1">
      <c r="A26" s="162"/>
      <c r="B26" s="244" t="s">
        <v>237</v>
      </c>
      <c r="C26" s="245">
        <v>15</v>
      </c>
      <c r="D26" s="246">
        <f>C26*8</f>
        <v>120</v>
      </c>
      <c r="E26" s="247"/>
    </row>
    <row r="27" spans="1:15" ht="15" customHeight="1">
      <c r="A27" s="162"/>
      <c r="B27" s="244" t="s">
        <v>238</v>
      </c>
      <c r="C27" s="245">
        <v>8</v>
      </c>
      <c r="D27" s="246">
        <f>C27*8</f>
        <v>64</v>
      </c>
      <c r="E27" s="248"/>
      <c r="I27" s="249"/>
    </row>
    <row r="28" spans="1:15" ht="15" customHeight="1">
      <c r="A28" s="162"/>
      <c r="B28" s="244" t="s">
        <v>239</v>
      </c>
      <c r="C28" s="245">
        <v>10</v>
      </c>
      <c r="D28" s="246">
        <f>C28*8</f>
        <v>80</v>
      </c>
      <c r="E28" s="237"/>
      <c r="I28" s="249"/>
      <c r="J28" s="250"/>
      <c r="O28" s="250"/>
    </row>
    <row r="29" spans="1:15" ht="15" customHeight="1" thickBot="1">
      <c r="A29" s="162"/>
      <c r="B29" s="251" t="s">
        <v>240</v>
      </c>
      <c r="C29" s="245">
        <v>10</v>
      </c>
      <c r="D29" s="252">
        <f>C29*8</f>
        <v>80</v>
      </c>
      <c r="E29" s="237"/>
      <c r="I29" s="249"/>
    </row>
    <row r="30" spans="1:15" ht="15" customHeight="1" thickTop="1">
      <c r="A30" s="162"/>
      <c r="B30" s="244"/>
      <c r="C30" s="253" t="s">
        <v>241</v>
      </c>
      <c r="D30" s="246">
        <f>SUM(D26:D29)</f>
        <v>344</v>
      </c>
      <c r="E30" s="247"/>
      <c r="I30" s="249"/>
      <c r="J30" s="249"/>
    </row>
    <row r="31" spans="1:15" ht="15" customHeight="1">
      <c r="A31" s="162"/>
      <c r="B31" s="254" t="s">
        <v>242</v>
      </c>
      <c r="C31" s="255"/>
      <c r="D31" s="256">
        <f>D30/(52*40)</f>
        <v>0.16538461538461538</v>
      </c>
      <c r="E31" s="247"/>
    </row>
    <row r="32" spans="1:15" ht="15" customHeight="1">
      <c r="A32" s="162"/>
      <c r="B32" s="164"/>
      <c r="C32" s="164"/>
      <c r="D32" s="164"/>
      <c r="E32" s="237"/>
    </row>
    <row r="33" spans="1:11" ht="27.6" customHeight="1">
      <c r="A33" s="162"/>
      <c r="B33" s="257"/>
      <c r="C33" s="258"/>
      <c r="D33" s="258"/>
      <c r="E33" s="259"/>
    </row>
    <row r="34" spans="1:11" ht="15" customHeight="1">
      <c r="B34" s="257"/>
      <c r="C34" s="258"/>
      <c r="D34" s="258"/>
      <c r="E34" s="259"/>
    </row>
    <row r="35" spans="1:11" ht="15" customHeight="1">
      <c r="B35" s="257"/>
      <c r="C35" s="258"/>
      <c r="D35" s="258"/>
      <c r="E35" s="259"/>
    </row>
    <row r="36" spans="1:11" ht="15" customHeight="1">
      <c r="B36" s="257"/>
      <c r="C36" s="258"/>
      <c r="D36" s="258"/>
      <c r="E36" s="259"/>
      <c r="K36" s="249"/>
    </row>
    <row r="37" spans="1:11" ht="15" customHeight="1">
      <c r="B37" s="257"/>
      <c r="C37" s="258"/>
      <c r="D37" s="258"/>
      <c r="E37" s="259"/>
    </row>
    <row r="38" spans="1:11" ht="15" customHeight="1">
      <c r="B38" s="158"/>
      <c r="C38" s="159"/>
      <c r="D38" s="159"/>
      <c r="E38" s="260"/>
    </row>
    <row r="39" spans="1:11" ht="15" customHeight="1">
      <c r="B39" s="160"/>
      <c r="C39" s="159"/>
      <c r="D39" s="159"/>
      <c r="E39" s="261"/>
    </row>
    <row r="40" spans="1:11" ht="15" customHeight="1">
      <c r="B40" s="160"/>
      <c r="C40" s="159"/>
      <c r="D40" s="159"/>
      <c r="E40" s="261"/>
    </row>
    <row r="41" spans="1:11" ht="15" customHeight="1">
      <c r="B41" s="160"/>
      <c r="C41" s="159"/>
      <c r="D41" s="159"/>
      <c r="E41" s="261"/>
    </row>
    <row r="42" spans="1:11" ht="15" customHeight="1">
      <c r="B42" s="160"/>
      <c r="C42" s="122"/>
      <c r="D42" s="122"/>
      <c r="E42" s="122"/>
    </row>
    <row r="43" spans="1:11" ht="15" customHeight="1">
      <c r="B43" s="262"/>
      <c r="C43" s="262"/>
      <c r="D43" s="262"/>
      <c r="E43" s="262"/>
    </row>
    <row r="44" spans="1:11" ht="15" customHeight="1">
      <c r="B44" s="190"/>
      <c r="C44" s="190"/>
      <c r="D44" s="190"/>
      <c r="E44" s="190"/>
    </row>
    <row r="45" spans="1:11" ht="15" customHeight="1">
      <c r="B45" s="190"/>
      <c r="C45" s="190"/>
      <c r="D45" s="190"/>
      <c r="E45" s="190"/>
    </row>
    <row r="46" spans="1:11" ht="15" customHeight="1">
      <c r="B46" s="190"/>
      <c r="C46" s="190"/>
      <c r="D46" s="190"/>
      <c r="E46" s="190"/>
    </row>
    <row r="47" spans="1:11" ht="15" customHeight="1">
      <c r="B47" s="190"/>
      <c r="C47" s="190"/>
      <c r="D47" s="190"/>
      <c r="E47" s="190"/>
      <c r="K47" s="263"/>
    </row>
    <row r="48" spans="1:11" ht="15" customHeight="1">
      <c r="B48" s="190"/>
      <c r="C48" s="190"/>
      <c r="D48" s="190"/>
      <c r="E48" s="190"/>
    </row>
    <row r="49" spans="2:5" ht="15" customHeight="1">
      <c r="B49" s="237"/>
      <c r="C49" s="237"/>
      <c r="D49" s="237"/>
      <c r="E49" s="237"/>
    </row>
    <row r="50" spans="2:5" ht="15" customHeight="1">
      <c r="B50" s="264"/>
      <c r="C50" s="264"/>
      <c r="D50" s="264"/>
      <c r="E50" s="264"/>
    </row>
    <row r="51" spans="2:5" ht="15" customHeight="1">
      <c r="B51" s="247"/>
      <c r="C51" s="247"/>
      <c r="D51" s="247"/>
      <c r="E51" s="247"/>
    </row>
    <row r="52" spans="2:5" ht="15" customHeight="1">
      <c r="B52" s="237"/>
      <c r="C52" s="237"/>
      <c r="D52" s="237"/>
      <c r="E52" s="237"/>
    </row>
    <row r="53" spans="2:5" ht="15" customHeight="1">
      <c r="B53" s="237"/>
      <c r="C53" s="237"/>
      <c r="D53" s="237"/>
      <c r="E53" s="237"/>
    </row>
    <row r="54" spans="2:5" ht="15" customHeight="1">
      <c r="B54" s="247"/>
      <c r="C54" s="247"/>
      <c r="D54" s="247"/>
      <c r="E54" s="247"/>
    </row>
    <row r="55" spans="2:5" ht="15" customHeight="1">
      <c r="B55" s="190"/>
      <c r="C55" s="190"/>
      <c r="D55" s="190"/>
      <c r="E55" s="190"/>
    </row>
    <row r="56" spans="2:5" ht="15" customHeight="1">
      <c r="B56" s="247"/>
      <c r="C56" s="247"/>
      <c r="D56" s="247"/>
      <c r="E56" s="247"/>
    </row>
    <row r="57" spans="2:5" ht="15" customHeight="1">
      <c r="B57" s="247"/>
      <c r="C57" s="247"/>
      <c r="D57" s="247"/>
      <c r="E57" s="247"/>
    </row>
    <row r="58" spans="2:5" ht="15" customHeight="1">
      <c r="B58" s="247"/>
      <c r="C58" s="247"/>
      <c r="D58" s="247"/>
      <c r="E58" s="247"/>
    </row>
    <row r="59" spans="2:5" ht="15" customHeight="1">
      <c r="B59" s="237"/>
      <c r="C59" s="237"/>
      <c r="D59" s="237"/>
      <c r="E59" s="237"/>
    </row>
    <row r="60" spans="2:5" ht="15" customHeight="1">
      <c r="B60" s="237"/>
      <c r="C60" s="237"/>
      <c r="D60" s="237"/>
      <c r="E60" s="237"/>
    </row>
    <row r="61" spans="2:5" ht="15" customHeight="1">
      <c r="B61" s="247"/>
      <c r="C61" s="247"/>
      <c r="D61" s="247"/>
      <c r="E61" s="247"/>
    </row>
    <row r="62" spans="2:5" ht="15" customHeight="1">
      <c r="B62" s="247"/>
      <c r="C62" s="247"/>
      <c r="D62" s="247"/>
      <c r="E62" s="247"/>
    </row>
    <row r="63" spans="2:5" ht="15" customHeight="1">
      <c r="B63" s="237"/>
      <c r="C63" s="237"/>
      <c r="D63" s="237"/>
      <c r="E63" s="237"/>
    </row>
    <row r="64" spans="2:5" ht="15" customHeight="1">
      <c r="B64" s="237"/>
      <c r="C64" s="237"/>
      <c r="D64" s="237"/>
      <c r="E64" s="237"/>
    </row>
    <row r="65" spans="2:5" ht="15" customHeight="1">
      <c r="B65" s="247"/>
      <c r="C65" s="247"/>
      <c r="D65" s="247"/>
      <c r="E65" s="247"/>
    </row>
    <row r="66" spans="2:5" ht="15" customHeight="1">
      <c r="B66" s="247"/>
      <c r="C66" s="247"/>
      <c r="D66" s="247"/>
      <c r="E66" s="247"/>
    </row>
    <row r="67" spans="2:5" ht="15" customHeight="1">
      <c r="B67" s="237"/>
      <c r="C67" s="237"/>
      <c r="D67" s="237"/>
      <c r="E67" s="237"/>
    </row>
    <row r="68" spans="2:5" ht="15" customHeight="1">
      <c r="B68" s="259"/>
      <c r="C68" s="259"/>
      <c r="D68" s="259"/>
      <c r="E68" s="259"/>
    </row>
    <row r="69" spans="2:5" ht="15" customHeight="1">
      <c r="B69" s="259"/>
      <c r="C69" s="259"/>
      <c r="D69" s="259"/>
      <c r="E69" s="259"/>
    </row>
    <row r="70" spans="2:5" ht="15" customHeight="1">
      <c r="B70" s="259"/>
      <c r="C70" s="259"/>
      <c r="D70" s="259"/>
      <c r="E70" s="259"/>
    </row>
    <row r="71" spans="2:5" ht="15" customHeight="1">
      <c r="B71" s="259"/>
      <c r="C71" s="259"/>
      <c r="D71" s="259"/>
      <c r="E71" s="259"/>
    </row>
    <row r="72" spans="2:5" ht="15" customHeight="1">
      <c r="B72" s="259"/>
      <c r="C72" s="259"/>
      <c r="D72" s="259"/>
      <c r="E72" s="259"/>
    </row>
  </sheetData>
  <mergeCells count="18">
    <mergeCell ref="C18:D18"/>
    <mergeCell ref="C19:D19"/>
    <mergeCell ref="C20:D20"/>
    <mergeCell ref="C21:D21"/>
    <mergeCell ref="C22:D22"/>
    <mergeCell ref="B31:C31"/>
    <mergeCell ref="C6:D6"/>
    <mergeCell ref="C7:D7"/>
    <mergeCell ref="B13:D13"/>
    <mergeCell ref="C14:D14"/>
    <mergeCell ref="C15:D15"/>
    <mergeCell ref="C17:D17"/>
    <mergeCell ref="B2:E2"/>
    <mergeCell ref="G2:J2"/>
    <mergeCell ref="L2:O2"/>
    <mergeCell ref="B3:D3"/>
    <mergeCell ref="C4:D4"/>
    <mergeCell ref="C5:D5"/>
  </mergeCells>
  <pageMargins left="0.7" right="0.7" top="0.75" bottom="0.75" header="0.3" footer="0.3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zoomScale="60" zoomScaleNormal="60" zoomScaleSheetLayoutView="85" workbookViewId="0">
      <selection sqref="A1:XFD1"/>
    </sheetView>
  </sheetViews>
  <sheetFormatPr defaultColWidth="9.109375" defaultRowHeight="15.6"/>
  <cols>
    <col min="1" max="1" width="6.6640625" style="17" customWidth="1"/>
    <col min="2" max="2" width="41.88671875" style="266" customWidth="1"/>
    <col min="3" max="3" width="9" style="266" customWidth="1"/>
    <col min="4" max="4" width="9.33203125" style="266" customWidth="1"/>
    <col min="5" max="5" width="67.44140625" style="266" customWidth="1"/>
    <col min="6" max="6" width="3.6640625" style="17" customWidth="1"/>
    <col min="7" max="7" width="33.6640625" style="266" customWidth="1"/>
    <col min="8" max="8" width="11.109375" style="266" customWidth="1"/>
    <col min="9" max="9" width="9.88671875" style="266" customWidth="1"/>
    <col min="10" max="10" width="11.88671875" style="266" customWidth="1"/>
    <col min="11" max="11" width="6.33203125" style="266" customWidth="1"/>
    <col min="12" max="12" width="32.109375" style="17" customWidth="1"/>
    <col min="13" max="13" width="12.6640625" style="17" customWidth="1"/>
    <col min="14" max="14" width="10.6640625" style="17" customWidth="1"/>
    <col min="15" max="15" width="11.6640625" style="17" customWidth="1"/>
    <col min="16" max="16384" width="9.109375" style="17"/>
  </cols>
  <sheetData>
    <row r="1" spans="1:16" ht="15" customHeight="1" thickBot="1">
      <c r="B1" s="265"/>
      <c r="C1" s="265"/>
      <c r="D1" s="265"/>
      <c r="G1" s="267"/>
      <c r="H1" s="265"/>
      <c r="I1" s="265"/>
      <c r="K1" s="17"/>
    </row>
    <row r="2" spans="1:16" ht="42" customHeight="1" thickBot="1">
      <c r="B2" s="268" t="s">
        <v>243</v>
      </c>
      <c r="C2" s="269"/>
      <c r="D2" s="269"/>
      <c r="E2" s="270"/>
      <c r="F2" s="271"/>
      <c r="G2" s="272" t="s">
        <v>244</v>
      </c>
      <c r="H2" s="273"/>
      <c r="I2" s="273"/>
      <c r="J2" s="273"/>
      <c r="K2" s="273"/>
      <c r="L2" s="273"/>
      <c r="M2" s="273"/>
      <c r="N2" s="273"/>
      <c r="O2" s="274"/>
    </row>
    <row r="3" spans="1:16" ht="28.5" customHeight="1" thickBot="1">
      <c r="B3" s="275" t="s">
        <v>169</v>
      </c>
      <c r="C3" s="276"/>
      <c r="D3" s="277"/>
      <c r="E3" s="278" t="s">
        <v>170</v>
      </c>
      <c r="F3" s="271"/>
      <c r="G3" s="279" t="s">
        <v>245</v>
      </c>
      <c r="H3" s="280"/>
      <c r="I3" s="280"/>
      <c r="J3" s="280"/>
      <c r="K3" s="280"/>
      <c r="L3" s="280"/>
      <c r="M3" s="280"/>
      <c r="N3" s="280"/>
      <c r="O3" s="281"/>
    </row>
    <row r="4" spans="1:16" ht="15" customHeight="1">
      <c r="B4" s="282" t="s">
        <v>173</v>
      </c>
      <c r="C4" s="283">
        <f>' Safe Haven 7-9, 10-12 beds'!C4:D4</f>
        <v>64428</v>
      </c>
      <c r="D4" s="284"/>
      <c r="E4" s="285" t="str">
        <f>' Safe Haven 7-9, 10-12 beds'!E4</f>
        <v>FY19 UFR Data wtg avg act.codes 3040-3043</v>
      </c>
      <c r="F4" s="286"/>
      <c r="G4" s="287" t="s">
        <v>246</v>
      </c>
      <c r="H4" s="288"/>
      <c r="I4" s="288"/>
      <c r="J4" s="289"/>
      <c r="K4" s="290"/>
      <c r="L4" s="287" t="s">
        <v>247</v>
      </c>
      <c r="M4" s="291"/>
      <c r="N4" s="291"/>
      <c r="O4" s="290"/>
      <c r="P4" s="290"/>
    </row>
    <row r="5" spans="1:16" ht="15" customHeight="1">
      <c r="A5" s="290"/>
      <c r="B5" s="292" t="s">
        <v>248</v>
      </c>
      <c r="C5" s="293">
        <f>Chart!C6</f>
        <v>32198.400000000001</v>
      </c>
      <c r="D5" s="294"/>
      <c r="E5" s="285" t="s">
        <v>179</v>
      </c>
      <c r="F5" s="286"/>
      <c r="G5" s="295" t="s">
        <v>249</v>
      </c>
      <c r="H5" s="295"/>
      <c r="I5" s="296"/>
      <c r="J5" s="289"/>
      <c r="K5" s="290"/>
      <c r="L5" s="297" t="s">
        <v>250</v>
      </c>
      <c r="M5" s="290"/>
      <c r="N5" s="290"/>
      <c r="O5" s="290"/>
      <c r="P5" s="290"/>
    </row>
    <row r="6" spans="1:16" ht="15" customHeight="1">
      <c r="A6" s="290"/>
      <c r="B6" s="298" t="s">
        <v>181</v>
      </c>
      <c r="C6" s="299" t="s">
        <v>251</v>
      </c>
      <c r="D6" s="300" t="s">
        <v>252</v>
      </c>
      <c r="E6" s="301"/>
      <c r="F6" s="286"/>
      <c r="G6" s="302"/>
      <c r="H6" s="303"/>
      <c r="I6" s="304" t="s">
        <v>253</v>
      </c>
      <c r="J6" s="305">
        <v>391</v>
      </c>
      <c r="K6" s="290"/>
      <c r="L6" s="302"/>
      <c r="M6" s="303"/>
      <c r="N6" s="304" t="s">
        <v>253</v>
      </c>
      <c r="O6" s="305">
        <v>137</v>
      </c>
      <c r="P6" s="290"/>
    </row>
    <row r="7" spans="1:16" ht="15" customHeight="1">
      <c r="A7" s="290"/>
      <c r="B7" s="282" t="s">
        <v>182</v>
      </c>
      <c r="C7" s="306">
        <v>1</v>
      </c>
      <c r="D7" s="306">
        <v>0.5</v>
      </c>
      <c r="E7" s="285" t="s">
        <v>183</v>
      </c>
      <c r="F7" s="286"/>
      <c r="G7" s="307"/>
      <c r="H7" s="308" t="s">
        <v>175</v>
      </c>
      <c r="I7" s="308" t="s">
        <v>176</v>
      </c>
      <c r="J7" s="309" t="s">
        <v>177</v>
      </c>
      <c r="K7" s="290"/>
      <c r="L7" s="307"/>
      <c r="M7" s="308" t="s">
        <v>175</v>
      </c>
      <c r="N7" s="308" t="s">
        <v>176</v>
      </c>
      <c r="O7" s="309" t="s">
        <v>177</v>
      </c>
      <c r="P7" s="290"/>
    </row>
    <row r="8" spans="1:16" ht="15" customHeight="1">
      <c r="A8" s="290"/>
      <c r="B8" s="310" t="str">
        <f>B5</f>
        <v>Direct Care</v>
      </c>
      <c r="C8" s="311">
        <v>1.5</v>
      </c>
      <c r="D8" s="311">
        <v>4</v>
      </c>
      <c r="E8" s="285" t="s">
        <v>183</v>
      </c>
      <c r="F8" s="286"/>
      <c r="G8" s="302" t="str">
        <f>B4</f>
        <v>Management</v>
      </c>
      <c r="H8" s="312">
        <f>C4</f>
        <v>64428</v>
      </c>
      <c r="I8" s="306">
        <f>C7</f>
        <v>1</v>
      </c>
      <c r="J8" s="313">
        <f>H8*I8</f>
        <v>64428</v>
      </c>
      <c r="K8" s="314"/>
      <c r="L8" s="302" t="str">
        <f>B4</f>
        <v>Management</v>
      </c>
      <c r="M8" s="315">
        <f>C4</f>
        <v>64428</v>
      </c>
      <c r="N8" s="306">
        <f>D7</f>
        <v>0.5</v>
      </c>
      <c r="O8" s="313">
        <f>M8*N8</f>
        <v>32214</v>
      </c>
      <c r="P8" s="290"/>
    </row>
    <row r="9" spans="1:16" ht="15" customHeight="1">
      <c r="A9" s="290"/>
      <c r="B9" s="316" t="s">
        <v>188</v>
      </c>
      <c r="C9" s="317"/>
      <c r="D9" s="318"/>
      <c r="E9" s="301"/>
      <c r="F9" s="286"/>
      <c r="G9" s="307" t="str">
        <f>B5</f>
        <v>Direct Care</v>
      </c>
      <c r="H9" s="319">
        <f>C5</f>
        <v>32198.400000000001</v>
      </c>
      <c r="I9" s="320">
        <f>C8</f>
        <v>1.5</v>
      </c>
      <c r="J9" s="321">
        <f>H9*I9</f>
        <v>48297.600000000006</v>
      </c>
      <c r="K9" s="314"/>
      <c r="L9" s="307" t="str">
        <f>B5</f>
        <v>Direct Care</v>
      </c>
      <c r="M9" s="322">
        <f>C5</f>
        <v>32198.400000000001</v>
      </c>
      <c r="N9" s="320">
        <f>D8</f>
        <v>4</v>
      </c>
      <c r="O9" s="321">
        <f>M9*N9</f>
        <v>128793.60000000001</v>
      </c>
      <c r="P9" s="290"/>
    </row>
    <row r="10" spans="1:16" ht="15" customHeight="1">
      <c r="A10" s="290"/>
      <c r="B10" s="323" t="s">
        <v>191</v>
      </c>
      <c r="C10" s="324">
        <f>Chart!C31</f>
        <v>0.224</v>
      </c>
      <c r="D10" s="325"/>
      <c r="E10" s="285" t="str">
        <f>'Outreach and Engagement'!D12</f>
        <v>Benchmarked to FY21 Commonwealth (office of the Comptroller)</v>
      </c>
      <c r="F10" s="286"/>
      <c r="G10" s="326" t="s">
        <v>254</v>
      </c>
      <c r="H10" s="327"/>
      <c r="I10" s="328">
        <f>SUM(I8:I9)</f>
        <v>2.5</v>
      </c>
      <c r="J10" s="329">
        <f>SUM(J8:J9)</f>
        <v>112725.6</v>
      </c>
      <c r="K10" s="314"/>
      <c r="L10" s="326" t="s">
        <v>254</v>
      </c>
      <c r="M10" s="330"/>
      <c r="N10" s="328">
        <f>SUM(N8:N9)</f>
        <v>4.5</v>
      </c>
      <c r="O10" s="329">
        <f>SUM(O8:O9)</f>
        <v>161007.6</v>
      </c>
      <c r="P10" s="290"/>
    </row>
    <row r="11" spans="1:16" ht="15" customHeight="1">
      <c r="A11" s="290"/>
      <c r="B11" s="331" t="s">
        <v>255</v>
      </c>
      <c r="C11" s="332">
        <v>917.07</v>
      </c>
      <c r="D11" s="333"/>
      <c r="E11" s="285" t="s">
        <v>256</v>
      </c>
      <c r="F11" s="286"/>
      <c r="G11" s="307"/>
      <c r="H11" s="334"/>
      <c r="I11" s="334"/>
      <c r="J11" s="321"/>
      <c r="K11" s="314"/>
      <c r="L11" s="307"/>
      <c r="M11" s="334"/>
      <c r="N11" s="334"/>
      <c r="O11" s="321"/>
      <c r="P11" s="290"/>
    </row>
    <row r="12" spans="1:16" ht="15" customHeight="1">
      <c r="A12" s="290"/>
      <c r="B12" s="335" t="s">
        <v>195</v>
      </c>
      <c r="C12" s="336">
        <v>25.22</v>
      </c>
      <c r="D12" s="337"/>
      <c r="E12" s="338" t="s">
        <v>196</v>
      </c>
      <c r="F12" s="286"/>
      <c r="G12" s="307" t="s">
        <v>257</v>
      </c>
      <c r="H12" s="339">
        <f>C10</f>
        <v>0.224</v>
      </c>
      <c r="I12" s="334"/>
      <c r="J12" s="321">
        <f>H12*J10</f>
        <v>25250.5344</v>
      </c>
      <c r="K12" s="314"/>
      <c r="L12" s="307" t="s">
        <v>257</v>
      </c>
      <c r="M12" s="339">
        <f>C10</f>
        <v>0.224</v>
      </c>
      <c r="N12" s="334"/>
      <c r="O12" s="321">
        <f>M12*O10</f>
        <v>36065.702400000002</v>
      </c>
      <c r="P12" s="290"/>
    </row>
    <row r="13" spans="1:16" ht="15" customHeight="1">
      <c r="A13" s="290"/>
      <c r="B13" s="251" t="s">
        <v>258</v>
      </c>
      <c r="C13" s="340">
        <v>4097</v>
      </c>
      <c r="D13" s="341"/>
      <c r="E13" s="285" t="s">
        <v>256</v>
      </c>
      <c r="F13" s="286"/>
      <c r="G13" s="326" t="s">
        <v>187</v>
      </c>
      <c r="H13" s="330"/>
      <c r="I13" s="330"/>
      <c r="J13" s="329">
        <f>SUM(J10+J12)</f>
        <v>137976.13440000001</v>
      </c>
      <c r="K13" s="314"/>
      <c r="L13" s="326" t="s">
        <v>187</v>
      </c>
      <c r="M13" s="330"/>
      <c r="N13" s="330"/>
      <c r="O13" s="329">
        <f>SUM(O10+O12)</f>
        <v>197073.30240000002</v>
      </c>
      <c r="P13" s="290"/>
    </row>
    <row r="14" spans="1:16" ht="15" customHeight="1">
      <c r="A14" s="290"/>
      <c r="B14" s="342" t="s">
        <v>259</v>
      </c>
      <c r="C14" s="340">
        <v>1295</v>
      </c>
      <c r="D14" s="341"/>
      <c r="E14" s="285" t="s">
        <v>256</v>
      </c>
      <c r="F14" s="343"/>
      <c r="G14" s="344"/>
      <c r="H14" s="345"/>
      <c r="I14" s="308"/>
      <c r="J14" s="346"/>
      <c r="K14" s="314"/>
      <c r="L14" s="344"/>
      <c r="M14" s="345"/>
      <c r="N14" s="308"/>
      <c r="O14" s="346"/>
      <c r="P14" s="290"/>
    </row>
    <row r="15" spans="1:16" ht="15" customHeight="1">
      <c r="A15" s="290"/>
      <c r="B15" s="347" t="s">
        <v>201</v>
      </c>
      <c r="C15" s="348">
        <f>Chart!C35</f>
        <v>0.12</v>
      </c>
      <c r="D15" s="349"/>
      <c r="E15" s="350" t="s">
        <v>59</v>
      </c>
      <c r="F15" s="343"/>
      <c r="G15" s="307" t="s">
        <v>255</v>
      </c>
      <c r="H15" s="351">
        <f>C11</f>
        <v>917.07</v>
      </c>
      <c r="I15" s="352"/>
      <c r="J15" s="321">
        <f>I10*H15</f>
        <v>2292.6750000000002</v>
      </c>
      <c r="K15" s="314"/>
      <c r="L15" s="307" t="str">
        <f>G15</f>
        <v>Staff mileage - per FTE</v>
      </c>
      <c r="M15" s="351">
        <f>C11</f>
        <v>917.07</v>
      </c>
      <c r="N15" s="352"/>
      <c r="O15" s="321">
        <f>N10*M15</f>
        <v>4126.8150000000005</v>
      </c>
      <c r="P15" s="290"/>
    </row>
    <row r="16" spans="1:16" ht="15" customHeight="1">
      <c r="A16" s="290"/>
      <c r="B16" s="353" t="s">
        <v>203</v>
      </c>
      <c r="C16" s="354">
        <f>Chart!C33</f>
        <v>3.7000000000000002E-3</v>
      </c>
      <c r="D16" s="355"/>
      <c r="E16" s="338" t="s">
        <v>204</v>
      </c>
      <c r="F16" s="286"/>
      <c r="G16" s="307" t="s">
        <v>195</v>
      </c>
      <c r="H16" s="351">
        <f>C12</f>
        <v>25.22</v>
      </c>
      <c r="I16" s="334"/>
      <c r="J16" s="321">
        <f>150*I10*H16</f>
        <v>9457.5</v>
      </c>
      <c r="K16" s="314"/>
      <c r="L16" s="307" t="s">
        <v>195</v>
      </c>
      <c r="M16" s="351">
        <f>C12</f>
        <v>25.22</v>
      </c>
      <c r="N16" s="334"/>
      <c r="O16" s="321">
        <f>150*N10*M16</f>
        <v>17023.5</v>
      </c>
      <c r="P16" s="290"/>
    </row>
    <row r="17" spans="1:16" ht="15" customHeight="1" thickBot="1">
      <c r="A17" s="290"/>
      <c r="B17" s="356" t="s">
        <v>205</v>
      </c>
      <c r="C17" s="357">
        <f>'CAF Fall 2020'!BY28</f>
        <v>1.9959404600811814E-2</v>
      </c>
      <c r="D17" s="358"/>
      <c r="E17" s="359" t="str">
        <f>' Safe Haven 7-9, 10-12 beds'!E22</f>
        <v xml:space="preserve"> Prospective FY22 and FY23</v>
      </c>
      <c r="F17" s="286"/>
      <c r="G17" s="307" t="s">
        <v>258</v>
      </c>
      <c r="H17" s="360"/>
      <c r="I17" s="360"/>
      <c r="J17" s="321">
        <f>C13</f>
        <v>4097</v>
      </c>
      <c r="K17" s="314"/>
      <c r="L17" s="307" t="str">
        <f>B14</f>
        <v>Supplies and Materials per FTE</v>
      </c>
      <c r="M17" s="361">
        <f>C14</f>
        <v>1295</v>
      </c>
      <c r="N17" s="334"/>
      <c r="O17" s="321">
        <f>N10*M17</f>
        <v>5827.5</v>
      </c>
      <c r="P17" s="290"/>
    </row>
    <row r="18" spans="1:16" ht="15" customHeight="1">
      <c r="A18" s="290"/>
      <c r="B18" s="289"/>
      <c r="C18" s="289"/>
      <c r="D18" s="289"/>
      <c r="E18" s="289"/>
      <c r="F18" s="286"/>
      <c r="G18" s="307" t="str">
        <f>B14</f>
        <v>Supplies and Materials per FTE</v>
      </c>
      <c r="H18" s="361">
        <f>C14</f>
        <v>1295</v>
      </c>
      <c r="I18" s="334"/>
      <c r="J18" s="321">
        <f>H18*I10</f>
        <v>3237.5</v>
      </c>
      <c r="K18" s="314"/>
      <c r="L18" s="307"/>
      <c r="M18" s="334"/>
      <c r="N18" s="334"/>
      <c r="O18" s="321"/>
      <c r="P18" s="290"/>
    </row>
    <row r="19" spans="1:16" ht="15" customHeight="1">
      <c r="A19" s="290"/>
      <c r="B19" s="289"/>
      <c r="C19" s="289"/>
      <c r="D19" s="289"/>
      <c r="E19" s="289"/>
      <c r="F19" s="286"/>
      <c r="G19" s="362" t="s">
        <v>260</v>
      </c>
      <c r="H19" s="363"/>
      <c r="I19" s="363"/>
      <c r="J19" s="364">
        <f>SUM((J13)+SUM(J15:J18))</f>
        <v>157060.8094</v>
      </c>
      <c r="K19" s="365"/>
      <c r="L19" s="362" t="s">
        <v>260</v>
      </c>
      <c r="M19" s="363"/>
      <c r="N19" s="363"/>
      <c r="O19" s="364">
        <f>SUM((O13)+SUM(O15:O18))</f>
        <v>224051.11740000002</v>
      </c>
      <c r="P19" s="290"/>
    </row>
    <row r="20" spans="1:16" ht="15" customHeight="1">
      <c r="A20" s="290"/>
      <c r="B20" s="289"/>
      <c r="C20" s="289"/>
      <c r="D20" s="289"/>
      <c r="E20" s="289"/>
      <c r="F20" s="343"/>
      <c r="G20" s="251"/>
      <c r="H20" s="245"/>
      <c r="I20" s="245"/>
      <c r="J20" s="366"/>
      <c r="K20" s="365"/>
      <c r="L20" s="251"/>
      <c r="M20" s="245"/>
      <c r="N20" s="245"/>
      <c r="O20" s="366"/>
      <c r="P20" s="290"/>
    </row>
    <row r="21" spans="1:16" ht="15" customHeight="1">
      <c r="A21" s="290"/>
      <c r="B21" s="289"/>
      <c r="C21" s="289"/>
      <c r="D21" s="289"/>
      <c r="E21" s="289"/>
      <c r="F21" s="286"/>
      <c r="G21" s="367" t="str">
        <f>B15</f>
        <v>Administrative Allocation</v>
      </c>
      <c r="H21" s="368">
        <f>C15</f>
        <v>0.12</v>
      </c>
      <c r="I21" s="245"/>
      <c r="J21" s="366">
        <f>H21*J19</f>
        <v>18847.297127999998</v>
      </c>
      <c r="K21" s="365"/>
      <c r="L21" s="367" t="str">
        <f>B15</f>
        <v>Administrative Allocation</v>
      </c>
      <c r="M21" s="368">
        <f>C15</f>
        <v>0.12</v>
      </c>
      <c r="N21" s="245"/>
      <c r="O21" s="366">
        <f>M21*O19</f>
        <v>26886.134088000003</v>
      </c>
      <c r="P21" s="290"/>
    </row>
    <row r="22" spans="1:16" ht="15" customHeight="1">
      <c r="A22" s="290"/>
      <c r="B22" s="289"/>
      <c r="C22" s="289"/>
      <c r="D22" s="289"/>
      <c r="E22" s="289"/>
      <c r="F22" s="286"/>
      <c r="G22" s="367" t="s">
        <v>203</v>
      </c>
      <c r="H22" s="368">
        <f>C16</f>
        <v>3.7000000000000002E-3</v>
      </c>
      <c r="I22" s="245"/>
      <c r="J22" s="366">
        <f>H22*J10</f>
        <v>417.08472000000006</v>
      </c>
      <c r="K22" s="365"/>
      <c r="L22" s="367" t="str">
        <f>B16</f>
        <v>PFLMA Trust Contribution</v>
      </c>
      <c r="M22" s="368">
        <f>C16</f>
        <v>3.7000000000000002E-3</v>
      </c>
      <c r="N22" s="245"/>
      <c r="O22" s="366">
        <f>M22*O10</f>
        <v>595.7281200000001</v>
      </c>
      <c r="P22" s="290"/>
    </row>
    <row r="23" spans="1:16" ht="15" customHeight="1" thickBot="1">
      <c r="A23" s="290"/>
      <c r="B23" s="289"/>
      <c r="C23" s="289"/>
      <c r="D23" s="289"/>
      <c r="E23" s="289"/>
      <c r="F23" s="286"/>
      <c r="G23" s="369" t="s">
        <v>207</v>
      </c>
      <c r="H23" s="370"/>
      <c r="I23" s="370"/>
      <c r="J23" s="371">
        <f>SUM(J19:J22)</f>
        <v>176325.19124800002</v>
      </c>
      <c r="K23" s="365"/>
      <c r="L23" s="369" t="s">
        <v>207</v>
      </c>
      <c r="M23" s="370"/>
      <c r="N23" s="370"/>
      <c r="O23" s="371">
        <f>SUM(O19:O22)</f>
        <v>251532.97960800002</v>
      </c>
      <c r="P23" s="290"/>
    </row>
    <row r="24" spans="1:16" s="372" customFormat="1" ht="15" customHeight="1" thickTop="1">
      <c r="A24" s="297"/>
      <c r="B24" s="289"/>
      <c r="C24" s="289"/>
      <c r="D24" s="289"/>
      <c r="E24" s="289"/>
      <c r="F24" s="343"/>
      <c r="G24" s="251"/>
      <c r="H24" s="245"/>
      <c r="I24" s="245"/>
      <c r="J24" s="366"/>
      <c r="K24" s="365"/>
      <c r="L24" s="251"/>
      <c r="M24" s="245"/>
      <c r="N24" s="245"/>
      <c r="O24" s="366"/>
      <c r="P24" s="297"/>
    </row>
    <row r="25" spans="1:16" ht="15" customHeight="1">
      <c r="A25" s="290"/>
      <c r="B25" s="289"/>
      <c r="C25" s="289"/>
      <c r="D25" s="289"/>
      <c r="E25" s="289"/>
      <c r="F25" s="286"/>
      <c r="G25" s="251" t="s">
        <v>205</v>
      </c>
      <c r="H25" s="368">
        <f>C17</f>
        <v>1.9959404600811814E-2</v>
      </c>
      <c r="I25" s="245"/>
      <c r="J25" s="366">
        <f>(J23-J10)*H25</f>
        <v>1269.4099741650821</v>
      </c>
      <c r="K25" s="365"/>
      <c r="L25" s="251" t="s">
        <v>205</v>
      </c>
      <c r="M25" s="368">
        <f>C17</f>
        <v>1.9959404600811814E-2</v>
      </c>
      <c r="N25" s="245"/>
      <c r="O25" s="366">
        <f>(O23-O10)*M25</f>
        <v>1806.8326782381514</v>
      </c>
      <c r="P25" s="290"/>
    </row>
    <row r="26" spans="1:16" ht="15" customHeight="1">
      <c r="A26" s="290"/>
      <c r="B26" s="289"/>
      <c r="C26" s="289"/>
      <c r="D26" s="289"/>
      <c r="E26" s="289"/>
      <c r="F26" s="286"/>
      <c r="G26" s="367"/>
      <c r="H26" s="368"/>
      <c r="I26" s="245"/>
      <c r="J26" s="366"/>
      <c r="K26" s="365"/>
      <c r="L26" s="367"/>
      <c r="M26" s="368"/>
      <c r="N26" s="245"/>
      <c r="O26" s="366"/>
      <c r="P26" s="290"/>
    </row>
    <row r="27" spans="1:16" ht="15" customHeight="1">
      <c r="A27" s="290"/>
      <c r="B27" s="334"/>
      <c r="C27" s="334"/>
      <c r="D27" s="334"/>
      <c r="E27" s="334"/>
      <c r="F27" s="286"/>
      <c r="G27" s="326" t="s">
        <v>208</v>
      </c>
      <c r="H27" s="373"/>
      <c r="I27" s="330"/>
      <c r="J27" s="329">
        <f>SUM(J23:J26)</f>
        <v>177594.6012221651</v>
      </c>
      <c r="K27" s="314"/>
      <c r="L27" s="326" t="s">
        <v>208</v>
      </c>
      <c r="M27" s="373"/>
      <c r="N27" s="330"/>
      <c r="O27" s="329">
        <f>SUM(O23:O25)</f>
        <v>253339.81228623819</v>
      </c>
      <c r="P27" s="290"/>
    </row>
    <row r="28" spans="1:16" ht="15" customHeight="1">
      <c r="A28" s="290"/>
      <c r="B28" s="374"/>
      <c r="C28" s="375"/>
      <c r="D28" s="375"/>
      <c r="E28" s="376"/>
      <c r="F28" s="286"/>
      <c r="G28" s="307"/>
      <c r="H28" s="339"/>
      <c r="I28" s="334"/>
      <c r="J28" s="321"/>
      <c r="K28" s="290"/>
      <c r="L28" s="307"/>
      <c r="M28" s="339"/>
      <c r="N28" s="334"/>
      <c r="O28" s="321"/>
      <c r="P28" s="290"/>
    </row>
    <row r="29" spans="1:16" ht="15" customHeight="1">
      <c r="A29" s="290"/>
      <c r="B29" s="377"/>
      <c r="C29" s="375"/>
      <c r="D29" s="375"/>
      <c r="E29" s="260"/>
      <c r="F29" s="286"/>
      <c r="G29" s="378" t="s">
        <v>261</v>
      </c>
      <c r="H29" s="379"/>
      <c r="I29" s="379"/>
      <c r="J29" s="380">
        <f>ROUND(J27/12/J6,2)</f>
        <v>37.85</v>
      </c>
      <c r="K29" s="290"/>
      <c r="L29" s="378" t="s">
        <v>261</v>
      </c>
      <c r="M29" s="379"/>
      <c r="N29" s="379"/>
      <c r="O29" s="380">
        <f>ROUND(O27/12/O6,2)</f>
        <v>154.1</v>
      </c>
      <c r="P29" s="290"/>
    </row>
    <row r="30" spans="1:16" ht="15" customHeight="1">
      <c r="A30" s="290"/>
      <c r="B30" s="377"/>
      <c r="C30" s="375"/>
      <c r="D30" s="375"/>
      <c r="E30" s="381"/>
      <c r="F30" s="286"/>
      <c r="G30" s="289"/>
      <c r="H30" s="289"/>
      <c r="I30" s="289"/>
      <c r="J30" s="289"/>
      <c r="K30" s="289"/>
      <c r="L30" s="290"/>
      <c r="M30" s="290"/>
      <c r="N30" s="290"/>
      <c r="O30" s="290"/>
      <c r="P30" s="290"/>
    </row>
    <row r="31" spans="1:16" ht="15" customHeight="1">
      <c r="A31" s="290"/>
      <c r="B31" s="377"/>
      <c r="C31" s="375"/>
      <c r="D31" s="375"/>
      <c r="E31" s="382"/>
      <c r="F31" s="290"/>
      <c r="G31" s="289"/>
      <c r="H31" s="289"/>
      <c r="I31" s="289"/>
      <c r="J31" s="289"/>
      <c r="K31" s="289"/>
      <c r="L31" s="290"/>
      <c r="M31" s="290"/>
      <c r="N31" s="290"/>
      <c r="O31" s="290"/>
      <c r="P31" s="290"/>
    </row>
    <row r="32" spans="1:16" ht="15" customHeight="1">
      <c r="B32" s="377"/>
      <c r="C32" s="383"/>
      <c r="D32" s="383"/>
      <c r="E32" s="382"/>
      <c r="F32" s="290"/>
      <c r="G32" s="289"/>
      <c r="H32" s="289"/>
      <c r="I32" s="289"/>
      <c r="J32" s="384"/>
      <c r="K32" s="384"/>
      <c r="L32" s="384"/>
      <c r="M32" s="384"/>
      <c r="N32" s="384"/>
      <c r="O32" s="384"/>
      <c r="P32" s="290"/>
    </row>
    <row r="33" spans="1:17" ht="15" customHeight="1">
      <c r="B33" s="377"/>
      <c r="C33" s="383"/>
      <c r="D33" s="383"/>
      <c r="E33" s="383"/>
      <c r="F33" s="290"/>
      <c r="G33" s="289"/>
      <c r="H33" s="289"/>
      <c r="I33" s="289"/>
      <c r="J33" s="385"/>
      <c r="K33" s="385"/>
      <c r="L33" s="385"/>
      <c r="M33" s="385"/>
      <c r="N33" s="385"/>
      <c r="O33" s="385"/>
      <c r="P33" s="290"/>
    </row>
    <row r="34" spans="1:17" ht="15" customHeight="1">
      <c r="B34" s="334"/>
      <c r="C34" s="334"/>
      <c r="D34" s="334"/>
      <c r="E34" s="334"/>
      <c r="F34" s="266"/>
      <c r="J34" s="386"/>
      <c r="K34" s="386"/>
      <c r="L34" s="386"/>
      <c r="M34" s="387"/>
      <c r="N34" s="387"/>
      <c r="O34" s="387"/>
    </row>
    <row r="35" spans="1:17" s="266" customFormat="1" ht="15" customHeight="1">
      <c r="A35" s="17"/>
      <c r="B35" s="388"/>
      <c r="C35" s="388"/>
      <c r="D35" s="388"/>
      <c r="E35" s="388"/>
      <c r="J35" s="386"/>
      <c r="K35" s="386"/>
      <c r="L35" s="386"/>
      <c r="M35" s="387"/>
      <c r="N35" s="387"/>
      <c r="O35" s="387"/>
      <c r="P35" s="17"/>
      <c r="Q35" s="17"/>
    </row>
    <row r="36" spans="1:17" s="266" customFormat="1" ht="15" customHeight="1">
      <c r="A36" s="17"/>
      <c r="B36" s="388"/>
      <c r="C36" s="388"/>
      <c r="D36" s="388"/>
      <c r="E36" s="388"/>
      <c r="J36" s="389"/>
      <c r="M36" s="17"/>
      <c r="N36" s="17"/>
      <c r="O36" s="17"/>
      <c r="P36" s="17"/>
      <c r="Q36" s="17"/>
    </row>
    <row r="37" spans="1:17" ht="15" customHeight="1">
      <c r="B37" s="388"/>
      <c r="C37" s="388"/>
      <c r="D37" s="388"/>
      <c r="E37" s="388"/>
      <c r="F37" s="266"/>
      <c r="L37" s="266"/>
    </row>
    <row r="38" spans="1:17" ht="15" customHeight="1">
      <c r="F38" s="266"/>
      <c r="L38" s="266"/>
    </row>
    <row r="39" spans="1:17" ht="15" customHeight="1">
      <c r="F39" s="388"/>
      <c r="J39" s="390"/>
      <c r="L39" s="266"/>
    </row>
    <row r="40" spans="1:17" ht="15" customHeight="1">
      <c r="F40" s="266"/>
      <c r="L40" s="266"/>
    </row>
    <row r="41" spans="1:17" ht="15" customHeight="1">
      <c r="F41" s="266"/>
      <c r="L41" s="266"/>
    </row>
    <row r="42" spans="1:17" ht="15" customHeight="1">
      <c r="F42" s="266"/>
      <c r="L42" s="266"/>
    </row>
    <row r="43" spans="1:17" ht="15" customHeight="1">
      <c r="F43" s="266"/>
      <c r="L43" s="266"/>
    </row>
    <row r="44" spans="1:17" ht="15" customHeight="1">
      <c r="F44" s="266"/>
      <c r="L44" s="266"/>
    </row>
    <row r="45" spans="1:17" ht="15" customHeight="1">
      <c r="F45" s="266"/>
      <c r="L45" s="266"/>
    </row>
    <row r="46" spans="1:17" ht="15" customHeight="1">
      <c r="F46" s="266"/>
      <c r="L46" s="266"/>
    </row>
    <row r="47" spans="1:17" ht="15" customHeight="1">
      <c r="F47" s="266"/>
      <c r="L47" s="266"/>
    </row>
    <row r="48" spans="1:17" ht="15" customHeight="1">
      <c r="F48" s="266"/>
      <c r="L48" s="266"/>
    </row>
    <row r="49" spans="6:12" ht="15" customHeight="1">
      <c r="F49" s="266"/>
      <c r="L49" s="266"/>
    </row>
    <row r="50" spans="6:12" ht="15" customHeight="1">
      <c r="F50" s="266"/>
    </row>
    <row r="51" spans="6:12" ht="15" customHeight="1"/>
    <row r="52" spans="6:12" ht="15" customHeight="1"/>
    <row r="53" spans="6:12" ht="15" customHeight="1"/>
    <row r="54" spans="6:12" ht="15" customHeight="1"/>
    <row r="55" spans="6:12" ht="15" customHeight="1"/>
    <row r="56" spans="6:12" ht="15" customHeight="1"/>
    <row r="57" spans="6:12" ht="15" customHeight="1"/>
    <row r="58" spans="6:12" ht="15" customHeight="1"/>
    <row r="59" spans="6:12" ht="15" customHeight="1"/>
    <row r="60" spans="6:12" ht="15" customHeight="1"/>
    <row r="61" spans="6:12" ht="15" customHeight="1"/>
    <row r="62" spans="6:12" ht="15" customHeight="1"/>
    <row r="63" spans="6:12" ht="15" customHeight="1"/>
    <row r="64" spans="6:1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</sheetData>
  <mergeCells count="17">
    <mergeCell ref="C13:D13"/>
    <mergeCell ref="C14:D14"/>
    <mergeCell ref="C15:D15"/>
    <mergeCell ref="C16:D16"/>
    <mergeCell ref="C17:D17"/>
    <mergeCell ref="C5:D5"/>
    <mergeCell ref="G5:H5"/>
    <mergeCell ref="B9:D9"/>
    <mergeCell ref="C10:D10"/>
    <mergeCell ref="C11:D11"/>
    <mergeCell ref="C12:D12"/>
    <mergeCell ref="B2:E2"/>
    <mergeCell ref="G2:O2"/>
    <mergeCell ref="B3:D3"/>
    <mergeCell ref="G3:O3"/>
    <mergeCell ref="C4:D4"/>
    <mergeCell ref="H4:I4"/>
  </mergeCells>
  <pageMargins left="0.7" right="0.7" top="0.75" bottom="0.75" header="0.3" footer="0.3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2"/>
  <sheetViews>
    <sheetView topLeftCell="F1" zoomScale="73" zoomScaleNormal="73" zoomScaleSheetLayoutView="70" workbookViewId="0">
      <selection activeCell="F1" sqref="A1:XFD1"/>
    </sheetView>
  </sheetViews>
  <sheetFormatPr defaultColWidth="9.109375" defaultRowHeight="20.100000000000001" customHeight="1"/>
  <cols>
    <col min="1" max="1" width="5.33203125" style="391" customWidth="1"/>
    <col min="2" max="2" width="41.33203125" style="391" customWidth="1"/>
    <col min="3" max="3" width="9.44140625" style="391" customWidth="1"/>
    <col min="4" max="4" width="12.33203125" style="391" bestFit="1" customWidth="1"/>
    <col min="5" max="5" width="67.6640625" style="391" customWidth="1"/>
    <col min="6" max="6" width="3.6640625" style="391" customWidth="1"/>
    <col min="7" max="7" width="29.5546875" style="486" customWidth="1"/>
    <col min="8" max="8" width="8.88671875" style="486" customWidth="1"/>
    <col min="9" max="9" width="13.5546875" style="486" customWidth="1"/>
    <col min="10" max="10" width="14" style="486" customWidth="1"/>
    <col min="11" max="11" width="14.44140625" style="391" customWidth="1"/>
    <col min="12" max="12" width="2.5546875" style="391" customWidth="1"/>
    <col min="13" max="13" width="25.44140625" style="391" customWidth="1"/>
    <col min="14" max="14" width="11.88671875" style="391" customWidth="1"/>
    <col min="15" max="15" width="16.109375" style="391" customWidth="1"/>
    <col min="16" max="16" width="12.88671875" style="391" customWidth="1"/>
    <col min="17" max="17" width="12.6640625" style="391" customWidth="1"/>
    <col min="18" max="16384" width="9.109375" style="391"/>
  </cols>
  <sheetData>
    <row r="1" spans="2:29" ht="15" customHeight="1" thickBot="1">
      <c r="F1" s="392"/>
      <c r="G1" s="393"/>
      <c r="H1" s="393"/>
      <c r="I1" s="394"/>
      <c r="J1" s="394"/>
      <c r="K1" s="392"/>
      <c r="L1" s="395"/>
    </row>
    <row r="2" spans="2:29" ht="39" customHeight="1" thickBot="1">
      <c r="B2" s="396" t="s">
        <v>262</v>
      </c>
      <c r="C2" s="397"/>
      <c r="D2" s="397"/>
      <c r="E2" s="398"/>
      <c r="F2" s="399"/>
      <c r="G2" s="400" t="s">
        <v>263</v>
      </c>
      <c r="H2" s="401"/>
      <c r="I2" s="401"/>
      <c r="J2" s="401"/>
      <c r="K2" s="402"/>
      <c r="L2" s="75"/>
      <c r="M2" s="400" t="s">
        <v>264</v>
      </c>
      <c r="N2" s="401"/>
      <c r="O2" s="401"/>
      <c r="P2" s="401"/>
      <c r="Q2" s="402"/>
      <c r="AA2" s="403" t="s">
        <v>234</v>
      </c>
      <c r="AB2" s="404" t="s">
        <v>235</v>
      </c>
      <c r="AC2" s="405" t="s">
        <v>236</v>
      </c>
    </row>
    <row r="3" spans="2:29" ht="15" customHeight="1">
      <c r="B3" s="406" t="s">
        <v>169</v>
      </c>
      <c r="C3" s="407"/>
      <c r="D3" s="407"/>
      <c r="E3" s="408" t="s">
        <v>170</v>
      </c>
      <c r="F3" s="399"/>
      <c r="G3" s="409" t="s">
        <v>265</v>
      </c>
      <c r="H3" s="404">
        <v>11</v>
      </c>
      <c r="I3" s="404"/>
      <c r="J3" s="410" t="s">
        <v>266</v>
      </c>
      <c r="K3" s="405">
        <f>H3*365</f>
        <v>4015</v>
      </c>
      <c r="L3" s="395"/>
      <c r="M3" s="411" t="s">
        <v>265</v>
      </c>
      <c r="N3" s="412">
        <v>7</v>
      </c>
      <c r="O3" s="412"/>
      <c r="P3" s="413" t="s">
        <v>267</v>
      </c>
      <c r="Q3" s="414">
        <f>N3*365</f>
        <v>2555</v>
      </c>
      <c r="AA3" s="415" t="s">
        <v>237</v>
      </c>
      <c r="AB3" s="416">
        <v>10</v>
      </c>
      <c r="AC3" s="417">
        <f>AB3*8</f>
        <v>80</v>
      </c>
    </row>
    <row r="4" spans="2:29" s="395" customFormat="1" ht="15" customHeight="1">
      <c r="B4" s="418" t="s">
        <v>268</v>
      </c>
      <c r="C4" s="419">
        <f>' Housing First - HOP '!C4:D4</f>
        <v>64428</v>
      </c>
      <c r="D4" s="419"/>
      <c r="E4" s="420" t="str">
        <f>' Housing First - HOP '!E4</f>
        <v>FY19 UFR Data wtg avg act.codes 3040-3043</v>
      </c>
      <c r="F4" s="421"/>
      <c r="G4" s="422"/>
      <c r="H4" s="423"/>
      <c r="I4" s="424" t="s">
        <v>175</v>
      </c>
      <c r="J4" s="424" t="s">
        <v>215</v>
      </c>
      <c r="K4" s="425" t="s">
        <v>177</v>
      </c>
      <c r="L4" s="416"/>
      <c r="M4" s="426"/>
      <c r="N4" s="427"/>
      <c r="O4" s="428" t="s">
        <v>175</v>
      </c>
      <c r="P4" s="428" t="s">
        <v>215</v>
      </c>
      <c r="Q4" s="429" t="s">
        <v>177</v>
      </c>
      <c r="AA4" s="415" t="s">
        <v>238</v>
      </c>
      <c r="AB4" s="416">
        <v>10</v>
      </c>
      <c r="AC4" s="417">
        <f>AB4*8</f>
        <v>80</v>
      </c>
    </row>
    <row r="5" spans="2:29" s="395" customFormat="1" ht="15" customHeight="1">
      <c r="B5" s="430" t="s">
        <v>217</v>
      </c>
      <c r="C5" s="431">
        <f>Chart!C6</f>
        <v>32198.400000000001</v>
      </c>
      <c r="D5" s="431"/>
      <c r="E5" s="420" t="s">
        <v>179</v>
      </c>
      <c r="F5" s="421"/>
      <c r="G5" s="418" t="str">
        <f>B4</f>
        <v xml:space="preserve">Managment </v>
      </c>
      <c r="H5" s="421"/>
      <c r="I5" s="432">
        <f>C4</f>
        <v>64428</v>
      </c>
      <c r="J5" s="433">
        <f>C9</f>
        <v>1</v>
      </c>
      <c r="K5" s="434">
        <f>J5*I5</f>
        <v>64428</v>
      </c>
      <c r="L5" s="391"/>
      <c r="M5" s="418" t="str">
        <f>B4</f>
        <v xml:space="preserve">Managment </v>
      </c>
      <c r="N5" s="421"/>
      <c r="O5" s="432">
        <f>C4</f>
        <v>64428</v>
      </c>
      <c r="P5" s="433">
        <v>0.5</v>
      </c>
      <c r="Q5" s="434">
        <f>P5*O5</f>
        <v>32214</v>
      </c>
      <c r="AA5" s="415" t="s">
        <v>239</v>
      </c>
      <c r="AB5" s="416">
        <v>10</v>
      </c>
      <c r="AC5" s="417">
        <f>AB5*8</f>
        <v>80</v>
      </c>
    </row>
    <row r="6" spans="2:29" ht="15" customHeight="1">
      <c r="B6" s="418" t="s">
        <v>269</v>
      </c>
      <c r="C6" s="431">
        <f>Chart!C27</f>
        <v>32198</v>
      </c>
      <c r="D6" s="431"/>
      <c r="E6" s="420" t="s">
        <v>179</v>
      </c>
      <c r="F6" s="435"/>
      <c r="G6" s="418" t="str">
        <f>B5</f>
        <v xml:space="preserve">Direct Care </v>
      </c>
      <c r="H6" s="436"/>
      <c r="I6" s="432">
        <f>C5</f>
        <v>32198.400000000001</v>
      </c>
      <c r="J6" s="433">
        <f>C10</f>
        <v>1.5</v>
      </c>
      <c r="K6" s="437">
        <f>J6*I6</f>
        <v>48297.600000000006</v>
      </c>
      <c r="M6" s="418" t="str">
        <f>B5</f>
        <v xml:space="preserve">Direct Care </v>
      </c>
      <c r="N6" s="436"/>
      <c r="O6" s="432">
        <f>C5</f>
        <v>32198.400000000001</v>
      </c>
      <c r="P6" s="433">
        <f>D10</f>
        <v>1</v>
      </c>
      <c r="Q6" s="437">
        <f>P6*O6</f>
        <v>32198.400000000001</v>
      </c>
      <c r="AA6" s="438" t="s">
        <v>240</v>
      </c>
      <c r="AB6" s="412">
        <v>10</v>
      </c>
      <c r="AC6" s="439">
        <f>AB6*8</f>
        <v>80</v>
      </c>
    </row>
    <row r="7" spans="2:29" ht="15" customHeight="1">
      <c r="B7" s="418" t="s">
        <v>270</v>
      </c>
      <c r="C7" s="431">
        <f>C6</f>
        <v>32198</v>
      </c>
      <c r="D7" s="431"/>
      <c r="E7" s="420" t="s">
        <v>179</v>
      </c>
      <c r="F7" s="435"/>
      <c r="G7" s="418" t="str">
        <f>B6</f>
        <v>Program support (clerical)</v>
      </c>
      <c r="H7" s="421"/>
      <c r="I7" s="432">
        <f>C6</f>
        <v>32198</v>
      </c>
      <c r="J7" s="433">
        <f>C11</f>
        <v>0.25</v>
      </c>
      <c r="K7" s="437">
        <f>J7*I7</f>
        <v>8049.5</v>
      </c>
      <c r="L7" s="440"/>
      <c r="M7" s="418" t="str">
        <f>B6</f>
        <v>Program support (clerical)</v>
      </c>
      <c r="N7" s="421"/>
      <c r="O7" s="432">
        <f>C6</f>
        <v>32198</v>
      </c>
      <c r="P7" s="433">
        <f>D11</f>
        <v>0.25</v>
      </c>
      <c r="Q7" s="437">
        <f>P7*O7</f>
        <v>8049.5</v>
      </c>
      <c r="AA7" s="415"/>
      <c r="AB7" s="441" t="s">
        <v>241</v>
      </c>
      <c r="AC7" s="417">
        <f>SUM(AC3:AC6)</f>
        <v>320</v>
      </c>
    </row>
    <row r="8" spans="2:29" ht="15" customHeight="1">
      <c r="B8" s="442" t="s">
        <v>181</v>
      </c>
      <c r="C8" s="443" t="s">
        <v>271</v>
      </c>
      <c r="D8" s="443" t="s">
        <v>272</v>
      </c>
      <c r="E8" s="444"/>
      <c r="F8" s="435"/>
      <c r="G8" s="418" t="str">
        <f>B7</f>
        <v>Relief staffing</v>
      </c>
      <c r="H8" s="421"/>
      <c r="I8" s="432">
        <f>C7</f>
        <v>32198</v>
      </c>
      <c r="J8" s="433">
        <f>C12</f>
        <v>0.23076923076923078</v>
      </c>
      <c r="K8" s="434">
        <f>I8*J8</f>
        <v>7430.3076923076924</v>
      </c>
      <c r="L8" s="445"/>
      <c r="M8" s="418" t="str">
        <f>B7</f>
        <v>Relief staffing</v>
      </c>
      <c r="N8" s="421"/>
      <c r="O8" s="432">
        <f>C7</f>
        <v>32198</v>
      </c>
      <c r="P8" s="433">
        <f>D12</f>
        <v>0.15384615384615385</v>
      </c>
      <c r="Q8" s="434">
        <f>O8*P8</f>
        <v>4953.5384615384619</v>
      </c>
      <c r="AA8" s="438" t="s">
        <v>242</v>
      </c>
      <c r="AB8" s="446"/>
      <c r="AC8" s="447">
        <f>AC7/(52*40)</f>
        <v>0.15384615384615385</v>
      </c>
    </row>
    <row r="9" spans="2:29" ht="15" customHeight="1">
      <c r="B9" s="418" t="s">
        <v>273</v>
      </c>
      <c r="C9" s="433">
        <v>1</v>
      </c>
      <c r="D9" s="433">
        <v>0.5</v>
      </c>
      <c r="E9" s="420" t="s">
        <v>183</v>
      </c>
      <c r="F9" s="435"/>
      <c r="G9" s="422" t="s">
        <v>254</v>
      </c>
      <c r="H9" s="423"/>
      <c r="I9" s="448"/>
      <c r="J9" s="449">
        <f>SUM(J5:J8)</f>
        <v>2.9807692307692308</v>
      </c>
      <c r="K9" s="450">
        <f>SUM(K5:K8)</f>
        <v>128205.40769230769</v>
      </c>
      <c r="M9" s="422" t="s">
        <v>254</v>
      </c>
      <c r="N9" s="423"/>
      <c r="O9" s="448"/>
      <c r="P9" s="449">
        <f>SUM(P5:P8)</f>
        <v>1.9038461538461537</v>
      </c>
      <c r="Q9" s="450">
        <f>SUM(Q5:Q8)</f>
        <v>77415.438461538462</v>
      </c>
    </row>
    <row r="10" spans="2:29" ht="15" customHeight="1">
      <c r="B10" s="430" t="s">
        <v>274</v>
      </c>
      <c r="C10" s="451">
        <v>1.5</v>
      </c>
      <c r="D10" s="451">
        <v>1</v>
      </c>
      <c r="E10" s="420" t="s">
        <v>183</v>
      </c>
      <c r="F10" s="435"/>
      <c r="G10" s="418" t="s">
        <v>222</v>
      </c>
      <c r="H10" s="421"/>
      <c r="I10" s="452">
        <f>C14</f>
        <v>0.224</v>
      </c>
      <c r="J10" s="416"/>
      <c r="K10" s="453">
        <f>K9*I10</f>
        <v>28718.011323076924</v>
      </c>
      <c r="M10" s="418" t="s">
        <v>222</v>
      </c>
      <c r="N10" s="421"/>
      <c r="O10" s="452">
        <f>C14</f>
        <v>0.224</v>
      </c>
      <c r="P10" s="416"/>
      <c r="Q10" s="453">
        <f>Q9*O10</f>
        <v>17341.058215384615</v>
      </c>
    </row>
    <row r="11" spans="2:29" ht="15" customHeight="1">
      <c r="B11" s="418" t="s">
        <v>269</v>
      </c>
      <c r="C11" s="433">
        <v>0.25</v>
      </c>
      <c r="D11" s="433">
        <v>0.25</v>
      </c>
      <c r="E11" s="420" t="s">
        <v>183</v>
      </c>
      <c r="F11" s="435"/>
      <c r="G11" s="422" t="s">
        <v>275</v>
      </c>
      <c r="H11" s="423"/>
      <c r="I11" s="454"/>
      <c r="J11" s="424"/>
      <c r="K11" s="450">
        <f>SUM(K9:K10)</f>
        <v>156923.41901538463</v>
      </c>
      <c r="M11" s="422" t="s">
        <v>275</v>
      </c>
      <c r="N11" s="423"/>
      <c r="O11" s="454"/>
      <c r="P11" s="424"/>
      <c r="Q11" s="450">
        <f>SUM(Q9:Q10)</f>
        <v>94756.496676923081</v>
      </c>
    </row>
    <row r="12" spans="2:29" ht="15" customHeight="1">
      <c r="B12" s="418" t="s">
        <v>270</v>
      </c>
      <c r="C12" s="433">
        <v>0.23076923076923078</v>
      </c>
      <c r="D12" s="433">
        <v>0.15384615384615385</v>
      </c>
      <c r="E12" s="420" t="s">
        <v>183</v>
      </c>
      <c r="F12" s="435"/>
      <c r="G12" s="93" t="s">
        <v>195</v>
      </c>
      <c r="H12" s="142"/>
      <c r="I12" s="248">
        <f>C15</f>
        <v>25.22</v>
      </c>
      <c r="J12" s="132"/>
      <c r="K12" s="455">
        <f>150*J9*I12</f>
        <v>11276.25</v>
      </c>
      <c r="L12" s="75"/>
      <c r="M12" s="93" t="s">
        <v>195</v>
      </c>
      <c r="N12" s="142"/>
      <c r="O12" s="248">
        <f>C15</f>
        <v>25.22</v>
      </c>
      <c r="P12" s="132"/>
      <c r="Q12" s="455">
        <f>150*P9*O12</f>
        <v>7202.2499999999991</v>
      </c>
    </row>
    <row r="13" spans="2:29" ht="15" customHeight="1">
      <c r="B13" s="406" t="s">
        <v>188</v>
      </c>
      <c r="C13" s="407"/>
      <c r="D13" s="407"/>
      <c r="E13" s="456"/>
      <c r="F13" s="435"/>
      <c r="G13" s="125" t="s">
        <v>260</v>
      </c>
      <c r="H13" s="457"/>
      <c r="I13" s="458"/>
      <c r="J13" s="127"/>
      <c r="K13" s="459">
        <f>K11+SUM(K12:K12)</f>
        <v>168199.66901538463</v>
      </c>
      <c r="L13" s="75"/>
      <c r="M13" s="125" t="s">
        <v>260</v>
      </c>
      <c r="N13" s="457"/>
      <c r="O13" s="458"/>
      <c r="P13" s="127"/>
      <c r="Q13" s="459">
        <f>Q11+SUM(Q12:Q12)</f>
        <v>101958.74667692308</v>
      </c>
    </row>
    <row r="14" spans="2:29" ht="15" customHeight="1">
      <c r="B14" s="460" t="s">
        <v>191</v>
      </c>
      <c r="C14" s="461">
        <f>Chart!C31</f>
        <v>0.224</v>
      </c>
      <c r="D14" s="461"/>
      <c r="E14" s="456" t="s">
        <v>202</v>
      </c>
      <c r="F14" s="435"/>
      <c r="G14" s="93" t="s">
        <v>276</v>
      </c>
      <c r="H14" s="142"/>
      <c r="I14" s="462">
        <f>C16</f>
        <v>0.12</v>
      </c>
      <c r="J14" s="142"/>
      <c r="K14" s="455">
        <f>K13*I14</f>
        <v>20183.960281846154</v>
      </c>
      <c r="L14" s="75"/>
      <c r="M14" s="93" t="s">
        <v>276</v>
      </c>
      <c r="N14" s="142"/>
      <c r="O14" s="462">
        <f>C16</f>
        <v>0.12</v>
      </c>
      <c r="P14" s="142"/>
      <c r="Q14" s="455">
        <f>Q13*O14</f>
        <v>12235.049601230769</v>
      </c>
    </row>
    <row r="15" spans="2:29" ht="15" customHeight="1">
      <c r="B15" s="93" t="s">
        <v>195</v>
      </c>
      <c r="C15" s="463">
        <f>'Outreach and Engagement'!C14</f>
        <v>25.22</v>
      </c>
      <c r="D15" s="463"/>
      <c r="E15" s="464" t="s">
        <v>196</v>
      </c>
      <c r="F15" s="435"/>
      <c r="G15" s="137" t="s">
        <v>203</v>
      </c>
      <c r="H15" s="142"/>
      <c r="I15" s="462">
        <f>C17</f>
        <v>3.7000000000000002E-3</v>
      </c>
      <c r="J15" s="142"/>
      <c r="K15" s="455">
        <f>I15*K9</f>
        <v>474.36000846153848</v>
      </c>
      <c r="L15" s="75"/>
      <c r="M15" s="137" t="s">
        <v>203</v>
      </c>
      <c r="N15" s="142"/>
      <c r="O15" s="462">
        <f>C17</f>
        <v>3.7000000000000002E-3</v>
      </c>
      <c r="P15" s="142"/>
      <c r="Q15" s="455">
        <f>O15*Q9</f>
        <v>286.43712230769233</v>
      </c>
    </row>
    <row r="16" spans="2:29" ht="15" customHeight="1" thickBot="1">
      <c r="B16" s="93" t="s">
        <v>201</v>
      </c>
      <c r="C16" s="465">
        <f>'Outreach and Engagement'!C16</f>
        <v>0.12</v>
      </c>
      <c r="D16" s="465">
        <v>0.10979999999999999</v>
      </c>
      <c r="E16" s="464" t="s">
        <v>202</v>
      </c>
      <c r="F16" s="435"/>
      <c r="G16" s="466" t="s">
        <v>207</v>
      </c>
      <c r="H16" s="467"/>
      <c r="I16" s="468"/>
      <c r="J16" s="469"/>
      <c r="K16" s="470">
        <f>SUM(K13:K15)</f>
        <v>188857.98930569232</v>
      </c>
      <c r="L16" s="75"/>
      <c r="M16" s="226" t="s">
        <v>207</v>
      </c>
      <c r="N16" s="471"/>
      <c r="O16" s="472"/>
      <c r="P16" s="473"/>
      <c r="Q16" s="474">
        <f>SUM(Q13:Q15)</f>
        <v>114480.23340046154</v>
      </c>
    </row>
    <row r="17" spans="2:17" ht="15" customHeight="1" thickTop="1">
      <c r="B17" s="353" t="s">
        <v>203</v>
      </c>
      <c r="C17" s="348">
        <f>Chart!C33</f>
        <v>3.7000000000000002E-3</v>
      </c>
      <c r="D17" s="348"/>
      <c r="E17" s="350" t="s">
        <v>204</v>
      </c>
      <c r="F17" s="435"/>
      <c r="G17" s="93" t="s">
        <v>205</v>
      </c>
      <c r="H17" s="142"/>
      <c r="I17" s="462">
        <f>C18</f>
        <v>1.9959404600811814E-2</v>
      </c>
      <c r="J17" s="142"/>
      <c r="K17" s="455">
        <f>(K16-K9)*I17</f>
        <v>1210.589416505303</v>
      </c>
      <c r="L17" s="75"/>
      <c r="M17" s="93" t="s">
        <v>205</v>
      </c>
      <c r="N17" s="142"/>
      <c r="O17" s="462">
        <f>C18</f>
        <v>1.9959404600811814E-2</v>
      </c>
      <c r="P17" s="142"/>
      <c r="Q17" s="455">
        <f>(Q16-Q9)*O17</f>
        <v>739.7912386320877</v>
      </c>
    </row>
    <row r="18" spans="2:17" ht="15" customHeight="1" thickBot="1">
      <c r="B18" s="475" t="s">
        <v>205</v>
      </c>
      <c r="C18" s="476">
        <f>'CAF Fall 2020'!BY28</f>
        <v>1.9959404600811814E-2</v>
      </c>
      <c r="D18" s="477"/>
      <c r="E18" s="145" t="str">
        <f>'Outreach and Engagement'!D18</f>
        <v xml:space="preserve"> Prospective FY22 and FY23</v>
      </c>
      <c r="F18" s="435"/>
      <c r="G18" s="125" t="s">
        <v>208</v>
      </c>
      <c r="H18" s="457"/>
      <c r="I18" s="478"/>
      <c r="J18" s="457"/>
      <c r="K18" s="459">
        <f>SUM(K16:K17)</f>
        <v>190068.57872219762</v>
      </c>
      <c r="L18" s="75"/>
      <c r="M18" s="125" t="s">
        <v>208</v>
      </c>
      <c r="N18" s="457"/>
      <c r="O18" s="478"/>
      <c r="P18" s="457"/>
      <c r="Q18" s="459">
        <f>SUM(Q16:Q17)</f>
        <v>115220.02463909362</v>
      </c>
    </row>
    <row r="19" spans="2:17" ht="15" customHeight="1" thickBot="1">
      <c r="F19" s="435"/>
      <c r="G19" s="479" t="s">
        <v>277</v>
      </c>
      <c r="H19" s="480"/>
      <c r="I19" s="481"/>
      <c r="J19" s="482"/>
      <c r="K19" s="483">
        <f>ROUND(K18/K3,2)</f>
        <v>47.34</v>
      </c>
      <c r="M19" s="479" t="s">
        <v>277</v>
      </c>
      <c r="N19" s="480"/>
      <c r="O19" s="481"/>
      <c r="P19" s="482"/>
      <c r="Q19" s="483">
        <f>ROUND(Q18/Q3,2)</f>
        <v>45.1</v>
      </c>
    </row>
    <row r="20" spans="2:17" ht="15" customHeight="1">
      <c r="F20" s="484"/>
      <c r="G20" s="421"/>
      <c r="H20" s="421"/>
      <c r="I20" s="441"/>
      <c r="J20" s="416"/>
      <c r="K20" s="485"/>
    </row>
    <row r="21" spans="2:17" ht="15" customHeight="1">
      <c r="F21" s="435"/>
      <c r="K21" s="487"/>
    </row>
    <row r="22" spans="2:17" s="395" customFormat="1" ht="15" customHeight="1">
      <c r="B22" s="488"/>
      <c r="C22" s="489"/>
      <c r="D22" s="489"/>
      <c r="E22" s="376"/>
      <c r="F22" s="421"/>
      <c r="G22" s="486"/>
      <c r="H22" s="486"/>
      <c r="I22" s="486"/>
      <c r="J22" s="486"/>
      <c r="K22" s="391"/>
      <c r="L22" s="391"/>
      <c r="M22" s="490"/>
      <c r="N22" s="490"/>
      <c r="O22" s="391"/>
      <c r="P22" s="391"/>
      <c r="Q22" s="391"/>
    </row>
    <row r="23" spans="2:17" ht="15" customHeight="1">
      <c r="B23" s="491"/>
      <c r="C23" s="489"/>
      <c r="D23" s="489"/>
      <c r="E23" s="260"/>
      <c r="F23" s="435"/>
    </row>
    <row r="24" spans="2:17" ht="15" customHeight="1">
      <c r="B24" s="491"/>
      <c r="C24" s="489"/>
      <c r="D24" s="489"/>
      <c r="E24" s="381"/>
      <c r="F24" s="435"/>
      <c r="G24" s="492"/>
    </row>
    <row r="25" spans="2:17" ht="15" customHeight="1">
      <c r="B25" s="491"/>
      <c r="C25" s="489"/>
      <c r="D25" s="489"/>
      <c r="E25" s="382"/>
      <c r="F25" s="435"/>
    </row>
    <row r="26" spans="2:17" ht="15" customHeight="1">
      <c r="B26" s="491"/>
      <c r="C26" s="492"/>
      <c r="D26" s="492"/>
      <c r="E26" s="382"/>
      <c r="F26" s="435"/>
      <c r="G26" s="493"/>
      <c r="H26" s="493"/>
      <c r="I26" s="493"/>
      <c r="J26" s="493"/>
      <c r="K26" s="494"/>
      <c r="L26" s="494"/>
      <c r="M26" s="494"/>
      <c r="N26" s="494"/>
      <c r="O26" s="494"/>
      <c r="P26" s="494"/>
      <c r="Q26" s="494"/>
    </row>
    <row r="27" spans="2:17" ht="15" customHeight="1">
      <c r="B27" s="491"/>
      <c r="C27" s="492"/>
      <c r="D27" s="492"/>
      <c r="E27" s="383"/>
      <c r="F27" s="435"/>
    </row>
    <row r="28" spans="2:17" ht="15" customHeight="1">
      <c r="B28" s="395"/>
      <c r="C28" s="395"/>
      <c r="D28" s="395"/>
      <c r="E28" s="395"/>
      <c r="F28" s="435"/>
    </row>
    <row r="29" spans="2:17" ht="15" customHeight="1">
      <c r="B29" s="395"/>
      <c r="C29" s="395"/>
      <c r="D29" s="395"/>
      <c r="E29" s="395"/>
      <c r="F29" s="435"/>
    </row>
    <row r="30" spans="2:17" ht="15" customHeight="1">
      <c r="F30" s="435"/>
    </row>
    <row r="31" spans="2:17" ht="15" customHeight="1">
      <c r="D31" s="495"/>
      <c r="F31" s="496"/>
    </row>
    <row r="32" spans="2:17" ht="15" customHeight="1">
      <c r="D32" s="497"/>
      <c r="F32" s="496"/>
    </row>
    <row r="33" spans="7:17" ht="15" customHeight="1"/>
    <row r="34" spans="7:17" s="494" customFormat="1" ht="15" customHeight="1">
      <c r="G34" s="486"/>
      <c r="H34" s="486"/>
      <c r="I34" s="486"/>
      <c r="J34" s="486"/>
      <c r="K34" s="391"/>
      <c r="L34" s="391"/>
      <c r="M34" s="391"/>
      <c r="N34" s="391"/>
      <c r="O34" s="391"/>
      <c r="P34" s="391"/>
      <c r="Q34" s="391"/>
    </row>
    <row r="35" spans="7:17" ht="15" customHeight="1"/>
    <row r="36" spans="7:17" ht="15" customHeight="1"/>
    <row r="37" spans="7:17" ht="15" customHeight="1"/>
    <row r="38" spans="7:17" ht="15" customHeight="1"/>
    <row r="39" spans="7:17" ht="15" customHeight="1"/>
    <row r="40" spans="7:17" ht="15" customHeight="1"/>
    <row r="41" spans="7:17" ht="15" customHeight="1"/>
    <row r="42" spans="7:17" ht="15" customHeight="1"/>
  </sheetData>
  <mergeCells count="14">
    <mergeCell ref="C17:D17"/>
    <mergeCell ref="C18:D18"/>
    <mergeCell ref="C6:D6"/>
    <mergeCell ref="C7:D7"/>
    <mergeCell ref="B13:D13"/>
    <mergeCell ref="C14:D14"/>
    <mergeCell ref="C15:D15"/>
    <mergeCell ref="C16:D16"/>
    <mergeCell ref="B2:E2"/>
    <mergeCell ref="G2:K2"/>
    <mergeCell ref="M2:Q2"/>
    <mergeCell ref="B3:D3"/>
    <mergeCell ref="C4:D4"/>
    <mergeCell ref="C5:D5"/>
  </mergeCells>
  <pageMargins left="0.7" right="0.7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9"/>
  <sheetViews>
    <sheetView zoomScale="81" zoomScaleNormal="81" zoomScaleSheetLayoutView="70" workbookViewId="0">
      <selection activeCell="F19" sqref="F19"/>
    </sheetView>
  </sheetViews>
  <sheetFormatPr defaultColWidth="9.109375" defaultRowHeight="15.6"/>
  <cols>
    <col min="1" max="1" width="9.109375" style="142"/>
    <col min="2" max="2" width="50" style="142" customWidth="1"/>
    <col min="3" max="3" width="14.5546875" style="142" bestFit="1" customWidth="1"/>
    <col min="4" max="5" width="15.109375" style="142" customWidth="1"/>
    <col min="6" max="6" width="11.6640625" style="142" customWidth="1"/>
    <col min="7" max="7" width="13.33203125" style="142" customWidth="1"/>
    <col min="8" max="8" width="18.109375" style="142" customWidth="1"/>
    <col min="9" max="9" width="13" style="142" customWidth="1"/>
    <col min="10" max="10" width="14.44140625" style="142" customWidth="1"/>
    <col min="11" max="11" width="13.109375" style="142" customWidth="1"/>
    <col min="12" max="12" width="15.88671875" style="142" customWidth="1"/>
    <col min="13" max="13" width="36.6640625" style="142" customWidth="1"/>
    <col min="14" max="16384" width="9.109375" style="142"/>
  </cols>
  <sheetData>
    <row r="1" spans="2:13" ht="15" customHeight="1">
      <c r="B1" s="498"/>
    </row>
    <row r="2" spans="2:13" ht="15" customHeight="1">
      <c r="B2" s="499"/>
      <c r="C2" s="500"/>
      <c r="H2" s="501"/>
    </row>
    <row r="3" spans="2:13" s="503" customFormat="1" ht="36.6" customHeight="1" thickBot="1">
      <c r="B3" s="502"/>
      <c r="C3" s="502"/>
      <c r="D3" s="502"/>
      <c r="E3" s="502"/>
      <c r="F3" s="502"/>
      <c r="H3" s="502"/>
      <c r="I3" s="502"/>
      <c r="J3" s="502"/>
      <c r="K3" s="502"/>
      <c r="L3" s="502"/>
    </row>
    <row r="4" spans="2:13" ht="15" hidden="1" customHeight="1" thickBot="1">
      <c r="B4" s="504"/>
      <c r="C4" s="504"/>
      <c r="H4" s="505"/>
      <c r="I4" s="505"/>
      <c r="J4" s="505"/>
      <c r="K4" s="505"/>
      <c r="L4" s="505"/>
      <c r="M4" s="506"/>
    </row>
    <row r="5" spans="2:13" ht="15" hidden="1" customHeight="1" thickBot="1">
      <c r="D5" s="122"/>
      <c r="E5" s="122"/>
      <c r="F5" s="122"/>
      <c r="H5" s="507"/>
      <c r="I5" s="507"/>
      <c r="J5" s="507"/>
      <c r="K5" s="507"/>
      <c r="L5" s="507"/>
    </row>
    <row r="6" spans="2:13" s="506" customFormat="1" ht="40.200000000000003" customHeight="1" thickBot="1">
      <c r="B6" s="508"/>
      <c r="C6" s="509" t="s">
        <v>248</v>
      </c>
      <c r="D6" s="510" t="s">
        <v>278</v>
      </c>
      <c r="E6" s="511" t="s">
        <v>279</v>
      </c>
      <c r="F6" s="122"/>
      <c r="H6" s="505"/>
      <c r="I6" s="505"/>
      <c r="J6" s="512"/>
      <c r="K6" s="512"/>
      <c r="L6" s="512"/>
      <c r="M6" s="142"/>
    </row>
    <row r="7" spans="2:13" ht="15" customHeight="1">
      <c r="B7" s="513" t="s">
        <v>175</v>
      </c>
      <c r="C7" s="514">
        <v>32198.400000000001</v>
      </c>
      <c r="D7" s="515">
        <v>41517</v>
      </c>
      <c r="E7" s="516">
        <v>60923</v>
      </c>
      <c r="F7" s="261"/>
      <c r="H7" s="517"/>
      <c r="I7" s="517"/>
      <c r="J7" s="517"/>
      <c r="K7" s="517"/>
      <c r="L7" s="517"/>
    </row>
    <row r="8" spans="2:13" ht="15" customHeight="1">
      <c r="B8" s="518" t="s">
        <v>191</v>
      </c>
      <c r="C8" s="519">
        <v>0.224</v>
      </c>
      <c r="D8" s="520">
        <v>0.224</v>
      </c>
      <c r="E8" s="521">
        <v>0.224</v>
      </c>
      <c r="F8" s="261"/>
      <c r="H8" s="517"/>
      <c r="I8" s="517"/>
      <c r="J8" s="522"/>
      <c r="K8" s="522"/>
      <c r="L8" s="522"/>
    </row>
    <row r="9" spans="2:13" ht="15" customHeight="1">
      <c r="B9" s="518" t="s">
        <v>280</v>
      </c>
      <c r="C9" s="523">
        <v>7212.4416000000001</v>
      </c>
      <c r="D9" s="524">
        <v>9299.8080000000009</v>
      </c>
      <c r="E9" s="525">
        <v>13646.752</v>
      </c>
      <c r="F9" s="261"/>
      <c r="H9" s="505"/>
      <c r="I9" s="526"/>
      <c r="J9" s="527"/>
      <c r="K9" s="528"/>
      <c r="L9" s="528"/>
    </row>
    <row r="10" spans="2:13" ht="15" customHeight="1">
      <c r="B10" s="518" t="s">
        <v>281</v>
      </c>
      <c r="C10" s="523">
        <v>39410.8416</v>
      </c>
      <c r="D10" s="524">
        <v>50816.808000000005</v>
      </c>
      <c r="E10" s="525">
        <v>74569.752000000008</v>
      </c>
      <c r="F10" s="122"/>
      <c r="H10" s="505"/>
      <c r="I10" s="526"/>
      <c r="J10" s="527"/>
      <c r="K10" s="528"/>
      <c r="L10" s="528"/>
    </row>
    <row r="11" spans="2:13" ht="15" customHeight="1">
      <c r="B11" s="529" t="s">
        <v>282</v>
      </c>
      <c r="C11" s="530">
        <v>119.13408000000001</v>
      </c>
      <c r="D11" s="531">
        <v>153.6129</v>
      </c>
      <c r="E11" s="532">
        <v>225.41510000000002</v>
      </c>
      <c r="F11" s="122"/>
      <c r="G11" s="533"/>
      <c r="H11" s="505"/>
      <c r="I11" s="526"/>
      <c r="J11" s="527"/>
      <c r="K11" s="528"/>
      <c r="L11" s="528"/>
    </row>
    <row r="12" spans="2:13" ht="15" customHeight="1">
      <c r="B12" s="518" t="s">
        <v>283</v>
      </c>
      <c r="C12" s="523">
        <v>39529.975680000003</v>
      </c>
      <c r="D12" s="524">
        <v>50970.420900000005</v>
      </c>
      <c r="E12" s="525">
        <v>74795.167100000006</v>
      </c>
      <c r="F12" s="534"/>
      <c r="H12" s="505"/>
      <c r="I12" s="526"/>
      <c r="J12" s="527"/>
      <c r="K12" s="528"/>
      <c r="L12" s="528"/>
    </row>
    <row r="13" spans="2:13" ht="15" customHeight="1" thickBot="1">
      <c r="B13" s="518" t="s">
        <v>205</v>
      </c>
      <c r="C13" s="535">
        <v>130.35724019716008</v>
      </c>
      <c r="D13" s="536">
        <v>168.0841762716625</v>
      </c>
      <c r="E13" s="537">
        <v>246.65058339953498</v>
      </c>
      <c r="F13" s="538"/>
      <c r="H13" s="505"/>
      <c r="I13" s="505"/>
      <c r="J13" s="505"/>
      <c r="K13" s="505"/>
      <c r="L13" s="505"/>
    </row>
    <row r="14" spans="2:13" ht="15" customHeight="1" thickTop="1" thickBot="1">
      <c r="B14" s="539" t="s">
        <v>284</v>
      </c>
      <c r="C14" s="540">
        <v>3305.0277433497636</v>
      </c>
      <c r="D14" s="541">
        <v>4261.5420896893056</v>
      </c>
      <c r="E14" s="542">
        <v>6253.4848069499612</v>
      </c>
      <c r="F14" s="538"/>
      <c r="H14" s="505"/>
      <c r="I14" s="517"/>
      <c r="J14" s="505"/>
      <c r="K14" s="517"/>
      <c r="L14" s="505"/>
    </row>
    <row r="15" spans="2:13" ht="15" customHeight="1" thickBot="1">
      <c r="B15" s="539" t="s">
        <v>285</v>
      </c>
      <c r="C15" s="540">
        <v>1652.5138716748818</v>
      </c>
      <c r="D15" s="541">
        <v>2130.7710448446528</v>
      </c>
      <c r="E15" s="542">
        <v>3126.7424034749806</v>
      </c>
      <c r="F15" s="130"/>
      <c r="H15" s="505"/>
      <c r="I15" s="543"/>
      <c r="J15" s="543"/>
      <c r="K15" s="543"/>
      <c r="L15" s="543"/>
    </row>
    <row r="16" spans="2:13" ht="15" customHeight="1" thickBot="1">
      <c r="B16" s="539" t="s">
        <v>286</v>
      </c>
      <c r="C16" s="540">
        <v>826.25693583744089</v>
      </c>
      <c r="D16" s="541">
        <v>1065.3855224223264</v>
      </c>
      <c r="E16" s="542">
        <v>1563.3712017374903</v>
      </c>
      <c r="F16" s="122"/>
      <c r="H16" s="505"/>
      <c r="I16" s="543"/>
      <c r="J16" s="543"/>
      <c r="K16" s="543"/>
      <c r="L16" s="543"/>
    </row>
    <row r="17" spans="2:13" ht="15" customHeight="1" thickBot="1">
      <c r="B17" s="539" t="s">
        <v>287</v>
      </c>
      <c r="C17" s="540">
        <f>20.32*7.5</f>
        <v>152.4</v>
      </c>
      <c r="D17" s="541">
        <f>26.2*7.5</f>
        <v>196.5</v>
      </c>
      <c r="E17" s="542">
        <f>42.64*7</f>
        <v>298.48</v>
      </c>
      <c r="F17" s="122"/>
      <c r="H17" s="505"/>
      <c r="I17" s="543"/>
      <c r="J17" s="543"/>
      <c r="K17" s="543"/>
      <c r="L17" s="543"/>
    </row>
    <row r="18" spans="2:13" ht="15" customHeight="1">
      <c r="C18" s="544"/>
      <c r="D18" s="545"/>
      <c r="E18" s="545"/>
      <c r="F18" s="261"/>
      <c r="G18" s="546"/>
      <c r="H18" s="546"/>
      <c r="M18" s="506"/>
    </row>
    <row r="19" spans="2:13" ht="15" customHeight="1">
      <c r="C19" s="545"/>
      <c r="D19" s="545"/>
      <c r="E19" s="545"/>
      <c r="F19" s="261"/>
      <c r="G19" s="546"/>
      <c r="H19" s="546"/>
      <c r="I19" s="547"/>
      <c r="J19" s="547"/>
      <c r="K19" s="342"/>
    </row>
    <row r="20" spans="2:13" s="506" customFormat="1" ht="15" customHeight="1">
      <c r="B20" s="142"/>
      <c r="C20" s="548"/>
      <c r="D20" s="545"/>
      <c r="E20" s="545"/>
      <c r="F20" s="261"/>
      <c r="G20" s="546"/>
      <c r="H20" s="546"/>
      <c r="I20" s="142"/>
      <c r="J20" s="142"/>
      <c r="K20" s="142"/>
      <c r="L20" s="142"/>
      <c r="M20" s="142"/>
    </row>
    <row r="21" spans="2:13" ht="15" customHeight="1">
      <c r="C21" s="544"/>
      <c r="D21" s="545"/>
      <c r="E21" s="545"/>
      <c r="F21" s="122"/>
      <c r="G21" s="546"/>
      <c r="H21" s="546"/>
    </row>
    <row r="22" spans="2:13" ht="15" customHeight="1">
      <c r="B22" s="506"/>
      <c r="D22" s="534"/>
      <c r="E22" s="549"/>
      <c r="F22" s="549"/>
      <c r="J22" s="546"/>
    </row>
    <row r="23" spans="2:13" ht="15" customHeight="1">
      <c r="C23" s="550"/>
      <c r="D23" s="538"/>
      <c r="E23" s="538"/>
      <c r="F23" s="538"/>
      <c r="J23" s="546"/>
    </row>
    <row r="24" spans="2:13" ht="15" customHeight="1">
      <c r="C24" s="550"/>
      <c r="D24" s="538"/>
      <c r="E24" s="538"/>
      <c r="F24" s="538"/>
      <c r="J24" s="546"/>
    </row>
    <row r="25" spans="2:13" ht="15" customHeight="1">
      <c r="B25" s="551"/>
      <c r="C25" s="552"/>
      <c r="D25" s="549"/>
      <c r="E25" s="549"/>
      <c r="F25" s="549"/>
      <c r="J25" s="546"/>
    </row>
    <row r="26" spans="2:13" ht="15" customHeight="1">
      <c r="B26" s="553"/>
      <c r="C26" s="550"/>
      <c r="D26" s="554"/>
      <c r="E26" s="130"/>
      <c r="F26" s="130"/>
      <c r="J26" s="546"/>
    </row>
    <row r="27" spans="2:13" ht="15" customHeight="1">
      <c r="B27" s="553"/>
      <c r="C27" s="122"/>
      <c r="D27" s="554"/>
      <c r="E27" s="130"/>
      <c r="F27" s="130"/>
    </row>
    <row r="28" spans="2:13" ht="15" customHeight="1">
      <c r="B28" s="506"/>
      <c r="C28" s="506"/>
      <c r="D28" s="122"/>
      <c r="E28" s="122"/>
      <c r="F28" s="122"/>
      <c r="H28" s="158"/>
      <c r="I28" s="159"/>
      <c r="J28" s="159"/>
      <c r="K28" s="259"/>
    </row>
    <row r="29" spans="2:13" ht="15" customHeight="1">
      <c r="D29" s="555"/>
      <c r="E29" s="261"/>
      <c r="F29" s="261"/>
      <c r="H29" s="160"/>
      <c r="I29" s="159"/>
      <c r="J29" s="159"/>
      <c r="K29" s="260"/>
    </row>
    <row r="30" spans="2:13" ht="15" customHeight="1">
      <c r="C30" s="129"/>
      <c r="D30" s="555"/>
      <c r="E30" s="261"/>
      <c r="F30" s="261"/>
      <c r="H30" s="160"/>
      <c r="I30" s="159"/>
      <c r="J30" s="159"/>
      <c r="K30" s="261"/>
    </row>
    <row r="31" spans="2:13" ht="15" customHeight="1">
      <c r="C31" s="556"/>
      <c r="D31" s="555"/>
      <c r="E31" s="261"/>
      <c r="F31" s="261"/>
      <c r="H31" s="160"/>
      <c r="I31" s="159"/>
      <c r="J31" s="159"/>
      <c r="K31" s="261"/>
    </row>
    <row r="32" spans="2:13" ht="15" customHeight="1">
      <c r="D32" s="122"/>
      <c r="E32" s="122"/>
      <c r="F32" s="122"/>
      <c r="H32" s="160"/>
      <c r="I32" s="122"/>
      <c r="J32" s="122"/>
      <c r="K32" s="261"/>
    </row>
    <row r="33" spans="2:6" ht="15" customHeight="1">
      <c r="B33" s="506"/>
      <c r="D33" s="534"/>
      <c r="E33" s="549"/>
      <c r="F33" s="549"/>
    </row>
    <row r="34" spans="2:6" ht="15" customHeight="1">
      <c r="C34" s="129"/>
      <c r="D34" s="538"/>
      <c r="E34" s="538"/>
      <c r="F34" s="538"/>
    </row>
    <row r="35" spans="2:6" ht="15" customHeight="1">
      <c r="C35" s="129"/>
      <c r="D35" s="538"/>
      <c r="E35" s="538"/>
      <c r="F35" s="538"/>
    </row>
    <row r="36" spans="2:6" ht="15" customHeight="1">
      <c r="B36" s="551"/>
      <c r="C36" s="557"/>
      <c r="D36" s="549"/>
      <c r="E36" s="549"/>
      <c r="F36" s="549"/>
    </row>
    <row r="37" spans="2:6" ht="15" customHeight="1">
      <c r="B37" s="553"/>
      <c r="C37" s="122"/>
      <c r="D37" s="554"/>
      <c r="E37" s="130"/>
      <c r="F37" s="130"/>
    </row>
    <row r="38" spans="2:6" ht="15" customHeight="1">
      <c r="D38" s="130"/>
      <c r="E38" s="130"/>
      <c r="F38" s="130"/>
    </row>
    <row r="39" spans="2:6" ht="15" customHeight="1">
      <c r="B39" s="506"/>
      <c r="C39" s="506"/>
      <c r="D39" s="122"/>
      <c r="E39" s="122"/>
      <c r="F39" s="261"/>
    </row>
    <row r="40" spans="2:6" ht="15" customHeight="1">
      <c r="D40" s="555"/>
      <c r="E40" s="261"/>
      <c r="F40" s="122"/>
    </row>
    <row r="41" spans="2:6" ht="15" customHeight="1">
      <c r="C41" s="129"/>
      <c r="D41" s="555"/>
      <c r="E41" s="261"/>
      <c r="F41" s="122"/>
    </row>
    <row r="42" spans="2:6" ht="15" customHeight="1">
      <c r="C42" s="556"/>
      <c r="D42" s="555"/>
      <c r="E42" s="261"/>
      <c r="F42" s="122"/>
    </row>
    <row r="43" spans="2:6" ht="15" customHeight="1">
      <c r="D43" s="122"/>
      <c r="E43" s="122"/>
      <c r="F43" s="122"/>
    </row>
    <row r="44" spans="2:6">
      <c r="D44" s="534"/>
      <c r="E44" s="549"/>
      <c r="F44" s="549"/>
    </row>
    <row r="45" spans="2:6">
      <c r="B45" s="258"/>
      <c r="C45" s="129"/>
      <c r="D45" s="538"/>
      <c r="E45" s="538"/>
      <c r="F45" s="538"/>
    </row>
    <row r="46" spans="2:6">
      <c r="B46" s="258"/>
      <c r="C46" s="129"/>
      <c r="D46" s="538"/>
      <c r="E46" s="538"/>
      <c r="F46" s="538"/>
    </row>
    <row r="47" spans="2:6">
      <c r="B47" s="551"/>
      <c r="C47" s="557"/>
      <c r="D47" s="549"/>
      <c r="E47" s="549"/>
      <c r="F47" s="549"/>
    </row>
    <row r="48" spans="2:6">
      <c r="B48" s="553"/>
      <c r="C48" s="122"/>
      <c r="D48" s="554"/>
      <c r="E48" s="130"/>
      <c r="F48" s="130"/>
    </row>
    <row r="49" spans="2:6">
      <c r="D49" s="122"/>
      <c r="E49" s="122"/>
      <c r="F49" s="122"/>
    </row>
    <row r="50" spans="2:6">
      <c r="D50" s="122"/>
      <c r="E50" s="122"/>
      <c r="F50" s="122"/>
    </row>
    <row r="51" spans="2:6">
      <c r="D51" s="122"/>
      <c r="E51" s="122"/>
      <c r="F51" s="122"/>
    </row>
    <row r="52" spans="2:6">
      <c r="D52" s="122"/>
      <c r="E52" s="122"/>
      <c r="F52" s="122"/>
    </row>
    <row r="59" spans="2:6">
      <c r="B59" s="76"/>
      <c r="C59" s="122"/>
      <c r="D59" s="122"/>
      <c r="E59" s="122"/>
    </row>
  </sheetData>
  <mergeCells count="6">
    <mergeCell ref="B3:F3"/>
    <mergeCell ref="H3:L3"/>
    <mergeCell ref="H5:L5"/>
    <mergeCell ref="J6:L6"/>
    <mergeCell ref="J8:L8"/>
    <mergeCell ref="I19:J19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="60" zoomScaleNormal="60" workbookViewId="0">
      <selection activeCell="F19" sqref="F19"/>
    </sheetView>
  </sheetViews>
  <sheetFormatPr defaultColWidth="9.109375" defaultRowHeight="15.6"/>
  <cols>
    <col min="1" max="1" width="30.6640625" style="391" customWidth="1"/>
    <col min="2" max="2" width="21.88671875" style="391" customWidth="1"/>
    <col min="3" max="3" width="13" style="391" customWidth="1"/>
    <col min="4" max="4" width="16.6640625" style="391" customWidth="1"/>
    <col min="5" max="5" width="14.109375" style="391" customWidth="1"/>
    <col min="6" max="6" width="19.33203125" style="391" customWidth="1"/>
    <col min="7" max="7" width="17.6640625" style="391" customWidth="1"/>
    <col min="8" max="8" width="4.5546875" style="391" customWidth="1"/>
    <col min="9" max="9" width="4.33203125" style="486" customWidth="1"/>
    <col min="10" max="10" width="37" style="391" customWidth="1"/>
    <col min="11" max="11" width="12.44140625" style="391" customWidth="1"/>
    <col min="12" max="12" width="11.44140625" style="391" customWidth="1"/>
    <col min="13" max="13" width="25.6640625" style="391" customWidth="1"/>
    <col min="14" max="14" width="4.44140625" style="391" customWidth="1"/>
    <col min="15" max="16384" width="9.109375" style="391"/>
  </cols>
  <sheetData>
    <row r="1" spans="1:16" ht="15" customHeight="1">
      <c r="I1" s="492"/>
    </row>
    <row r="2" spans="1:16" ht="15" customHeight="1">
      <c r="I2" s="558"/>
      <c r="J2" s="559"/>
      <c r="K2" s="559"/>
      <c r="L2" s="559"/>
      <c r="M2" s="559"/>
    </row>
    <row r="3" spans="1:16" ht="18" customHeight="1" thickBot="1">
      <c r="A3" s="560" t="s">
        <v>288</v>
      </c>
      <c r="B3" s="561"/>
      <c r="C3" s="561"/>
      <c r="D3" s="561"/>
      <c r="E3" s="561"/>
      <c r="F3" s="561"/>
      <c r="G3" s="562"/>
      <c r="I3" s="388"/>
      <c r="J3" s="563"/>
      <c r="K3" s="266"/>
      <c r="L3" s="266"/>
      <c r="M3" s="266"/>
    </row>
    <row r="4" spans="1:16" s="569" customFormat="1" ht="23.25" customHeight="1">
      <c r="A4" s="564" t="s">
        <v>289</v>
      </c>
      <c r="B4" s="565"/>
      <c r="C4" s="565"/>
      <c r="D4" s="566" t="s">
        <v>290</v>
      </c>
      <c r="E4" s="567"/>
      <c r="F4" s="567"/>
      <c r="G4" s="568"/>
      <c r="I4" s="570"/>
      <c r="J4" s="560" t="s">
        <v>291</v>
      </c>
      <c r="K4" s="561"/>
      <c r="L4" s="561"/>
      <c r="M4" s="562"/>
      <c r="O4" s="391"/>
    </row>
    <row r="5" spans="1:16" ht="15" customHeight="1">
      <c r="A5" s="571" t="s">
        <v>292</v>
      </c>
      <c r="B5" s="572"/>
      <c r="C5" s="573">
        <v>72831</v>
      </c>
      <c r="D5" s="574" t="s">
        <v>293</v>
      </c>
      <c r="E5" s="575"/>
      <c r="F5" s="575"/>
      <c r="G5" s="576"/>
      <c r="H5" s="577"/>
      <c r="I5" s="122"/>
      <c r="J5" s="578" t="s">
        <v>294</v>
      </c>
      <c r="K5" s="579">
        <v>20</v>
      </c>
      <c r="L5" s="579" t="s">
        <v>295</v>
      </c>
      <c r="M5" s="580">
        <f>K5*365</f>
        <v>7300</v>
      </c>
    </row>
    <row r="6" spans="1:16" ht="15" customHeight="1">
      <c r="A6" s="581" t="s">
        <v>296</v>
      </c>
      <c r="B6" s="582"/>
      <c r="C6" s="573">
        <f>Chart!C18</f>
        <v>83324.800000000003</v>
      </c>
      <c r="D6" s="574" t="s">
        <v>297</v>
      </c>
      <c r="E6" s="583"/>
      <c r="F6" s="583"/>
      <c r="G6" s="584"/>
      <c r="H6" s="577"/>
      <c r="I6" s="122"/>
      <c r="J6" s="585"/>
      <c r="K6" s="98" t="s">
        <v>175</v>
      </c>
      <c r="L6" s="586" t="s">
        <v>215</v>
      </c>
      <c r="M6" s="587" t="s">
        <v>177</v>
      </c>
    </row>
    <row r="7" spans="1:16" ht="15" customHeight="1">
      <c r="A7" s="581" t="s">
        <v>298</v>
      </c>
      <c r="B7" s="582"/>
      <c r="C7" s="588">
        <f>Chart!C16</f>
        <v>60923.199999999997</v>
      </c>
      <c r="D7" s="574" t="s">
        <v>297</v>
      </c>
      <c r="E7" s="575"/>
      <c r="F7" s="575"/>
      <c r="G7" s="584"/>
      <c r="H7" s="577"/>
      <c r="I7" s="122"/>
      <c r="J7" s="251" t="str">
        <f t="shared" ref="J7:J15" si="0">A5</f>
        <v>Program Director</v>
      </c>
      <c r="K7" s="589">
        <f t="shared" ref="K7:K15" si="1">C5</f>
        <v>72831</v>
      </c>
      <c r="L7" s="590">
        <f t="shared" ref="L7:L15" si="2">C15</f>
        <v>1</v>
      </c>
      <c r="M7" s="366">
        <f t="shared" ref="M7:M15" si="3">K7*L7</f>
        <v>72831</v>
      </c>
    </row>
    <row r="8" spans="1:16" ht="15" customHeight="1">
      <c r="A8" s="581" t="s">
        <v>299</v>
      </c>
      <c r="B8" s="582"/>
      <c r="C8" s="588">
        <f>Chart!C24</f>
        <v>119412.79999999999</v>
      </c>
      <c r="D8" s="574" t="s">
        <v>297</v>
      </c>
      <c r="E8" s="575"/>
      <c r="F8" s="575"/>
      <c r="G8" s="584"/>
      <c r="H8" s="577"/>
      <c r="I8" s="199"/>
      <c r="J8" s="251" t="str">
        <f t="shared" si="0"/>
        <v>Clinical Program Director</v>
      </c>
      <c r="K8" s="589">
        <f t="shared" si="1"/>
        <v>83324.800000000003</v>
      </c>
      <c r="L8" s="590">
        <f t="shared" si="2"/>
        <v>0.17499999999999999</v>
      </c>
      <c r="M8" s="366">
        <f t="shared" si="3"/>
        <v>14581.84</v>
      </c>
    </row>
    <row r="9" spans="1:16" ht="15" customHeight="1">
      <c r="A9" s="571" t="s">
        <v>300</v>
      </c>
      <c r="B9" s="572"/>
      <c r="C9" s="588">
        <f>Chart!C22</f>
        <v>86860.800000000003</v>
      </c>
      <c r="D9" s="574" t="s">
        <v>297</v>
      </c>
      <c r="E9" s="575"/>
      <c r="F9" s="575"/>
      <c r="G9" s="584"/>
      <c r="H9" s="577"/>
      <c r="I9" s="553"/>
      <c r="J9" s="251" t="str">
        <f t="shared" si="0"/>
        <v>Assistant Clinical Program Director</v>
      </c>
      <c r="K9" s="589">
        <f t="shared" si="1"/>
        <v>60923.199999999997</v>
      </c>
      <c r="L9" s="590">
        <f t="shared" si="2"/>
        <v>1</v>
      </c>
      <c r="M9" s="366">
        <f t="shared" si="3"/>
        <v>60923.199999999997</v>
      </c>
    </row>
    <row r="10" spans="1:16" ht="15" customHeight="1">
      <c r="A10" s="571" t="s">
        <v>301</v>
      </c>
      <c r="B10" s="572"/>
      <c r="C10" s="588">
        <f>Chart!C16</f>
        <v>60923.199999999997</v>
      </c>
      <c r="D10" s="574" t="s">
        <v>297</v>
      </c>
      <c r="E10" s="583"/>
      <c r="F10" s="583"/>
      <c r="G10" s="584"/>
      <c r="H10" s="577"/>
      <c r="I10" s="553"/>
      <c r="J10" s="251" t="str">
        <f t="shared" si="0"/>
        <v>RN - Masters/APRN</v>
      </c>
      <c r="K10" s="589">
        <f t="shared" si="1"/>
        <v>119412.79999999999</v>
      </c>
      <c r="L10" s="590">
        <f t="shared" si="2"/>
        <v>0.22500000000000001</v>
      </c>
      <c r="M10" s="366">
        <f t="shared" si="3"/>
        <v>26867.879999999997</v>
      </c>
    </row>
    <row r="11" spans="1:16" ht="15" customHeight="1">
      <c r="A11" s="571" t="s">
        <v>217</v>
      </c>
      <c r="B11" s="572"/>
      <c r="C11" s="588">
        <f>Chart!C6</f>
        <v>32198.400000000001</v>
      </c>
      <c r="D11" s="574" t="s">
        <v>297</v>
      </c>
      <c r="E11" s="575"/>
      <c r="F11" s="575"/>
      <c r="G11" s="584"/>
      <c r="H11" s="577"/>
      <c r="I11" s="553"/>
      <c r="J11" s="251" t="str">
        <f t="shared" si="0"/>
        <v>RN - Non Masters</v>
      </c>
      <c r="K11" s="589">
        <f t="shared" si="1"/>
        <v>86860.800000000003</v>
      </c>
      <c r="L11" s="590">
        <f t="shared" si="2"/>
        <v>0.5</v>
      </c>
      <c r="M11" s="366">
        <f t="shared" si="3"/>
        <v>43430.400000000001</v>
      </c>
    </row>
    <row r="12" spans="1:16" ht="15" customHeight="1">
      <c r="A12" s="571" t="s">
        <v>218</v>
      </c>
      <c r="B12" s="572"/>
      <c r="C12" s="573">
        <f>Chart!C6</f>
        <v>32198.400000000001</v>
      </c>
      <c r="D12" s="574" t="s">
        <v>297</v>
      </c>
      <c r="E12" s="583"/>
      <c r="F12" s="583"/>
      <c r="G12" s="584"/>
      <c r="H12" s="577"/>
      <c r="I12" s="553"/>
      <c r="J12" s="251" t="str">
        <f t="shared" si="0"/>
        <v>Social Worker - LICSW</v>
      </c>
      <c r="K12" s="589">
        <f t="shared" si="1"/>
        <v>60923.199999999997</v>
      </c>
      <c r="L12" s="590">
        <f t="shared" si="2"/>
        <v>1</v>
      </c>
      <c r="M12" s="366">
        <f t="shared" si="3"/>
        <v>60923.199999999997</v>
      </c>
      <c r="P12" s="495"/>
    </row>
    <row r="13" spans="1:16" ht="15" customHeight="1">
      <c r="A13" s="591" t="s">
        <v>302</v>
      </c>
      <c r="B13" s="572"/>
      <c r="C13" s="573">
        <f>Chart!C6</f>
        <v>32198.400000000001</v>
      </c>
      <c r="D13" s="574" t="s">
        <v>297</v>
      </c>
      <c r="E13" s="583"/>
      <c r="F13" s="583"/>
      <c r="G13" s="592"/>
      <c r="H13" s="577"/>
      <c r="I13" s="593"/>
      <c r="J13" s="251" t="str">
        <f t="shared" si="0"/>
        <v xml:space="preserve">Direct Care </v>
      </c>
      <c r="K13" s="589">
        <f t="shared" si="1"/>
        <v>32198.400000000001</v>
      </c>
      <c r="L13" s="590">
        <f t="shared" si="2"/>
        <v>12</v>
      </c>
      <c r="M13" s="366">
        <f t="shared" si="3"/>
        <v>386380.80000000005</v>
      </c>
    </row>
    <row r="14" spans="1:16" ht="15" customHeight="1">
      <c r="A14" s="594" t="s">
        <v>215</v>
      </c>
      <c r="B14" s="595"/>
      <c r="C14" s="595"/>
      <c r="D14" s="596"/>
      <c r="E14" s="597"/>
      <c r="F14" s="597"/>
      <c r="G14" s="598"/>
      <c r="H14" s="577"/>
      <c r="I14" s="599"/>
      <c r="J14" s="251" t="str">
        <f t="shared" si="0"/>
        <v>Relief</v>
      </c>
      <c r="K14" s="589">
        <f t="shared" si="1"/>
        <v>32198.400000000001</v>
      </c>
      <c r="L14" s="590">
        <f t="shared" si="2"/>
        <v>1.9846153846153847</v>
      </c>
      <c r="M14" s="366">
        <f t="shared" si="3"/>
        <v>63901.440000000002</v>
      </c>
    </row>
    <row r="15" spans="1:16" ht="15" customHeight="1">
      <c r="A15" s="574" t="str">
        <f>A5</f>
        <v>Program Director</v>
      </c>
      <c r="B15" s="600"/>
      <c r="C15" s="601">
        <f>[3]BayCoveExpenses!J11</f>
        <v>1</v>
      </c>
      <c r="D15" s="574" t="s">
        <v>183</v>
      </c>
      <c r="E15" s="583"/>
      <c r="F15" s="583"/>
      <c r="G15" s="584"/>
      <c r="H15" s="577"/>
      <c r="I15" s="588"/>
      <c r="J15" s="251" t="str">
        <f t="shared" si="0"/>
        <v>Secretary/Clerical</v>
      </c>
      <c r="K15" s="589">
        <f t="shared" si="1"/>
        <v>32198.400000000001</v>
      </c>
      <c r="L15" s="590">
        <f t="shared" si="2"/>
        <v>0.2</v>
      </c>
      <c r="M15" s="366">
        <f t="shared" si="3"/>
        <v>6439.68</v>
      </c>
    </row>
    <row r="16" spans="1:16" ht="15" customHeight="1">
      <c r="A16" s="574" t="str">
        <f>A6</f>
        <v>Clinical Program Director</v>
      </c>
      <c r="B16" s="600"/>
      <c r="C16" s="601">
        <f>[3]BayCoveExpenses!J10</f>
        <v>0.17499999999999999</v>
      </c>
      <c r="D16" s="574" t="s">
        <v>183</v>
      </c>
      <c r="E16" s="583"/>
      <c r="F16" s="583"/>
      <c r="G16" s="584"/>
      <c r="H16" s="577"/>
      <c r="I16" s="588"/>
      <c r="J16" s="602" t="s">
        <v>303</v>
      </c>
      <c r="K16" s="363"/>
      <c r="L16" s="603">
        <f>SUM(L7:L15)</f>
        <v>18.084615384615386</v>
      </c>
      <c r="M16" s="364">
        <f>SUM(M7:M15)</f>
        <v>736279.44000000006</v>
      </c>
    </row>
    <row r="17" spans="1:13" ht="15" customHeight="1">
      <c r="A17" s="574" t="str">
        <f>A7</f>
        <v>Assistant Clinical Program Director</v>
      </c>
      <c r="B17" s="600"/>
      <c r="C17" s="601">
        <v>1</v>
      </c>
      <c r="D17" s="574" t="s">
        <v>183</v>
      </c>
      <c r="E17" s="583"/>
      <c r="F17" s="583"/>
      <c r="G17" s="584"/>
      <c r="H17" s="577"/>
      <c r="I17" s="588"/>
      <c r="J17" s="244" t="str">
        <f>A28</f>
        <v>Contribution to PFMLA Trust</v>
      </c>
      <c r="K17" s="368">
        <f>C28</f>
        <v>3.7000000000000002E-3</v>
      </c>
      <c r="L17" s="245"/>
      <c r="M17" s="366">
        <f>M16*K17</f>
        <v>2724.2339280000006</v>
      </c>
    </row>
    <row r="18" spans="1:13" ht="15" customHeight="1">
      <c r="A18" s="574" t="str">
        <f t="shared" ref="A18:A22" si="4">A8</f>
        <v>RN - Masters/APRN</v>
      </c>
      <c r="B18" s="572"/>
      <c r="C18" s="601">
        <f>[3]BayCoveExpenses!J12</f>
        <v>0.22500000000000001</v>
      </c>
      <c r="D18" s="574" t="s">
        <v>183</v>
      </c>
      <c r="E18" s="583"/>
      <c r="F18" s="583"/>
      <c r="G18" s="584"/>
      <c r="H18" s="577"/>
      <c r="I18" s="245"/>
      <c r="J18" s="244" t="str">
        <f>A25</f>
        <v>Tax &amp; Fringe</v>
      </c>
      <c r="K18" s="368">
        <f>C25</f>
        <v>0.224</v>
      </c>
      <c r="L18" s="245"/>
      <c r="M18" s="366">
        <f>M16*K18</f>
        <v>164926.59456000003</v>
      </c>
    </row>
    <row r="19" spans="1:13" ht="15" customHeight="1">
      <c r="A19" s="574" t="str">
        <f t="shared" si="4"/>
        <v>RN - Non Masters</v>
      </c>
      <c r="B19" s="572"/>
      <c r="C19" s="601">
        <v>0.5</v>
      </c>
      <c r="D19" s="574" t="s">
        <v>183</v>
      </c>
      <c r="E19" s="583"/>
      <c r="F19" s="583"/>
      <c r="G19" s="584"/>
      <c r="H19" s="577"/>
      <c r="I19" s="588"/>
      <c r="J19" s="602" t="s">
        <v>187</v>
      </c>
      <c r="K19" s="363"/>
      <c r="L19" s="363"/>
      <c r="M19" s="364">
        <f>M18+M16+M17</f>
        <v>903930.26848800003</v>
      </c>
    </row>
    <row r="20" spans="1:13" ht="15" customHeight="1">
      <c r="A20" s="574" t="str">
        <f t="shared" si="4"/>
        <v>Social Worker - LICSW</v>
      </c>
      <c r="B20" s="572"/>
      <c r="C20" s="601">
        <f>[3]BayCoveExpenses!J13</f>
        <v>1</v>
      </c>
      <c r="D20" s="574" t="s">
        <v>183</v>
      </c>
      <c r="E20" s="583"/>
      <c r="F20" s="583"/>
      <c r="G20" s="584"/>
      <c r="H20" s="577"/>
      <c r="I20" s="588"/>
      <c r="J20" s="244" t="str">
        <f>A26</f>
        <v>Subcontracts</v>
      </c>
      <c r="K20" s="604"/>
      <c r="L20" s="604"/>
      <c r="M20" s="366">
        <f>C26</f>
        <v>89703.122249999986</v>
      </c>
    </row>
    <row r="21" spans="1:13" ht="15" customHeight="1">
      <c r="A21" s="574" t="str">
        <f t="shared" si="4"/>
        <v xml:space="preserve">Direct Care </v>
      </c>
      <c r="B21" s="572"/>
      <c r="C21" s="601">
        <f>[3]BayCoveExpenses!J14</f>
        <v>12</v>
      </c>
      <c r="D21" s="574" t="s">
        <v>183</v>
      </c>
      <c r="E21" s="583"/>
      <c r="F21" s="583"/>
      <c r="G21" s="584"/>
      <c r="H21" s="577"/>
      <c r="I21" s="245"/>
      <c r="J21" s="244" t="s">
        <v>304</v>
      </c>
      <c r="K21" s="604"/>
      <c r="L21" s="589">
        <f>C27</f>
        <v>602.59391534999997</v>
      </c>
      <c r="M21" s="366">
        <f>L21*K5</f>
        <v>12051.878306999999</v>
      </c>
    </row>
    <row r="22" spans="1:13" ht="15" customHeight="1">
      <c r="A22" s="574" t="str">
        <f t="shared" si="4"/>
        <v>Relief</v>
      </c>
      <c r="B22" s="572"/>
      <c r="C22" s="601">
        <f>C37*C21</f>
        <v>1.9846153846153847</v>
      </c>
      <c r="D22" s="574" t="s">
        <v>183</v>
      </c>
      <c r="E22" s="583"/>
      <c r="F22" s="583"/>
      <c r="G22" s="584"/>
      <c r="H22" s="577"/>
      <c r="I22" s="605"/>
      <c r="J22" s="606"/>
      <c r="K22" s="589"/>
      <c r="L22" s="588"/>
      <c r="M22" s="366"/>
    </row>
    <row r="23" spans="1:13" ht="15" customHeight="1">
      <c r="A23" s="591" t="s">
        <v>302</v>
      </c>
      <c r="B23" s="607"/>
      <c r="C23" s="608">
        <v>0.2</v>
      </c>
      <c r="D23" s="609" t="s">
        <v>183</v>
      </c>
      <c r="E23" s="610"/>
      <c r="F23" s="610"/>
      <c r="G23" s="592"/>
      <c r="H23" s="577"/>
      <c r="I23" s="593"/>
      <c r="J23" s="602" t="s">
        <v>200</v>
      </c>
      <c r="K23" s="611"/>
      <c r="L23" s="611"/>
      <c r="M23" s="364">
        <f>SUM(M19:M22)</f>
        <v>1005685.2690450001</v>
      </c>
    </row>
    <row r="24" spans="1:13" ht="15" customHeight="1">
      <c r="A24" s="594" t="s">
        <v>305</v>
      </c>
      <c r="B24" s="595"/>
      <c r="C24" s="595"/>
      <c r="D24" s="596"/>
      <c r="E24" s="597"/>
      <c r="F24" s="597"/>
      <c r="G24" s="598"/>
      <c r="H24" s="577"/>
      <c r="I24" s="593"/>
      <c r="J24" s="244"/>
      <c r="K24" s="245"/>
      <c r="L24" s="245"/>
      <c r="M24" s="366"/>
    </row>
    <row r="25" spans="1:13" ht="15" customHeight="1">
      <c r="A25" s="571" t="s">
        <v>191</v>
      </c>
      <c r="B25" s="572"/>
      <c r="C25" s="612">
        <f>Chart!C31</f>
        <v>0.224</v>
      </c>
      <c r="D25" s="613" t="s">
        <v>57</v>
      </c>
      <c r="E25" s="575"/>
      <c r="F25" s="575"/>
      <c r="G25" s="584"/>
      <c r="H25" s="577"/>
      <c r="I25" s="605"/>
      <c r="J25" s="244" t="s">
        <v>306</v>
      </c>
      <c r="K25" s="129">
        <f>C29</f>
        <v>0.12</v>
      </c>
      <c r="L25" s="368"/>
      <c r="M25" s="366">
        <f>M23*K25</f>
        <v>120682.23228540001</v>
      </c>
    </row>
    <row r="26" spans="1:13" ht="15" customHeight="1" thickBot="1">
      <c r="A26" s="571" t="s">
        <v>307</v>
      </c>
      <c r="B26" s="572"/>
      <c r="C26" s="573">
        <f>[3]BayCoveExpenses!F27*(3.11%+1)*(2.35%+1)</f>
        <v>89703.122249999986</v>
      </c>
      <c r="D26" s="574" t="s">
        <v>308</v>
      </c>
      <c r="E26" s="575"/>
      <c r="F26" s="575"/>
      <c r="G26" s="614"/>
      <c r="H26" s="577"/>
      <c r="I26" s="147"/>
      <c r="J26" s="615" t="s">
        <v>207</v>
      </c>
      <c r="K26" s="370"/>
      <c r="L26" s="370"/>
      <c r="M26" s="371">
        <f>M23+M25</f>
        <v>1126367.5013304001</v>
      </c>
    </row>
    <row r="27" spans="1:13" ht="15" customHeight="1" thickTop="1">
      <c r="A27" s="571" t="s">
        <v>309</v>
      </c>
      <c r="B27" s="572"/>
      <c r="C27" s="573">
        <f>571*(3.11%+1)*(2.35%+1)</f>
        <v>602.59391534999997</v>
      </c>
      <c r="D27" s="574" t="s">
        <v>308</v>
      </c>
      <c r="E27" s="575"/>
      <c r="F27" s="575"/>
      <c r="G27" s="614"/>
      <c r="H27" s="577"/>
      <c r="I27" s="588"/>
      <c r="J27" s="616"/>
      <c r="K27" s="617"/>
      <c r="L27" s="618"/>
      <c r="M27" s="619"/>
    </row>
    <row r="28" spans="1:13" ht="15" customHeight="1">
      <c r="A28" s="571" t="s">
        <v>310</v>
      </c>
      <c r="B28" s="572"/>
      <c r="C28" s="620">
        <v>3.7000000000000002E-3</v>
      </c>
      <c r="D28" s="613" t="s">
        <v>204</v>
      </c>
      <c r="E28" s="621"/>
      <c r="F28" s="575"/>
      <c r="G28" s="614"/>
      <c r="H28" s="577"/>
      <c r="I28" s="245"/>
      <c r="J28" s="616" t="s">
        <v>311</v>
      </c>
      <c r="K28" s="368">
        <f>'CAF Fall 2020'!BY28</f>
        <v>1.9959404600811814E-2</v>
      </c>
      <c r="L28" s="245"/>
      <c r="M28" s="366">
        <f>(M26-M16)*K28</f>
        <v>7785.9254460397478</v>
      </c>
    </row>
    <row r="29" spans="1:13" ht="15" customHeight="1">
      <c r="A29" s="571" t="s">
        <v>58</v>
      </c>
      <c r="B29" s="572"/>
      <c r="C29" s="612">
        <v>0.12</v>
      </c>
      <c r="D29" s="613" t="s">
        <v>312</v>
      </c>
      <c r="E29" s="575"/>
      <c r="F29" s="575"/>
      <c r="G29" s="614"/>
      <c r="H29" s="577"/>
      <c r="I29" s="588"/>
      <c r="J29" s="616" t="s">
        <v>208</v>
      </c>
      <c r="K29" s="129"/>
      <c r="L29" s="368"/>
      <c r="M29" s="366">
        <f>M27+M26+M28</f>
        <v>1134153.4267764399</v>
      </c>
    </row>
    <row r="30" spans="1:13" ht="15" customHeight="1">
      <c r="A30" s="622" t="s">
        <v>311</v>
      </c>
      <c r="B30" s="623"/>
      <c r="C30" s="624">
        <f>K28</f>
        <v>1.9959404600811814E-2</v>
      </c>
      <c r="D30" s="625" t="str">
        <f>'Dual DX (w-occupancy)'!D33</f>
        <v>Prospective FY22 and FY23</v>
      </c>
      <c r="E30" s="626"/>
      <c r="F30" s="626"/>
      <c r="G30" s="627"/>
      <c r="H30" s="577"/>
      <c r="I30" s="588"/>
      <c r="J30" s="616"/>
      <c r="K30" s="129"/>
      <c r="L30" s="368"/>
      <c r="M30" s="366"/>
    </row>
    <row r="31" spans="1:13" ht="15" customHeight="1">
      <c r="A31" s="628" t="s">
        <v>234</v>
      </c>
      <c r="B31" s="629" t="s">
        <v>235</v>
      </c>
      <c r="C31" s="630" t="s">
        <v>236</v>
      </c>
      <c r="D31" s="631"/>
      <c r="E31" s="632"/>
      <c r="F31" s="632"/>
      <c r="G31" s="632"/>
      <c r="H31" s="577"/>
      <c r="I31" s="588"/>
      <c r="J31" s="633"/>
      <c r="K31" s="634"/>
      <c r="L31" s="635"/>
      <c r="M31" s="636"/>
    </row>
    <row r="32" spans="1:13" ht="15" customHeight="1" thickBot="1">
      <c r="A32" s="637" t="s">
        <v>313</v>
      </c>
      <c r="B32" s="638">
        <v>15</v>
      </c>
      <c r="C32" s="639">
        <f>B32*8</f>
        <v>120</v>
      </c>
      <c r="D32" s="640"/>
      <c r="E32" s="641"/>
      <c r="F32" s="640"/>
      <c r="G32" s="642"/>
      <c r="H32" s="577"/>
      <c r="I32" s="245"/>
      <c r="J32" s="602" t="s">
        <v>314</v>
      </c>
      <c r="K32" s="643"/>
      <c r="L32" s="643"/>
      <c r="M32" s="644">
        <f>M29+M31</f>
        <v>1134153.4267764399</v>
      </c>
    </row>
    <row r="33" spans="1:17" ht="15" customHeight="1" thickTop="1">
      <c r="A33" s="637" t="s">
        <v>315</v>
      </c>
      <c r="B33" s="245">
        <v>8</v>
      </c>
      <c r="C33" s="639">
        <f t="shared" ref="C33:C35" si="5">B33*8</f>
        <v>64</v>
      </c>
      <c r="D33" s="640"/>
      <c r="E33" s="641"/>
      <c r="F33" s="640"/>
      <c r="G33" s="642"/>
      <c r="H33" s="577"/>
      <c r="I33" s="645"/>
      <c r="J33" s="646"/>
      <c r="K33" s="647"/>
      <c r="L33" s="647"/>
      <c r="M33" s="648"/>
    </row>
    <row r="34" spans="1:17" ht="15" customHeight="1">
      <c r="A34" s="637" t="s">
        <v>316</v>
      </c>
      <c r="B34" s="245">
        <v>10</v>
      </c>
      <c r="C34" s="639">
        <f t="shared" si="5"/>
        <v>80</v>
      </c>
      <c r="D34" s="640"/>
      <c r="E34" s="649"/>
      <c r="F34" s="650"/>
      <c r="G34" s="642"/>
      <c r="H34" s="577"/>
      <c r="I34" s="645"/>
      <c r="J34" s="244" t="s">
        <v>317</v>
      </c>
      <c r="K34" s="651"/>
      <c r="L34" s="245"/>
      <c r="M34" s="652">
        <f>M32/M5</f>
        <v>155.36348312006027</v>
      </c>
    </row>
    <row r="35" spans="1:17" ht="15" customHeight="1">
      <c r="A35" s="653" t="s">
        <v>318</v>
      </c>
      <c r="B35" s="654">
        <v>10</v>
      </c>
      <c r="C35" s="655">
        <f t="shared" si="5"/>
        <v>80</v>
      </c>
      <c r="D35" s="656"/>
      <c r="E35" s="649"/>
      <c r="F35" s="657"/>
      <c r="G35" s="642"/>
      <c r="H35" s="577"/>
      <c r="I35" s="658"/>
      <c r="J35" s="622"/>
      <c r="K35" s="659"/>
      <c r="L35" s="659"/>
      <c r="M35" s="660"/>
      <c r="Q35" s="661"/>
    </row>
    <row r="36" spans="1:17" ht="15" customHeight="1">
      <c r="A36" s="662"/>
      <c r="B36" s="663" t="s">
        <v>241</v>
      </c>
      <c r="C36" s="639">
        <f>SUM(C32:C35)</f>
        <v>344</v>
      </c>
      <c r="D36" s="656"/>
      <c r="E36" s="649"/>
      <c r="F36" s="664"/>
      <c r="G36" s="642"/>
      <c r="H36" s="577"/>
      <c r="I36" s="94"/>
      <c r="J36" s="665"/>
      <c r="K36" s="666"/>
      <c r="L36" s="665"/>
      <c r="M36" s="665"/>
      <c r="Q36" s="667"/>
    </row>
    <row r="37" spans="1:17" ht="15" customHeight="1">
      <c r="A37" s="591"/>
      <c r="B37" s="668" t="s">
        <v>319</v>
      </c>
      <c r="C37" s="669">
        <f>C36/2080</f>
        <v>0.16538461538461538</v>
      </c>
      <c r="D37" s="665"/>
      <c r="E37" s="665"/>
      <c r="F37" s="664"/>
      <c r="G37" s="642"/>
      <c r="H37" s="577"/>
      <c r="I37" s="147"/>
      <c r="J37" s="577"/>
      <c r="K37" s="577"/>
      <c r="L37" s="577"/>
      <c r="M37" s="670"/>
    </row>
    <row r="38" spans="1:17" ht="15" customHeight="1">
      <c r="D38" s="395"/>
      <c r="E38" s="395"/>
      <c r="F38" s="395"/>
      <c r="G38" s="395"/>
      <c r="I38" s="492"/>
      <c r="J38" s="671"/>
      <c r="K38" s="672"/>
      <c r="L38" s="395"/>
      <c r="M38" s="673"/>
      <c r="N38" s="395"/>
    </row>
    <row r="39" spans="1:17" ht="15" customHeight="1">
      <c r="A39" s="391" t="s">
        <v>320</v>
      </c>
      <c r="I39" s="492"/>
      <c r="J39" s="674"/>
      <c r="K39" s="674"/>
      <c r="L39" s="674"/>
      <c r="M39" s="674"/>
      <c r="N39" s="395"/>
    </row>
    <row r="40" spans="1:17" ht="15" customHeight="1">
      <c r="G40" s="661"/>
      <c r="I40" s="492"/>
      <c r="J40" s="492"/>
      <c r="K40" s="492"/>
      <c r="L40" s="675"/>
      <c r="M40" s="676"/>
      <c r="N40" s="395"/>
    </row>
    <row r="41" spans="1:17" ht="15" customHeight="1">
      <c r="I41" s="492"/>
      <c r="J41" s="492"/>
      <c r="K41" s="492"/>
      <c r="L41" s="677"/>
      <c r="M41" s="676"/>
      <c r="N41" s="395"/>
    </row>
    <row r="42" spans="1:17" ht="15" customHeight="1">
      <c r="I42" s="678"/>
      <c r="J42" s="492"/>
      <c r="K42" s="492"/>
      <c r="L42" s="679"/>
      <c r="M42" s="676"/>
      <c r="N42" s="395"/>
    </row>
    <row r="43" spans="1:17" ht="15" customHeight="1">
      <c r="I43" s="492"/>
      <c r="J43" s="492"/>
      <c r="K43" s="492"/>
      <c r="L43" s="679"/>
      <c r="M43" s="680"/>
      <c r="N43" s="395"/>
    </row>
    <row r="44" spans="1:17" ht="15" customHeight="1">
      <c r="I44" s="395"/>
      <c r="J44" s="492"/>
      <c r="K44" s="492"/>
      <c r="L44" s="679"/>
      <c r="M44" s="676"/>
      <c r="N44" s="492"/>
      <c r="O44" s="486"/>
    </row>
    <row r="45" spans="1:17" s="486" customFormat="1" ht="18" customHeight="1">
      <c r="I45" s="492"/>
      <c r="J45" s="492"/>
      <c r="K45" s="492"/>
      <c r="L45" s="679"/>
      <c r="M45" s="676"/>
      <c r="N45" s="492"/>
      <c r="O45" s="391"/>
    </row>
    <row r="46" spans="1:17">
      <c r="H46" s="486"/>
      <c r="I46" s="391"/>
    </row>
    <row r="47" spans="1:17">
      <c r="H47" s="486"/>
    </row>
  </sheetData>
  <mergeCells count="8">
    <mergeCell ref="A24:C24"/>
    <mergeCell ref="J39:M39"/>
    <mergeCell ref="J2:M2"/>
    <mergeCell ref="A3:G3"/>
    <mergeCell ref="A4:C4"/>
    <mergeCell ref="D4:G4"/>
    <mergeCell ref="J4:M4"/>
    <mergeCell ref="A14:C1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70" zoomScaleNormal="70" workbookViewId="0">
      <selection activeCell="F19" sqref="F19"/>
    </sheetView>
  </sheetViews>
  <sheetFormatPr defaultColWidth="9.109375" defaultRowHeight="15.6"/>
  <cols>
    <col min="1" max="1" width="29.88671875" style="391" customWidth="1"/>
    <col min="2" max="2" width="21.88671875" style="391" customWidth="1"/>
    <col min="3" max="3" width="13" style="391" customWidth="1"/>
    <col min="4" max="4" width="16.6640625" style="391" customWidth="1"/>
    <col min="5" max="5" width="14.109375" style="391" customWidth="1"/>
    <col min="6" max="6" width="48.5546875" style="391" customWidth="1"/>
    <col min="7" max="7" width="4.5546875" style="391" customWidth="1"/>
    <col min="8" max="8" width="4.33203125" style="486" customWidth="1"/>
    <col min="9" max="9" width="37.5546875" style="391" customWidth="1"/>
    <col min="10" max="10" width="13.88671875" style="391" customWidth="1"/>
    <col min="11" max="11" width="13.44140625" style="391" customWidth="1"/>
    <col min="12" max="12" width="14.5546875" style="391" customWidth="1"/>
    <col min="13" max="13" width="4.44140625" style="391" customWidth="1"/>
    <col min="14" max="16384" width="9.109375" style="391"/>
  </cols>
  <sheetData>
    <row r="1" spans="1:13" ht="15" customHeight="1">
      <c r="H1" s="492"/>
    </row>
    <row r="2" spans="1:13" ht="15" customHeight="1" thickBot="1">
      <c r="H2" s="558"/>
      <c r="I2" s="559"/>
      <c r="J2" s="559"/>
      <c r="K2" s="559"/>
      <c r="L2" s="559"/>
    </row>
    <row r="3" spans="1:13" ht="18" customHeight="1" thickBot="1">
      <c r="A3" s="681" t="s">
        <v>321</v>
      </c>
      <c r="B3" s="682"/>
      <c r="C3" s="682"/>
      <c r="D3" s="682"/>
      <c r="E3" s="682"/>
      <c r="F3" s="683"/>
      <c r="H3" s="388"/>
      <c r="I3" s="563"/>
      <c r="J3" s="266"/>
      <c r="K3" s="266"/>
      <c r="L3" s="266"/>
    </row>
    <row r="4" spans="1:13" s="569" customFormat="1" ht="22.5" customHeight="1">
      <c r="A4" s="684" t="s">
        <v>289</v>
      </c>
      <c r="B4" s="565"/>
      <c r="C4" s="565"/>
      <c r="D4" s="566" t="s">
        <v>290</v>
      </c>
      <c r="E4" s="567"/>
      <c r="F4" s="685"/>
      <c r="H4" s="570"/>
      <c r="I4" s="686" t="s">
        <v>322</v>
      </c>
      <c r="J4" s="687"/>
      <c r="K4" s="687"/>
      <c r="L4" s="688"/>
    </row>
    <row r="5" spans="1:13" ht="17.25" customHeight="1">
      <c r="A5" s="689" t="s">
        <v>292</v>
      </c>
      <c r="B5" s="572"/>
      <c r="C5" s="573">
        <v>72831</v>
      </c>
      <c r="D5" s="574" t="s">
        <v>323</v>
      </c>
      <c r="E5" s="575"/>
      <c r="F5" s="690"/>
      <c r="G5" s="575"/>
      <c r="H5" s="122"/>
      <c r="I5" s="691" t="s">
        <v>324</v>
      </c>
      <c r="J5" s="692">
        <v>20</v>
      </c>
      <c r="K5" s="692" t="s">
        <v>295</v>
      </c>
      <c r="L5" s="693">
        <f>J5*365</f>
        <v>7300</v>
      </c>
      <c r="M5" s="694"/>
    </row>
    <row r="6" spans="1:13" ht="14.25" customHeight="1">
      <c r="A6" s="695" t="s">
        <v>296</v>
      </c>
      <c r="B6" s="582"/>
      <c r="C6" s="573">
        <f>Chart!C18</f>
        <v>83324.800000000003</v>
      </c>
      <c r="D6" s="574" t="s">
        <v>297</v>
      </c>
      <c r="E6" s="583"/>
      <c r="F6" s="696"/>
      <c r="G6" s="583"/>
      <c r="H6" s="122"/>
      <c r="I6" s="697" t="s">
        <v>5</v>
      </c>
      <c r="J6" s="698" t="s">
        <v>175</v>
      </c>
      <c r="K6" s="699" t="s">
        <v>215</v>
      </c>
      <c r="L6" s="700" t="s">
        <v>177</v>
      </c>
    </row>
    <row r="7" spans="1:13" ht="15" customHeight="1">
      <c r="A7" s="93" t="s">
        <v>298</v>
      </c>
      <c r="B7" s="142"/>
      <c r="C7" s="588">
        <f>' Dual DX (donated)'!C7</f>
        <v>60923.199999999997</v>
      </c>
      <c r="D7" s="574" t="s">
        <v>297</v>
      </c>
      <c r="E7" s="575"/>
      <c r="F7" s="690"/>
      <c r="G7" s="575"/>
      <c r="H7" s="122"/>
      <c r="I7" s="701" t="str">
        <f t="shared" ref="I7:I15" si="0">A5</f>
        <v>Program Director</v>
      </c>
      <c r="J7" s="702">
        <f t="shared" ref="J7:J15" si="1">C5</f>
        <v>72831</v>
      </c>
      <c r="K7" s="703">
        <f t="shared" ref="K7:K15" si="2">C15</f>
        <v>1</v>
      </c>
      <c r="L7" s="704">
        <f t="shared" ref="L7:L15" si="3">J7*K7</f>
        <v>72831</v>
      </c>
    </row>
    <row r="8" spans="1:13" ht="15" customHeight="1">
      <c r="A8" s="93" t="s">
        <v>299</v>
      </c>
      <c r="B8" s="142"/>
      <c r="C8" s="588">
        <f>Chart!C24</f>
        <v>119412.79999999999</v>
      </c>
      <c r="D8" s="574" t="s">
        <v>297</v>
      </c>
      <c r="E8" s="575"/>
      <c r="F8" s="690"/>
      <c r="G8" s="575"/>
      <c r="H8" s="199"/>
      <c r="I8" s="701" t="str">
        <f t="shared" si="0"/>
        <v>Clinical Program Director</v>
      </c>
      <c r="J8" s="702">
        <f t="shared" si="1"/>
        <v>83324.800000000003</v>
      </c>
      <c r="K8" s="590">
        <f t="shared" si="2"/>
        <v>0.17499999999999999</v>
      </c>
      <c r="L8" s="704">
        <f t="shared" si="3"/>
        <v>14581.84</v>
      </c>
    </row>
    <row r="9" spans="1:13" ht="15" customHeight="1">
      <c r="A9" s="705" t="s">
        <v>300</v>
      </c>
      <c r="B9" s="706"/>
      <c r="C9" s="588">
        <f>Chart!C22</f>
        <v>86860.800000000003</v>
      </c>
      <c r="D9" s="574" t="s">
        <v>297</v>
      </c>
      <c r="E9" s="575"/>
      <c r="F9" s="690"/>
      <c r="G9" s="575"/>
      <c r="H9" s="553"/>
      <c r="I9" s="701" t="str">
        <f t="shared" si="0"/>
        <v>Assistant Clinical Program Director</v>
      </c>
      <c r="J9" s="702">
        <f t="shared" si="1"/>
        <v>60923.199999999997</v>
      </c>
      <c r="K9" s="590">
        <f t="shared" si="2"/>
        <v>1</v>
      </c>
      <c r="L9" s="704">
        <f t="shared" si="3"/>
        <v>60923.199999999997</v>
      </c>
    </row>
    <row r="10" spans="1:13" ht="15" customHeight="1">
      <c r="A10" s="705" t="s">
        <v>301</v>
      </c>
      <c r="B10" s="706"/>
      <c r="C10" s="588">
        <f>Chart!C16</f>
        <v>60923.199999999997</v>
      </c>
      <c r="D10" s="574" t="s">
        <v>297</v>
      </c>
      <c r="E10" s="583"/>
      <c r="F10" s="696"/>
      <c r="G10" s="583"/>
      <c r="H10" s="553"/>
      <c r="I10" s="701" t="str">
        <f t="shared" si="0"/>
        <v>RN - Masters/APRN</v>
      </c>
      <c r="J10" s="702">
        <f t="shared" si="1"/>
        <v>119412.79999999999</v>
      </c>
      <c r="K10" s="590">
        <f t="shared" si="2"/>
        <v>0.22500000000000001</v>
      </c>
      <c r="L10" s="704">
        <f t="shared" si="3"/>
        <v>26867.879999999997</v>
      </c>
    </row>
    <row r="11" spans="1:13" ht="15" customHeight="1">
      <c r="A11" s="705" t="s">
        <v>217</v>
      </c>
      <c r="B11" s="706"/>
      <c r="C11" s="588">
        <f>Chart!C6</f>
        <v>32198.400000000001</v>
      </c>
      <c r="D11" s="574" t="s">
        <v>297</v>
      </c>
      <c r="E11" s="575"/>
      <c r="F11" s="690"/>
      <c r="G11" s="575"/>
      <c r="H11" s="553"/>
      <c r="I11" s="701" t="str">
        <f t="shared" si="0"/>
        <v>RN - Non Masters</v>
      </c>
      <c r="J11" s="702">
        <f t="shared" si="1"/>
        <v>86860.800000000003</v>
      </c>
      <c r="K11" s="590">
        <f t="shared" si="2"/>
        <v>0.5</v>
      </c>
      <c r="L11" s="704">
        <f t="shared" si="3"/>
        <v>43430.400000000001</v>
      </c>
    </row>
    <row r="12" spans="1:13" ht="15" customHeight="1">
      <c r="A12" s="705" t="s">
        <v>218</v>
      </c>
      <c r="B12" s="706"/>
      <c r="C12" s="588">
        <f>Chart!C6</f>
        <v>32198.400000000001</v>
      </c>
      <c r="D12" s="574" t="s">
        <v>297</v>
      </c>
      <c r="E12" s="583"/>
      <c r="F12" s="696"/>
      <c r="G12" s="583"/>
      <c r="H12" s="553"/>
      <c r="I12" s="701" t="str">
        <f t="shared" si="0"/>
        <v>Social Worker - LICSW</v>
      </c>
      <c r="J12" s="702">
        <f t="shared" si="1"/>
        <v>60923.199999999997</v>
      </c>
      <c r="K12" s="590">
        <f t="shared" si="2"/>
        <v>1</v>
      </c>
      <c r="L12" s="704">
        <f t="shared" si="3"/>
        <v>60923.199999999997</v>
      </c>
    </row>
    <row r="13" spans="1:13" ht="15" customHeight="1">
      <c r="A13" s="707" t="s">
        <v>302</v>
      </c>
      <c r="B13" s="572"/>
      <c r="C13" s="573">
        <f>Chart!C6</f>
        <v>32198.400000000001</v>
      </c>
      <c r="D13" s="574" t="s">
        <v>297</v>
      </c>
      <c r="E13" s="583"/>
      <c r="F13" s="696"/>
      <c r="G13" s="583"/>
      <c r="H13" s="593"/>
      <c r="I13" s="701" t="str">
        <f t="shared" si="0"/>
        <v xml:space="preserve">Direct Care </v>
      </c>
      <c r="J13" s="702">
        <f t="shared" si="1"/>
        <v>32198.400000000001</v>
      </c>
      <c r="K13" s="590">
        <f t="shared" si="2"/>
        <v>12</v>
      </c>
      <c r="L13" s="704">
        <f t="shared" si="3"/>
        <v>386380.80000000005</v>
      </c>
    </row>
    <row r="14" spans="1:13" ht="15" customHeight="1" thickBot="1">
      <c r="A14" s="708" t="s">
        <v>215</v>
      </c>
      <c r="B14" s="709"/>
      <c r="C14" s="709"/>
      <c r="D14" s="710"/>
      <c r="E14" s="711"/>
      <c r="F14" s="712"/>
      <c r="G14" s="577"/>
      <c r="H14" s="599"/>
      <c r="I14" s="701" t="str">
        <f t="shared" si="0"/>
        <v>Relief</v>
      </c>
      <c r="J14" s="702">
        <f t="shared" si="1"/>
        <v>32198.400000000001</v>
      </c>
      <c r="K14" s="590">
        <f t="shared" si="2"/>
        <v>1.9846153846153847</v>
      </c>
      <c r="L14" s="704">
        <f t="shared" si="3"/>
        <v>63901.440000000002</v>
      </c>
    </row>
    <row r="15" spans="1:13" ht="15" customHeight="1">
      <c r="A15" s="713" t="s">
        <v>292</v>
      </c>
      <c r="B15" s="600"/>
      <c r="C15" s="601">
        <f>[3]BayCoveExpenses!J11</f>
        <v>1</v>
      </c>
      <c r="D15" s="574" t="s">
        <v>183</v>
      </c>
      <c r="E15" s="583"/>
      <c r="F15" s="696"/>
      <c r="G15" s="577"/>
      <c r="H15" s="588"/>
      <c r="I15" s="701" t="str">
        <f t="shared" si="0"/>
        <v>Secretary/Clerical</v>
      </c>
      <c r="J15" s="702">
        <f t="shared" si="1"/>
        <v>32198.400000000001</v>
      </c>
      <c r="K15" s="590">
        <f t="shared" si="2"/>
        <v>0.2</v>
      </c>
      <c r="L15" s="704">
        <f t="shared" si="3"/>
        <v>6439.68</v>
      </c>
    </row>
    <row r="16" spans="1:13" ht="15" customHeight="1">
      <c r="A16" s="713" t="s">
        <v>296</v>
      </c>
      <c r="B16" s="600"/>
      <c r="C16" s="601">
        <f>[3]BayCoveExpenses!J10</f>
        <v>0.17499999999999999</v>
      </c>
      <c r="D16" s="574" t="s">
        <v>183</v>
      </c>
      <c r="E16" s="583"/>
      <c r="F16" s="696"/>
      <c r="G16" s="577"/>
      <c r="H16" s="588"/>
      <c r="I16" s="625" t="s">
        <v>303</v>
      </c>
      <c r="J16" s="714"/>
      <c r="K16" s="715">
        <f>SUM(K7:K15)</f>
        <v>18.084615384615386</v>
      </c>
      <c r="L16" s="716">
        <f>SUM(L7:L15)</f>
        <v>736279.44000000006</v>
      </c>
    </row>
    <row r="17" spans="1:12" ht="15" customHeight="1">
      <c r="A17" s="713" t="s">
        <v>298</v>
      </c>
      <c r="B17" s="600"/>
      <c r="C17" s="601">
        <v>1</v>
      </c>
      <c r="D17" s="574" t="s">
        <v>183</v>
      </c>
      <c r="E17" s="583"/>
      <c r="F17" s="696"/>
      <c r="G17" s="577"/>
      <c r="H17" s="588"/>
      <c r="I17" s="616" t="str">
        <f>A29</f>
        <v>Contribution to PFMLA Trust</v>
      </c>
      <c r="J17" s="717">
        <f>C29</f>
        <v>3.7000000000000002E-3</v>
      </c>
      <c r="K17" s="718"/>
      <c r="L17" s="704">
        <f>L16*J17</f>
        <v>2724.2339280000006</v>
      </c>
    </row>
    <row r="18" spans="1:12" ht="15" customHeight="1">
      <c r="A18" s="713" t="s">
        <v>299</v>
      </c>
      <c r="B18" s="572"/>
      <c r="C18" s="601">
        <f>[3]BayCoveExpenses!J12</f>
        <v>0.22500000000000001</v>
      </c>
      <c r="D18" s="574" t="s">
        <v>183</v>
      </c>
      <c r="E18" s="583"/>
      <c r="F18" s="696"/>
      <c r="G18" s="577"/>
      <c r="H18" s="245"/>
      <c r="I18" s="616" t="str">
        <f>A25</f>
        <v>Tax &amp; Fringe</v>
      </c>
      <c r="J18" s="717">
        <f>C25</f>
        <v>0.224</v>
      </c>
      <c r="K18" s="718"/>
      <c r="L18" s="704">
        <f>L16*J18</f>
        <v>164926.59456000003</v>
      </c>
    </row>
    <row r="19" spans="1:12" ht="15" customHeight="1">
      <c r="A19" s="713" t="s">
        <v>300</v>
      </c>
      <c r="B19" s="572"/>
      <c r="C19" s="601">
        <v>0.5</v>
      </c>
      <c r="D19" s="574" t="s">
        <v>183</v>
      </c>
      <c r="E19" s="583"/>
      <c r="F19" s="696"/>
      <c r="G19" s="577"/>
      <c r="H19" s="588"/>
      <c r="I19" s="625" t="s">
        <v>187</v>
      </c>
      <c r="J19" s="714"/>
      <c r="K19" s="714"/>
      <c r="L19" s="716">
        <f>L18+L16+L17</f>
        <v>903930.26848800003</v>
      </c>
    </row>
    <row r="20" spans="1:12" ht="15" customHeight="1">
      <c r="A20" s="713" t="s">
        <v>301</v>
      </c>
      <c r="B20" s="572"/>
      <c r="C20" s="601">
        <f>[3]BayCoveExpenses!J13</f>
        <v>1</v>
      </c>
      <c r="D20" s="574" t="s">
        <v>183</v>
      </c>
      <c r="E20" s="583"/>
      <c r="F20" s="696"/>
      <c r="G20" s="577"/>
      <c r="H20" s="588"/>
      <c r="I20" s="719" t="s">
        <v>325</v>
      </c>
      <c r="J20" s="718"/>
      <c r="K20" s="718" t="s">
        <v>225</v>
      </c>
      <c r="L20" s="704"/>
    </row>
    <row r="21" spans="1:12" ht="15" customHeight="1">
      <c r="A21" s="713" t="s">
        <v>248</v>
      </c>
      <c r="B21" s="572"/>
      <c r="C21" s="601">
        <f>[3]BayCoveExpenses!J14</f>
        <v>12</v>
      </c>
      <c r="D21" s="574" t="s">
        <v>183</v>
      </c>
      <c r="E21" s="583"/>
      <c r="F21" s="696"/>
      <c r="G21" s="577"/>
      <c r="H21" s="245"/>
      <c r="I21" s="616" t="str">
        <f>A26</f>
        <v>Occupancy purchased (per bed day)</v>
      </c>
      <c r="J21" s="718"/>
      <c r="K21" s="720">
        <f>C26</f>
        <v>18.141137311500003</v>
      </c>
      <c r="L21" s="704">
        <f>K21*L5</f>
        <v>132430.30237395002</v>
      </c>
    </row>
    <row r="22" spans="1:12" ht="15" customHeight="1">
      <c r="A22" s="713" t="s">
        <v>218</v>
      </c>
      <c r="B22" s="572"/>
      <c r="C22" s="601">
        <f>C21*C41</f>
        <v>1.9846153846153847</v>
      </c>
      <c r="D22" s="574" t="s">
        <v>183</v>
      </c>
      <c r="E22" s="583"/>
      <c r="F22" s="696"/>
      <c r="G22" s="577"/>
      <c r="H22" s="605"/>
      <c r="I22" s="616" t="str">
        <f>A27</f>
        <v>Subcontracts</v>
      </c>
      <c r="J22" s="720"/>
      <c r="K22" s="720"/>
      <c r="L22" s="704">
        <f>C27</f>
        <v>89703.122249999986</v>
      </c>
    </row>
    <row r="23" spans="1:12" ht="15" customHeight="1">
      <c r="A23" s="707" t="s">
        <v>302</v>
      </c>
      <c r="B23" s="607"/>
      <c r="C23" s="608">
        <v>0.2</v>
      </c>
      <c r="D23" s="609" t="s">
        <v>183</v>
      </c>
      <c r="E23" s="610"/>
      <c r="F23" s="721"/>
      <c r="G23" s="577"/>
      <c r="H23" s="593"/>
      <c r="I23" s="705" t="s">
        <v>304</v>
      </c>
      <c r="J23" s="604"/>
      <c r="K23" s="589">
        <f>C28</f>
        <v>602.59391534999997</v>
      </c>
      <c r="L23" s="704">
        <f>K23*J5</f>
        <v>12051.878306999999</v>
      </c>
    </row>
    <row r="24" spans="1:12" ht="15" customHeight="1">
      <c r="A24" s="722" t="s">
        <v>305</v>
      </c>
      <c r="B24" s="595"/>
      <c r="C24" s="595"/>
      <c r="D24" s="596"/>
      <c r="E24" s="597"/>
      <c r="F24" s="723"/>
      <c r="G24" s="577"/>
      <c r="H24" s="593"/>
      <c r="I24" s="724"/>
      <c r="J24" s="589"/>
      <c r="K24" s="725"/>
      <c r="L24" s="704"/>
    </row>
    <row r="25" spans="1:12" ht="15" customHeight="1">
      <c r="A25" s="689" t="s">
        <v>191</v>
      </c>
      <c r="B25" s="572"/>
      <c r="C25" s="612">
        <f>' Dual DX (donated)'!C25</f>
        <v>0.224</v>
      </c>
      <c r="D25" s="613" t="s">
        <v>326</v>
      </c>
      <c r="E25" s="575"/>
      <c r="F25" s="690"/>
      <c r="G25" s="577"/>
      <c r="H25" s="605"/>
      <c r="I25" s="625" t="s">
        <v>327</v>
      </c>
      <c r="J25" s="726"/>
      <c r="K25" s="726"/>
      <c r="L25" s="716">
        <f>SUM(L19:L24)</f>
        <v>1138115.5714189501</v>
      </c>
    </row>
    <row r="26" spans="1:12">
      <c r="A26" s="689" t="s">
        <v>328</v>
      </c>
      <c r="B26" s="572"/>
      <c r="C26" s="727">
        <f>'[3]Project Benchmarks'!B32*(3.11%+1)*(2.35%+1)</f>
        <v>18.141137311500003</v>
      </c>
      <c r="D26" s="728" t="s">
        <v>308</v>
      </c>
      <c r="E26" s="729"/>
      <c r="F26" s="730"/>
      <c r="G26" s="577"/>
      <c r="H26" s="147"/>
      <c r="I26" s="616"/>
      <c r="J26" s="718"/>
      <c r="K26" s="718"/>
      <c r="L26" s="704"/>
    </row>
    <row r="27" spans="1:12" ht="15" customHeight="1">
      <c r="A27" s="689" t="s">
        <v>307</v>
      </c>
      <c r="B27" s="572"/>
      <c r="C27" s="573">
        <f>[3]BayCoveExpenses!F27*(3.11%+1)*(2.35%+1)</f>
        <v>89703.122249999986</v>
      </c>
      <c r="D27" s="574" t="str">
        <f>' Dual DX (donated)'!D26</f>
        <v>Rebased with prior CAFs</v>
      </c>
      <c r="E27" s="575"/>
      <c r="F27" s="690"/>
      <c r="G27" s="577"/>
      <c r="H27" s="588"/>
      <c r="I27" s="616" t="str">
        <f>A30</f>
        <v>Admin Allocation</v>
      </c>
      <c r="J27" s="731">
        <f>C30</f>
        <v>0.12</v>
      </c>
      <c r="K27" s="717"/>
      <c r="L27" s="704">
        <f>L25*J27</f>
        <v>136573.868570274</v>
      </c>
    </row>
    <row r="28" spans="1:12" ht="15" customHeight="1" thickBot="1">
      <c r="A28" s="689" t="s">
        <v>309</v>
      </c>
      <c r="B28" s="572"/>
      <c r="C28" s="573">
        <f>571*(3.11%+1)*(2.35%+1)</f>
        <v>602.59391534999997</v>
      </c>
      <c r="D28" s="574" t="str">
        <f>' Dual DX (donated)'!D27</f>
        <v>Rebased with prior CAFs</v>
      </c>
      <c r="E28" s="575"/>
      <c r="F28" s="690"/>
      <c r="G28" s="577"/>
      <c r="H28" s="245"/>
      <c r="I28" s="732" t="s">
        <v>207</v>
      </c>
      <c r="J28" s="733"/>
      <c r="K28" s="733"/>
      <c r="L28" s="734">
        <f>L25+L27</f>
        <v>1274689.4399892241</v>
      </c>
    </row>
    <row r="29" spans="1:12" ht="15" customHeight="1" thickTop="1">
      <c r="A29" s="689" t="s">
        <v>310</v>
      </c>
      <c r="B29" s="572"/>
      <c r="C29" s="612">
        <v>3.7000000000000002E-3</v>
      </c>
      <c r="D29" s="613" t="s">
        <v>204</v>
      </c>
      <c r="E29" s="575"/>
      <c r="F29" s="690"/>
      <c r="G29" s="577"/>
      <c r="H29" s="588"/>
      <c r="I29" s="616" t="s">
        <v>329</v>
      </c>
      <c r="J29" s="735">
        <f>C33</f>
        <v>1.9959404600811814E-2</v>
      </c>
      <c r="K29" s="642"/>
      <c r="L29" s="736">
        <f>(L28-L16)*J29</f>
        <v>10746.343030908007</v>
      </c>
    </row>
    <row r="30" spans="1:12" ht="15" customHeight="1">
      <c r="A30" s="689" t="s">
        <v>58</v>
      </c>
      <c r="B30" s="572"/>
      <c r="C30" s="612">
        <v>0.12</v>
      </c>
      <c r="D30" s="613" t="s">
        <v>312</v>
      </c>
      <c r="E30" s="575"/>
      <c r="F30" s="690"/>
      <c r="G30" s="577"/>
      <c r="H30" s="588"/>
      <c r="I30" s="616" t="s">
        <v>208</v>
      </c>
      <c r="J30" s="129"/>
      <c r="K30" s="368"/>
      <c r="L30" s="704">
        <f>L29+L28</f>
        <v>1285435.783020132</v>
      </c>
    </row>
    <row r="31" spans="1:12" ht="15" customHeight="1">
      <c r="A31" s="737" t="s">
        <v>330</v>
      </c>
      <c r="B31" s="738"/>
      <c r="C31" s="739">
        <v>3.1099999999999999E-2</v>
      </c>
      <c r="D31" s="740" t="s">
        <v>331</v>
      </c>
      <c r="E31" s="741"/>
      <c r="F31" s="742"/>
      <c r="G31" s="577"/>
      <c r="H31" s="588"/>
      <c r="I31" s="743"/>
      <c r="J31" s="744"/>
      <c r="K31" s="635"/>
      <c r="L31" s="745"/>
    </row>
    <row r="32" spans="1:12" ht="15" customHeight="1">
      <c r="A32" s="746" t="s">
        <v>332</v>
      </c>
      <c r="B32" s="747"/>
      <c r="C32" s="748">
        <f>'[3]Fall 2018'!BQ23</f>
        <v>2.3531493276716206E-2</v>
      </c>
      <c r="D32" s="596" t="s">
        <v>333</v>
      </c>
      <c r="E32" s="749"/>
      <c r="F32" s="750"/>
      <c r="G32" s="577"/>
      <c r="H32" s="245"/>
      <c r="I32" s="602" t="s">
        <v>334</v>
      </c>
      <c r="J32" s="714"/>
      <c r="K32" s="714"/>
      <c r="L32" s="716">
        <f>L30+L31</f>
        <v>1285435.783020132</v>
      </c>
    </row>
    <row r="33" spans="1:16" ht="15" customHeight="1">
      <c r="A33" s="746" t="s">
        <v>332</v>
      </c>
      <c r="B33" s="747"/>
      <c r="C33" s="748">
        <f>'CAF Fall 2020'!BY28</f>
        <v>1.9959404600811814E-2</v>
      </c>
      <c r="D33" s="596" t="s">
        <v>335</v>
      </c>
      <c r="E33" s="749"/>
      <c r="F33" s="750"/>
      <c r="G33" s="577"/>
      <c r="H33" s="645"/>
      <c r="I33" s="751"/>
      <c r="J33" s="752"/>
      <c r="K33" s="752"/>
      <c r="L33" s="753"/>
    </row>
    <row r="34" spans="1:16" ht="15" customHeight="1">
      <c r="A34" s="706"/>
      <c r="B34" s="706"/>
      <c r="C34" s="725"/>
      <c r="D34" s="754"/>
      <c r="E34" s="754"/>
      <c r="F34" s="754"/>
      <c r="G34" s="577"/>
      <c r="H34" s="645"/>
      <c r="I34" s="244" t="s">
        <v>317</v>
      </c>
      <c r="J34" s="755"/>
      <c r="K34" s="245"/>
      <c r="L34" s="652">
        <f>L32/L5</f>
        <v>176.08709356440164</v>
      </c>
    </row>
    <row r="35" spans="1:16" ht="15" customHeight="1">
      <c r="A35" s="756" t="s">
        <v>234</v>
      </c>
      <c r="B35" s="757" t="s">
        <v>235</v>
      </c>
      <c r="C35" s="758" t="s">
        <v>236</v>
      </c>
      <c r="D35" s="759"/>
      <c r="E35" s="759"/>
      <c r="F35" s="759"/>
      <c r="G35" s="577"/>
      <c r="H35" s="658"/>
      <c r="I35" s="622"/>
      <c r="J35" s="760"/>
      <c r="K35" s="659"/>
      <c r="L35" s="660"/>
      <c r="P35" s="661"/>
    </row>
    <row r="36" spans="1:16" ht="15" customHeight="1">
      <c r="A36" s="637" t="s">
        <v>313</v>
      </c>
      <c r="B36" s="638">
        <v>15</v>
      </c>
      <c r="C36" s="639">
        <f>B36*8</f>
        <v>120</v>
      </c>
      <c r="D36" s="640"/>
      <c r="E36" s="761"/>
      <c r="F36" s="640"/>
      <c r="G36" s="577"/>
      <c r="H36" s="94"/>
      <c r="I36" s="577"/>
      <c r="J36" s="577"/>
      <c r="K36" s="577"/>
      <c r="L36" s="577"/>
      <c r="P36" s="667"/>
    </row>
    <row r="37" spans="1:16" ht="15" customHeight="1">
      <c r="A37" s="637" t="s">
        <v>315</v>
      </c>
      <c r="B37" s="638">
        <v>8</v>
      </c>
      <c r="C37" s="639">
        <f t="shared" ref="C37:C39" si="4">B37*8</f>
        <v>64</v>
      </c>
      <c r="D37" s="640"/>
      <c r="E37" s="641"/>
      <c r="F37" s="640"/>
      <c r="G37" s="577"/>
      <c r="H37" s="147"/>
      <c r="I37" s="577"/>
      <c r="J37" s="577"/>
      <c r="K37" s="577"/>
      <c r="L37" s="670"/>
    </row>
    <row r="38" spans="1:16" ht="15" customHeight="1">
      <c r="A38" s="637" t="s">
        <v>316</v>
      </c>
      <c r="B38" s="638">
        <v>10</v>
      </c>
      <c r="C38" s="639">
        <f t="shared" si="4"/>
        <v>80</v>
      </c>
      <c r="D38" s="640"/>
      <c r="E38" s="649"/>
      <c r="F38" s="640"/>
      <c r="G38" s="577"/>
      <c r="H38" s="762"/>
      <c r="I38" s="763"/>
      <c r="J38" s="764"/>
      <c r="K38" s="395"/>
      <c r="L38" s="673"/>
    </row>
    <row r="39" spans="1:16" ht="15" customHeight="1">
      <c r="A39" s="653" t="s">
        <v>318</v>
      </c>
      <c r="B39" s="654">
        <v>10</v>
      </c>
      <c r="C39" s="655">
        <f t="shared" si="4"/>
        <v>80</v>
      </c>
      <c r="D39" s="656"/>
      <c r="E39" s="649"/>
      <c r="F39" s="664"/>
      <c r="H39" s="17"/>
      <c r="I39" s="765"/>
      <c r="J39" s="765"/>
    </row>
    <row r="40" spans="1:16" ht="15" customHeight="1">
      <c r="A40" s="662"/>
      <c r="B40" s="663" t="s">
        <v>241</v>
      </c>
      <c r="C40" s="639">
        <f>SUM(C36:C39)</f>
        <v>344</v>
      </c>
      <c r="D40" s="656"/>
      <c r="E40" s="649"/>
      <c r="F40" s="664"/>
      <c r="I40" s="765"/>
      <c r="J40" s="766"/>
      <c r="L40" s="661"/>
    </row>
    <row r="41" spans="1:16" ht="15" customHeight="1">
      <c r="A41" s="591"/>
      <c r="B41" s="668" t="s">
        <v>319</v>
      </c>
      <c r="C41" s="669">
        <f>C40/2080</f>
        <v>0.16538461538461538</v>
      </c>
      <c r="D41" s="665"/>
      <c r="E41" s="665"/>
      <c r="F41" s="664"/>
      <c r="H41" s="492"/>
      <c r="I41" s="765"/>
      <c r="J41" s="765"/>
      <c r="L41" s="767"/>
    </row>
    <row r="42" spans="1:16" ht="15" customHeight="1">
      <c r="D42" s="395"/>
      <c r="E42" s="395"/>
      <c r="F42" s="395"/>
      <c r="H42" s="492"/>
    </row>
    <row r="43" spans="1:16" ht="15" customHeight="1">
      <c r="A43" s="391" t="s">
        <v>320</v>
      </c>
      <c r="H43" s="492"/>
    </row>
    <row r="44" spans="1:16" ht="15" customHeight="1">
      <c r="H44" s="492"/>
      <c r="I44" s="768"/>
      <c r="J44" s="558"/>
      <c r="K44" s="558"/>
      <c r="L44" s="558"/>
      <c r="M44" s="769"/>
    </row>
    <row r="45" spans="1:16" ht="18" customHeight="1">
      <c r="H45" s="492"/>
      <c r="I45" s="675"/>
      <c r="J45" s="770"/>
      <c r="K45" s="771"/>
      <c r="L45" s="772"/>
      <c r="M45" s="558"/>
    </row>
    <row r="46" spans="1:16" ht="18" customHeight="1">
      <c r="H46" s="492"/>
      <c r="I46" s="773"/>
      <c r="J46" s="770"/>
      <c r="K46" s="486"/>
      <c r="L46" s="486"/>
      <c r="M46" s="486"/>
    </row>
    <row r="47" spans="1:16" ht="18" customHeight="1">
      <c r="G47" s="486"/>
      <c r="I47" s="769"/>
      <c r="J47" s="770"/>
      <c r="K47" s="486"/>
      <c r="L47" s="486"/>
      <c r="M47" s="486"/>
    </row>
    <row r="48" spans="1:16" ht="18" customHeight="1">
      <c r="G48" s="486"/>
      <c r="I48" s="769"/>
      <c r="J48" s="772"/>
      <c r="K48" s="486"/>
      <c r="L48" s="486"/>
      <c r="M48" s="486"/>
    </row>
    <row r="49" spans="1:13" s="486" customFormat="1" ht="18" customHeight="1">
      <c r="A49" s="391"/>
      <c r="B49" s="391"/>
      <c r="C49" s="391"/>
      <c r="D49" s="391"/>
      <c r="E49" s="391"/>
      <c r="F49" s="391"/>
      <c r="I49" s="558"/>
      <c r="J49" s="558"/>
    </row>
    <row r="50" spans="1:13" s="486" customFormat="1" ht="18" customHeight="1">
      <c r="A50" s="391"/>
      <c r="B50" s="391"/>
      <c r="C50" s="391"/>
      <c r="D50" s="391"/>
      <c r="E50" s="391"/>
      <c r="F50" s="391"/>
    </row>
    <row r="51" spans="1:13" s="486" customFormat="1" ht="18" customHeight="1">
      <c r="A51" s="391"/>
      <c r="B51" s="391"/>
      <c r="C51" s="391"/>
    </row>
    <row r="52" spans="1:13" s="486" customFormat="1" ht="18" customHeight="1">
      <c r="A52" s="391"/>
      <c r="I52" s="391"/>
      <c r="J52" s="391"/>
      <c r="K52" s="391"/>
      <c r="L52" s="391"/>
    </row>
    <row r="53" spans="1:13" s="486" customFormat="1" ht="18" customHeight="1">
      <c r="G53" s="391"/>
      <c r="I53" s="391"/>
      <c r="J53" s="391"/>
      <c r="K53" s="391"/>
      <c r="L53" s="391"/>
      <c r="M53" s="391"/>
    </row>
    <row r="54" spans="1:13" s="486" customFormat="1" ht="18" customHeight="1">
      <c r="C54" s="774"/>
      <c r="G54" s="391"/>
      <c r="I54" s="391"/>
      <c r="J54" s="391"/>
      <c r="K54" s="391"/>
      <c r="L54" s="391"/>
      <c r="M54" s="391"/>
    </row>
    <row r="55" spans="1:13">
      <c r="A55" s="486"/>
      <c r="B55" s="486"/>
      <c r="C55" s="486"/>
      <c r="D55" s="486"/>
      <c r="E55" s="486"/>
      <c r="F55" s="486"/>
    </row>
    <row r="56" spans="1:13">
      <c r="A56" s="486"/>
      <c r="B56" s="486"/>
      <c r="C56" s="486"/>
      <c r="D56" s="486"/>
      <c r="E56" s="486"/>
      <c r="F56" s="486"/>
    </row>
    <row r="57" spans="1:13">
      <c r="A57" s="486"/>
      <c r="B57" s="486"/>
      <c r="C57" s="486"/>
    </row>
    <row r="58" spans="1:13">
      <c r="A58" s="486"/>
    </row>
  </sheetData>
  <mergeCells count="9">
    <mergeCell ref="A24:C24"/>
    <mergeCell ref="D26:F26"/>
    <mergeCell ref="D35:F35"/>
    <mergeCell ref="I2:L2"/>
    <mergeCell ref="A3:F3"/>
    <mergeCell ref="A4:C4"/>
    <mergeCell ref="D4:F4"/>
    <mergeCell ref="I4:L4"/>
    <mergeCell ref="A14:C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9"/>
  <sheetViews>
    <sheetView topLeftCell="BK10" workbookViewId="0">
      <selection activeCell="F19" sqref="F19"/>
    </sheetView>
  </sheetViews>
  <sheetFormatPr defaultRowHeight="13.2"/>
  <cols>
    <col min="1" max="1" width="38.44140625" style="39" hidden="1" customWidth="1"/>
    <col min="2" max="2" width="12.88671875" style="44" hidden="1" customWidth="1"/>
    <col min="3" max="4" width="7.6640625" style="39" hidden="1" customWidth="1"/>
    <col min="5" max="5" width="8.5546875" style="39" hidden="1" customWidth="1"/>
    <col min="6" max="6" width="11.109375" style="39" hidden="1" customWidth="1"/>
    <col min="7" max="7" width="10.5546875" style="39" hidden="1" customWidth="1"/>
    <col min="8" max="8" width="10.44140625" style="39" hidden="1" customWidth="1"/>
    <col min="9" max="9" width="10.88671875" style="39" hidden="1" customWidth="1"/>
    <col min="10" max="10" width="10.6640625" style="39" hidden="1" customWidth="1"/>
    <col min="11" max="11" width="11" style="39" hidden="1" customWidth="1"/>
    <col min="12" max="12" width="9.109375" style="39" hidden="1" customWidth="1"/>
    <col min="13" max="13" width="8.88671875" style="39" hidden="1" customWidth="1"/>
    <col min="14" max="14" width="11" style="39" hidden="1" customWidth="1"/>
    <col min="15" max="15" width="10.44140625" style="39" hidden="1" customWidth="1"/>
    <col min="16" max="56" width="7.6640625" style="39" hidden="1" customWidth="1"/>
    <col min="57" max="64" width="7.6640625" style="39" customWidth="1"/>
    <col min="65" max="65" width="11" style="39" customWidth="1"/>
    <col min="66" max="66" width="12.6640625" style="39" customWidth="1"/>
    <col min="67" max="67" width="10.6640625" style="39" customWidth="1"/>
    <col min="68" max="68" width="11.88671875" style="39" customWidth="1"/>
    <col min="69" max="69" width="14" style="39" customWidth="1"/>
    <col min="70" max="70" width="11.109375" style="39" customWidth="1"/>
    <col min="71" max="71" width="13.88671875" style="39" customWidth="1"/>
    <col min="72" max="72" width="12.5546875" style="39" customWidth="1"/>
    <col min="73" max="73" width="10.33203125" style="39" customWidth="1"/>
    <col min="74" max="74" width="11.6640625" style="39" customWidth="1"/>
    <col min="75" max="75" width="12.33203125" style="39" customWidth="1"/>
    <col min="76" max="76" width="10.6640625" style="39" customWidth="1"/>
    <col min="77" max="77" width="14.5546875" style="39" customWidth="1"/>
    <col min="78" max="82" width="7.6640625" style="39" customWidth="1"/>
    <col min="83" max="256" width="8.88671875" style="39"/>
    <col min="257" max="257" width="38.44140625" style="39" customWidth="1"/>
    <col min="258" max="258" width="12.88671875" style="39" customWidth="1"/>
    <col min="259" max="338" width="7.6640625" style="39" customWidth="1"/>
    <col min="339" max="512" width="8.88671875" style="39"/>
    <col min="513" max="513" width="38.44140625" style="39" customWidth="1"/>
    <col min="514" max="514" width="12.88671875" style="39" customWidth="1"/>
    <col min="515" max="594" width="7.6640625" style="39" customWidth="1"/>
    <col min="595" max="768" width="8.88671875" style="39"/>
    <col min="769" max="769" width="38.44140625" style="39" customWidth="1"/>
    <col min="770" max="770" width="12.88671875" style="39" customWidth="1"/>
    <col min="771" max="850" width="7.6640625" style="39" customWidth="1"/>
    <col min="851" max="1024" width="8.88671875" style="39"/>
    <col min="1025" max="1025" width="38.44140625" style="39" customWidth="1"/>
    <col min="1026" max="1026" width="12.88671875" style="39" customWidth="1"/>
    <col min="1027" max="1106" width="7.6640625" style="39" customWidth="1"/>
    <col min="1107" max="1280" width="8.88671875" style="39"/>
    <col min="1281" max="1281" width="38.44140625" style="39" customWidth="1"/>
    <col min="1282" max="1282" width="12.88671875" style="39" customWidth="1"/>
    <col min="1283" max="1362" width="7.6640625" style="39" customWidth="1"/>
    <col min="1363" max="1536" width="8.88671875" style="39"/>
    <col min="1537" max="1537" width="38.44140625" style="39" customWidth="1"/>
    <col min="1538" max="1538" width="12.88671875" style="39" customWidth="1"/>
    <col min="1539" max="1618" width="7.6640625" style="39" customWidth="1"/>
    <col min="1619" max="1792" width="8.88671875" style="39"/>
    <col min="1793" max="1793" width="38.44140625" style="39" customWidth="1"/>
    <col min="1794" max="1794" width="12.88671875" style="39" customWidth="1"/>
    <col min="1795" max="1874" width="7.6640625" style="39" customWidth="1"/>
    <col min="1875" max="2048" width="8.88671875" style="39"/>
    <col min="2049" max="2049" width="38.44140625" style="39" customWidth="1"/>
    <col min="2050" max="2050" width="12.88671875" style="39" customWidth="1"/>
    <col min="2051" max="2130" width="7.6640625" style="39" customWidth="1"/>
    <col min="2131" max="2304" width="8.88671875" style="39"/>
    <col min="2305" max="2305" width="38.44140625" style="39" customWidth="1"/>
    <col min="2306" max="2306" width="12.88671875" style="39" customWidth="1"/>
    <col min="2307" max="2386" width="7.6640625" style="39" customWidth="1"/>
    <col min="2387" max="2560" width="8.88671875" style="39"/>
    <col min="2561" max="2561" width="38.44140625" style="39" customWidth="1"/>
    <col min="2562" max="2562" width="12.88671875" style="39" customWidth="1"/>
    <col min="2563" max="2642" width="7.6640625" style="39" customWidth="1"/>
    <col min="2643" max="2816" width="8.88671875" style="39"/>
    <col min="2817" max="2817" width="38.44140625" style="39" customWidth="1"/>
    <col min="2818" max="2818" width="12.88671875" style="39" customWidth="1"/>
    <col min="2819" max="2898" width="7.6640625" style="39" customWidth="1"/>
    <col min="2899" max="3072" width="8.88671875" style="39"/>
    <col min="3073" max="3073" width="38.44140625" style="39" customWidth="1"/>
    <col min="3074" max="3074" width="12.88671875" style="39" customWidth="1"/>
    <col min="3075" max="3154" width="7.6640625" style="39" customWidth="1"/>
    <col min="3155" max="3328" width="8.88671875" style="39"/>
    <col min="3329" max="3329" width="38.44140625" style="39" customWidth="1"/>
    <col min="3330" max="3330" width="12.88671875" style="39" customWidth="1"/>
    <col min="3331" max="3410" width="7.6640625" style="39" customWidth="1"/>
    <col min="3411" max="3584" width="8.88671875" style="39"/>
    <col min="3585" max="3585" width="38.44140625" style="39" customWidth="1"/>
    <col min="3586" max="3586" width="12.88671875" style="39" customWidth="1"/>
    <col min="3587" max="3666" width="7.6640625" style="39" customWidth="1"/>
    <col min="3667" max="3840" width="8.88671875" style="39"/>
    <col min="3841" max="3841" width="38.44140625" style="39" customWidth="1"/>
    <col min="3842" max="3842" width="12.88671875" style="39" customWidth="1"/>
    <col min="3843" max="3922" width="7.6640625" style="39" customWidth="1"/>
    <col min="3923" max="4096" width="8.88671875" style="39"/>
    <col min="4097" max="4097" width="38.44140625" style="39" customWidth="1"/>
    <col min="4098" max="4098" width="12.88671875" style="39" customWidth="1"/>
    <col min="4099" max="4178" width="7.6640625" style="39" customWidth="1"/>
    <col min="4179" max="4352" width="8.88671875" style="39"/>
    <col min="4353" max="4353" width="38.44140625" style="39" customWidth="1"/>
    <col min="4354" max="4354" width="12.88671875" style="39" customWidth="1"/>
    <col min="4355" max="4434" width="7.6640625" style="39" customWidth="1"/>
    <col min="4435" max="4608" width="8.88671875" style="39"/>
    <col min="4609" max="4609" width="38.44140625" style="39" customWidth="1"/>
    <col min="4610" max="4610" width="12.88671875" style="39" customWidth="1"/>
    <col min="4611" max="4690" width="7.6640625" style="39" customWidth="1"/>
    <col min="4691" max="4864" width="8.88671875" style="39"/>
    <col min="4865" max="4865" width="38.44140625" style="39" customWidth="1"/>
    <col min="4866" max="4866" width="12.88671875" style="39" customWidth="1"/>
    <col min="4867" max="4946" width="7.6640625" style="39" customWidth="1"/>
    <col min="4947" max="5120" width="8.88671875" style="39"/>
    <col min="5121" max="5121" width="38.44140625" style="39" customWidth="1"/>
    <col min="5122" max="5122" width="12.88671875" style="39" customWidth="1"/>
    <col min="5123" max="5202" width="7.6640625" style="39" customWidth="1"/>
    <col min="5203" max="5376" width="8.88671875" style="39"/>
    <col min="5377" max="5377" width="38.44140625" style="39" customWidth="1"/>
    <col min="5378" max="5378" width="12.88671875" style="39" customWidth="1"/>
    <col min="5379" max="5458" width="7.6640625" style="39" customWidth="1"/>
    <col min="5459" max="5632" width="8.88671875" style="39"/>
    <col min="5633" max="5633" width="38.44140625" style="39" customWidth="1"/>
    <col min="5634" max="5634" width="12.88671875" style="39" customWidth="1"/>
    <col min="5635" max="5714" width="7.6640625" style="39" customWidth="1"/>
    <col min="5715" max="5888" width="8.88671875" style="39"/>
    <col min="5889" max="5889" width="38.44140625" style="39" customWidth="1"/>
    <col min="5890" max="5890" width="12.88671875" style="39" customWidth="1"/>
    <col min="5891" max="5970" width="7.6640625" style="39" customWidth="1"/>
    <col min="5971" max="6144" width="8.88671875" style="39"/>
    <col min="6145" max="6145" width="38.44140625" style="39" customWidth="1"/>
    <col min="6146" max="6146" width="12.88671875" style="39" customWidth="1"/>
    <col min="6147" max="6226" width="7.6640625" style="39" customWidth="1"/>
    <col min="6227" max="6400" width="8.88671875" style="39"/>
    <col min="6401" max="6401" width="38.44140625" style="39" customWidth="1"/>
    <col min="6402" max="6402" width="12.88671875" style="39" customWidth="1"/>
    <col min="6403" max="6482" width="7.6640625" style="39" customWidth="1"/>
    <col min="6483" max="6656" width="8.88671875" style="39"/>
    <col min="6657" max="6657" width="38.44140625" style="39" customWidth="1"/>
    <col min="6658" max="6658" width="12.88671875" style="39" customWidth="1"/>
    <col min="6659" max="6738" width="7.6640625" style="39" customWidth="1"/>
    <col min="6739" max="6912" width="8.88671875" style="39"/>
    <col min="6913" max="6913" width="38.44140625" style="39" customWidth="1"/>
    <col min="6914" max="6914" width="12.88671875" style="39" customWidth="1"/>
    <col min="6915" max="6994" width="7.6640625" style="39" customWidth="1"/>
    <col min="6995" max="7168" width="8.88671875" style="39"/>
    <col min="7169" max="7169" width="38.44140625" style="39" customWidth="1"/>
    <col min="7170" max="7170" width="12.88671875" style="39" customWidth="1"/>
    <col min="7171" max="7250" width="7.6640625" style="39" customWidth="1"/>
    <col min="7251" max="7424" width="8.88671875" style="39"/>
    <col min="7425" max="7425" width="38.44140625" style="39" customWidth="1"/>
    <col min="7426" max="7426" width="12.88671875" style="39" customWidth="1"/>
    <col min="7427" max="7506" width="7.6640625" style="39" customWidth="1"/>
    <col min="7507" max="7680" width="8.88671875" style="39"/>
    <col min="7681" max="7681" width="38.44140625" style="39" customWidth="1"/>
    <col min="7682" max="7682" width="12.88671875" style="39" customWidth="1"/>
    <col min="7683" max="7762" width="7.6640625" style="39" customWidth="1"/>
    <col min="7763" max="7936" width="8.88671875" style="39"/>
    <col min="7937" max="7937" width="38.44140625" style="39" customWidth="1"/>
    <col min="7938" max="7938" width="12.88671875" style="39" customWidth="1"/>
    <col min="7939" max="8018" width="7.6640625" style="39" customWidth="1"/>
    <col min="8019" max="8192" width="8.88671875" style="39"/>
    <col min="8193" max="8193" width="38.44140625" style="39" customWidth="1"/>
    <col min="8194" max="8194" width="12.88671875" style="39" customWidth="1"/>
    <col min="8195" max="8274" width="7.6640625" style="39" customWidth="1"/>
    <col min="8275" max="8448" width="8.88671875" style="39"/>
    <col min="8449" max="8449" width="38.44140625" style="39" customWidth="1"/>
    <col min="8450" max="8450" width="12.88671875" style="39" customWidth="1"/>
    <col min="8451" max="8530" width="7.6640625" style="39" customWidth="1"/>
    <col min="8531" max="8704" width="8.88671875" style="39"/>
    <col min="8705" max="8705" width="38.44140625" style="39" customWidth="1"/>
    <col min="8706" max="8706" width="12.88671875" style="39" customWidth="1"/>
    <col min="8707" max="8786" width="7.6640625" style="39" customWidth="1"/>
    <col min="8787" max="8960" width="8.88671875" style="39"/>
    <col min="8961" max="8961" width="38.44140625" style="39" customWidth="1"/>
    <col min="8962" max="8962" width="12.88671875" style="39" customWidth="1"/>
    <col min="8963" max="9042" width="7.6640625" style="39" customWidth="1"/>
    <col min="9043" max="9216" width="8.88671875" style="39"/>
    <col min="9217" max="9217" width="38.44140625" style="39" customWidth="1"/>
    <col min="9218" max="9218" width="12.88671875" style="39" customWidth="1"/>
    <col min="9219" max="9298" width="7.6640625" style="39" customWidth="1"/>
    <col min="9299" max="9472" width="8.88671875" style="39"/>
    <col min="9473" max="9473" width="38.44140625" style="39" customWidth="1"/>
    <col min="9474" max="9474" width="12.88671875" style="39" customWidth="1"/>
    <col min="9475" max="9554" width="7.6640625" style="39" customWidth="1"/>
    <col min="9555" max="9728" width="8.88671875" style="39"/>
    <col min="9729" max="9729" width="38.44140625" style="39" customWidth="1"/>
    <col min="9730" max="9730" width="12.88671875" style="39" customWidth="1"/>
    <col min="9731" max="9810" width="7.6640625" style="39" customWidth="1"/>
    <col min="9811" max="9984" width="8.88671875" style="39"/>
    <col min="9985" max="9985" width="38.44140625" style="39" customWidth="1"/>
    <col min="9986" max="9986" width="12.88671875" style="39" customWidth="1"/>
    <col min="9987" max="10066" width="7.6640625" style="39" customWidth="1"/>
    <col min="10067" max="10240" width="8.88671875" style="39"/>
    <col min="10241" max="10241" width="38.44140625" style="39" customWidth="1"/>
    <col min="10242" max="10242" width="12.88671875" style="39" customWidth="1"/>
    <col min="10243" max="10322" width="7.6640625" style="39" customWidth="1"/>
    <col min="10323" max="10496" width="8.88671875" style="39"/>
    <col min="10497" max="10497" width="38.44140625" style="39" customWidth="1"/>
    <col min="10498" max="10498" width="12.88671875" style="39" customWidth="1"/>
    <col min="10499" max="10578" width="7.6640625" style="39" customWidth="1"/>
    <col min="10579" max="10752" width="8.88671875" style="39"/>
    <col min="10753" max="10753" width="38.44140625" style="39" customWidth="1"/>
    <col min="10754" max="10754" width="12.88671875" style="39" customWidth="1"/>
    <col min="10755" max="10834" width="7.6640625" style="39" customWidth="1"/>
    <col min="10835" max="11008" width="8.88671875" style="39"/>
    <col min="11009" max="11009" width="38.44140625" style="39" customWidth="1"/>
    <col min="11010" max="11010" width="12.88671875" style="39" customWidth="1"/>
    <col min="11011" max="11090" width="7.6640625" style="39" customWidth="1"/>
    <col min="11091" max="11264" width="8.88671875" style="39"/>
    <col min="11265" max="11265" width="38.44140625" style="39" customWidth="1"/>
    <col min="11266" max="11266" width="12.88671875" style="39" customWidth="1"/>
    <col min="11267" max="11346" width="7.6640625" style="39" customWidth="1"/>
    <col min="11347" max="11520" width="8.88671875" style="39"/>
    <col min="11521" max="11521" width="38.44140625" style="39" customWidth="1"/>
    <col min="11522" max="11522" width="12.88671875" style="39" customWidth="1"/>
    <col min="11523" max="11602" width="7.6640625" style="39" customWidth="1"/>
    <col min="11603" max="11776" width="8.88671875" style="39"/>
    <col min="11777" max="11777" width="38.44140625" style="39" customWidth="1"/>
    <col min="11778" max="11778" width="12.88671875" style="39" customWidth="1"/>
    <col min="11779" max="11858" width="7.6640625" style="39" customWidth="1"/>
    <col min="11859" max="12032" width="8.88671875" style="39"/>
    <col min="12033" max="12033" width="38.44140625" style="39" customWidth="1"/>
    <col min="12034" max="12034" width="12.88671875" style="39" customWidth="1"/>
    <col min="12035" max="12114" width="7.6640625" style="39" customWidth="1"/>
    <col min="12115" max="12288" width="8.88671875" style="39"/>
    <col min="12289" max="12289" width="38.44140625" style="39" customWidth="1"/>
    <col min="12290" max="12290" width="12.88671875" style="39" customWidth="1"/>
    <col min="12291" max="12370" width="7.6640625" style="39" customWidth="1"/>
    <col min="12371" max="12544" width="8.88671875" style="39"/>
    <col min="12545" max="12545" width="38.44140625" style="39" customWidth="1"/>
    <col min="12546" max="12546" width="12.88671875" style="39" customWidth="1"/>
    <col min="12547" max="12626" width="7.6640625" style="39" customWidth="1"/>
    <col min="12627" max="12800" width="8.88671875" style="39"/>
    <col min="12801" max="12801" width="38.44140625" style="39" customWidth="1"/>
    <col min="12802" max="12802" width="12.88671875" style="39" customWidth="1"/>
    <col min="12803" max="12882" width="7.6640625" style="39" customWidth="1"/>
    <col min="12883" max="13056" width="8.88671875" style="39"/>
    <col min="13057" max="13057" width="38.44140625" style="39" customWidth="1"/>
    <col min="13058" max="13058" width="12.88671875" style="39" customWidth="1"/>
    <col min="13059" max="13138" width="7.6640625" style="39" customWidth="1"/>
    <col min="13139" max="13312" width="8.88671875" style="39"/>
    <col min="13313" max="13313" width="38.44140625" style="39" customWidth="1"/>
    <col min="13314" max="13314" width="12.88671875" style="39" customWidth="1"/>
    <col min="13315" max="13394" width="7.6640625" style="39" customWidth="1"/>
    <col min="13395" max="13568" width="8.88671875" style="39"/>
    <col min="13569" max="13569" width="38.44140625" style="39" customWidth="1"/>
    <col min="13570" max="13570" width="12.88671875" style="39" customWidth="1"/>
    <col min="13571" max="13650" width="7.6640625" style="39" customWidth="1"/>
    <col min="13651" max="13824" width="8.88671875" style="39"/>
    <col min="13825" max="13825" width="38.44140625" style="39" customWidth="1"/>
    <col min="13826" max="13826" width="12.88671875" style="39" customWidth="1"/>
    <col min="13827" max="13906" width="7.6640625" style="39" customWidth="1"/>
    <col min="13907" max="14080" width="8.88671875" style="39"/>
    <col min="14081" max="14081" width="38.44140625" style="39" customWidth="1"/>
    <col min="14082" max="14082" width="12.88671875" style="39" customWidth="1"/>
    <col min="14083" max="14162" width="7.6640625" style="39" customWidth="1"/>
    <col min="14163" max="14336" width="8.88671875" style="39"/>
    <col min="14337" max="14337" width="38.44140625" style="39" customWidth="1"/>
    <col min="14338" max="14338" width="12.88671875" style="39" customWidth="1"/>
    <col min="14339" max="14418" width="7.6640625" style="39" customWidth="1"/>
    <col min="14419" max="14592" width="8.88671875" style="39"/>
    <col min="14593" max="14593" width="38.44140625" style="39" customWidth="1"/>
    <col min="14594" max="14594" width="12.88671875" style="39" customWidth="1"/>
    <col min="14595" max="14674" width="7.6640625" style="39" customWidth="1"/>
    <col min="14675" max="14848" width="8.88671875" style="39"/>
    <col min="14849" max="14849" width="38.44140625" style="39" customWidth="1"/>
    <col min="14850" max="14850" width="12.88671875" style="39" customWidth="1"/>
    <col min="14851" max="14930" width="7.6640625" style="39" customWidth="1"/>
    <col min="14931" max="15104" width="8.88671875" style="39"/>
    <col min="15105" max="15105" width="38.44140625" style="39" customWidth="1"/>
    <col min="15106" max="15106" width="12.88671875" style="39" customWidth="1"/>
    <col min="15107" max="15186" width="7.6640625" style="39" customWidth="1"/>
    <col min="15187" max="15360" width="8.88671875" style="39"/>
    <col min="15361" max="15361" width="38.44140625" style="39" customWidth="1"/>
    <col min="15362" max="15362" width="12.88671875" style="39" customWidth="1"/>
    <col min="15363" max="15442" width="7.6640625" style="39" customWidth="1"/>
    <col min="15443" max="15616" width="8.88671875" style="39"/>
    <col min="15617" max="15617" width="38.44140625" style="39" customWidth="1"/>
    <col min="15618" max="15618" width="12.88671875" style="39" customWidth="1"/>
    <col min="15619" max="15698" width="7.6640625" style="39" customWidth="1"/>
    <col min="15699" max="15872" width="8.88671875" style="39"/>
    <col min="15873" max="15873" width="38.44140625" style="39" customWidth="1"/>
    <col min="15874" max="15874" width="12.88671875" style="39" customWidth="1"/>
    <col min="15875" max="15954" width="7.6640625" style="39" customWidth="1"/>
    <col min="15955" max="16128" width="8.88671875" style="39"/>
    <col min="16129" max="16129" width="38.44140625" style="39" customWidth="1"/>
    <col min="16130" max="16130" width="12.88671875" style="39" customWidth="1"/>
    <col min="16131" max="16210" width="7.6640625" style="39" customWidth="1"/>
    <col min="16211" max="16384" width="8.88671875" style="39"/>
  </cols>
  <sheetData>
    <row r="1" spans="1:87" ht="17.399999999999999">
      <c r="A1" s="37" t="s">
        <v>60</v>
      </c>
      <c r="B1" s="38"/>
    </row>
    <row r="2" spans="1:87" ht="15.6">
      <c r="A2" s="40" t="s">
        <v>61</v>
      </c>
      <c r="B2" s="41"/>
    </row>
    <row r="3" spans="1:87" ht="14.4" thickBot="1">
      <c r="A3" s="42" t="s">
        <v>62</v>
      </c>
      <c r="B3" s="43"/>
    </row>
    <row r="6" spans="1:87">
      <c r="BI6" s="45" t="s">
        <v>63</v>
      </c>
      <c r="BJ6" s="45" t="s">
        <v>63</v>
      </c>
      <c r="BK6" s="45" t="s">
        <v>63</v>
      </c>
      <c r="BL6" s="45" t="s">
        <v>63</v>
      </c>
      <c r="BM6" s="46" t="s">
        <v>64</v>
      </c>
      <c r="BN6" s="46" t="s">
        <v>64</v>
      </c>
      <c r="BO6" s="46" t="s">
        <v>64</v>
      </c>
      <c r="BP6" s="46" t="s">
        <v>64</v>
      </c>
      <c r="BQ6" s="47" t="s">
        <v>65</v>
      </c>
      <c r="BR6" s="47" t="s">
        <v>65</v>
      </c>
      <c r="BS6" s="47" t="s">
        <v>65</v>
      </c>
      <c r="BT6" s="47" t="s">
        <v>65</v>
      </c>
      <c r="BU6" s="48" t="s">
        <v>66</v>
      </c>
      <c r="BV6" s="48" t="s">
        <v>66</v>
      </c>
      <c r="BW6" s="48" t="s">
        <v>66</v>
      </c>
      <c r="BX6" s="48" t="s">
        <v>66</v>
      </c>
      <c r="BY6" s="49" t="s">
        <v>67</v>
      </c>
      <c r="BZ6" s="49" t="s">
        <v>67</v>
      </c>
      <c r="CA6" s="49" t="s">
        <v>67</v>
      </c>
      <c r="CB6" s="49" t="s">
        <v>67</v>
      </c>
    </row>
    <row r="7" spans="1:87" s="44" customFormat="1">
      <c r="B7" s="44" t="s">
        <v>68</v>
      </c>
      <c r="C7" s="50" t="s">
        <v>69</v>
      </c>
      <c r="D7" s="50" t="s">
        <v>70</v>
      </c>
      <c r="E7" s="50" t="s">
        <v>71</v>
      </c>
      <c r="F7" s="50" t="s">
        <v>72</v>
      </c>
      <c r="G7" s="50" t="s">
        <v>73</v>
      </c>
      <c r="H7" s="50" t="s">
        <v>74</v>
      </c>
      <c r="I7" s="50" t="s">
        <v>75</v>
      </c>
      <c r="J7" s="50" t="s">
        <v>76</v>
      </c>
      <c r="K7" s="50" t="s">
        <v>77</v>
      </c>
      <c r="L7" s="50" t="s">
        <v>78</v>
      </c>
      <c r="M7" s="50" t="s">
        <v>79</v>
      </c>
      <c r="N7" s="50" t="s">
        <v>80</v>
      </c>
      <c r="O7" s="50" t="s">
        <v>81</v>
      </c>
      <c r="P7" s="50" t="s">
        <v>82</v>
      </c>
      <c r="Q7" s="50" t="s">
        <v>83</v>
      </c>
      <c r="R7" s="50" t="s">
        <v>84</v>
      </c>
      <c r="S7" s="50" t="s">
        <v>85</v>
      </c>
      <c r="T7" s="50" t="s">
        <v>86</v>
      </c>
      <c r="U7" s="50" t="s">
        <v>87</v>
      </c>
      <c r="V7" s="50" t="s">
        <v>88</v>
      </c>
      <c r="W7" s="50" t="s">
        <v>89</v>
      </c>
      <c r="X7" s="50" t="s">
        <v>90</v>
      </c>
      <c r="Y7" s="50" t="s">
        <v>91</v>
      </c>
      <c r="Z7" s="50" t="s">
        <v>92</v>
      </c>
      <c r="AA7" s="50" t="s">
        <v>93</v>
      </c>
      <c r="AB7" s="50" t="s">
        <v>94</v>
      </c>
      <c r="AC7" s="50" t="s">
        <v>95</v>
      </c>
      <c r="AD7" s="50" t="s">
        <v>96</v>
      </c>
      <c r="AE7" s="50" t="s">
        <v>97</v>
      </c>
      <c r="AF7" s="50" t="s">
        <v>98</v>
      </c>
      <c r="AG7" s="50" t="s">
        <v>99</v>
      </c>
      <c r="AH7" s="50" t="s">
        <v>100</v>
      </c>
      <c r="AI7" s="50" t="s">
        <v>101</v>
      </c>
      <c r="AJ7" s="50" t="s">
        <v>102</v>
      </c>
      <c r="AK7" s="50" t="s">
        <v>103</v>
      </c>
      <c r="AL7" s="50" t="s">
        <v>104</v>
      </c>
      <c r="AM7" s="50" t="s">
        <v>105</v>
      </c>
      <c r="AN7" s="50" t="s">
        <v>106</v>
      </c>
      <c r="AO7" s="50" t="s">
        <v>107</v>
      </c>
      <c r="AP7" s="50" t="s">
        <v>108</v>
      </c>
      <c r="AQ7" s="50" t="s">
        <v>109</v>
      </c>
      <c r="AR7" s="50" t="s">
        <v>110</v>
      </c>
      <c r="AS7" s="50" t="s">
        <v>111</v>
      </c>
      <c r="AT7" s="50" t="s">
        <v>112</v>
      </c>
      <c r="AU7" s="44" t="s">
        <v>113</v>
      </c>
      <c r="AV7" s="44" t="s">
        <v>114</v>
      </c>
      <c r="AW7" s="44" t="s">
        <v>115</v>
      </c>
      <c r="AX7" s="44" t="s">
        <v>116</v>
      </c>
      <c r="AY7" s="44" t="s">
        <v>117</v>
      </c>
      <c r="AZ7" s="44" t="s">
        <v>118</v>
      </c>
      <c r="BA7" s="44" t="s">
        <v>119</v>
      </c>
      <c r="BB7" s="44" t="s">
        <v>120</v>
      </c>
      <c r="BC7" s="44" t="s">
        <v>121</v>
      </c>
      <c r="BD7" s="44" t="s">
        <v>122</v>
      </c>
      <c r="BE7" s="44" t="s">
        <v>123</v>
      </c>
      <c r="BF7" s="44" t="s">
        <v>124</v>
      </c>
      <c r="BG7" s="44" t="s">
        <v>125</v>
      </c>
      <c r="BH7" s="44" t="s">
        <v>126</v>
      </c>
      <c r="BI7" s="44" t="s">
        <v>127</v>
      </c>
      <c r="BJ7" s="44" t="s">
        <v>128</v>
      </c>
      <c r="BK7" s="44" t="s">
        <v>129</v>
      </c>
      <c r="BL7" s="44" t="s">
        <v>130</v>
      </c>
      <c r="BM7" s="44" t="s">
        <v>131</v>
      </c>
      <c r="BN7" s="44" t="s">
        <v>132</v>
      </c>
      <c r="BO7" s="44" t="s">
        <v>133</v>
      </c>
      <c r="BP7" s="44" t="s">
        <v>134</v>
      </c>
      <c r="BQ7" s="44" t="s">
        <v>135</v>
      </c>
      <c r="BR7" s="44" t="s">
        <v>136</v>
      </c>
      <c r="BS7" s="44" t="s">
        <v>137</v>
      </c>
      <c r="BT7" s="44" t="s">
        <v>138</v>
      </c>
      <c r="BU7" s="44" t="s">
        <v>139</v>
      </c>
      <c r="BV7" s="44" t="s">
        <v>140</v>
      </c>
      <c r="BW7" s="44" t="s">
        <v>141</v>
      </c>
      <c r="BX7" s="44" t="s">
        <v>142</v>
      </c>
      <c r="BY7" s="44" t="s">
        <v>143</v>
      </c>
      <c r="BZ7" s="44" t="s">
        <v>144</v>
      </c>
      <c r="CA7" s="44" t="s">
        <v>145</v>
      </c>
      <c r="CB7" s="44" t="s">
        <v>146</v>
      </c>
      <c r="CC7" s="44" t="s">
        <v>147</v>
      </c>
      <c r="CD7" s="44" t="s">
        <v>148</v>
      </c>
      <c r="CE7" s="44" t="s">
        <v>149</v>
      </c>
      <c r="CF7" s="44" t="s">
        <v>150</v>
      </c>
      <c r="CG7" s="44" t="s">
        <v>151</v>
      </c>
      <c r="CH7" s="44" t="s">
        <v>152</v>
      </c>
      <c r="CI7" s="44" t="s">
        <v>153</v>
      </c>
    </row>
    <row r="8" spans="1:87">
      <c r="A8" s="44" t="s">
        <v>154</v>
      </c>
      <c r="B8" s="44" t="s">
        <v>155</v>
      </c>
      <c r="C8" s="51">
        <v>2.0350000000000001</v>
      </c>
      <c r="D8" s="51">
        <v>2.06</v>
      </c>
      <c r="E8" s="51">
        <v>2.0649999999999999</v>
      </c>
      <c r="F8" s="51">
        <v>2.0870000000000002</v>
      </c>
      <c r="G8" s="51">
        <v>2.1040000000000001</v>
      </c>
      <c r="H8" s="51">
        <v>2.1150000000000002</v>
      </c>
      <c r="I8" s="51">
        <v>2.1509999999999998</v>
      </c>
      <c r="J8" s="51">
        <v>2.17</v>
      </c>
      <c r="K8" s="51">
        <v>2.1869999999999998</v>
      </c>
      <c r="L8" s="51">
        <v>2.2130000000000001</v>
      </c>
      <c r="M8" s="51">
        <v>2.2349999999999999</v>
      </c>
      <c r="N8" s="51">
        <v>2.2200000000000002</v>
      </c>
      <c r="O8" s="51">
        <v>2.2320000000000002</v>
      </c>
      <c r="P8" s="51">
        <v>2.258</v>
      </c>
      <c r="Q8" s="51">
        <v>2.2759999999999998</v>
      </c>
      <c r="R8" s="51">
        <v>2.302</v>
      </c>
      <c r="S8" s="51">
        <v>2.319</v>
      </c>
      <c r="T8" s="51">
        <v>2.363</v>
      </c>
      <c r="U8" s="51">
        <v>2.4039999999999999</v>
      </c>
      <c r="V8" s="51">
        <v>2.351</v>
      </c>
      <c r="W8" s="51">
        <v>2.34</v>
      </c>
      <c r="X8" s="51">
        <v>2.3460000000000001</v>
      </c>
      <c r="Y8" s="51">
        <v>2.3660000000000001</v>
      </c>
      <c r="Z8" s="51">
        <v>2.3809999999999998</v>
      </c>
      <c r="AA8" s="51">
        <v>2.379</v>
      </c>
      <c r="AB8" s="51">
        <v>2.383</v>
      </c>
      <c r="AC8" s="51">
        <v>2.3980000000000001</v>
      </c>
      <c r="AD8" s="51">
        <v>2.4220000000000002</v>
      </c>
      <c r="AE8" s="51">
        <v>2.4319999999999999</v>
      </c>
      <c r="AF8" s="51">
        <v>2.4769999999999999</v>
      </c>
      <c r="AG8" s="51">
        <v>2.4889999999999999</v>
      </c>
      <c r="AH8" s="51">
        <v>2.4969999999999999</v>
      </c>
      <c r="AI8" s="51">
        <v>2.5129999999999999</v>
      </c>
      <c r="AJ8" s="51">
        <v>2.5190000000000001</v>
      </c>
      <c r="AK8" s="51">
        <v>2.5299999999999998</v>
      </c>
      <c r="AL8" s="51">
        <v>2.5499999999999998</v>
      </c>
      <c r="AM8" s="51">
        <v>2.5569999999999999</v>
      </c>
      <c r="AN8" s="51">
        <v>2.5550000000000002</v>
      </c>
      <c r="AO8" s="51">
        <v>2.5739999999999998</v>
      </c>
      <c r="AP8" s="51">
        <v>2.5880000000000001</v>
      </c>
      <c r="AQ8" s="51">
        <v>2.597</v>
      </c>
      <c r="AR8" s="51">
        <v>2.6080000000000001</v>
      </c>
      <c r="AS8" s="51">
        <v>2.6139999999999999</v>
      </c>
      <c r="AT8" s="51">
        <v>2.617</v>
      </c>
      <c r="AU8" s="39">
        <v>2.6120000000000001</v>
      </c>
      <c r="AV8" s="39">
        <v>2.6230000000000002</v>
      </c>
      <c r="AW8" s="39">
        <v>2.6190000000000002</v>
      </c>
      <c r="AX8" s="39">
        <v>2.6259999999999999</v>
      </c>
      <c r="AY8" s="39">
        <v>2.6190000000000002</v>
      </c>
      <c r="AZ8" s="39">
        <v>2.6419999999999999</v>
      </c>
      <c r="BA8" s="39">
        <v>2.6619999999999999</v>
      </c>
      <c r="BB8" s="39">
        <v>2.677</v>
      </c>
      <c r="BC8" s="39">
        <v>2.6909999999999998</v>
      </c>
      <c r="BD8" s="39">
        <v>2.6949999999999998</v>
      </c>
      <c r="BE8" s="39">
        <v>2.7069999999999999</v>
      </c>
      <c r="BF8" s="39">
        <v>2.7210000000000001</v>
      </c>
      <c r="BG8" s="39">
        <v>2.7570000000000001</v>
      </c>
      <c r="BH8" s="39">
        <v>2.77</v>
      </c>
      <c r="BI8" s="39">
        <v>2.7759999999999998</v>
      </c>
      <c r="BJ8" s="39">
        <v>2.7890000000000001</v>
      </c>
      <c r="BK8" s="39">
        <v>2.802</v>
      </c>
      <c r="BL8" s="39">
        <v>2.8149999999999999</v>
      </c>
      <c r="BM8" s="39">
        <v>2.8279999999999998</v>
      </c>
      <c r="BN8" s="39">
        <v>2.8439999999999999</v>
      </c>
      <c r="BO8" s="39">
        <v>2.8610000000000002</v>
      </c>
      <c r="BP8" s="39">
        <v>2.8660000000000001</v>
      </c>
      <c r="BQ8" s="39">
        <v>2.9039999999999999</v>
      </c>
      <c r="BR8" s="39">
        <v>2.92</v>
      </c>
      <c r="BS8" s="39">
        <v>2.944</v>
      </c>
      <c r="BT8" s="39">
        <v>2.964</v>
      </c>
      <c r="BU8" s="39">
        <v>2.9849999999999999</v>
      </c>
      <c r="BV8" s="39">
        <v>3.0049999999999999</v>
      </c>
      <c r="BW8" s="39">
        <v>3.0219999999999998</v>
      </c>
      <c r="BX8" s="39">
        <v>3.0379999999999998</v>
      </c>
      <c r="BY8" s="39">
        <v>3.052</v>
      </c>
      <c r="BZ8" s="39">
        <v>3.069</v>
      </c>
      <c r="CA8" s="39">
        <v>3.081</v>
      </c>
      <c r="CB8" s="39">
        <v>3.0939999999999999</v>
      </c>
      <c r="CC8" s="39">
        <v>3.1080000000000001</v>
      </c>
      <c r="CD8" s="39">
        <v>3.1230000000000002</v>
      </c>
      <c r="CE8" s="39">
        <v>3.1379999999999999</v>
      </c>
      <c r="CF8" s="39">
        <v>3.1539999999999999</v>
      </c>
      <c r="CG8" s="39">
        <v>3.1709999999999998</v>
      </c>
      <c r="CH8" s="39">
        <v>3.1880000000000002</v>
      </c>
    </row>
    <row r="9" spans="1:87">
      <c r="A9" s="44" t="s">
        <v>156</v>
      </c>
      <c r="B9" s="44" t="s">
        <v>157</v>
      </c>
      <c r="C9" s="51">
        <v>2.0350000000000001</v>
      </c>
      <c r="D9" s="51">
        <v>2.06</v>
      </c>
      <c r="E9" s="51">
        <v>2.0649999999999999</v>
      </c>
      <c r="F9" s="51">
        <v>2.0870000000000002</v>
      </c>
      <c r="G9" s="51">
        <v>2.1040000000000001</v>
      </c>
      <c r="H9" s="51">
        <v>2.1150000000000002</v>
      </c>
      <c r="I9" s="51">
        <v>2.1509999999999998</v>
      </c>
      <c r="J9" s="51">
        <v>2.17</v>
      </c>
      <c r="K9" s="51">
        <v>2.1869999999999998</v>
      </c>
      <c r="L9" s="51">
        <v>2.2130000000000001</v>
      </c>
      <c r="M9" s="51">
        <v>2.2349999999999999</v>
      </c>
      <c r="N9" s="51">
        <v>2.2200000000000002</v>
      </c>
      <c r="O9" s="51">
        <v>2.2320000000000002</v>
      </c>
      <c r="P9" s="51">
        <v>2.258</v>
      </c>
      <c r="Q9" s="51">
        <v>2.2759999999999998</v>
      </c>
      <c r="R9" s="51">
        <v>2.302</v>
      </c>
      <c r="S9" s="51">
        <v>2.319</v>
      </c>
      <c r="T9" s="51">
        <v>2.363</v>
      </c>
      <c r="U9" s="51">
        <v>2.4039999999999999</v>
      </c>
      <c r="V9" s="51">
        <v>2.351</v>
      </c>
      <c r="W9" s="51">
        <v>2.34</v>
      </c>
      <c r="X9" s="51">
        <v>2.3460000000000001</v>
      </c>
      <c r="Y9" s="51">
        <v>2.3660000000000001</v>
      </c>
      <c r="Z9" s="51">
        <v>2.3809999999999998</v>
      </c>
      <c r="AA9" s="51">
        <v>2.379</v>
      </c>
      <c r="AB9" s="51">
        <v>2.383</v>
      </c>
      <c r="AC9" s="51">
        <v>2.3980000000000001</v>
      </c>
      <c r="AD9" s="51">
        <v>2.4220000000000002</v>
      </c>
      <c r="AE9" s="51">
        <v>2.4319999999999999</v>
      </c>
      <c r="AF9" s="51">
        <v>2.4769999999999999</v>
      </c>
      <c r="AG9" s="51">
        <v>2.4889999999999999</v>
      </c>
      <c r="AH9" s="51">
        <v>2.4969999999999999</v>
      </c>
      <c r="AI9" s="51">
        <v>2.5129999999999999</v>
      </c>
      <c r="AJ9" s="51">
        <v>2.5190000000000001</v>
      </c>
      <c r="AK9" s="51">
        <v>2.5299999999999998</v>
      </c>
      <c r="AL9" s="51">
        <v>2.5499999999999998</v>
      </c>
      <c r="AM9" s="51">
        <v>2.5569999999999999</v>
      </c>
      <c r="AN9" s="51">
        <v>2.5550000000000002</v>
      </c>
      <c r="AO9" s="51">
        <v>2.5739999999999998</v>
      </c>
      <c r="AP9" s="51">
        <v>2.5880000000000001</v>
      </c>
      <c r="AQ9" s="51">
        <v>2.597</v>
      </c>
      <c r="AR9" s="51">
        <v>2.6080000000000001</v>
      </c>
      <c r="AS9" s="51">
        <v>2.6139999999999999</v>
      </c>
      <c r="AT9" s="51">
        <v>2.617</v>
      </c>
      <c r="AU9" s="39">
        <v>2.6120000000000001</v>
      </c>
      <c r="AV9" s="39">
        <v>2.6230000000000002</v>
      </c>
      <c r="AW9" s="39">
        <v>2.6190000000000002</v>
      </c>
      <c r="AX9" s="39">
        <v>2.6259999999999999</v>
      </c>
      <c r="AY9" s="39">
        <v>2.6190000000000002</v>
      </c>
      <c r="AZ9" s="39">
        <v>2.6419999999999999</v>
      </c>
      <c r="BA9" s="39">
        <v>2.6619999999999999</v>
      </c>
      <c r="BB9" s="39">
        <v>2.677</v>
      </c>
      <c r="BC9" s="39">
        <v>2.6909999999999998</v>
      </c>
      <c r="BD9" s="39">
        <v>2.6949999999999998</v>
      </c>
      <c r="BE9" s="39">
        <v>2.7069999999999999</v>
      </c>
      <c r="BF9" s="39">
        <v>2.7210000000000001</v>
      </c>
      <c r="BG9" s="39">
        <v>2.7570000000000001</v>
      </c>
      <c r="BH9" s="39">
        <v>2.77</v>
      </c>
      <c r="BI9" s="39">
        <v>2.7759999999999998</v>
      </c>
      <c r="BJ9" s="39">
        <v>2.7890000000000001</v>
      </c>
      <c r="BK9" s="39">
        <v>2.802</v>
      </c>
      <c r="BL9" s="39">
        <v>2.8149999999999999</v>
      </c>
      <c r="BM9" s="39">
        <v>2.8279999999999998</v>
      </c>
      <c r="BN9" s="39">
        <v>2.8439999999999999</v>
      </c>
      <c r="BO9" s="39">
        <v>2.8610000000000002</v>
      </c>
      <c r="BP9" s="39">
        <v>2.8660000000000001</v>
      </c>
      <c r="BQ9" s="39">
        <v>2.9039999999999999</v>
      </c>
      <c r="BR9" s="39">
        <v>2.9180000000000001</v>
      </c>
      <c r="BS9" s="39">
        <v>2.94</v>
      </c>
      <c r="BT9" s="39">
        <v>2.956</v>
      </c>
      <c r="BU9" s="39">
        <v>2.9729999999999999</v>
      </c>
      <c r="BV9" s="39">
        <v>2.9889999999999999</v>
      </c>
      <c r="BW9" s="39">
        <v>3.0009999999999999</v>
      </c>
      <c r="BX9" s="39">
        <v>3.0129999999999999</v>
      </c>
      <c r="BY9" s="39">
        <v>3.0219999999999998</v>
      </c>
      <c r="BZ9" s="39">
        <v>3.0329999999999999</v>
      </c>
      <c r="CA9" s="39">
        <v>3.04</v>
      </c>
      <c r="CB9" s="39">
        <v>3.0489999999999999</v>
      </c>
      <c r="CC9" s="39">
        <v>3.0590000000000002</v>
      </c>
      <c r="CD9" s="39">
        <v>3.0710000000000002</v>
      </c>
      <c r="CE9" s="39">
        <v>3.0819999999999999</v>
      </c>
      <c r="CF9" s="39">
        <v>3.0950000000000002</v>
      </c>
      <c r="CG9" s="39">
        <v>3.1080000000000001</v>
      </c>
      <c r="CH9" s="39">
        <v>3.121</v>
      </c>
    </row>
    <row r="10" spans="1:87">
      <c r="A10" s="44" t="s">
        <v>158</v>
      </c>
      <c r="B10" s="44" t="s">
        <v>159</v>
      </c>
      <c r="C10" s="51">
        <v>2.0350000000000001</v>
      </c>
      <c r="D10" s="51">
        <v>2.06</v>
      </c>
      <c r="E10" s="51">
        <v>2.0649999999999999</v>
      </c>
      <c r="F10" s="51">
        <v>2.0870000000000002</v>
      </c>
      <c r="G10" s="51">
        <v>2.1040000000000001</v>
      </c>
      <c r="H10" s="51">
        <v>2.1150000000000002</v>
      </c>
      <c r="I10" s="51">
        <v>2.1509999999999998</v>
      </c>
      <c r="J10" s="51">
        <v>2.17</v>
      </c>
      <c r="K10" s="51">
        <v>2.1869999999999998</v>
      </c>
      <c r="L10" s="51">
        <v>2.2130000000000001</v>
      </c>
      <c r="M10" s="51">
        <v>2.2349999999999999</v>
      </c>
      <c r="N10" s="51">
        <v>2.2200000000000002</v>
      </c>
      <c r="O10" s="51">
        <v>2.2320000000000002</v>
      </c>
      <c r="P10" s="51">
        <v>2.258</v>
      </c>
      <c r="Q10" s="51">
        <v>2.2759999999999998</v>
      </c>
      <c r="R10" s="51">
        <v>2.302</v>
      </c>
      <c r="S10" s="51">
        <v>2.319</v>
      </c>
      <c r="T10" s="51">
        <v>2.363</v>
      </c>
      <c r="U10" s="51">
        <v>2.4039999999999999</v>
      </c>
      <c r="V10" s="51">
        <v>2.351</v>
      </c>
      <c r="W10" s="51">
        <v>2.34</v>
      </c>
      <c r="X10" s="51">
        <v>2.3460000000000001</v>
      </c>
      <c r="Y10" s="51">
        <v>2.3660000000000001</v>
      </c>
      <c r="Z10" s="51">
        <v>2.3809999999999998</v>
      </c>
      <c r="AA10" s="51">
        <v>2.379</v>
      </c>
      <c r="AB10" s="51">
        <v>2.383</v>
      </c>
      <c r="AC10" s="51">
        <v>2.3980000000000001</v>
      </c>
      <c r="AD10" s="51">
        <v>2.4220000000000002</v>
      </c>
      <c r="AE10" s="51">
        <v>2.4319999999999999</v>
      </c>
      <c r="AF10" s="51">
        <v>2.4769999999999999</v>
      </c>
      <c r="AG10" s="51">
        <v>2.4889999999999999</v>
      </c>
      <c r="AH10" s="51">
        <v>2.4969999999999999</v>
      </c>
      <c r="AI10" s="51">
        <v>2.5129999999999999</v>
      </c>
      <c r="AJ10" s="51">
        <v>2.5190000000000001</v>
      </c>
      <c r="AK10" s="51">
        <v>2.5299999999999998</v>
      </c>
      <c r="AL10" s="51">
        <v>2.5499999999999998</v>
      </c>
      <c r="AM10" s="51">
        <v>2.5569999999999999</v>
      </c>
      <c r="AN10" s="51">
        <v>2.5550000000000002</v>
      </c>
      <c r="AO10" s="51">
        <v>2.5739999999999998</v>
      </c>
      <c r="AP10" s="51">
        <v>2.5880000000000001</v>
      </c>
      <c r="AQ10" s="51">
        <v>2.597</v>
      </c>
      <c r="AR10" s="51">
        <v>2.6080000000000001</v>
      </c>
      <c r="AS10" s="51">
        <v>2.6139999999999999</v>
      </c>
      <c r="AT10" s="51">
        <v>2.617</v>
      </c>
      <c r="AU10" s="39">
        <v>2.6120000000000001</v>
      </c>
      <c r="AV10" s="39">
        <v>2.6230000000000002</v>
      </c>
      <c r="AW10" s="39">
        <v>2.6190000000000002</v>
      </c>
      <c r="AX10" s="39">
        <v>2.6259999999999999</v>
      </c>
      <c r="AY10" s="39">
        <v>2.6190000000000002</v>
      </c>
      <c r="AZ10" s="39">
        <v>2.6419999999999999</v>
      </c>
      <c r="BA10" s="39">
        <v>2.6619999999999999</v>
      </c>
      <c r="BB10" s="39">
        <v>2.677</v>
      </c>
      <c r="BC10" s="39">
        <v>2.6909999999999998</v>
      </c>
      <c r="BD10" s="39">
        <v>2.6949999999999998</v>
      </c>
      <c r="BE10" s="39">
        <v>2.7069999999999999</v>
      </c>
      <c r="BF10" s="39">
        <v>2.7210000000000001</v>
      </c>
      <c r="BG10" s="39">
        <v>2.7570000000000001</v>
      </c>
      <c r="BH10" s="39">
        <v>2.77</v>
      </c>
      <c r="BI10" s="39">
        <v>2.7759999999999998</v>
      </c>
      <c r="BJ10" s="39">
        <v>2.7890000000000001</v>
      </c>
      <c r="BK10" s="39">
        <v>2.802</v>
      </c>
      <c r="BL10" s="39">
        <v>2.8149999999999999</v>
      </c>
      <c r="BM10" s="39">
        <v>2.8279999999999998</v>
      </c>
      <c r="BN10" s="39">
        <v>2.8439999999999999</v>
      </c>
      <c r="BO10" s="39">
        <v>2.8610000000000002</v>
      </c>
      <c r="BP10" s="39">
        <v>2.8660000000000001</v>
      </c>
      <c r="BQ10" s="39">
        <v>2.9039999999999999</v>
      </c>
      <c r="BR10" s="39">
        <v>2.923</v>
      </c>
      <c r="BS10" s="39">
        <v>2.95</v>
      </c>
      <c r="BT10" s="39">
        <v>2.9729999999999999</v>
      </c>
      <c r="BU10" s="39">
        <v>2.9990000000000001</v>
      </c>
      <c r="BV10" s="39">
        <v>3.0249999999999999</v>
      </c>
      <c r="BW10" s="39">
        <v>3.0470000000000002</v>
      </c>
      <c r="BX10" s="39">
        <v>3.069</v>
      </c>
      <c r="BY10" s="39">
        <v>3.09</v>
      </c>
      <c r="BZ10" s="39">
        <v>3.113</v>
      </c>
      <c r="CA10" s="39">
        <v>3.133</v>
      </c>
      <c r="CB10" s="39">
        <v>3.1539999999999999</v>
      </c>
      <c r="CC10" s="39">
        <v>3.1760000000000002</v>
      </c>
      <c r="CD10" s="39">
        <v>3.198</v>
      </c>
      <c r="CE10" s="39">
        <v>3.22</v>
      </c>
      <c r="CF10" s="39">
        <v>3.2440000000000002</v>
      </c>
      <c r="CG10" s="39">
        <v>3.2690000000000001</v>
      </c>
      <c r="CH10" s="39">
        <v>3.2949999999999999</v>
      </c>
    </row>
    <row r="12" spans="1:87"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</row>
    <row r="13" spans="1:87"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</row>
    <row r="14" spans="1:87">
      <c r="C14" s="51"/>
      <c r="D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</row>
    <row r="15" spans="1:87">
      <c r="C15" s="51"/>
      <c r="D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</row>
    <row r="16" spans="1:87">
      <c r="C16" s="51"/>
      <c r="D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</row>
    <row r="17" spans="3:78">
      <c r="C17" s="53"/>
      <c r="D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</row>
    <row r="18" spans="3:78">
      <c r="BM18" s="51"/>
      <c r="BN18" s="54" t="s">
        <v>160</v>
      </c>
      <c r="BO18" s="55"/>
      <c r="BP18" s="55"/>
      <c r="BQ18" s="56"/>
      <c r="BR18" s="57"/>
      <c r="BS18" s="57"/>
      <c r="BT18" s="57"/>
      <c r="BU18" s="57"/>
      <c r="BV18" s="57"/>
      <c r="BW18" s="55"/>
      <c r="BX18" s="55"/>
      <c r="BY18" s="55"/>
      <c r="BZ18" s="51"/>
    </row>
    <row r="19" spans="3:78">
      <c r="BM19" s="51"/>
      <c r="BN19" s="58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60"/>
      <c r="BZ19" s="51"/>
    </row>
    <row r="20" spans="3:78">
      <c r="BM20" s="51"/>
      <c r="BN20" s="61"/>
      <c r="BO20" s="62" t="s">
        <v>161</v>
      </c>
      <c r="BP20" s="63" t="s">
        <v>162</v>
      </c>
      <c r="BQ20" s="63"/>
      <c r="BR20" s="63"/>
      <c r="BS20" s="63"/>
      <c r="BT20" s="63"/>
      <c r="BU20" s="63"/>
      <c r="BV20" s="63"/>
      <c r="BW20" s="63"/>
      <c r="BX20" s="63"/>
      <c r="BY20" s="64"/>
      <c r="BZ20" s="51"/>
    </row>
    <row r="21" spans="3:78">
      <c r="BM21" s="53"/>
      <c r="BN21" s="61"/>
      <c r="BO21" s="63"/>
      <c r="BP21" s="44" t="s">
        <v>138</v>
      </c>
      <c r="BQ21" s="63"/>
      <c r="BR21" s="63"/>
      <c r="BS21" s="63"/>
      <c r="BT21" s="63"/>
      <c r="BU21" s="63"/>
      <c r="BV21" s="63"/>
      <c r="BW21" s="63"/>
      <c r="BX21" s="63"/>
      <c r="BY21" s="65" t="s">
        <v>163</v>
      </c>
      <c r="BZ21" s="53"/>
    </row>
    <row r="22" spans="3:78">
      <c r="BN22" s="61"/>
      <c r="BO22" s="63"/>
      <c r="BP22" s="66">
        <f>BT9</f>
        <v>2.956</v>
      </c>
      <c r="BQ22" s="63"/>
      <c r="BR22" s="63"/>
      <c r="BS22" s="63"/>
      <c r="BT22" s="63"/>
      <c r="BU22" s="63"/>
      <c r="BV22" s="63"/>
      <c r="BW22" s="63"/>
      <c r="BX22" s="63"/>
      <c r="BY22" s="67">
        <f>BP22</f>
        <v>2.956</v>
      </c>
    </row>
    <row r="23" spans="3:78">
      <c r="BN23" s="61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8"/>
    </row>
    <row r="24" spans="3:78">
      <c r="BN24" s="61"/>
      <c r="BO24" s="62" t="s">
        <v>164</v>
      </c>
      <c r="BP24" s="63" t="s">
        <v>165</v>
      </c>
      <c r="BQ24" s="63"/>
      <c r="BR24" s="63"/>
      <c r="BS24" s="63"/>
      <c r="BT24" s="63"/>
      <c r="BU24" s="63"/>
      <c r="BV24" s="63"/>
      <c r="BW24" s="63"/>
      <c r="BX24" s="63"/>
      <c r="BY24" s="68"/>
    </row>
    <row r="25" spans="3:78">
      <c r="BN25" s="61"/>
      <c r="BO25" s="63"/>
      <c r="BP25" s="69" t="str">
        <f>BU7</f>
        <v>2021Q3</v>
      </c>
      <c r="BQ25" s="69" t="str">
        <f t="shared" ref="BQ25:BW25" si="0">BV7</f>
        <v>2021Q4</v>
      </c>
      <c r="BR25" s="69" t="str">
        <f t="shared" si="0"/>
        <v>2022Q1</v>
      </c>
      <c r="BS25" s="69" t="str">
        <f t="shared" si="0"/>
        <v>2022Q2</v>
      </c>
      <c r="BT25" s="69" t="str">
        <f t="shared" si="0"/>
        <v>2022Q3</v>
      </c>
      <c r="BU25" s="69" t="str">
        <f t="shared" si="0"/>
        <v>2022Q4</v>
      </c>
      <c r="BV25" s="69" t="str">
        <f t="shared" si="0"/>
        <v>2023Q1</v>
      </c>
      <c r="BW25" s="69" t="str">
        <f t="shared" si="0"/>
        <v>2023Q2</v>
      </c>
      <c r="BX25" s="69"/>
      <c r="BY25" s="68"/>
    </row>
    <row r="26" spans="3:78">
      <c r="BN26" s="61"/>
      <c r="BO26" s="63"/>
      <c r="BP26" s="51">
        <f>BU9</f>
        <v>2.9729999999999999</v>
      </c>
      <c r="BQ26" s="51">
        <f t="shared" ref="BQ26:BW26" si="1">BV9</f>
        <v>2.9889999999999999</v>
      </c>
      <c r="BR26" s="51">
        <f t="shared" si="1"/>
        <v>3.0009999999999999</v>
      </c>
      <c r="BS26" s="51">
        <f t="shared" si="1"/>
        <v>3.0129999999999999</v>
      </c>
      <c r="BT26" s="51">
        <f t="shared" si="1"/>
        <v>3.0219999999999998</v>
      </c>
      <c r="BU26" s="51">
        <f t="shared" si="1"/>
        <v>3.0329999999999999</v>
      </c>
      <c r="BV26" s="51">
        <f t="shared" si="1"/>
        <v>3.04</v>
      </c>
      <c r="BW26" s="51">
        <f t="shared" si="1"/>
        <v>3.0489999999999999</v>
      </c>
      <c r="BX26" s="51"/>
      <c r="BY26" s="67">
        <f>AVERAGE(BP26:BW26)</f>
        <v>3.0149999999999997</v>
      </c>
    </row>
    <row r="27" spans="3:78">
      <c r="BN27" s="61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8"/>
    </row>
    <row r="28" spans="3:78">
      <c r="BN28" s="61"/>
      <c r="BO28" s="63"/>
      <c r="BP28" s="63"/>
      <c r="BQ28" s="63"/>
      <c r="BR28" s="63"/>
      <c r="BS28" s="63"/>
      <c r="BT28" s="63"/>
      <c r="BU28" s="63"/>
      <c r="BV28" s="63"/>
      <c r="BW28" s="63"/>
      <c r="BX28" s="70" t="s">
        <v>166</v>
      </c>
      <c r="BY28" s="71">
        <f>(BY26-BY22)/BY22</f>
        <v>1.9959404600811814E-2</v>
      </c>
    </row>
    <row r="29" spans="3:78">
      <c r="BN29" s="72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4"/>
    </row>
  </sheetData>
  <pageMargins left="0.25" right="0.2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B3" zoomScale="90" zoomScaleNormal="90" workbookViewId="0">
      <selection activeCell="F19" sqref="F19"/>
    </sheetView>
  </sheetViews>
  <sheetFormatPr defaultColWidth="8.88671875" defaultRowHeight="14.4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0.5546875" customWidth="1"/>
    <col min="7" max="7" width="71.33203125" style="3" customWidth="1"/>
    <col min="8" max="8" width="14.6640625" hidden="1" customWidth="1"/>
    <col min="9" max="9" width="0" hidden="1" customWidth="1"/>
    <col min="10" max="10" width="11" hidden="1" customWidth="1"/>
    <col min="11" max="11" width="0" hidden="1" customWidth="1"/>
  </cols>
  <sheetData>
    <row r="1" spans="1:10" hidden="1">
      <c r="A1" s="1" t="s">
        <v>0</v>
      </c>
      <c r="C1" s="2" t="s">
        <v>1</v>
      </c>
    </row>
    <row r="2" spans="1:10" hidden="1">
      <c r="C2" s="4" t="s">
        <v>2</v>
      </c>
    </row>
    <row r="3" spans="1:10">
      <c r="B3" s="5"/>
      <c r="C3" s="4" t="s">
        <v>3</v>
      </c>
      <c r="D3" s="4" t="s">
        <v>4</v>
      </c>
    </row>
    <row r="4" spans="1:10" ht="15" thickBot="1">
      <c r="B4" s="1" t="s">
        <v>5</v>
      </c>
      <c r="C4" s="6" t="s">
        <v>6</v>
      </c>
      <c r="D4" s="4" t="s">
        <v>7</v>
      </c>
      <c r="F4" s="1" t="s">
        <v>8</v>
      </c>
      <c r="G4" s="7" t="s">
        <v>9</v>
      </c>
      <c r="H4" s="4" t="s">
        <v>10</v>
      </c>
      <c r="J4" t="s">
        <v>11</v>
      </c>
    </row>
    <row r="5" spans="1:10" ht="31.2" customHeight="1">
      <c r="B5" s="8" t="s">
        <v>12</v>
      </c>
      <c r="C5" s="9">
        <v>15.48</v>
      </c>
      <c r="D5" s="9" t="e">
        <f>'[1]Direct Care'!#REF!</f>
        <v>#REF!</v>
      </c>
      <c r="E5" s="10"/>
      <c r="F5" s="11" t="s">
        <v>13</v>
      </c>
      <c r="G5" s="12" t="s">
        <v>14</v>
      </c>
      <c r="H5" s="13">
        <f>H6/2080</f>
        <v>15.480288461538462</v>
      </c>
      <c r="J5" s="14" t="e">
        <f>D5-H5</f>
        <v>#REF!</v>
      </c>
    </row>
    <row r="6" spans="1:10" ht="16.2" thickBot="1">
      <c r="B6" s="15" t="s">
        <v>15</v>
      </c>
      <c r="C6" s="16">
        <f>C5*2080</f>
        <v>32198.400000000001</v>
      </c>
      <c r="D6" s="16" t="e">
        <f>D5*2080</f>
        <v>#REF!</v>
      </c>
      <c r="E6" s="17"/>
      <c r="F6" s="18"/>
      <c r="G6" s="19"/>
      <c r="H6" s="20">
        <v>32199</v>
      </c>
      <c r="J6" s="14"/>
    </row>
    <row r="7" spans="1:10" ht="15.6">
      <c r="B7" s="8" t="s">
        <v>16</v>
      </c>
      <c r="C7" s="9">
        <v>19.96</v>
      </c>
      <c r="D7" s="9" t="e">
        <f>'[1]Direct Care III '!#REF!</f>
        <v>#REF!</v>
      </c>
      <c r="E7" s="10"/>
      <c r="F7" s="10" t="s">
        <v>17</v>
      </c>
      <c r="G7" s="12" t="s">
        <v>18</v>
      </c>
      <c r="H7" s="13">
        <f>H8/2080</f>
        <v>18.400480769230768</v>
      </c>
      <c r="J7" s="14" t="e">
        <f>D7-H7</f>
        <v>#REF!</v>
      </c>
    </row>
    <row r="8" spans="1:10" ht="16.2" thickBot="1">
      <c r="B8" s="21" t="s">
        <v>19</v>
      </c>
      <c r="C8" s="22">
        <f>C7*2080</f>
        <v>41516.800000000003</v>
      </c>
      <c r="D8" s="22" t="e">
        <f>D7*2080</f>
        <v>#REF!</v>
      </c>
      <c r="E8" s="23"/>
      <c r="F8" s="23"/>
      <c r="G8" s="19"/>
      <c r="H8" s="20">
        <v>38273</v>
      </c>
      <c r="J8" s="14"/>
    </row>
    <row r="9" spans="1:10" ht="15.6">
      <c r="B9" s="8" t="s">
        <v>20</v>
      </c>
      <c r="C9" s="9">
        <v>15.53</v>
      </c>
      <c r="D9" s="9" t="e">
        <f>[1]CNA!#REF!</f>
        <v>#REF!</v>
      </c>
      <c r="E9" s="10"/>
      <c r="F9" s="10"/>
      <c r="G9" s="12" t="s">
        <v>21</v>
      </c>
      <c r="H9" s="13">
        <f>H10/2080</f>
        <v>20.43028846153846</v>
      </c>
      <c r="J9" s="24" t="e">
        <f>D9-H9</f>
        <v>#REF!</v>
      </c>
    </row>
    <row r="10" spans="1:10" ht="16.2" thickBot="1">
      <c r="B10" s="21" t="s">
        <v>22</v>
      </c>
      <c r="C10" s="22">
        <f>C9*2080</f>
        <v>32302.399999999998</v>
      </c>
      <c r="D10" s="22" t="e">
        <f>D9*2080</f>
        <v>#REF!</v>
      </c>
      <c r="E10" s="23"/>
      <c r="F10" s="23"/>
      <c r="G10" s="19"/>
      <c r="H10" s="20">
        <v>42495</v>
      </c>
      <c r="J10" s="14"/>
    </row>
    <row r="11" spans="1:10" ht="15.6">
      <c r="B11" s="8" t="s">
        <v>23</v>
      </c>
      <c r="C11" s="9">
        <v>21.14</v>
      </c>
      <c r="D11" s="9" t="e">
        <f>'[1]Caseworker BA'!#REF!</f>
        <v>#REF!</v>
      </c>
      <c r="E11" s="10"/>
      <c r="F11" s="10" t="s">
        <v>24</v>
      </c>
      <c r="G11" s="12" t="s">
        <v>25</v>
      </c>
      <c r="H11" s="25" t="s">
        <v>26</v>
      </c>
      <c r="J11" s="14"/>
    </row>
    <row r="12" spans="1:10" ht="16.2" thickBot="1">
      <c r="B12" s="21" t="s">
        <v>27</v>
      </c>
      <c r="C12" s="22">
        <f>C11*2080</f>
        <v>43971.200000000004</v>
      </c>
      <c r="D12" s="22" t="e">
        <f>D11*2080</f>
        <v>#REF!</v>
      </c>
      <c r="E12" s="23"/>
      <c r="F12" s="23" t="s">
        <v>28</v>
      </c>
      <c r="G12" s="19"/>
      <c r="H12" s="26"/>
      <c r="J12" s="14"/>
    </row>
    <row r="13" spans="1:10" ht="31.2">
      <c r="B13" s="27" t="s">
        <v>29</v>
      </c>
      <c r="C13" s="28">
        <v>25.32</v>
      </c>
      <c r="D13" s="28" t="e">
        <f>'[1]Casemanager MA '!#REF!</f>
        <v>#REF!</v>
      </c>
      <c r="E13" s="17"/>
      <c r="F13" s="17" t="s">
        <v>30</v>
      </c>
      <c r="G13" s="29" t="s">
        <v>31</v>
      </c>
      <c r="H13" s="13">
        <f>H14/2080</f>
        <v>19.703365384615385</v>
      </c>
      <c r="J13" s="14" t="e">
        <f>D13-H13</f>
        <v>#REF!</v>
      </c>
    </row>
    <row r="14" spans="1:10" ht="31.8" thickBot="1">
      <c r="B14" s="27" t="s">
        <v>32</v>
      </c>
      <c r="C14" s="22">
        <f>C13*2080</f>
        <v>52665.599999999999</v>
      </c>
      <c r="D14" s="22" t="e">
        <f>D13*2080</f>
        <v>#REF!</v>
      </c>
      <c r="E14" s="23"/>
      <c r="F14" s="23" t="s">
        <v>33</v>
      </c>
      <c r="G14" s="19"/>
      <c r="H14" s="20">
        <v>40983</v>
      </c>
      <c r="J14" s="14"/>
    </row>
    <row r="15" spans="1:10" ht="15.6">
      <c r="B15" s="8" t="s">
        <v>34</v>
      </c>
      <c r="C15" s="9">
        <v>29.29</v>
      </c>
      <c r="D15" s="9" t="e">
        <f>'[1]Clinician w indep Lic'!#REF!</f>
        <v>#REF!</v>
      </c>
      <c r="E15" s="10"/>
      <c r="F15" s="10" t="s">
        <v>35</v>
      </c>
      <c r="G15" s="12" t="s">
        <v>36</v>
      </c>
      <c r="H15" s="13">
        <f>H16/2080</f>
        <v>27.190865384615385</v>
      </c>
      <c r="J15" s="14" t="e">
        <f>D15-H15</f>
        <v>#REF!</v>
      </c>
    </row>
    <row r="16" spans="1:10" ht="16.2" thickBot="1">
      <c r="B16" s="21" t="s">
        <v>37</v>
      </c>
      <c r="C16" s="22">
        <f>C15*2080</f>
        <v>60923.199999999997</v>
      </c>
      <c r="D16" s="22" t="e">
        <f>D15*2080</f>
        <v>#REF!</v>
      </c>
      <c r="E16" s="23"/>
      <c r="F16" s="23"/>
      <c r="G16" s="19"/>
      <c r="H16" s="20">
        <v>56557</v>
      </c>
      <c r="J16" s="14"/>
    </row>
    <row r="17" spans="2:10" ht="15.6">
      <c r="B17" s="8" t="s">
        <v>38</v>
      </c>
      <c r="C17" s="9">
        <v>40.06</v>
      </c>
      <c r="D17" s="9" t="e">
        <f>'[1]Clinical Manager'!#REF!</f>
        <v>#REF!</v>
      </c>
      <c r="E17" s="10"/>
      <c r="F17" s="30" t="s">
        <v>39</v>
      </c>
      <c r="G17" s="12" t="s">
        <v>40</v>
      </c>
      <c r="H17" s="13">
        <f>H18/2080</f>
        <v>33.217788461538461</v>
      </c>
      <c r="J17" s="14" t="e">
        <f>D17-H17</f>
        <v>#REF!</v>
      </c>
    </row>
    <row r="18" spans="2:10" ht="16.2" thickBot="1">
      <c r="B18" s="21" t="s">
        <v>41</v>
      </c>
      <c r="C18" s="22">
        <f>C17*2080</f>
        <v>83324.800000000003</v>
      </c>
      <c r="D18" s="22" t="e">
        <f>D17*2080</f>
        <v>#REF!</v>
      </c>
      <c r="E18" s="23"/>
      <c r="F18" s="31"/>
      <c r="G18" s="19"/>
      <c r="H18" s="20">
        <v>69093</v>
      </c>
      <c r="J18" s="14"/>
    </row>
    <row r="19" spans="2:10" ht="15.6">
      <c r="B19" s="8" t="s">
        <v>42</v>
      </c>
      <c r="C19" s="9">
        <v>27.62</v>
      </c>
      <c r="D19" s="9" t="e">
        <f>[1]LPN!#REF!</f>
        <v>#REF!</v>
      </c>
      <c r="E19" s="10"/>
      <c r="F19" s="10"/>
      <c r="G19" s="12" t="s">
        <v>43</v>
      </c>
      <c r="H19" s="13">
        <f>H20/2080</f>
        <v>25.143750000000001</v>
      </c>
      <c r="J19" s="14" t="e">
        <f>D19-H19</f>
        <v>#REF!</v>
      </c>
    </row>
    <row r="20" spans="2:10" ht="16.2" thickBot="1">
      <c r="B20" s="21" t="s">
        <v>44</v>
      </c>
      <c r="C20" s="22">
        <f>C19*2080</f>
        <v>57449.599999999999</v>
      </c>
      <c r="D20" s="22" t="e">
        <f>D19*2080</f>
        <v>#REF!</v>
      </c>
      <c r="E20" s="23"/>
      <c r="F20" s="23"/>
      <c r="G20" s="19"/>
      <c r="H20" s="20">
        <v>52299</v>
      </c>
      <c r="J20" s="14"/>
    </row>
    <row r="21" spans="2:10" ht="15.6">
      <c r="B21" s="8" t="s">
        <v>45</v>
      </c>
      <c r="C21" s="9">
        <v>41.76</v>
      </c>
      <c r="D21" s="9" t="e">
        <f>'[1]BS RN'!#REF!</f>
        <v>#REF!</v>
      </c>
      <c r="E21" s="10"/>
      <c r="F21" s="10"/>
      <c r="G21" s="12" t="s">
        <v>46</v>
      </c>
      <c r="H21" s="32">
        <f>H22/2080</f>
        <v>33.460576923076921</v>
      </c>
      <c r="J21" s="14" t="e">
        <f>D21-H21</f>
        <v>#REF!</v>
      </c>
    </row>
    <row r="22" spans="2:10" ht="16.2" thickBot="1">
      <c r="B22" s="21" t="s">
        <v>47</v>
      </c>
      <c r="C22" s="22">
        <f>C21*2080</f>
        <v>86860.800000000003</v>
      </c>
      <c r="D22" s="22" t="e">
        <f>D21*2080</f>
        <v>#REF!</v>
      </c>
      <c r="E22" s="23"/>
      <c r="F22" s="23"/>
      <c r="G22" s="19"/>
      <c r="H22" s="20">
        <v>69598</v>
      </c>
      <c r="J22" s="14"/>
    </row>
    <row r="23" spans="2:10" ht="15.6">
      <c r="B23" s="8" t="s">
        <v>48</v>
      </c>
      <c r="C23" s="9">
        <v>57.41</v>
      </c>
      <c r="D23" s="9" t="e">
        <f>'[1]MA RN. APRN'!#REF!</f>
        <v>#REF!</v>
      </c>
      <c r="E23" s="10"/>
      <c r="F23" s="10"/>
      <c r="G23" s="12" t="s">
        <v>49</v>
      </c>
      <c r="H23" s="13">
        <f>H24/2080</f>
        <v>48.354326923076925</v>
      </c>
      <c r="J23" s="14" t="e">
        <f>D23-H23</f>
        <v>#REF!</v>
      </c>
    </row>
    <row r="24" spans="2:10" ht="16.2" thickBot="1">
      <c r="B24" s="21" t="s">
        <v>50</v>
      </c>
      <c r="C24" s="22">
        <f>C23*2080</f>
        <v>119412.79999999999</v>
      </c>
      <c r="D24" s="22" t="e">
        <f>D23*2080</f>
        <v>#REF!</v>
      </c>
      <c r="E24" s="23"/>
      <c r="F24" s="23"/>
      <c r="G24" s="19"/>
      <c r="H24" s="20">
        <v>100577</v>
      </c>
      <c r="J24" s="14"/>
    </row>
    <row r="27" spans="2:10" ht="15.6">
      <c r="B27" s="33" t="s">
        <v>51</v>
      </c>
      <c r="C27" s="16">
        <v>32198</v>
      </c>
    </row>
    <row r="28" spans="2:10" ht="15.6">
      <c r="B28" s="17"/>
      <c r="C28" s="17"/>
    </row>
    <row r="29" spans="2:10" ht="15.6">
      <c r="B29" s="33" t="s">
        <v>52</v>
      </c>
      <c r="C29" s="16">
        <v>29640</v>
      </c>
      <c r="F29" t="s">
        <v>53</v>
      </c>
    </row>
    <row r="30" spans="2:10" ht="15.6">
      <c r="B30" s="17"/>
      <c r="C30" s="17"/>
    </row>
    <row r="31" spans="2:10" ht="15.6">
      <c r="B31" s="33" t="s">
        <v>54</v>
      </c>
      <c r="C31" s="34">
        <v>0.224</v>
      </c>
      <c r="F31" t="s">
        <v>55</v>
      </c>
    </row>
    <row r="32" spans="2:10" ht="15.6">
      <c r="B32" s="33"/>
      <c r="C32" s="34"/>
    </row>
    <row r="33" spans="2:6" ht="15.6">
      <c r="B33" s="33" t="s">
        <v>56</v>
      </c>
      <c r="C33" s="34">
        <v>3.7000000000000002E-3</v>
      </c>
      <c r="F33" t="s">
        <v>57</v>
      </c>
    </row>
    <row r="34" spans="2:6" ht="15.6">
      <c r="B34" s="33"/>
      <c r="C34" s="34"/>
    </row>
    <row r="35" spans="2:6">
      <c r="B35" s="35" t="s">
        <v>58</v>
      </c>
      <c r="C35" s="36">
        <v>0.12</v>
      </c>
      <c r="F35" t="s">
        <v>59</v>
      </c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F5:F6"/>
    <mergeCell ref="G5:G6"/>
    <mergeCell ref="G7:G8"/>
    <mergeCell ref="G9:G10"/>
    <mergeCell ref="G11:G12"/>
    <mergeCell ref="H11:H12"/>
  </mergeCells>
  <pageMargins left="0.25" right="0.25" top="0.75" bottom="0.75" header="0.3" footer="0.3"/>
  <pageSetup scale="6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Outreach and Engagement</vt:lpstr>
      <vt:lpstr> Safe Haven 7-9, 10-12 beds</vt:lpstr>
      <vt:lpstr> Housing First - HOP </vt:lpstr>
      <vt:lpstr>Housing First - ATARP </vt:lpstr>
      <vt:lpstr> Program Staffing Sup</vt:lpstr>
      <vt:lpstr> Dual DX (donated)</vt:lpstr>
      <vt:lpstr>Dual DX (w-occupancy)</vt:lpstr>
      <vt:lpstr>CAF Fall 2020</vt:lpstr>
      <vt:lpstr>Chart</vt:lpstr>
      <vt:lpstr>' Housing First - HOP '!Print_Area</vt:lpstr>
      <vt:lpstr>' Program Staffing Sup'!Print_Area</vt:lpstr>
      <vt:lpstr>' Safe Haven 7-9, 10-12 beds'!Print_Area</vt:lpstr>
      <vt:lpstr>Chart!Print_Area</vt:lpstr>
      <vt:lpstr>'Housing First - ATARP '!Print_Area</vt:lpstr>
      <vt:lpstr>'Outreach and Engagement'!Print_Area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2021-03-31T16:16:16Z</dcterms:created>
  <dcterms:modified xsi:type="dcterms:W3CDTF">2021-03-31T16:29:27Z</dcterms:modified>
</cp:coreProperties>
</file>