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Kara/"/>
    </mc:Choice>
  </mc:AlternateContent>
  <xr:revisionPtr revIDLastSave="0" documentId="8_{7AF93DC7-3553-4365-92F7-0AE9D99DA8B2}" xr6:coauthVersionLast="47" xr6:coauthVersionMax="47" xr10:uidLastSave="{00000000-0000-0000-0000-000000000000}"/>
  <bookViews>
    <workbookView xWindow="3435" yWindow="3990" windowWidth="17340" windowHeight="10995" activeTab="1" xr2:uid="{52C28811-4868-4606-9A12-E76848F49EF0}"/>
  </bookViews>
  <sheets>
    <sheet name="M2021 BLS  SALARY CHART" sheetId="1" r:id="rId1"/>
    <sheet name="Outreach and Engagement" sheetId="2" r:id="rId2"/>
    <sheet name=" Safe Haven 7-9, 10-12 beds" sheetId="3" r:id="rId3"/>
    <sheet name=" Housing First - HOP " sheetId="4" r:id="rId4"/>
    <sheet name="Housing First - ATARP " sheetId="5" r:id="rId5"/>
    <sheet name=" Program Staffing Sup" sheetId="6" r:id="rId6"/>
    <sheet name="FY22 Dual DX (donated)" sheetId="7" r:id="rId7"/>
    <sheet name="FY22 Dual DX (w-occupancy)" sheetId="8" r:id="rId8"/>
    <sheet name="CAF Fall 2022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Key1" localSheetId="8" hidden="1">#REF!</definedName>
    <definedName name="_Key1" hidden="1">#REF!</definedName>
    <definedName name="_Sort" localSheetId="8" hidden="1">#REF!</definedName>
    <definedName name="_Sort" hidden="1">#REF!</definedName>
    <definedName name="alldata" localSheetId="8">#REF!</definedName>
    <definedName name="alldata" localSheetId="0">#REF!</definedName>
    <definedName name="alldata">#REF!</definedName>
    <definedName name="alled" localSheetId="8">#REF!</definedName>
    <definedName name="alled" localSheetId="0">#REF!</definedName>
    <definedName name="alled">#REF!</definedName>
    <definedName name="allstem" localSheetId="8">#REF!</definedName>
    <definedName name="allstem" localSheetId="0">#REF!</definedName>
    <definedName name="allstem">#REF!</definedName>
    <definedName name="Area">[1]Sheet2!$A$2:$A$28</definedName>
    <definedName name="ARENEW">[2]amendA!$B$1:$U$51</definedName>
    <definedName name="asdfasd" localSheetId="8">'[3]Complete UFR List'!#REF!</definedName>
    <definedName name="asdfasd">'[3]Complete UFR List'!#REF!</definedName>
    <definedName name="asdfasdf" localSheetId="8">'[3]Complete UFR List'!#REF!</definedName>
    <definedName name="asdfasdf">#REF!</definedName>
    <definedName name="ATTABOY">[2]amendA!$B$2:$S$2</definedName>
    <definedName name="AutoInsurance">[4]Universal!$C$19</definedName>
    <definedName name="Average" localSheetId="8">#REF!</definedName>
    <definedName name="Average">#REF!</definedName>
    <definedName name="BB6_4" localSheetId="8">#REF!</definedName>
    <definedName name="BB6_4">#REF!</definedName>
    <definedName name="CAF">#REF!</definedName>
    <definedName name="CAF_NEW" localSheetId="8">[5]RawDataCalcs!$L$70:$DB$70</definedName>
    <definedName name="CAF_NEW">[5]RawDataCalcs!$L$70:$DB$70</definedName>
    <definedName name="Cap" localSheetId="8">[6]RawDataCalcs!$L$13:$DB$13</definedName>
    <definedName name="Cap" localSheetId="0">[7]RawDataCalcs!$L$35:$DB$35</definedName>
    <definedName name="Cap">[8]RawDataCalcs!$L$13:$DB$13</definedName>
    <definedName name="COLA">[4]Universal!$C$12</definedName>
    <definedName name="Data" localSheetId="8">#REF!</definedName>
    <definedName name="Data">#REF!</definedName>
    <definedName name="Electricity">[4]Universal!$C$21</definedName>
    <definedName name="Fisc">'[3]Complete UFR List'!#REF!</definedName>
    <definedName name="FiveDay">[4]Universal!$C$17</definedName>
    <definedName name="Floor" localSheetId="8">[6]RawDataCalcs!$L$12:$DB$12</definedName>
    <definedName name="Floor" localSheetId="0">[7]RawDataCalcs!$L$34:$DB$34</definedName>
    <definedName name="Floor">[8]RawDataCalcs!$L$12:$DB$12</definedName>
    <definedName name="Fringe">[4]Universal!$C$8</definedName>
    <definedName name="FROM">[2]amendA!$G$7</definedName>
    <definedName name="Funds" localSheetId="8">'[9]RawDataCalcs3386&amp;3401'!$L$68:$DB$68</definedName>
    <definedName name="Funds">'[9]RawDataCalcs3386&amp;3401'!$L$68:$DB$68</definedName>
    <definedName name="GA">[4]Universal!$C$13</definedName>
    <definedName name="Gas">[4]Universal!$C$22</definedName>
    <definedName name="gk" localSheetId="3">#REF!</definedName>
    <definedName name="gk" localSheetId="5">#REF!</definedName>
    <definedName name="gk" localSheetId="8">#REF!</definedName>
    <definedName name="gk" localSheetId="4">#REF!</definedName>
    <definedName name="gk" localSheetId="1">#REF!</definedName>
    <definedName name="gk">#REF!</definedName>
    <definedName name="hhh" localSheetId="8">#REF!</definedName>
    <definedName name="hhh">#REF!</definedName>
    <definedName name="Holidays">[4]Universal!$C$49:$C$59</definedName>
    <definedName name="JailDAverage" localSheetId="8">#REF!</definedName>
    <definedName name="JailDAverage">#REF!</definedName>
    <definedName name="JailDCap" localSheetId="8">[10]ALLRawDataCalcs!$L$80:$DB$80</definedName>
    <definedName name="JailDCap">[10]ALLRawDataCalcs!$L$80:$DB$80</definedName>
    <definedName name="JailDFloor" localSheetId="8">[10]ALLRawDataCalcs!$L$79:$DB$79</definedName>
    <definedName name="JailDFloor">[10]ALLRawDataCalcs!$L$79:$DB$79</definedName>
    <definedName name="JailDgk" localSheetId="8">#REF!</definedName>
    <definedName name="JailDgk">#REF!</definedName>
    <definedName name="JailDMax" localSheetId="8">#REF!</definedName>
    <definedName name="JailDMax">#REF!</definedName>
    <definedName name="JailDMedian" localSheetId="8">#REF!</definedName>
    <definedName name="JailDMedian">#REF!</definedName>
    <definedName name="jm">'[3]Complete UFR List'!#REF!</definedName>
    <definedName name="kls" localSheetId="8">#REF!</definedName>
    <definedName name="kls">#REF!</definedName>
    <definedName name="ListProviders">'[11]List of Programs'!$A$24:$A$29</definedName>
    <definedName name="Max" localSheetId="8">#REF!</definedName>
    <definedName name="Max">#REF!</definedName>
    <definedName name="Median" localSheetId="8">#REF!</definedName>
    <definedName name="Median">#REF!</definedName>
    <definedName name="Min" localSheetId="8">#REF!</definedName>
    <definedName name="Min">#REF!</definedName>
    <definedName name="MT" localSheetId="8">#REF!</definedName>
    <definedName name="MT">#REF!</definedName>
    <definedName name="new" localSheetId="8">#REF!</definedName>
    <definedName name="new">#REF!</definedName>
    <definedName name="Oil">[4]Universal!$C$23</definedName>
    <definedName name="ok" localSheetId="8">#REF!</definedName>
    <definedName name="ok">#REF!</definedName>
    <definedName name="Paydays">[4]Universal!$C$33:$N$33</definedName>
    <definedName name="Phone">[4]Universal!$C$25</definedName>
    <definedName name="_xlnm.Print_Area" localSheetId="3">' Housing First - HOP '!$G$1:$O$32</definedName>
    <definedName name="_xlnm.Print_Area" localSheetId="5">' Program Staffing Sup'!$B$1:$L$49</definedName>
    <definedName name="_xlnm.Print_Area" localSheetId="2">' Safe Haven 7-9, 10-12 beds'!$G$1:$O$42</definedName>
    <definedName name="_xlnm.Print_Area" localSheetId="4">'Housing First - ATARP '!$G$1:$Q$28</definedName>
    <definedName name="_xlnm.Print_Area" localSheetId="0">'M2021 BLS  SALARY CHART'!$B$1:$E$41</definedName>
    <definedName name="_xlnm.Print_Area" localSheetId="1">'Outreach and Engagement'!$A$1:$I$34</definedName>
    <definedName name="_xlnm.Print_Titles" localSheetId="8">'CAF Fall 2022'!$A:$A</definedName>
    <definedName name="Program_File" localSheetId="8">#REF!</definedName>
    <definedName name="Program_File">#REF!</definedName>
    <definedName name="Programs">'[11]List of Programs'!$B$3:$B$19</definedName>
    <definedName name="PropInsurance">[4]Universal!$C$20</definedName>
    <definedName name="ProvFTE">'[12]FTE Data'!$A$3:$AW$56</definedName>
    <definedName name="PTO_Hours">[4]Universal!$F$72:$F$78</definedName>
    <definedName name="PTO_Years">[4]Universal!$B$72:$B$78</definedName>
    <definedName name="PurchasedBy">'[12]FTE Data'!$C$263:$AZ$657</definedName>
    <definedName name="REGION">[1]Sheet2!$B$1:$B$5</definedName>
    <definedName name="Relief">[4]Universal!$C$14</definedName>
    <definedName name="resmay2007" localSheetId="8">#REF!</definedName>
    <definedName name="resmay2007">#REF!</definedName>
    <definedName name="SevenDay">[4]Universal!$C$18</definedName>
    <definedName name="sheet1" localSheetId="8">#REF!</definedName>
    <definedName name="sheet1" localSheetId="0">#REF!</definedName>
    <definedName name="sheet1">#REF!</definedName>
    <definedName name="Site_list">[12]Lists!$A$2:$A$53</definedName>
    <definedName name="Source" localSheetId="8">#REF!</definedName>
    <definedName name="Source">#REF!</definedName>
    <definedName name="Source_2" localSheetId="3">#REF!</definedName>
    <definedName name="Source_2" localSheetId="5">#REF!</definedName>
    <definedName name="Source_2" localSheetId="8">#REF!</definedName>
    <definedName name="Source_2" localSheetId="4">#REF!</definedName>
    <definedName name="Source_2" localSheetId="1">#REF!</definedName>
    <definedName name="Source_2">#REF!</definedName>
    <definedName name="SourcePathAndFileName" localSheetId="8">#REF!</definedName>
    <definedName name="SourcePathAndFileName">#REF!</definedName>
    <definedName name="StaffApp">[4]Universal!$C$11</definedName>
    <definedName name="Tax">[4]Universal!$C$7</definedName>
    <definedName name="TO">[2]amendA!$K$7:$O$7</definedName>
    <definedName name="Total_UFR" localSheetId="3">#REF!</definedName>
    <definedName name="Total_UFR" localSheetId="5">#REF!</definedName>
    <definedName name="Total_UFR" localSheetId="8">#REF!</definedName>
    <definedName name="Total_UFR" localSheetId="4">#REF!</definedName>
    <definedName name="Total_UFR" localSheetId="1">#REF!</definedName>
    <definedName name="Total_UFR">#REF!</definedName>
    <definedName name="Total_UFRs" localSheetId="8">#REF!</definedName>
    <definedName name="Total_UFRs">#REF!</definedName>
    <definedName name="Total_UFRs_" localSheetId="8">#REF!</definedName>
    <definedName name="Total_UFRs_">#REF!</definedName>
    <definedName name="TotalDays">[4]Universal!$C$30:$N$30</definedName>
    <definedName name="UEFFR">'[3]Complete UFR List'!#REF!</definedName>
    <definedName name="UFR" localSheetId="8">'[3]Complete UFR List'!#REF!</definedName>
    <definedName name="UFR">'[3]Complete UFR List'!#REF!</definedName>
    <definedName name="UFRS" localSheetId="8">'[3]Complete UFR List'!#REF!</definedName>
    <definedName name="UFRS">'[3]Complete UFR List'!#REF!</definedName>
    <definedName name="UPDATE">'[3]Complete UFR List'!#REF!</definedName>
    <definedName name="VacAccr">[4]Universal!$C$9</definedName>
    <definedName name="VBB">[4]Universal!$C$10</definedName>
    <definedName name="VBBDist">[4]Universal!$B$35:$N$35</definedName>
    <definedName name="VBBLines">[4]Universal!$B$85:$B$97</definedName>
    <definedName name="Wages5">[4]Universal!$C$37:$N$37</definedName>
    <definedName name="Wages7">[4]Universal!$C$38:$N$38</definedName>
    <definedName name="Water">[4]Universal!$C$24</definedName>
    <definedName name="Weekdays">[4]Universal!$C$31:$N$31</definedName>
    <definedName name="wefqwerqwe">'[3]Complete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21" i="9" l="1"/>
  <c r="CE21" i="9"/>
  <c r="CD21" i="9"/>
  <c r="CC21" i="9"/>
  <c r="CB21" i="9"/>
  <c r="CA21" i="9"/>
  <c r="BZ21" i="9"/>
  <c r="BY21" i="9"/>
  <c r="CF20" i="9"/>
  <c r="CE20" i="9"/>
  <c r="CD20" i="9"/>
  <c r="CC20" i="9"/>
  <c r="CB20" i="9"/>
  <c r="CA20" i="9"/>
  <c r="BZ20" i="9"/>
  <c r="BY20" i="9"/>
  <c r="CH17" i="9"/>
  <c r="BY17" i="9"/>
  <c r="BY16" i="9"/>
  <c r="CH21" i="9" l="1"/>
  <c r="CH23" i="9" s="1"/>
  <c r="N10" i="4"/>
  <c r="I10" i="4"/>
  <c r="C26" i="8"/>
  <c r="C25" i="8"/>
  <c r="C24" i="8"/>
  <c r="C23" i="8"/>
  <c r="C20" i="8"/>
  <c r="J21" i="8" s="1"/>
  <c r="C19" i="8"/>
  <c r="J19" i="8" s="1"/>
  <c r="D18" i="8"/>
  <c r="C18" i="8"/>
  <c r="K17" i="8" s="1"/>
  <c r="L17" i="8" s="1"/>
  <c r="D17" i="8"/>
  <c r="C17" i="8"/>
  <c r="L16" i="8" s="1"/>
  <c r="C16" i="8"/>
  <c r="K15" i="8" s="1"/>
  <c r="I19" i="8"/>
  <c r="I16" i="8"/>
  <c r="I15" i="8"/>
  <c r="C11" i="8"/>
  <c r="C10" i="8"/>
  <c r="C8" i="8"/>
  <c r="I11" i="8"/>
  <c r="C6" i="8"/>
  <c r="C5" i="8"/>
  <c r="L5" i="8"/>
  <c r="C24" i="7"/>
  <c r="C23" i="7"/>
  <c r="C22" i="7"/>
  <c r="C21" i="7"/>
  <c r="C19" i="7"/>
  <c r="K19" i="7" s="1"/>
  <c r="C18" i="7"/>
  <c r="K17" i="7" s="1"/>
  <c r="C17" i="7"/>
  <c r="L15" i="7" s="1"/>
  <c r="M15" i="7" s="1"/>
  <c r="C16" i="7"/>
  <c r="M14" i="7" s="1"/>
  <c r="C11" i="7"/>
  <c r="J14" i="7"/>
  <c r="C10" i="7"/>
  <c r="C8" i="7"/>
  <c r="J11" i="7"/>
  <c r="C6" i="7"/>
  <c r="C5" i="7"/>
  <c r="M5" i="7"/>
  <c r="E7" i="6"/>
  <c r="D7" i="6"/>
  <c r="C7" i="6"/>
  <c r="E12" i="5"/>
  <c r="C12" i="5"/>
  <c r="I15" i="5" s="1"/>
  <c r="C11" i="5"/>
  <c r="O13" i="5" s="1"/>
  <c r="G13" i="5"/>
  <c r="C10" i="5"/>
  <c r="O11" i="5" s="1"/>
  <c r="AC6" i="5"/>
  <c r="AC5" i="5"/>
  <c r="AC4" i="5"/>
  <c r="AC3" i="5"/>
  <c r="Q3" i="5"/>
  <c r="K3" i="5"/>
  <c r="L18" i="4"/>
  <c r="G19" i="4"/>
  <c r="G17" i="4"/>
  <c r="L16" i="4"/>
  <c r="C13" i="4"/>
  <c r="M20" i="4" s="1"/>
  <c r="L14" i="4"/>
  <c r="C12" i="4"/>
  <c r="M18" i="4" s="1"/>
  <c r="C11" i="4"/>
  <c r="H17" i="4" s="1"/>
  <c r="C10" i="4"/>
  <c r="J16" i="4" s="1"/>
  <c r="C9" i="4"/>
  <c r="H15" i="4" s="1"/>
  <c r="C8" i="4"/>
  <c r="M14" i="4" s="1"/>
  <c r="D23" i="3"/>
  <c r="D22" i="3"/>
  <c r="D21" i="3"/>
  <c r="D20" i="3"/>
  <c r="E16" i="3"/>
  <c r="E13" i="4" s="1"/>
  <c r="C16" i="3"/>
  <c r="M19" i="3" s="1"/>
  <c r="C15" i="3"/>
  <c r="M17" i="3" s="1"/>
  <c r="L17" i="3"/>
  <c r="C14" i="3"/>
  <c r="H15" i="3" s="1"/>
  <c r="J15" i="3" s="1"/>
  <c r="G17" i="3"/>
  <c r="C12" i="3"/>
  <c r="H13" i="3" s="1"/>
  <c r="M14" i="3"/>
  <c r="H14" i="3"/>
  <c r="E10" i="3"/>
  <c r="N12" i="3"/>
  <c r="M12" i="3"/>
  <c r="I12" i="3"/>
  <c r="H12" i="3"/>
  <c r="O3" i="3"/>
  <c r="J3" i="3"/>
  <c r="G19" i="2"/>
  <c r="F17" i="2"/>
  <c r="C12" i="2"/>
  <c r="G17" i="2" s="1"/>
  <c r="C11" i="2"/>
  <c r="G15" i="2" s="1"/>
  <c r="I15" i="2" s="1"/>
  <c r="G14" i="2"/>
  <c r="I14" i="2" s="1"/>
  <c r="G13" i="2"/>
  <c r="I13" i="2" s="1"/>
  <c r="G10" i="2"/>
  <c r="C38" i="1"/>
  <c r="C15" i="8" s="1"/>
  <c r="J11" i="8" s="1"/>
  <c r="C36" i="1"/>
  <c r="H17" i="3" l="1"/>
  <c r="M15" i="3"/>
  <c r="O15" i="3" s="1"/>
  <c r="C27" i="8"/>
  <c r="C28" i="8" s="1"/>
  <c r="L15" i="8"/>
  <c r="C25" i="7"/>
  <c r="C26" i="7" s="1"/>
  <c r="C12" i="7" s="1"/>
  <c r="L10" i="7" s="1"/>
  <c r="AC7" i="5"/>
  <c r="AC8" i="5" s="1"/>
  <c r="O14" i="4"/>
  <c r="J12" i="3"/>
  <c r="M13" i="3"/>
  <c r="O13" i="3" s="1"/>
  <c r="J13" i="3"/>
  <c r="J14" i="3"/>
  <c r="O14" i="3"/>
  <c r="O12" i="3"/>
  <c r="D24" i="3"/>
  <c r="D25" i="3" s="1"/>
  <c r="I19" i="2"/>
  <c r="M9" i="3"/>
  <c r="I9" i="5"/>
  <c r="O9" i="5" s="1"/>
  <c r="H9" i="3"/>
  <c r="I11" i="5"/>
  <c r="H19" i="3"/>
  <c r="M12" i="4"/>
  <c r="O15" i="5"/>
  <c r="M15" i="4"/>
  <c r="K12" i="7"/>
  <c r="H12" i="4"/>
  <c r="M19" i="7"/>
  <c r="J15" i="4"/>
  <c r="L21" i="8"/>
  <c r="I8" i="2"/>
  <c r="J17" i="4"/>
  <c r="C7" i="4"/>
  <c r="H21" i="4"/>
  <c r="C15" i="7"/>
  <c r="K11" i="7" s="1"/>
  <c r="C8" i="2"/>
  <c r="G9" i="2" s="1"/>
  <c r="C9" i="3"/>
  <c r="M16" i="4"/>
  <c r="H19" i="4"/>
  <c r="J12" i="8"/>
  <c r="C12" i="8"/>
  <c r="K10" i="8" s="1"/>
  <c r="I13" i="5"/>
  <c r="C8" i="6"/>
  <c r="C9" i="6" s="1"/>
  <c r="C10" i="6" s="1"/>
  <c r="C11" i="6" s="1"/>
  <c r="C12" i="6" s="1"/>
  <c r="D8" i="6"/>
  <c r="D9" i="6" s="1"/>
  <c r="D10" i="6" s="1"/>
  <c r="D11" i="6" s="1"/>
  <c r="D12" i="6" s="1"/>
  <c r="H14" i="4"/>
  <c r="J14" i="4" s="1"/>
  <c r="E8" i="6"/>
  <c r="E9" i="6" s="1"/>
  <c r="E10" i="6" s="1"/>
  <c r="E11" i="6" s="1"/>
  <c r="E12" i="6" s="1"/>
  <c r="C9" i="5"/>
  <c r="O19" i="3" l="1"/>
  <c r="J19" i="3"/>
  <c r="C7" i="3"/>
  <c r="D7" i="3"/>
  <c r="O16" i="4"/>
  <c r="O15" i="4"/>
  <c r="O7" i="3"/>
  <c r="C7" i="5"/>
  <c r="D7" i="5"/>
  <c r="L10" i="8"/>
  <c r="L11" i="8" s="1"/>
  <c r="L12" i="8" s="1"/>
  <c r="L13" i="8" s="1"/>
  <c r="L18" i="8" s="1"/>
  <c r="L19" i="8" s="1"/>
  <c r="L20" i="8" s="1"/>
  <c r="L22" i="8" s="1"/>
  <c r="L23" i="8" s="1"/>
  <c r="L24" i="8" s="1"/>
  <c r="D16" i="6"/>
  <c r="D13" i="6"/>
  <c r="H11" i="4"/>
  <c r="M11" i="4"/>
  <c r="O8" i="5"/>
  <c r="I8" i="5"/>
  <c r="C16" i="6"/>
  <c r="C13" i="6"/>
  <c r="O10" i="4"/>
  <c r="J10" i="4"/>
  <c r="M8" i="3"/>
  <c r="H8" i="3"/>
  <c r="M10" i="7"/>
  <c r="M11" i="7" s="1"/>
  <c r="E16" i="6"/>
  <c r="E13" i="6"/>
  <c r="J7" i="3"/>
  <c r="J21" i="4"/>
  <c r="I9" i="2"/>
  <c r="I10" i="2" s="1"/>
  <c r="O8" i="3" l="1"/>
  <c r="O9" i="3" s="1"/>
  <c r="O20" i="4"/>
  <c r="P7" i="5"/>
  <c r="Q11" i="5" s="1"/>
  <c r="Q15" i="5" s="1"/>
  <c r="J7" i="5"/>
  <c r="K11" i="5" s="1"/>
  <c r="K15" i="5" s="1"/>
  <c r="Q7" i="5"/>
  <c r="Q8" i="5" s="1"/>
  <c r="Q9" i="5" s="1"/>
  <c r="O11" i="4"/>
  <c r="O12" i="4" s="1"/>
  <c r="I11" i="2"/>
  <c r="I16" i="2" s="1"/>
  <c r="J11" i="4"/>
  <c r="J12" i="4" s="1"/>
  <c r="D14" i="6"/>
  <c r="D15" i="6"/>
  <c r="C15" i="6"/>
  <c r="C14" i="6"/>
  <c r="E14" i="6"/>
  <c r="E15" i="6"/>
  <c r="J8" i="3"/>
  <c r="J9" i="3" s="1"/>
  <c r="K7" i="5"/>
  <c r="M12" i="7"/>
  <c r="M13" i="7" s="1"/>
  <c r="M16" i="7" s="1"/>
  <c r="O10" i="3"/>
  <c r="O16" i="3" s="1"/>
  <c r="O13" i="4" l="1"/>
  <c r="O17" i="4" s="1"/>
  <c r="O18" i="4" s="1"/>
  <c r="O19" i="4" s="1"/>
  <c r="O21" i="4" s="1"/>
  <c r="O22" i="4" s="1"/>
  <c r="J13" i="4"/>
  <c r="J18" i="4" s="1"/>
  <c r="J19" i="4" s="1"/>
  <c r="J20" i="4" s="1"/>
  <c r="J22" i="4" s="1"/>
  <c r="J23" i="4" s="1"/>
  <c r="I17" i="2"/>
  <c r="I18" i="2" s="1"/>
  <c r="I20" i="2" s="1"/>
  <c r="I21" i="2" s="1"/>
  <c r="K8" i="5"/>
  <c r="K9" i="5" s="1"/>
  <c r="J10" i="3"/>
  <c r="J16" i="3" s="1"/>
  <c r="Q10" i="5"/>
  <c r="Q12" i="5" s="1"/>
  <c r="M17" i="7"/>
  <c r="M18" i="7" s="1"/>
  <c r="M20" i="7" s="1"/>
  <c r="M21" i="7" s="1"/>
  <c r="M22" i="7" s="1"/>
  <c r="O17" i="3"/>
  <c r="O18" i="3" s="1"/>
  <c r="O20" i="3" s="1"/>
  <c r="O21" i="3" s="1"/>
  <c r="O22" i="3" s="1"/>
  <c r="J17" i="3" l="1"/>
  <c r="J18" i="3" s="1"/>
  <c r="J20" i="3" s="1"/>
  <c r="J21" i="3" s="1"/>
  <c r="J22" i="3" s="1"/>
  <c r="K10" i="5"/>
  <c r="K12" i="5" s="1"/>
  <c r="Q13" i="5"/>
  <c r="Q14" i="5" s="1"/>
  <c r="Q16" i="5" s="1"/>
  <c r="Q17" i="5" s="1"/>
  <c r="K13" i="5" l="1"/>
  <c r="K14" i="5" s="1"/>
  <c r="K16" i="5" s="1"/>
  <c r="K1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Solimini, Kara (EHS)</author>
  </authors>
  <commentList>
    <comment ref="C11" authorId="0" shapeId="0" xr:uid="{573BA86F-F493-46CD-840A-BD0F6F694B48}">
      <text>
        <r>
          <rPr>
            <b/>
            <sz val="9"/>
            <color indexed="81"/>
            <rFont val="Tahoma"/>
            <charset val="1"/>
          </rPr>
          <t>Solimini, Kara (EHS):</t>
        </r>
        <r>
          <rPr>
            <sz val="9"/>
            <color indexed="81"/>
            <rFont val="Tahoma"/>
            <charset val="1"/>
          </rPr>
          <t xml:space="preserve">
keeping the all models  BTL exoenses at FY19 UFR benchmarks plus CAF b/c analysis shows an approximate 66% decrease in FY21 UFRs</t>
        </r>
      </text>
    </comment>
  </commentList>
</comments>
</file>

<file path=xl/sharedStrings.xml><?xml version="1.0" encoding="utf-8"?>
<sst xmlns="http://schemas.openxmlformats.org/spreadsheetml/2006/main" count="619" uniqueCount="366">
  <si>
    <t>Source:</t>
  </si>
  <si>
    <t>BLS / OES</t>
  </si>
  <si>
    <t>Position</t>
  </si>
  <si>
    <t>53 rd %ile</t>
  </si>
  <si>
    <t>Common model titles (not all inclusive)</t>
  </si>
  <si>
    <t>Minimum Education and/or certification/Training/Experience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</si>
  <si>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</si>
  <si>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</si>
  <si>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</si>
  <si>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</si>
  <si>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</si>
  <si>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</si>
  <si>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</si>
  <si>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</si>
  <si>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</si>
  <si>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</si>
  <si>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</si>
  <si>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</si>
  <si>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</si>
  <si>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</si>
  <si>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</si>
  <si>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</si>
  <si>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</si>
  <si>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</si>
  <si>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</si>
  <si>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</si>
  <si>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</si>
  <si>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</si>
  <si>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</si>
  <si>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</si>
  <si>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</si>
  <si>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</si>
  <si>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</si>
  <si>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</si>
  <si>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</si>
  <si>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</si>
  <si>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</si>
  <si>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</si>
  <si>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</si>
  <si>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</si>
  <si>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</si>
  <si>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</si>
  <si>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</si>
  <si>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</si>
  <si>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</si>
  <si>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</si>
  <si>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</si>
  <si>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</si>
  <si>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</si>
  <si>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</si>
  <si>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</si>
  <si>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</si>
  <si>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</si>
  <si>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</si>
  <si>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</si>
  <si>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</si>
  <si>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</si>
  <si>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</si>
  <si>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</si>
  <si>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</si>
  <si>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</si>
  <si>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</si>
  <si>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</si>
  <si>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</si>
  <si>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</si>
  <si>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</si>
  <si>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</si>
  <si>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</si>
  <si>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</si>
  <si>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</si>
  <si>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</si>
  <si>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</si>
  <si>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</si>
  <si>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</si>
  <si>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</si>
  <si>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</si>
  <si>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</si>
  <si>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</si>
  <si>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=  </t>
  </si>
  <si>
    <t xml:space="preserve">Benchmarked to FY23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</si>
  <si>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</si>
  <si>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>Admin Allocation</t>
  </si>
  <si>
    <t>C.257 Benchmark</t>
  </si>
  <si>
    <t>Misc. BLS benchmarks</t>
  </si>
  <si>
    <t>Psychiatrist</t>
  </si>
  <si>
    <t>M2021 BLS Occ Code 29-1223 NAICS 622200 (Nat'l)</t>
  </si>
  <si>
    <t>Medical Director</t>
  </si>
  <si>
    <t>M2021 BLS Occ Code 29-1229 NAICS 622200 (Nat'l)</t>
  </si>
  <si>
    <t>Physician Assistants</t>
  </si>
  <si>
    <t>M2021 BLS  Occ Code 29-1071</t>
  </si>
  <si>
    <t>Adult Homelessness Support - Outreach and Engagement - Master Data Look-up Table</t>
  </si>
  <si>
    <t>Adult Homelessness Support - Outreach and Engagement</t>
  </si>
  <si>
    <t>Source</t>
  </si>
  <si>
    <t>Service Unit: Per Month Capacity</t>
  </si>
  <si>
    <t>Total Months:</t>
  </si>
  <si>
    <t>Salary</t>
  </si>
  <si>
    <t>FTE</t>
  </si>
  <si>
    <t>Expense</t>
  </si>
  <si>
    <t>Direct Care III</t>
  </si>
  <si>
    <t>Clinician, LICSW</t>
  </si>
  <si>
    <t>Benchmark FTEs</t>
  </si>
  <si>
    <t xml:space="preserve">Program Director </t>
  </si>
  <si>
    <t>Purchaser Recommendation</t>
  </si>
  <si>
    <t>Total Staffing Costs:</t>
  </si>
  <si>
    <t>Counselor, Bachelors Level</t>
  </si>
  <si>
    <t>Tax &amp; Fringe:</t>
  </si>
  <si>
    <t>Benchmark Expenses</t>
  </si>
  <si>
    <t>Total Compensation</t>
  </si>
  <si>
    <t>Tax &amp; Fringe</t>
  </si>
  <si>
    <t>Unit Rate</t>
  </si>
  <si>
    <t>Units</t>
  </si>
  <si>
    <t>Psychiatry consultation, per hour</t>
  </si>
  <si>
    <t>Benchmarked to  101 CMR 413: YITs</t>
  </si>
  <si>
    <t>Occupancy - 150 ft2 / FTE</t>
  </si>
  <si>
    <t>Benchmarked to office space in 101 CMR 426: ACCS</t>
  </si>
  <si>
    <t>program expenses, per client, per day</t>
  </si>
  <si>
    <t>FY19 UFR Data for Activity code 3040 (36E) + FY22 CAF</t>
  </si>
  <si>
    <t>Program support, per client per month</t>
  </si>
  <si>
    <t>Administrative Allocation</t>
  </si>
  <si>
    <t>Subtotal Program Costs</t>
  </si>
  <si>
    <t>CAF</t>
  </si>
  <si>
    <t>FY24 &amp; FY25</t>
  </si>
  <si>
    <t>TOTAL</t>
  </si>
  <si>
    <t>Total with CAF</t>
  </si>
  <si>
    <t xml:space="preserve">RATE </t>
  </si>
  <si>
    <t>Adult Homelessness Support - Safe Haven - Master Data Look-up Table</t>
  </si>
  <si>
    <t>Adult Homelessness Support - Safe Haven - 7-9 Bed Model</t>
  </si>
  <si>
    <t>Adult Homelessness Support - Safe Haven - 9-12 Bed Model</t>
  </si>
  <si>
    <t>Beds:</t>
  </si>
  <si>
    <t>Bed days:</t>
  </si>
  <si>
    <t>FTEs</t>
  </si>
  <si>
    <t xml:space="preserve">Direct Care </t>
  </si>
  <si>
    <t>Relief</t>
  </si>
  <si>
    <t>7-9</t>
  </si>
  <si>
    <t>10-12</t>
  </si>
  <si>
    <t>Total Staffing:</t>
  </si>
  <si>
    <t>Tax &amp; fringe:</t>
  </si>
  <si>
    <t>Caseworker/manager non-masters</t>
  </si>
  <si>
    <t>Total Compensation:</t>
  </si>
  <si>
    <t>Unit Cost</t>
  </si>
  <si>
    <t>Medical (NP), per hour</t>
  </si>
  <si>
    <t>Occupancy, per client / day</t>
  </si>
  <si>
    <t>Meals, per client / day*</t>
  </si>
  <si>
    <t>NP hours per week</t>
  </si>
  <si>
    <t>Program support, per bed or slot</t>
  </si>
  <si>
    <t>FY19 UFR Data wtg avg act.code 3041 + FY22 CAF</t>
  </si>
  <si>
    <t>RATE per day / client</t>
  </si>
  <si>
    <t>Utilization</t>
  </si>
  <si>
    <t>Relief Assumptions:</t>
  </si>
  <si>
    <t>Days</t>
  </si>
  <si>
    <t>Hours</t>
  </si>
  <si>
    <t>Vacation</t>
  </si>
  <si>
    <t>Sick/ personal</t>
  </si>
  <si>
    <t>Holidays</t>
  </si>
  <si>
    <t>Training</t>
  </si>
  <si>
    <t>Total Hours per FTE:</t>
  </si>
  <si>
    <t>Relief Factor (% of FTE)</t>
  </si>
  <si>
    <t>Adult Homelessness Support - Housing First HOP - Master Data Look-up Table</t>
  </si>
  <si>
    <t>Housing First Category of Services</t>
  </si>
  <si>
    <t>Housing Options Programs (HOP) - Low intensity</t>
  </si>
  <si>
    <t>HOP Model 1</t>
  </si>
  <si>
    <t>Hop Model 2</t>
  </si>
  <si>
    <t>Direct Care</t>
  </si>
  <si>
    <t>*Housing Search &amp; Subsidy Management</t>
  </si>
  <si>
    <t>Supportive Service</t>
  </si>
  <si>
    <t>Model 1</t>
  </si>
  <si>
    <t>Model 2</t>
  </si>
  <si>
    <t xml:space="preserve">Clients: </t>
  </si>
  <si>
    <t>Total program staff</t>
  </si>
  <si>
    <t>Staff mileage - per FTE</t>
  </si>
  <si>
    <t>FY19 UFRs for activity codes 3042 + FY22 CAF</t>
  </si>
  <si>
    <t>Tax &amp; fringe</t>
  </si>
  <si>
    <t>Personal client allowance</t>
  </si>
  <si>
    <t>Supplies and Materials per FTE</t>
  </si>
  <si>
    <t>Subtotal program costs</t>
  </si>
  <si>
    <t>RATE per client / month</t>
  </si>
  <si>
    <t>Adult Homelessness Supports - ATARP Models - Master Data Look-up Table</t>
  </si>
  <si>
    <t>Adult Homelessness Support - ATARP Model A - 9-12 person model</t>
  </si>
  <si>
    <t>Adult Homelessness Support - ATARP Model B - 6-8 person model</t>
  </si>
  <si>
    <t xml:space="preserve">Average clients: </t>
  </si>
  <si>
    <t>Client-days per year:</t>
  </si>
  <si>
    <t xml:space="preserve">Client-days per year: </t>
  </si>
  <si>
    <t>Program support (clerical)</t>
  </si>
  <si>
    <t>Relief staffing</t>
  </si>
  <si>
    <t>Model A</t>
  </si>
  <si>
    <t>Model B</t>
  </si>
  <si>
    <t>Program Director (Lic. SA Counselor)</t>
  </si>
  <si>
    <t>Total compensation</t>
  </si>
  <si>
    <t>M&amp;G</t>
  </si>
  <si>
    <t>RATE per client / enrolled day</t>
  </si>
  <si>
    <t>Clinician w/Independent License</t>
  </si>
  <si>
    <t>Total Tax &amp; Fringe</t>
  </si>
  <si>
    <t>Sub total COMPENSATION</t>
  </si>
  <si>
    <t>TOTAL COMPENSATION</t>
  </si>
  <si>
    <t>Proposed FY22 Monthly Rates (1.0 FTE)</t>
  </si>
  <si>
    <t>Proposed FY22 Monthly Rates (0.50FTE)</t>
  </si>
  <si>
    <t>Proposed FY22 Monthly Rates (0.25FTE)</t>
  </si>
  <si>
    <t>Per Diem</t>
  </si>
  <si>
    <t>MASTER DATA LOOK-UP TABLE  (Updated Model - Donated Space)</t>
  </si>
  <si>
    <t>SOURCE</t>
  </si>
  <si>
    <t>Adult Individual Support  - Dual Diagnosis Shelter Model (Donated Space)</t>
  </si>
  <si>
    <t>Program Director</t>
  </si>
  <si>
    <t xml:space="preserve">Beds: </t>
  </si>
  <si>
    <t xml:space="preserve">Bed days: </t>
  </si>
  <si>
    <t>Clinical Program Director</t>
  </si>
  <si>
    <t>Assistant Clinical Program Director</t>
  </si>
  <si>
    <t>RN - Masters/APRN</t>
  </si>
  <si>
    <t>RN - Non Masters</t>
  </si>
  <si>
    <t>Social Worker - LICSW</t>
  </si>
  <si>
    <t>Secretary/Clerical</t>
  </si>
  <si>
    <t>Total Staffing</t>
  </si>
  <si>
    <t>Program Support (per client annually)</t>
  </si>
  <si>
    <t>Admin. Allocation</t>
  </si>
  <si>
    <t>BENCHMARK EXPENSES</t>
  </si>
  <si>
    <t>Subcontracts</t>
  </si>
  <si>
    <t>Rebased with prior CAFs</t>
  </si>
  <si>
    <t>Program Support (per client annually)*</t>
  </si>
  <si>
    <t xml:space="preserve">Total </t>
  </si>
  <si>
    <t xml:space="preserve">CAF </t>
  </si>
  <si>
    <t>Per bed day</t>
  </si>
  <si>
    <t>vacation</t>
  </si>
  <si>
    <t>sick/ personal</t>
  </si>
  <si>
    <t>holidays</t>
  </si>
  <si>
    <t>training</t>
  </si>
  <si>
    <t>% of FTE</t>
  </si>
  <si>
    <t>* Program Support includes allowances for Program Supplies and Materials and Program Support</t>
  </si>
  <si>
    <t>MASTER DATA LOOK-UP TABLE  (Updated Model - With Occupancy)</t>
  </si>
  <si>
    <t>Adult Individual Support  - Dual Diagnosis Shelter Model (With Occupancy)</t>
  </si>
  <si>
    <t>Capacity:</t>
  </si>
  <si>
    <t>Expenses</t>
  </si>
  <si>
    <t>Total Reimb Excl M &amp; G</t>
  </si>
  <si>
    <t>Occupancy purchased (per bed day)</t>
  </si>
  <si>
    <t>Total</t>
  </si>
  <si>
    <t>Direct Service Staff</t>
  </si>
  <si>
    <t>Clinical Staff</t>
  </si>
  <si>
    <t>Management Staff</t>
  </si>
  <si>
    <t>CAF on Compensation</t>
  </si>
  <si>
    <t>CAF  (Program Expenses)</t>
  </si>
  <si>
    <t>C.257 FY23 Benchmark</t>
  </si>
  <si>
    <t>CAF (Compensation)</t>
  </si>
  <si>
    <t>CAF (Program Expenses)</t>
  </si>
  <si>
    <t>101 CMR 420.00: Adult Long Term Residential Services</t>
  </si>
  <si>
    <t>Direct Service &amp; Relief Staff</t>
  </si>
  <si>
    <t>Purchaser Reccomendation</t>
  </si>
  <si>
    <t>Direct Service, Support and Relief Staff</t>
  </si>
  <si>
    <t>Clinical and Nurseing Staff</t>
  </si>
  <si>
    <t xml:space="preserve"> CAF (Program Expenses)</t>
  </si>
  <si>
    <t>Massachusetts Economic Indicators</t>
  </si>
  <si>
    <r>
      <t xml:space="preserve">IHS Markit, </t>
    </r>
    <r>
      <rPr>
        <b/>
        <sz val="12"/>
        <color rgb="FFFF0000"/>
        <rFont val="Arial"/>
        <family val="2"/>
      </rPr>
      <t>Fall 2022 Forecast</t>
    </r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</si>
  <si>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</si>
  <si>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</si>
  <si>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</si>
  <si>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</si>
  <si>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</si>
  <si>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</si>
  <si>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</si>
  <si>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</si>
  <si>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</si>
  <si>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</si>
  <si>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</si>
  <si>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</si>
  <si>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</si>
  <si>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</si>
  <si>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</si>
  <si>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</si>
  <si>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</si>
  <si>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</si>
  <si>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</si>
  <si>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</si>
  <si>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</si>
  <si>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</si>
  <si>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</si>
  <si>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</si>
  <si>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</si>
  <si>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</si>
  <si>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</si>
  <si>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</si>
  <si>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</si>
  <si>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</si>
  <si>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</si>
  <si>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</si>
  <si>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</si>
  <si>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</si>
  <si>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</si>
  <si>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</si>
  <si>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</si>
  <si>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</si>
  <si>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</si>
  <si>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</si>
  <si>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</si>
  <si>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</si>
  <si>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</si>
  <si>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</si>
  <si>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</si>
  <si>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</si>
  <si>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</si>
  <si>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</si>
  <si>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</si>
  <si>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</si>
  <si>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</si>
  <si>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</si>
  <si>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</si>
  <si>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</si>
  <si>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</si>
  <si>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</si>
  <si>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</si>
  <si>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</si>
  <si>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</si>
  <si>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</si>
  <si>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</si>
  <si>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</si>
  <si>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</si>
  <si>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</si>
  <si>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</si>
  <si>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</si>
  <si>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</si>
  <si>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</si>
  <si>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</si>
  <si>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</si>
  <si>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</si>
  <si>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</si>
  <si>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</si>
  <si>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</si>
  <si>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</si>
  <si>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</si>
  <si>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</si>
  <si>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</si>
  <si>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</si>
  <si>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</si>
  <si>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</si>
  <si>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</si>
  <si>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</si>
  <si>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</si>
  <si>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</si>
  <si>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</si>
  <si>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</si>
  <si>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</si>
  <si>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</si>
  <si>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</si>
  <si>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</si>
  <si>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</si>
  <si>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</si>
  <si>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</si>
  <si>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</si>
  <si>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</si>
  <si>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</si>
  <si>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</si>
  <si>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</si>
  <si>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</si>
  <si>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</si>
  <si>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</si>
  <si>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</si>
  <si>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</si>
  <si>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</si>
  <si>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</si>
  <si>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</si>
  <si>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</si>
  <si>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</si>
  <si>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</si>
  <si>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2023</t>
  </si>
  <si>
    <t xml:space="preserve">Base period: </t>
  </si>
  <si>
    <t>FY23Q4</t>
  </si>
  <si>
    <t>Average</t>
  </si>
  <si>
    <t xml:space="preserve">Prospective rate period: </t>
  </si>
  <si>
    <t>FY24 and FY25</t>
  </si>
  <si>
    <t>CAF: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</si>
</sst>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0.0%"/>
    <numFmt numFmtId="168" formatCode="_(&quot;$&quot;* #,##0_);_(&quot;$&quot;* \(#,##0\);_(&quot;$&quot;* &quot;-&quot;??_);_(@_)"/>
    <numFmt numFmtId="169" formatCode="_(* #,##0_);_(* \(#,##0\);_(* &quot;-&quot;??_);_(@_)"/>
    <numFmt numFmtId="170" formatCode="0.000%"/>
    <numFmt numFmtId="171" formatCode="\$#,##0"/>
    <numFmt numFmtId="172" formatCode="&quot;$&quot;#,##0.00000"/>
    <numFmt numFmtId="173" formatCode="_(* #,##0.00000_);_(* \(#,##0.00000\);_(* &quot;-&quot;??_);_(@_)"/>
    <numFmt numFmtId="174" formatCode="m/d/yy;@"/>
    <numFmt numFmtId="175" formatCode="0.000"/>
    <numFmt numFmtId="176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0"/>
      <name val="Calibri"/>
      <family val="2"/>
      <scheme val="minor"/>
    </font>
    <font>
      <b/>
      <i/>
      <sz val="1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0EB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7" fillId="0" borderId="0">
      <alignment horizontal="left" vertical="center" wrapText="1"/>
    </xf>
  </cellStyleXfs>
  <cellXfs count="620">
    <xf numFmtId="0" fontId="0" fillId="0" borderId="0" xfId="0"/>
    <xf numFmtId="0" fontId="2" fillId="0" borderId="0" xfId="4" applyFont="1"/>
    <xf numFmtId="0" fontId="3" fillId="0" borderId="0" xfId="4" applyFont="1" applyAlignment="1">
      <alignment horizontal="center"/>
    </xf>
    <xf numFmtId="0" fontId="2" fillId="0" borderId="0" xfId="4" applyFont="1" applyAlignment="1">
      <alignment wrapText="1"/>
    </xf>
    <xf numFmtId="9" fontId="2" fillId="0" borderId="0" xfId="5" applyFont="1"/>
    <xf numFmtId="17" fontId="3" fillId="0" borderId="0" xfId="4" applyNumberFormat="1" applyFont="1" applyAlignment="1">
      <alignment horizontal="center"/>
    </xf>
    <xf numFmtId="164" fontId="4" fillId="0" borderId="0" xfId="4" applyNumberFormat="1" applyFont="1" applyAlignment="1">
      <alignment horizontal="left" vertical="top"/>
    </xf>
    <xf numFmtId="0" fontId="4" fillId="0" borderId="0" xfId="4" applyFont="1"/>
    <xf numFmtId="0" fontId="4" fillId="0" borderId="0" xfId="4" applyFont="1" applyAlignment="1">
      <alignment horizontal="left" wrapText="1"/>
    </xf>
    <xf numFmtId="0" fontId="2" fillId="0" borderId="1" xfId="4" applyFont="1" applyBorder="1"/>
    <xf numFmtId="165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0" xfId="4" applyNumberFormat="1" applyFont="1"/>
    <xf numFmtId="0" fontId="2" fillId="0" borderId="6" xfId="4" applyFont="1" applyBorder="1"/>
    <xf numFmtId="166" fontId="2" fillId="0" borderId="7" xfId="4" applyNumberFormat="1" applyFont="1" applyBorder="1" applyAlignment="1">
      <alignment horizontal="center"/>
    </xf>
    <xf numFmtId="0" fontId="2" fillId="0" borderId="2" xfId="4" applyFont="1" applyBorder="1"/>
    <xf numFmtId="0" fontId="2" fillId="0" borderId="11" xfId="4" applyFont="1" applyBorder="1"/>
    <xf numFmtId="166" fontId="2" fillId="0" borderId="0" xfId="4" applyNumberFormat="1" applyFont="1" applyAlignment="1">
      <alignment horizontal="center"/>
    </xf>
    <xf numFmtId="0" fontId="2" fillId="0" borderId="7" xfId="4" applyFont="1" applyBorder="1"/>
    <xf numFmtId="0" fontId="2" fillId="0" borderId="1" xfId="4" applyFont="1" applyBorder="1" applyAlignment="1">
      <alignment wrapText="1"/>
    </xf>
    <xf numFmtId="0" fontId="2" fillId="0" borderId="6" xfId="4" applyFont="1" applyBorder="1" applyAlignment="1">
      <alignment wrapText="1"/>
    </xf>
    <xf numFmtId="165" fontId="2" fillId="0" borderId="0" xfId="4" applyNumberFormat="1" applyFont="1" applyAlignment="1">
      <alignment horizontal="center"/>
    </xf>
    <xf numFmtId="0" fontId="2" fillId="0" borderId="0" xfId="4" applyFont="1" applyAlignment="1">
      <alignment horizontal="right" wrapText="1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right"/>
    </xf>
    <xf numFmtId="10" fontId="2" fillId="0" borderId="0" xfId="5" applyNumberFormat="1" applyFont="1" applyAlignment="1">
      <alignment horizontal="center"/>
    </xf>
    <xf numFmtId="9" fontId="2" fillId="0" borderId="0" xfId="5" applyFont="1" applyAlignment="1">
      <alignment horizontal="center"/>
    </xf>
    <xf numFmtId="166" fontId="2" fillId="0" borderId="0" xfId="4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74" fontId="14" fillId="0" borderId="0" xfId="0" applyNumberFormat="1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6" borderId="11" xfId="0" applyFont="1" applyFill="1" applyBorder="1" applyAlignment="1">
      <alignment horizontal="left"/>
    </xf>
    <xf numFmtId="0" fontId="15" fillId="6" borderId="0" xfId="0" applyFont="1" applyFill="1" applyAlignment="1">
      <alignment horizontal="center"/>
    </xf>
    <xf numFmtId="2" fontId="17" fillId="6" borderId="0" xfId="0" applyNumberFormat="1" applyFont="1" applyFill="1" applyAlignment="1">
      <alignment horizontal="center"/>
    </xf>
    <xf numFmtId="0" fontId="17" fillId="6" borderId="40" xfId="0" applyFont="1" applyFill="1" applyBorder="1" applyAlignment="1">
      <alignment horizontal="left"/>
    </xf>
    <xf numFmtId="0" fontId="17" fillId="6" borderId="0" xfId="0" applyFont="1" applyFill="1" applyAlignment="1">
      <alignment horizontal="left"/>
    </xf>
    <xf numFmtId="0" fontId="17" fillId="6" borderId="13" xfId="0" applyFont="1" applyFill="1" applyBorder="1" applyAlignment="1">
      <alignment horizontal="left"/>
    </xf>
    <xf numFmtId="49" fontId="17" fillId="6" borderId="0" xfId="0" applyNumberFormat="1" applyFont="1" applyFill="1" applyAlignment="1">
      <alignment horizontal="left"/>
    </xf>
    <xf numFmtId="0" fontId="17" fillId="0" borderId="0" xfId="0" applyFont="1" applyAlignment="1">
      <alignment horizontal="center"/>
    </xf>
    <xf numFmtId="0" fontId="17" fillId="8" borderId="28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0" fontId="15" fillId="8" borderId="24" xfId="0" applyFont="1" applyFill="1" applyBorder="1" applyAlignment="1">
      <alignment horizontal="center"/>
    </xf>
    <xf numFmtId="0" fontId="15" fillId="8" borderId="24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/>
    </xf>
    <xf numFmtId="166" fontId="17" fillId="0" borderId="0" xfId="0" applyNumberFormat="1" applyFont="1" applyAlignment="1">
      <alignment horizontal="center"/>
    </xf>
    <xf numFmtId="0" fontId="17" fillId="6" borderId="0" xfId="0" applyFont="1" applyFill="1"/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5" fillId="0" borderId="43" xfId="0" applyFont="1" applyBorder="1"/>
    <xf numFmtId="0" fontId="15" fillId="0" borderId="28" xfId="0" applyFont="1" applyBorder="1" applyAlignment="1">
      <alignment horizontal="center"/>
    </xf>
    <xf numFmtId="2" fontId="15" fillId="0" borderId="28" xfId="0" applyNumberFormat="1" applyFont="1" applyBorder="1" applyAlignment="1">
      <alignment horizontal="center"/>
    </xf>
    <xf numFmtId="0" fontId="17" fillId="0" borderId="40" xfId="0" applyFont="1" applyBorder="1"/>
    <xf numFmtId="10" fontId="17" fillId="0" borderId="0" xfId="0" applyNumberFormat="1" applyFont="1" applyAlignment="1">
      <alignment horizontal="center"/>
    </xf>
    <xf numFmtId="0" fontId="17" fillId="6" borderId="23" xfId="0" applyFont="1" applyFill="1" applyBorder="1"/>
    <xf numFmtId="0" fontId="17" fillId="6" borderId="24" xfId="0" applyFont="1" applyFill="1" applyBorder="1"/>
    <xf numFmtId="2" fontId="17" fillId="6" borderId="24" xfId="0" applyNumberFormat="1" applyFont="1" applyFill="1" applyBorder="1" applyAlignment="1">
      <alignment horizontal="center"/>
    </xf>
    <xf numFmtId="0" fontId="17" fillId="6" borderId="42" xfId="0" applyFont="1" applyFill="1" applyBorder="1" applyAlignment="1">
      <alignment horizontal="left"/>
    </xf>
    <xf numFmtId="0" fontId="17" fillId="6" borderId="24" xfId="0" applyFont="1" applyFill="1" applyBorder="1" applyAlignment="1">
      <alignment horizontal="left"/>
    </xf>
    <xf numFmtId="0" fontId="17" fillId="6" borderId="25" xfId="0" applyFont="1" applyFill="1" applyBorder="1" applyAlignment="1">
      <alignment horizontal="left"/>
    </xf>
    <xf numFmtId="6" fontId="17" fillId="0" borderId="0" xfId="0" applyNumberFormat="1" applyFont="1" applyAlignment="1">
      <alignment horizontal="left"/>
    </xf>
    <xf numFmtId="0" fontId="17" fillId="6" borderId="43" xfId="0" applyFont="1" applyFill="1" applyBorder="1" applyAlignment="1">
      <alignment horizontal="left"/>
    </xf>
    <xf numFmtId="0" fontId="17" fillId="6" borderId="28" xfId="0" applyFont="1" applyFill="1" applyBorder="1" applyAlignment="1">
      <alignment horizontal="left"/>
    </xf>
    <xf numFmtId="0" fontId="17" fillId="6" borderId="30" xfId="0" applyFont="1" applyFill="1" applyBorder="1" applyAlignment="1">
      <alignment horizontal="left"/>
    </xf>
    <xf numFmtId="6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center"/>
    </xf>
    <xf numFmtId="0" fontId="17" fillId="6" borderId="11" xfId="0" applyFont="1" applyFill="1" applyBorder="1"/>
    <xf numFmtId="10" fontId="17" fillId="6" borderId="0" xfId="0" applyNumberFormat="1" applyFont="1" applyFill="1" applyAlignment="1">
      <alignment horizontal="center"/>
    </xf>
    <xf numFmtId="49" fontId="17" fillId="6" borderId="40" xfId="0" applyNumberFormat="1" applyFont="1" applyFill="1" applyBorder="1" applyAlignment="1">
      <alignment horizontal="left"/>
    </xf>
    <xf numFmtId="49" fontId="17" fillId="6" borderId="13" xfId="0" applyNumberFormat="1" applyFont="1" applyFill="1" applyBorder="1" applyAlignment="1">
      <alignment horizontal="left"/>
    </xf>
    <xf numFmtId="6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6" fontId="17" fillId="6" borderId="0" xfId="0" applyNumberFormat="1" applyFont="1" applyFill="1" applyAlignment="1">
      <alignment horizontal="center"/>
    </xf>
    <xf numFmtId="0" fontId="17" fillId="0" borderId="11" xfId="0" applyFont="1" applyBorder="1"/>
    <xf numFmtId="0" fontId="17" fillId="0" borderId="28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0" xfId="0" applyFont="1"/>
    <xf numFmtId="166" fontId="17" fillId="0" borderId="0" xfId="0" applyNumberFormat="1" applyFont="1" applyAlignment="1">
      <alignment horizontal="left"/>
    </xf>
    <xf numFmtId="0" fontId="17" fillId="6" borderId="40" xfId="0" applyFont="1" applyFill="1" applyBorder="1" applyAlignment="1">
      <alignment horizontal="right"/>
    </xf>
    <xf numFmtId="0" fontId="17" fillId="6" borderId="0" xfId="0" applyFont="1" applyFill="1" applyAlignment="1">
      <alignment horizontal="center"/>
    </xf>
    <xf numFmtId="0" fontId="17" fillId="6" borderId="34" xfId="0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8" fontId="17" fillId="0" borderId="0" xfId="0" applyNumberFormat="1" applyFont="1" applyAlignment="1">
      <alignment horizontal="center"/>
    </xf>
    <xf numFmtId="0" fontId="17" fillId="6" borderId="42" xfId="0" applyFont="1" applyFill="1" applyBorder="1" applyAlignment="1">
      <alignment horizontal="right"/>
    </xf>
    <xf numFmtId="0" fontId="17" fillId="6" borderId="24" xfId="0" applyFont="1" applyFill="1" applyBorder="1" applyAlignment="1">
      <alignment horizontal="center"/>
    </xf>
    <xf numFmtId="0" fontId="17" fillId="6" borderId="31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7" fontId="17" fillId="0" borderId="0" xfId="8" applyNumberFormat="1" applyFont="1"/>
    <xf numFmtId="0" fontId="15" fillId="6" borderId="40" xfId="0" applyFont="1" applyFill="1" applyBorder="1" applyAlignment="1">
      <alignment horizontal="left"/>
    </xf>
    <xf numFmtId="0" fontId="17" fillId="6" borderId="0" xfId="0" applyFont="1" applyFill="1" applyAlignment="1">
      <alignment horizontal="right"/>
    </xf>
    <xf numFmtId="10" fontId="15" fillId="0" borderId="0" xfId="9" applyNumberFormat="1" applyFont="1"/>
    <xf numFmtId="10" fontId="10" fillId="0" borderId="0" xfId="9" applyNumberFormat="1" applyFont="1"/>
    <xf numFmtId="0" fontId="17" fillId="6" borderId="42" xfId="0" applyFont="1" applyFill="1" applyBorder="1"/>
    <xf numFmtId="0" fontId="17" fillId="6" borderId="24" xfId="0" applyFont="1" applyFill="1" applyBorder="1" applyAlignment="1">
      <alignment horizontal="right"/>
    </xf>
    <xf numFmtId="167" fontId="17" fillId="6" borderId="31" xfId="9" applyNumberFormat="1" applyFont="1" applyFill="1" applyBorder="1" applyAlignment="1">
      <alignment horizontal="center"/>
    </xf>
    <xf numFmtId="0" fontId="11" fillId="0" borderId="0" xfId="0" applyFont="1"/>
    <xf numFmtId="10" fontId="11" fillId="0" borderId="0" xfId="9" applyNumberFormat="1" applyFont="1"/>
    <xf numFmtId="165" fontId="10" fillId="0" borderId="0" xfId="0" applyNumberFormat="1" applyFont="1"/>
    <xf numFmtId="170" fontId="10" fillId="0" borderId="0" xfId="9" applyNumberFormat="1" applyFont="1"/>
    <xf numFmtId="44" fontId="11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center"/>
    </xf>
    <xf numFmtId="166" fontId="11" fillId="0" borderId="0" xfId="0" applyNumberFormat="1" applyFont="1"/>
    <xf numFmtId="10" fontId="11" fillId="0" borderId="0" xfId="9" applyNumberFormat="1" applyFont="1" applyAlignment="1">
      <alignment horizontal="center"/>
    </xf>
    <xf numFmtId="4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vertical="center"/>
    </xf>
    <xf numFmtId="0" fontId="17" fillId="8" borderId="27" xfId="0" applyFont="1" applyFill="1" applyBorder="1" applyAlignment="1">
      <alignment horizontal="center"/>
    </xf>
    <xf numFmtId="3" fontId="17" fillId="8" borderId="30" xfId="0" applyNumberFormat="1" applyFont="1" applyFill="1" applyBorder="1" applyAlignment="1">
      <alignment horizontal="center"/>
    </xf>
    <xf numFmtId="0" fontId="15" fillId="8" borderId="23" xfId="0" applyFont="1" applyFill="1" applyBorder="1" applyAlignment="1">
      <alignment horizontal="left" vertical="center"/>
    </xf>
    <xf numFmtId="0" fontId="15" fillId="8" borderId="25" xfId="0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center"/>
    </xf>
    <xf numFmtId="166" fontId="17" fillId="0" borderId="13" xfId="0" applyNumberFormat="1" applyFont="1" applyBorder="1" applyAlignment="1">
      <alignment horizontal="right"/>
    </xf>
    <xf numFmtId="0" fontId="15" fillId="0" borderId="27" xfId="0" applyFont="1" applyBorder="1"/>
    <xf numFmtId="166" fontId="15" fillId="0" borderId="30" xfId="0" applyNumberFormat="1" applyFont="1" applyBorder="1" applyAlignment="1">
      <alignment horizontal="right"/>
    </xf>
    <xf numFmtId="0" fontId="15" fillId="0" borderId="11" xfId="0" applyFont="1" applyBorder="1"/>
    <xf numFmtId="0" fontId="17" fillId="0" borderId="35" xfId="0" applyFont="1" applyBorder="1"/>
    <xf numFmtId="166" fontId="15" fillId="0" borderId="37" xfId="0" applyNumberFormat="1" applyFont="1" applyBorder="1" applyAlignment="1">
      <alignment horizontal="right"/>
    </xf>
    <xf numFmtId="10" fontId="17" fillId="0" borderId="0" xfId="9" applyNumberFormat="1" applyFont="1" applyBorder="1" applyAlignment="1">
      <alignment horizontal="center"/>
    </xf>
    <xf numFmtId="166" fontId="15" fillId="0" borderId="13" xfId="0" applyNumberFormat="1" applyFont="1" applyBorder="1" applyAlignment="1">
      <alignment horizontal="right"/>
    </xf>
    <xf numFmtId="0" fontId="17" fillId="0" borderId="49" xfId="0" applyFont="1" applyBorder="1"/>
    <xf numFmtId="9" fontId="17" fillId="0" borderId="8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65" fontId="15" fillId="2" borderId="53" xfId="0" applyNumberFormat="1" applyFont="1" applyFill="1" applyBorder="1" applyAlignment="1">
      <alignment horizontal="right"/>
    </xf>
    <xf numFmtId="8" fontId="17" fillId="6" borderId="0" xfId="0" applyNumberFormat="1" applyFont="1" applyFill="1" applyAlignment="1">
      <alignment horizontal="center"/>
    </xf>
    <xf numFmtId="0" fontId="17" fillId="6" borderId="49" xfId="0" applyFont="1" applyFill="1" applyBorder="1"/>
    <xf numFmtId="0" fontId="17" fillId="6" borderId="8" xfId="0" applyFont="1" applyFill="1" applyBorder="1"/>
    <xf numFmtId="10" fontId="17" fillId="0" borderId="8" xfId="0" applyNumberFormat="1" applyFont="1" applyBorder="1" applyAlignment="1">
      <alignment horizontal="center"/>
    </xf>
    <xf numFmtId="0" fontId="17" fillId="6" borderId="52" xfId="0" applyFont="1" applyFill="1" applyBorder="1" applyAlignment="1">
      <alignment horizontal="left"/>
    </xf>
    <xf numFmtId="49" fontId="17" fillId="6" borderId="8" xfId="0" applyNumberFormat="1" applyFont="1" applyFill="1" applyBorder="1" applyAlignment="1">
      <alignment horizontal="left"/>
    </xf>
    <xf numFmtId="49" fontId="17" fillId="6" borderId="53" xfId="0" applyNumberFormat="1" applyFont="1" applyFill="1" applyBorder="1" applyAlignment="1">
      <alignment horizontal="left"/>
    </xf>
    <xf numFmtId="0" fontId="15" fillId="6" borderId="19" xfId="0" applyFont="1" applyFill="1" applyBorder="1" applyAlignment="1">
      <alignment horizontal="right"/>
    </xf>
    <xf numFmtId="0" fontId="15" fillId="6" borderId="3" xfId="0" applyFont="1" applyFill="1" applyBorder="1" applyAlignment="1">
      <alignment horizontal="center"/>
    </xf>
    <xf numFmtId="0" fontId="15" fillId="6" borderId="51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right"/>
    </xf>
    <xf numFmtId="0" fontId="17" fillId="6" borderId="13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right"/>
    </xf>
    <xf numFmtId="0" fontId="17" fillId="6" borderId="25" xfId="0" applyFont="1" applyFill="1" applyBorder="1" applyAlignment="1">
      <alignment horizontal="center"/>
    </xf>
    <xf numFmtId="0" fontId="15" fillId="6" borderId="11" xfId="0" applyFont="1" applyFill="1" applyBorder="1" applyAlignment="1">
      <alignment horizontal="left"/>
    </xf>
    <xf numFmtId="0" fontId="17" fillId="6" borderId="6" xfId="0" applyFont="1" applyFill="1" applyBorder="1"/>
    <xf numFmtId="0" fontId="17" fillId="6" borderId="7" xfId="0" applyFont="1" applyFill="1" applyBorder="1" applyAlignment="1">
      <alignment horizontal="right"/>
    </xf>
    <xf numFmtId="167" fontId="17" fillId="6" borderId="9" xfId="9" applyNumberFormat="1" applyFont="1" applyFill="1" applyBorder="1" applyAlignment="1">
      <alignment horizontal="center"/>
    </xf>
    <xf numFmtId="0" fontId="17" fillId="6" borderId="34" xfId="0" applyFont="1" applyFill="1" applyBorder="1"/>
    <xf numFmtId="0" fontId="17" fillId="0" borderId="27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8" fontId="10" fillId="0" borderId="0" xfId="0" applyNumberFormat="1" applyFont="1"/>
    <xf numFmtId="0" fontId="17" fillId="6" borderId="31" xfId="0" applyFont="1" applyFill="1" applyBorder="1"/>
    <xf numFmtId="0" fontId="17" fillId="6" borderId="33" xfId="0" applyFont="1" applyFill="1" applyBorder="1"/>
    <xf numFmtId="0" fontId="17" fillId="6" borderId="40" xfId="0" applyFont="1" applyFill="1" applyBorder="1"/>
    <xf numFmtId="0" fontId="15" fillId="6" borderId="34" xfId="0" applyFont="1" applyFill="1" applyBorder="1"/>
    <xf numFmtId="0" fontId="15" fillId="0" borderId="35" xfId="0" applyFont="1" applyBorder="1"/>
    <xf numFmtId="0" fontId="17" fillId="0" borderId="42" xfId="0" applyFont="1" applyBorder="1"/>
    <xf numFmtId="0" fontId="17" fillId="0" borderId="24" xfId="0" applyFont="1" applyBorder="1"/>
    <xf numFmtId="10" fontId="17" fillId="0" borderId="24" xfId="0" applyNumberFormat="1" applyFont="1" applyBorder="1" applyAlignment="1">
      <alignment horizontal="center"/>
    </xf>
    <xf numFmtId="0" fontId="15" fillId="0" borderId="24" xfId="0" applyFont="1" applyBorder="1"/>
    <xf numFmtId="0" fontId="15" fillId="0" borderId="31" xfId="0" applyFont="1" applyBorder="1"/>
    <xf numFmtId="0" fontId="15" fillId="6" borderId="42" xfId="0" applyFont="1" applyFill="1" applyBorder="1" applyAlignment="1">
      <alignment horizontal="right"/>
    </xf>
    <xf numFmtId="0" fontId="15" fillId="6" borderId="24" xfId="0" applyFont="1" applyFill="1" applyBorder="1" applyAlignment="1">
      <alignment horizontal="center"/>
    </xf>
    <xf numFmtId="0" fontId="15" fillId="6" borderId="31" xfId="0" applyFont="1" applyFill="1" applyBorder="1" applyAlignment="1">
      <alignment horizontal="center"/>
    </xf>
    <xf numFmtId="0" fontId="15" fillId="0" borderId="47" xfId="0" applyFont="1" applyBorder="1" applyAlignment="1">
      <alignment horizontal="center"/>
    </xf>
    <xf numFmtId="166" fontId="15" fillId="0" borderId="48" xfId="0" applyNumberFormat="1" applyFont="1" applyBorder="1" applyAlignment="1">
      <alignment horizontal="right"/>
    </xf>
    <xf numFmtId="0" fontId="17" fillId="0" borderId="6" xfId="0" applyFont="1" applyBorder="1"/>
    <xf numFmtId="9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5" fontId="15" fillId="2" borderId="9" xfId="0" applyNumberFormat="1" applyFont="1" applyFill="1" applyBorder="1" applyAlignment="1">
      <alignment horizontal="right"/>
    </xf>
    <xf numFmtId="8" fontId="17" fillId="0" borderId="0" xfId="0" applyNumberFormat="1" applyFont="1" applyAlignment="1">
      <alignment horizontal="right"/>
    </xf>
    <xf numFmtId="9" fontId="17" fillId="0" borderId="0" xfId="0" applyNumberFormat="1" applyFont="1"/>
    <xf numFmtId="8" fontId="15" fillId="0" borderId="0" xfId="0" applyNumberFormat="1" applyFont="1" applyAlignment="1">
      <alignment horizontal="right"/>
    </xf>
    <xf numFmtId="6" fontId="10" fillId="0" borderId="0" xfId="0" applyNumberFormat="1" applyFont="1" applyAlignment="1">
      <alignment horizontal="center"/>
    </xf>
    <xf numFmtId="14" fontId="17" fillId="0" borderId="0" xfId="0" applyNumberFormat="1" applyFont="1"/>
    <xf numFmtId="1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0" fontId="19" fillId="0" borderId="0" xfId="0" applyFont="1"/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right"/>
    </xf>
    <xf numFmtId="166" fontId="17" fillId="0" borderId="2" xfId="0" applyNumberFormat="1" applyFont="1" applyBorder="1" applyAlignment="1">
      <alignment horizontal="center"/>
    </xf>
    <xf numFmtId="0" fontId="17" fillId="0" borderId="11" xfId="0" applyFont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0" fontId="15" fillId="0" borderId="6" xfId="0" applyFont="1" applyBorder="1" applyAlignment="1">
      <alignment horizontal="right"/>
    </xf>
    <xf numFmtId="44" fontId="17" fillId="0" borderId="0" xfId="2" applyFont="1"/>
    <xf numFmtId="44" fontId="17" fillId="0" borderId="0" xfId="2" applyFont="1" applyAlignment="1">
      <alignment horizontal="center"/>
    </xf>
    <xf numFmtId="10" fontId="17" fillId="0" borderId="0" xfId="3" applyNumberFormat="1" applyFont="1"/>
    <xf numFmtId="8" fontId="17" fillId="0" borderId="0" xfId="2" applyNumberFormat="1" applyFont="1" applyAlignment="1">
      <alignment horizontal="center" vertical="center"/>
    </xf>
    <xf numFmtId="8" fontId="17" fillId="0" borderId="0" xfId="2" applyNumberFormat="1" applyFont="1" applyAlignment="1">
      <alignment horizontal="center"/>
    </xf>
    <xf numFmtId="10" fontId="17" fillId="0" borderId="0" xfId="3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5" fontId="15" fillId="0" borderId="0" xfId="0" applyNumberFormat="1" applyFont="1" applyAlignment="1">
      <alignment horizontal="left"/>
    </xf>
    <xf numFmtId="165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right" vertical="center"/>
    </xf>
    <xf numFmtId="5" fontId="17" fillId="0" borderId="0" xfId="0" applyNumberFormat="1" applyFont="1"/>
    <xf numFmtId="168" fontId="17" fillId="0" borderId="0" xfId="2" applyNumberFormat="1" applyFont="1" applyAlignment="1">
      <alignment horizontal="right"/>
    </xf>
    <xf numFmtId="10" fontId="13" fillId="0" borderId="0" xfId="0" applyNumberFormat="1" applyFont="1" applyAlignment="1">
      <alignment horizontal="center"/>
    </xf>
    <xf numFmtId="166" fontId="13" fillId="0" borderId="14" xfId="0" applyNumberFormat="1" applyFont="1" applyBorder="1" applyAlignment="1">
      <alignment horizontal="center"/>
    </xf>
    <xf numFmtId="166" fontId="13" fillId="0" borderId="56" xfId="0" applyNumberFormat="1" applyFont="1" applyBorder="1" applyAlignment="1">
      <alignment horizontal="center"/>
    </xf>
    <xf numFmtId="166" fontId="15" fillId="2" borderId="10" xfId="0" applyNumberFormat="1" applyFont="1" applyFill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36" xfId="0" applyNumberFormat="1" applyFont="1" applyBorder="1" applyAlignment="1">
      <alignment horizontal="center"/>
    </xf>
    <xf numFmtId="166" fontId="15" fillId="2" borderId="7" xfId="0" applyNumberFormat="1" applyFont="1" applyFill="1" applyBorder="1" applyAlignment="1">
      <alignment horizontal="center"/>
    </xf>
    <xf numFmtId="166" fontId="17" fillId="0" borderId="5" xfId="0" applyNumberFormat="1" applyFont="1" applyBorder="1" applyAlignment="1">
      <alignment horizontal="center"/>
    </xf>
    <xf numFmtId="10" fontId="13" fillId="0" borderId="14" xfId="0" applyNumberFormat="1" applyFont="1" applyBorder="1" applyAlignment="1">
      <alignment horizontal="center"/>
    </xf>
    <xf numFmtId="14" fontId="13" fillId="0" borderId="0" xfId="0" applyNumberFormat="1" applyFont="1" applyAlignment="1">
      <alignment horizontal="left"/>
    </xf>
    <xf numFmtId="0" fontId="13" fillId="0" borderId="43" xfId="0" applyFont="1" applyBorder="1"/>
    <xf numFmtId="0" fontId="13" fillId="0" borderId="28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3" fillId="0" borderId="28" xfId="0" applyFont="1" applyBorder="1" applyAlignment="1">
      <alignment horizontal="right"/>
    </xf>
    <xf numFmtId="0" fontId="13" fillId="0" borderId="23" xfId="0" applyFont="1" applyBorder="1" applyAlignment="1">
      <alignment horizontal="right"/>
    </xf>
    <xf numFmtId="0" fontId="13" fillId="0" borderId="24" xfId="0" applyFont="1" applyBorder="1" applyAlignment="1">
      <alignment horizontal="center"/>
    </xf>
    <xf numFmtId="0" fontId="13" fillId="0" borderId="24" xfId="0" applyFont="1" applyBorder="1" applyAlignment="1">
      <alignment horizontal="right"/>
    </xf>
    <xf numFmtId="0" fontId="13" fillId="0" borderId="25" xfId="0" applyFont="1" applyBorder="1" applyAlignment="1">
      <alignment horizontal="center"/>
    </xf>
    <xf numFmtId="0" fontId="13" fillId="0" borderId="40" xfId="0" applyFont="1" applyBorder="1"/>
    <xf numFmtId="0" fontId="13" fillId="0" borderId="34" xfId="0" applyFont="1" applyBorder="1" applyAlignment="1">
      <alignment horizontal="center"/>
    </xf>
    <xf numFmtId="0" fontId="13" fillId="0" borderId="11" xfId="0" applyFont="1" applyBorder="1"/>
    <xf numFmtId="2" fontId="13" fillId="0" borderId="0" xfId="0" applyNumberFormat="1" applyFont="1" applyAlignment="1">
      <alignment horizontal="center"/>
    </xf>
    <xf numFmtId="0" fontId="10" fillId="0" borderId="22" xfId="0" applyFont="1" applyBorder="1"/>
    <xf numFmtId="0" fontId="18" fillId="0" borderId="27" xfId="0" applyFont="1" applyBorder="1"/>
    <xf numFmtId="0" fontId="18" fillId="0" borderId="28" xfId="0" applyFont="1" applyBorder="1"/>
    <xf numFmtId="0" fontId="18" fillId="0" borderId="28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3" xfId="0" applyFont="1" applyBorder="1"/>
    <xf numFmtId="0" fontId="18" fillId="0" borderId="24" xfId="0" applyFont="1" applyBorder="1"/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3" fillId="0" borderId="11" xfId="0" applyFont="1" applyBorder="1" applyAlignment="1">
      <alignment vertical="center"/>
    </xf>
    <xf numFmtId="2" fontId="13" fillId="0" borderId="0" xfId="0" applyNumberFormat="1" applyFont="1" applyAlignment="1">
      <alignment horizontal="center" vertical="center"/>
    </xf>
    <xf numFmtId="6" fontId="13" fillId="0" borderId="13" xfId="0" applyNumberFormat="1" applyFont="1" applyBorder="1" applyAlignment="1">
      <alignment horizontal="right"/>
    </xf>
    <xf numFmtId="6" fontId="13" fillId="0" borderId="13" xfId="0" applyNumberFormat="1" applyFont="1" applyBorder="1" applyAlignment="1">
      <alignment horizontal="right" vertical="center"/>
    </xf>
    <xf numFmtId="0" fontId="13" fillId="0" borderId="42" xfId="0" applyFont="1" applyBorder="1"/>
    <xf numFmtId="0" fontId="13" fillId="0" borderId="31" xfId="0" applyFont="1" applyBorder="1" applyAlignment="1">
      <alignment horizontal="center"/>
    </xf>
    <xf numFmtId="6" fontId="18" fillId="0" borderId="28" xfId="0" applyNumberFormat="1" applyFont="1" applyBorder="1" applyAlignment="1">
      <alignment horizontal="right"/>
    </xf>
    <xf numFmtId="2" fontId="18" fillId="0" borderId="28" xfId="0" applyNumberFormat="1" applyFont="1" applyBorder="1" applyAlignment="1">
      <alignment horizontal="center"/>
    </xf>
    <xf numFmtId="5" fontId="18" fillId="0" borderId="30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0" fillId="0" borderId="26" xfId="0" applyFont="1" applyBorder="1"/>
    <xf numFmtId="5" fontId="13" fillId="0" borderId="13" xfId="0" applyNumberFormat="1" applyFont="1" applyBorder="1" applyAlignment="1">
      <alignment horizontal="right"/>
    </xf>
    <xf numFmtId="0" fontId="13" fillId="0" borderId="24" xfId="0" applyFont="1" applyBorder="1"/>
    <xf numFmtId="167" fontId="13" fillId="0" borderId="31" xfId="3" applyNumberFormat="1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7" fillId="0" borderId="22" xfId="0" applyFont="1" applyBorder="1"/>
    <xf numFmtId="0" fontId="18" fillId="0" borderId="28" xfId="0" applyFont="1" applyBorder="1" applyAlignment="1">
      <alignment horizontal="right"/>
    </xf>
    <xf numFmtId="5" fontId="17" fillId="0" borderId="13" xfId="0" applyNumberFormat="1" applyFont="1" applyBorder="1" applyAlignment="1">
      <alignment horizontal="right"/>
    </xf>
    <xf numFmtId="0" fontId="17" fillId="0" borderId="49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5" fillId="0" borderId="28" xfId="0" applyFont="1" applyBorder="1"/>
    <xf numFmtId="0" fontId="15" fillId="0" borderId="28" xfId="0" applyFont="1" applyBorder="1" applyAlignment="1">
      <alignment horizontal="right"/>
    </xf>
    <xf numFmtId="5" fontId="15" fillId="0" borderId="30" xfId="0" applyNumberFormat="1" applyFont="1" applyBorder="1" applyAlignment="1">
      <alignment horizontal="right"/>
    </xf>
    <xf numFmtId="0" fontId="15" fillId="0" borderId="46" xfId="0" applyFont="1" applyBorder="1"/>
    <xf numFmtId="0" fontId="15" fillId="0" borderId="47" xfId="0" applyFont="1" applyBorder="1"/>
    <xf numFmtId="0" fontId="15" fillId="0" borderId="47" xfId="0" applyFont="1" applyBorder="1" applyAlignment="1">
      <alignment horizontal="right"/>
    </xf>
    <xf numFmtId="10" fontId="15" fillId="0" borderId="47" xfId="3" applyNumberFormat="1" applyFont="1" applyBorder="1" applyAlignment="1">
      <alignment horizontal="center"/>
    </xf>
    <xf numFmtId="5" fontId="15" fillId="0" borderId="48" xfId="0" applyNumberFormat="1" applyFont="1" applyBorder="1" applyAlignment="1">
      <alignment horizontal="right"/>
    </xf>
    <xf numFmtId="0" fontId="15" fillId="0" borderId="36" xfId="0" applyFont="1" applyBorder="1"/>
    <xf numFmtId="0" fontId="15" fillId="0" borderId="36" xfId="0" applyFont="1" applyBorder="1" applyAlignment="1">
      <alignment horizontal="right"/>
    </xf>
    <xf numFmtId="10" fontId="15" fillId="0" borderId="36" xfId="3" applyNumberFormat="1" applyFont="1" applyBorder="1" applyAlignment="1">
      <alignment horizontal="center"/>
    </xf>
    <xf numFmtId="5" fontId="15" fillId="0" borderId="37" xfId="0" applyNumberFormat="1" applyFont="1" applyBorder="1" applyAlignment="1">
      <alignment horizontal="right"/>
    </xf>
    <xf numFmtId="0" fontId="21" fillId="0" borderId="0" xfId="0" applyFont="1"/>
    <xf numFmtId="165" fontId="11" fillId="0" borderId="0" xfId="0" applyNumberFormat="1" applyFont="1" applyAlignment="1">
      <alignment horizontal="right"/>
    </xf>
    <xf numFmtId="10" fontId="15" fillId="0" borderId="28" xfId="3" applyNumberFormat="1" applyFont="1" applyBorder="1" applyAlignment="1">
      <alignment horizontal="right"/>
    </xf>
    <xf numFmtId="0" fontId="22" fillId="0" borderId="0" xfId="0" applyFont="1"/>
    <xf numFmtId="0" fontId="13" fillId="0" borderId="6" xfId="0" applyFont="1" applyBorder="1"/>
    <xf numFmtId="0" fontId="13" fillId="0" borderId="7" xfId="0" applyFont="1" applyBorder="1"/>
    <xf numFmtId="0" fontId="13" fillId="0" borderId="7" xfId="0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7" fontId="18" fillId="2" borderId="9" xfId="0" applyNumberFormat="1" applyFont="1" applyFill="1" applyBorder="1" applyAlignment="1">
      <alignment horizontal="right"/>
    </xf>
    <xf numFmtId="7" fontId="23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65" fontId="10" fillId="0" borderId="0" xfId="0" applyNumberFormat="1" applyFont="1" applyAlignment="1">
      <alignment horizontal="right"/>
    </xf>
    <xf numFmtId="0" fontId="18" fillId="0" borderId="0" xfId="0" applyFont="1"/>
    <xf numFmtId="10" fontId="10" fillId="0" borderId="0" xfId="3" applyNumberFormat="1" applyFont="1" applyAlignment="1">
      <alignment horizontal="center"/>
    </xf>
    <xf numFmtId="10" fontId="10" fillId="0" borderId="0" xfId="3" applyNumberFormat="1" applyFont="1"/>
    <xf numFmtId="44" fontId="10" fillId="0" borderId="0" xfId="2" applyFont="1"/>
    <xf numFmtId="0" fontId="13" fillId="0" borderId="0" xfId="0" quotePrefix="1" applyFont="1"/>
    <xf numFmtId="0" fontId="13" fillId="0" borderId="27" xfId="0" applyFont="1" applyBorder="1" applyAlignment="1">
      <alignment horizontal="right"/>
    </xf>
    <xf numFmtId="0" fontId="13" fillId="0" borderId="30" xfId="0" applyFont="1" applyBorder="1" applyAlignment="1">
      <alignment horizontal="center"/>
    </xf>
    <xf numFmtId="6" fontId="17" fillId="0" borderId="0" xfId="0" applyNumberFormat="1" applyFont="1" applyAlignment="1">
      <alignment horizontal="right"/>
    </xf>
    <xf numFmtId="10" fontId="13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right"/>
    </xf>
    <xf numFmtId="10" fontId="17" fillId="0" borderId="0" xfId="3" applyNumberFormat="1" applyFont="1" applyBorder="1" applyAlignment="1">
      <alignment horizontal="right"/>
    </xf>
    <xf numFmtId="166" fontId="11" fillId="0" borderId="27" xfId="2" applyNumberFormat="1" applyFont="1" applyBorder="1" applyAlignment="1">
      <alignment horizontal="center"/>
    </xf>
    <xf numFmtId="166" fontId="11" fillId="0" borderId="28" xfId="2" applyNumberFormat="1" applyFont="1" applyBorder="1"/>
    <xf numFmtId="166" fontId="11" fillId="0" borderId="33" xfId="2" applyNumberFormat="1" applyFont="1" applyBorder="1"/>
    <xf numFmtId="0" fontId="15" fillId="0" borderId="21" xfId="0" applyFont="1" applyBorder="1" applyAlignment="1">
      <alignment horizontal="center"/>
    </xf>
    <xf numFmtId="0" fontId="10" fillId="0" borderId="11" xfId="0" applyFont="1" applyBorder="1"/>
    <xf numFmtId="2" fontId="13" fillId="0" borderId="12" xfId="0" applyNumberFormat="1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0" fillId="0" borderId="11" xfId="0" applyFont="1" applyBorder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8" fillId="0" borderId="1" xfId="0" applyFont="1" applyBorder="1"/>
    <xf numFmtId="0" fontId="13" fillId="0" borderId="2" xfId="0" applyFont="1" applyBorder="1"/>
    <xf numFmtId="0" fontId="13" fillId="0" borderId="4" xfId="0" applyFont="1" applyBorder="1"/>
    <xf numFmtId="0" fontId="10" fillId="0" borderId="29" xfId="0" applyFont="1" applyBorder="1" applyAlignment="1">
      <alignment horizontal="left"/>
    </xf>
    <xf numFmtId="0" fontId="13" fillId="0" borderId="5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166" fontId="10" fillId="0" borderId="11" xfId="2" applyNumberFormat="1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13" xfId="0" applyFont="1" applyBorder="1" applyAlignment="1">
      <alignment horizontal="center"/>
    </xf>
    <xf numFmtId="166" fontId="13" fillId="0" borderId="12" xfId="0" applyNumberFormat="1" applyFont="1" applyBorder="1" applyAlignment="1">
      <alignment horizontal="right"/>
    </xf>
    <xf numFmtId="166" fontId="13" fillId="0" borderId="55" xfId="0" applyNumberFormat="1" applyFont="1" applyBorder="1" applyAlignment="1">
      <alignment horizontal="right"/>
    </xf>
    <xf numFmtId="172" fontId="13" fillId="0" borderId="0" xfId="0" applyNumberFormat="1" applyFont="1"/>
    <xf numFmtId="6" fontId="13" fillId="0" borderId="12" xfId="0" applyNumberFormat="1" applyFont="1" applyBorder="1" applyAlignment="1">
      <alignment horizontal="center"/>
    </xf>
    <xf numFmtId="0" fontId="17" fillId="0" borderId="22" xfId="0" applyFont="1" applyBorder="1" applyAlignment="1">
      <alignment horizontal="left"/>
    </xf>
    <xf numFmtId="166" fontId="13" fillId="0" borderId="0" xfId="0" applyNumberFormat="1" applyFont="1" applyAlignment="1">
      <alignment horizontal="right"/>
    </xf>
    <xf numFmtId="166" fontId="13" fillId="0" borderId="13" xfId="0" applyNumberFormat="1" applyFont="1" applyBorder="1" applyAlignment="1">
      <alignment horizontal="right"/>
    </xf>
    <xf numFmtId="6" fontId="13" fillId="0" borderId="0" xfId="0" applyNumberFormat="1" applyFont="1" applyAlignment="1">
      <alignment horizontal="center"/>
    </xf>
    <xf numFmtId="0" fontId="18" fillId="0" borderId="27" xfId="0" applyFont="1" applyBorder="1" applyAlignment="1">
      <alignment horizontal="left"/>
    </xf>
    <xf numFmtId="166" fontId="18" fillId="0" borderId="28" xfId="0" applyNumberFormat="1" applyFont="1" applyBorder="1" applyAlignment="1">
      <alignment horizontal="right"/>
    </xf>
    <xf numFmtId="166" fontId="18" fillId="0" borderId="30" xfId="0" applyNumberFormat="1" applyFont="1" applyBorder="1" applyAlignment="1">
      <alignment horizontal="right"/>
    </xf>
    <xf numFmtId="166" fontId="17" fillId="0" borderId="23" xfId="2" applyNumberFormat="1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168" fontId="10" fillId="0" borderId="6" xfId="2" applyNumberFormat="1" applyFont="1" applyBorder="1"/>
    <xf numFmtId="0" fontId="24" fillId="0" borderId="32" xfId="0" applyFont="1" applyBorder="1" applyAlignment="1">
      <alignment horizontal="left"/>
    </xf>
    <xf numFmtId="165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0" fontId="15" fillId="0" borderId="27" xfId="0" applyFont="1" applyBorder="1" applyAlignment="1">
      <alignment horizontal="left"/>
    </xf>
    <xf numFmtId="172" fontId="17" fillId="0" borderId="0" xfId="0" applyNumberFormat="1" applyFont="1"/>
    <xf numFmtId="166" fontId="17" fillId="0" borderId="11" xfId="0" applyNumberFormat="1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10" fontId="18" fillId="0" borderId="28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165" fontId="18" fillId="2" borderId="9" xfId="0" applyNumberFormat="1" applyFont="1" applyFill="1" applyBorder="1" applyAlignment="1">
      <alignment horizontal="right"/>
    </xf>
    <xf numFmtId="0" fontId="24" fillId="0" borderId="0" xfId="0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3" fontId="13" fillId="0" borderId="0" xfId="1" applyNumberFormat="1" applyFont="1" applyAlignment="1">
      <alignment horizontal="center"/>
    </xf>
    <xf numFmtId="0" fontId="26" fillId="0" borderId="0" xfId="0" applyFont="1" applyAlignment="1">
      <alignment horizontal="center"/>
    </xf>
    <xf numFmtId="10" fontId="13" fillId="0" borderId="0" xfId="3" applyNumberFormat="1" applyFont="1" applyAlignment="1">
      <alignment horizontal="center"/>
    </xf>
    <xf numFmtId="10" fontId="13" fillId="0" borderId="0" xfId="3" applyNumberFormat="1" applyFont="1"/>
    <xf numFmtId="172" fontId="13" fillId="0" borderId="0" xfId="0" applyNumberFormat="1" applyFont="1" applyAlignment="1">
      <alignment horizontal="center"/>
    </xf>
    <xf numFmtId="0" fontId="27" fillId="0" borderId="0" xfId="0" applyFont="1"/>
    <xf numFmtId="14" fontId="28" fillId="0" borderId="0" xfId="0" applyNumberFormat="1" applyFont="1" applyAlignment="1">
      <alignment horizontal="left"/>
    </xf>
    <xf numFmtId="166" fontId="27" fillId="0" borderId="27" xfId="2" applyNumberFormat="1" applyFont="1" applyBorder="1" applyAlignment="1">
      <alignment horizontal="center"/>
    </xf>
    <xf numFmtId="49" fontId="27" fillId="0" borderId="28" xfId="2" applyNumberFormat="1" applyFont="1" applyBorder="1" applyAlignment="1">
      <alignment horizontal="center"/>
    </xf>
    <xf numFmtId="49" fontId="27" fillId="0" borderId="24" xfId="2" applyNumberFormat="1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8" fillId="0" borderId="11" xfId="0" applyFont="1" applyBorder="1" applyAlignment="1">
      <alignment horizontal="righ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13" xfId="0" applyFont="1" applyBorder="1" applyAlignment="1">
      <alignment horizontal="center"/>
    </xf>
    <xf numFmtId="0" fontId="28" fillId="0" borderId="11" xfId="0" applyFont="1" applyBorder="1"/>
    <xf numFmtId="2" fontId="28" fillId="0" borderId="0" xfId="0" applyNumberFormat="1" applyFont="1" applyAlignment="1">
      <alignment horizontal="center"/>
    </xf>
    <xf numFmtId="0" fontId="28" fillId="0" borderId="22" xfId="0" applyFont="1" applyBorder="1" applyAlignment="1">
      <alignment horizontal="left"/>
    </xf>
    <xf numFmtId="0" fontId="27" fillId="0" borderId="23" xfId="0" applyFont="1" applyBorder="1"/>
    <xf numFmtId="40" fontId="27" fillId="0" borderId="24" xfId="0" applyNumberFormat="1" applyFont="1" applyBorder="1" applyAlignment="1">
      <alignment horizontal="center" vertical="center" wrapText="1"/>
    </xf>
    <xf numFmtId="38" fontId="27" fillId="0" borderId="25" xfId="0" applyNumberFormat="1" applyFont="1" applyBorder="1" applyAlignment="1">
      <alignment horizontal="center" wrapText="1"/>
    </xf>
    <xf numFmtId="40" fontId="28" fillId="0" borderId="11" xfId="0" applyNumberFormat="1" applyFont="1" applyBorder="1" applyAlignment="1">
      <alignment horizontal="left"/>
    </xf>
    <xf numFmtId="166" fontId="28" fillId="0" borderId="0" xfId="0" applyNumberFormat="1" applyFont="1"/>
    <xf numFmtId="40" fontId="28" fillId="0" borderId="0" xfId="0" applyNumberFormat="1" applyFont="1" applyAlignment="1">
      <alignment horizontal="center" vertical="center"/>
    </xf>
    <xf numFmtId="166" fontId="28" fillId="0" borderId="13" xfId="0" applyNumberFormat="1" applyFont="1" applyBorder="1" applyAlignment="1">
      <alignment horizontal="right" vertical="center"/>
    </xf>
    <xf numFmtId="2" fontId="28" fillId="0" borderId="0" xfId="0" applyNumberFormat="1" applyFont="1" applyAlignment="1">
      <alignment horizontal="center" vertical="center"/>
    </xf>
    <xf numFmtId="0" fontId="28" fillId="0" borderId="11" xfId="0" applyFont="1" applyBorder="1" applyAlignment="1">
      <alignment horizontal="left"/>
    </xf>
    <xf numFmtId="40" fontId="28" fillId="0" borderId="0" xfId="0" applyNumberFormat="1" applyFont="1" applyAlignment="1">
      <alignment horizontal="center"/>
    </xf>
    <xf numFmtId="165" fontId="28" fillId="0" borderId="13" xfId="0" applyNumberFormat="1" applyFont="1" applyBorder="1" applyAlignment="1">
      <alignment horizontal="right" vertical="center"/>
    </xf>
    <xf numFmtId="0" fontId="28" fillId="0" borderId="23" xfId="0" applyFont="1" applyBorder="1"/>
    <xf numFmtId="2" fontId="28" fillId="0" borderId="24" xfId="0" applyNumberFormat="1" applyFont="1" applyBorder="1" applyAlignment="1">
      <alignment horizontal="center"/>
    </xf>
    <xf numFmtId="0" fontId="28" fillId="0" borderId="21" xfId="0" applyFont="1" applyBorder="1" applyAlignment="1">
      <alignment horizontal="left"/>
    </xf>
    <xf numFmtId="0" fontId="27" fillId="0" borderId="27" xfId="0" applyFont="1" applyBorder="1"/>
    <xf numFmtId="166" fontId="27" fillId="0" borderId="28" xfId="0" applyNumberFormat="1" applyFont="1" applyBorder="1" applyAlignment="1">
      <alignment horizontal="right" vertical="center"/>
    </xf>
    <xf numFmtId="40" fontId="27" fillId="0" borderId="28" xfId="0" applyNumberFormat="1" applyFont="1" applyBorder="1" applyAlignment="1">
      <alignment horizontal="center" vertical="center"/>
    </xf>
    <xf numFmtId="166" fontId="27" fillId="0" borderId="30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10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28" fillId="0" borderId="13" xfId="0" applyNumberFormat="1" applyFont="1" applyBorder="1" applyAlignment="1">
      <alignment horizontal="right"/>
    </xf>
    <xf numFmtId="166" fontId="28" fillId="0" borderId="11" xfId="2" applyNumberFormat="1" applyFont="1" applyBorder="1" applyAlignment="1">
      <alignment horizontal="left"/>
    </xf>
    <xf numFmtId="0" fontId="17" fillId="0" borderId="0" xfId="0" applyFont="1" applyAlignment="1">
      <alignment vertical="center"/>
    </xf>
    <xf numFmtId="0" fontId="27" fillId="0" borderId="28" xfId="0" applyFont="1" applyBorder="1" applyAlignment="1">
      <alignment horizontal="center" vertical="center"/>
    </xf>
    <xf numFmtId="0" fontId="27" fillId="0" borderId="11" xfId="0" applyFont="1" applyBorder="1"/>
    <xf numFmtId="0" fontId="27" fillId="0" borderId="0" xfId="0" applyFont="1" applyAlignment="1">
      <alignment horizontal="center" vertical="center"/>
    </xf>
    <xf numFmtId="166" fontId="27" fillId="0" borderId="13" xfId="0" applyNumberFormat="1" applyFont="1" applyBorder="1" applyAlignment="1">
      <alignment horizontal="right"/>
    </xf>
    <xf numFmtId="0" fontId="28" fillId="0" borderId="11" xfId="0" applyFont="1" applyBorder="1" applyAlignment="1">
      <alignment horizontal="left" vertical="center"/>
    </xf>
    <xf numFmtId="8" fontId="28" fillId="0" borderId="0" xfId="0" applyNumberFormat="1" applyFont="1" applyAlignment="1">
      <alignment horizontal="center" vertical="center"/>
    </xf>
    <xf numFmtId="7" fontId="28" fillId="0" borderId="0" xfId="0" applyNumberFormat="1" applyFont="1" applyAlignment="1">
      <alignment horizontal="center" vertical="center"/>
    </xf>
    <xf numFmtId="166" fontId="28" fillId="0" borderId="23" xfId="2" applyNumberFormat="1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166" fontId="28" fillId="0" borderId="0" xfId="0" applyNumberFormat="1" applyFont="1" applyAlignment="1">
      <alignment horizontal="right" vertical="center"/>
    </xf>
    <xf numFmtId="6" fontId="28" fillId="0" borderId="0" xfId="0" applyNumberFormat="1" applyFont="1" applyAlignment="1">
      <alignment horizontal="center" vertical="center"/>
    </xf>
    <xf numFmtId="168" fontId="28" fillId="0" borderId="6" xfId="2" applyNumberFormat="1" applyFont="1" applyBorder="1"/>
    <xf numFmtId="0" fontId="28" fillId="0" borderId="32" xfId="0" applyFont="1" applyBorder="1" applyAlignment="1">
      <alignment horizontal="left"/>
    </xf>
    <xf numFmtId="168" fontId="28" fillId="0" borderId="0" xfId="2" applyNumberFormat="1" applyFont="1" applyAlignment="1">
      <alignment horizontal="right"/>
    </xf>
    <xf numFmtId="166" fontId="28" fillId="0" borderId="11" xfId="0" applyNumberFormat="1" applyFont="1" applyBorder="1"/>
    <xf numFmtId="166" fontId="27" fillId="0" borderId="0" xfId="0" applyNumberFormat="1" applyFont="1" applyAlignment="1">
      <alignment horizontal="right"/>
    </xf>
    <xf numFmtId="0" fontId="27" fillId="0" borderId="35" xfId="0" applyFont="1" applyBorder="1"/>
    <xf numFmtId="0" fontId="27" fillId="0" borderId="36" xfId="0" applyFont="1" applyBorder="1" applyAlignment="1">
      <alignment horizontal="center" vertical="center"/>
    </xf>
    <xf numFmtId="166" fontId="27" fillId="0" borderId="37" xfId="0" applyNumberFormat="1" applyFont="1" applyBorder="1" applyAlignment="1">
      <alignment horizontal="right"/>
    </xf>
    <xf numFmtId="0" fontId="29" fillId="0" borderId="39" xfId="0" applyFont="1" applyBorder="1"/>
    <xf numFmtId="0" fontId="29" fillId="0" borderId="12" xfId="0" applyFont="1" applyBorder="1" applyAlignment="1">
      <alignment horizontal="center"/>
    </xf>
    <xf numFmtId="171" fontId="29" fillId="0" borderId="15" xfId="0" applyNumberFormat="1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166" fontId="28" fillId="0" borderId="0" xfId="0" applyNumberFormat="1" applyFont="1" applyAlignment="1">
      <alignment horizontal="right"/>
    </xf>
    <xf numFmtId="165" fontId="28" fillId="0" borderId="0" xfId="0" applyNumberFormat="1" applyFont="1" applyAlignment="1">
      <alignment horizontal="right"/>
    </xf>
    <xf numFmtId="165" fontId="27" fillId="0" borderId="13" xfId="0" applyNumberFormat="1" applyFont="1" applyBorder="1" applyAlignment="1">
      <alignment horizontal="right"/>
    </xf>
    <xf numFmtId="0" fontId="28" fillId="0" borderId="16" xfId="0" applyFont="1" applyBorder="1"/>
    <xf numFmtId="9" fontId="28" fillId="0" borderId="17" xfId="0" applyNumberFormat="1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165" fontId="27" fillId="2" borderId="18" xfId="0" applyNumberFormat="1" applyFont="1" applyFill="1" applyBorder="1" applyAlignment="1">
      <alignment horizontal="right"/>
    </xf>
    <xf numFmtId="0" fontId="17" fillId="0" borderId="40" xfId="0" applyFont="1" applyBorder="1" applyAlignment="1">
      <alignment horizontal="left"/>
    </xf>
    <xf numFmtId="0" fontId="17" fillId="0" borderId="41" xfId="0" applyFont="1" applyBorder="1" applyAlignment="1">
      <alignment horizontal="center"/>
    </xf>
    <xf numFmtId="167" fontId="15" fillId="0" borderId="31" xfId="7" applyNumberFormat="1" applyFont="1" applyBorder="1" applyAlignment="1">
      <alignment horizontal="center"/>
    </xf>
    <xf numFmtId="0" fontId="3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5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center"/>
    </xf>
    <xf numFmtId="38" fontId="27" fillId="0" borderId="0" xfId="0" applyNumberFormat="1" applyFont="1" applyAlignment="1">
      <alignment horizontal="center" wrapText="1"/>
    </xf>
    <xf numFmtId="165" fontId="17" fillId="0" borderId="0" xfId="0" applyNumberFormat="1" applyFont="1"/>
    <xf numFmtId="0" fontId="28" fillId="0" borderId="0" xfId="0" applyFont="1"/>
    <xf numFmtId="165" fontId="28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0" fontId="28" fillId="0" borderId="12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14" fontId="28" fillId="0" borderId="0" xfId="1" applyNumberFormat="1" applyFont="1" applyAlignment="1">
      <alignment horizontal="left"/>
    </xf>
    <xf numFmtId="169" fontId="28" fillId="0" borderId="0" xfId="1" applyNumberFormat="1" applyFont="1"/>
    <xf numFmtId="0" fontId="28" fillId="0" borderId="2" xfId="0" applyFont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8" fillId="0" borderId="13" xfId="0" applyFont="1" applyBorder="1" applyAlignment="1">
      <alignment horizontal="center" wrapText="1"/>
    </xf>
    <xf numFmtId="44" fontId="28" fillId="0" borderId="0" xfId="2" applyFont="1"/>
    <xf numFmtId="0" fontId="27" fillId="0" borderId="24" xfId="0" applyFont="1" applyBorder="1" applyAlignment="1">
      <alignment horizontal="center" wrapText="1"/>
    </xf>
    <xf numFmtId="0" fontId="27" fillId="0" borderId="24" xfId="0" applyFont="1" applyBorder="1" applyAlignment="1">
      <alignment horizontal="center"/>
    </xf>
    <xf numFmtId="168" fontId="27" fillId="0" borderId="25" xfId="2" applyNumberFormat="1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8" fontId="28" fillId="0" borderId="0" xfId="0" applyNumberFormat="1" applyFont="1"/>
    <xf numFmtId="6" fontId="28" fillId="0" borderId="12" xfId="0" applyNumberFormat="1" applyFont="1" applyBorder="1" applyAlignment="1">
      <alignment horizontal="center" wrapText="1"/>
    </xf>
    <xf numFmtId="2" fontId="28" fillId="0" borderId="12" xfId="0" applyNumberFormat="1" applyFont="1" applyBorder="1" applyAlignment="1">
      <alignment horizontal="center"/>
    </xf>
    <xf numFmtId="166" fontId="28" fillId="0" borderId="13" xfId="2" applyNumberFormat="1" applyFont="1" applyBorder="1" applyAlignment="1">
      <alignment horizontal="right"/>
    </xf>
    <xf numFmtId="10" fontId="28" fillId="0" borderId="0" xfId="3" applyNumberFormat="1" applyFont="1"/>
    <xf numFmtId="6" fontId="28" fillId="0" borderId="0" xfId="0" applyNumberFormat="1" applyFont="1" applyAlignment="1">
      <alignment horizontal="center" vertical="center" wrapText="1"/>
    </xf>
    <xf numFmtId="166" fontId="28" fillId="0" borderId="13" xfId="2" applyNumberFormat="1" applyFont="1" applyBorder="1" applyAlignment="1">
      <alignment horizontal="right" vertical="center"/>
    </xf>
    <xf numFmtId="6" fontId="28" fillId="0" borderId="0" xfId="0" applyNumberFormat="1" applyFont="1" applyAlignment="1">
      <alignment horizontal="center" wrapText="1"/>
    </xf>
    <xf numFmtId="10" fontId="28" fillId="0" borderId="0" xfId="0" applyNumberFormat="1" applyFont="1" applyAlignment="1">
      <alignment horizontal="center"/>
    </xf>
    <xf numFmtId="6" fontId="27" fillId="0" borderId="28" xfId="0" applyNumberFormat="1" applyFont="1" applyBorder="1" applyAlignment="1">
      <alignment horizontal="center" wrapText="1"/>
    </xf>
    <xf numFmtId="2" fontId="27" fillId="0" borderId="28" xfId="0" applyNumberFormat="1" applyFont="1" applyBorder="1" applyAlignment="1">
      <alignment horizontal="center"/>
    </xf>
    <xf numFmtId="166" fontId="27" fillId="0" borderId="30" xfId="2" applyNumberFormat="1" applyFont="1" applyBorder="1" applyAlignment="1">
      <alignment horizontal="right"/>
    </xf>
    <xf numFmtId="165" fontId="28" fillId="0" borderId="0" xfId="0" applyNumberFormat="1" applyFont="1" applyAlignment="1">
      <alignment horizontal="center" wrapText="1"/>
    </xf>
    <xf numFmtId="10" fontId="28" fillId="0" borderId="0" xfId="0" applyNumberFormat="1" applyFont="1" applyAlignment="1">
      <alignment horizontal="center" wrapText="1"/>
    </xf>
    <xf numFmtId="168" fontId="28" fillId="0" borderId="11" xfId="0" applyNumberFormat="1" applyFont="1" applyBorder="1"/>
    <xf numFmtId="0" fontId="27" fillId="0" borderId="28" xfId="0" applyFont="1" applyBorder="1" applyAlignment="1">
      <alignment horizontal="center" wrapText="1"/>
    </xf>
    <xf numFmtId="0" fontId="27" fillId="0" borderId="28" xfId="0" applyFont="1" applyBorder="1" applyAlignment="1">
      <alignment horizontal="center"/>
    </xf>
    <xf numFmtId="166" fontId="28" fillId="0" borderId="23" xfId="2" applyNumberFormat="1" applyFont="1" applyBorder="1" applyAlignment="1">
      <alignment horizontal="left"/>
    </xf>
    <xf numFmtId="10" fontId="28" fillId="0" borderId="31" xfId="0" applyNumberFormat="1" applyFont="1" applyBorder="1" applyAlignment="1">
      <alignment horizontal="center"/>
    </xf>
    <xf numFmtId="10" fontId="28" fillId="0" borderId="7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center"/>
    </xf>
    <xf numFmtId="8" fontId="28" fillId="0" borderId="0" xfId="0" applyNumberFormat="1" applyFont="1" applyAlignment="1">
      <alignment horizontal="center"/>
    </xf>
    <xf numFmtId="0" fontId="27" fillId="0" borderId="27" xfId="0" applyFont="1" applyBorder="1" applyAlignment="1">
      <alignment horizontal="left"/>
    </xf>
    <xf numFmtId="10" fontId="27" fillId="0" borderId="28" xfId="0" applyNumberFormat="1" applyFont="1" applyBorder="1" applyAlignment="1">
      <alignment horizontal="center" wrapText="1"/>
    </xf>
    <xf numFmtId="10" fontId="28" fillId="0" borderId="28" xfId="0" applyNumberFormat="1" applyFont="1" applyBorder="1" applyAlignment="1">
      <alignment horizontal="center" wrapText="1"/>
    </xf>
    <xf numFmtId="0" fontId="27" fillId="0" borderId="6" xfId="0" applyFont="1" applyBorder="1"/>
    <xf numFmtId="0" fontId="28" fillId="0" borderId="7" xfId="0" applyFont="1" applyBorder="1" applyAlignment="1">
      <alignment horizontal="center" wrapText="1"/>
    </xf>
    <xf numFmtId="0" fontId="28" fillId="0" borderId="7" xfId="0" applyFont="1" applyBorder="1" applyAlignment="1">
      <alignment horizontal="center"/>
    </xf>
    <xf numFmtId="166" fontId="27" fillId="2" borderId="9" xfId="2" applyNumberFormat="1" applyFont="1" applyFill="1" applyBorder="1" applyAlignment="1">
      <alignment horizontal="right"/>
    </xf>
    <xf numFmtId="43" fontId="28" fillId="0" borderId="0" xfId="1" applyFont="1"/>
    <xf numFmtId="10" fontId="28" fillId="0" borderId="0" xfId="0" applyNumberFormat="1" applyFont="1"/>
    <xf numFmtId="170" fontId="28" fillId="0" borderId="0" xfId="3" applyNumberFormat="1" applyFont="1"/>
    <xf numFmtId="9" fontId="3" fillId="0" borderId="0" xfId="4" applyNumberFormat="1" applyFont="1" applyAlignment="1">
      <alignment horizontal="center" wrapText="1"/>
    </xf>
    <xf numFmtId="0" fontId="5" fillId="0" borderId="0" xfId="10"/>
    <xf numFmtId="0" fontId="32" fillId="9" borderId="0" xfId="10" applyFont="1" applyFill="1"/>
    <xf numFmtId="0" fontId="34" fillId="9" borderId="13" xfId="10" applyFont="1" applyFill="1" applyBorder="1"/>
    <xf numFmtId="0" fontId="35" fillId="9" borderId="7" xfId="10" applyFont="1" applyFill="1" applyBorder="1"/>
    <xf numFmtId="0" fontId="34" fillId="9" borderId="9" xfId="10" applyFont="1" applyFill="1" applyBorder="1"/>
    <xf numFmtId="0" fontId="34" fillId="0" borderId="0" xfId="10" applyFont="1"/>
    <xf numFmtId="0" fontId="36" fillId="10" borderId="0" xfId="11" applyFont="1" applyFill="1"/>
    <xf numFmtId="0" fontId="36" fillId="11" borderId="0" xfId="11" applyFont="1" applyFill="1"/>
    <xf numFmtId="0" fontId="36" fillId="12" borderId="0" xfId="11" applyFont="1" applyFill="1"/>
    <xf numFmtId="0" fontId="36" fillId="13" borderId="0" xfId="10" applyFont="1" applyFill="1" applyAlignment="1">
      <alignment horizontal="center"/>
    </xf>
    <xf numFmtId="0" fontId="36" fillId="14" borderId="0" xfId="10" applyFont="1" applyFill="1" applyAlignment="1">
      <alignment horizontal="center"/>
    </xf>
    <xf numFmtId="14" fontId="34" fillId="0" borderId="0" xfId="10" applyNumberFormat="1" applyFont="1"/>
    <xf numFmtId="175" fontId="5" fillId="0" borderId="0" xfId="10" applyNumberFormat="1"/>
    <xf numFmtId="2" fontId="5" fillId="0" borderId="0" xfId="10" applyNumberFormat="1"/>
    <xf numFmtId="0" fontId="34" fillId="0" borderId="0" xfId="12" applyFont="1" applyAlignment="1"/>
    <xf numFmtId="0" fontId="37" fillId="0" borderId="0" xfId="12" applyAlignment="1"/>
    <xf numFmtId="0" fontId="38" fillId="0" borderId="0" xfId="12" applyFont="1" applyAlignment="1"/>
    <xf numFmtId="0" fontId="39" fillId="0" borderId="0" xfId="12" applyFont="1" applyAlignment="1"/>
    <xf numFmtId="0" fontId="37" fillId="0" borderId="39" xfId="12" applyBorder="1" applyAlignment="1"/>
    <xf numFmtId="0" fontId="37" fillId="0" borderId="12" xfId="12" applyBorder="1" applyAlignment="1"/>
    <xf numFmtId="0" fontId="37" fillId="0" borderId="15" xfId="12" applyBorder="1" applyAlignment="1"/>
    <xf numFmtId="0" fontId="37" fillId="0" borderId="40" xfId="12" applyBorder="1" applyAlignment="1"/>
    <xf numFmtId="0" fontId="37" fillId="0" borderId="0" xfId="12" applyAlignment="1">
      <alignment horizontal="right"/>
    </xf>
    <xf numFmtId="0" fontId="34" fillId="0" borderId="0" xfId="12" applyFont="1" applyAlignment="1">
      <alignment horizontal="center"/>
    </xf>
    <xf numFmtId="0" fontId="37" fillId="0" borderId="34" xfId="12" applyBorder="1" applyAlignment="1"/>
    <xf numFmtId="14" fontId="34" fillId="0" borderId="0" xfId="10" applyNumberFormat="1" applyFont="1" applyAlignment="1">
      <alignment horizontal="center"/>
    </xf>
    <xf numFmtId="0" fontId="40" fillId="0" borderId="34" xfId="12" applyFont="1" applyBorder="1" applyAlignment="1">
      <alignment horizontal="center"/>
    </xf>
    <xf numFmtId="176" fontId="5" fillId="0" borderId="0" xfId="10" applyNumberFormat="1"/>
    <xf numFmtId="175" fontId="5" fillId="0" borderId="57" xfId="10" applyNumberFormat="1" applyBorder="1"/>
    <xf numFmtId="175" fontId="37" fillId="0" borderId="34" xfId="12" applyNumberFormat="1" applyBorder="1" applyAlignment="1">
      <alignment horizontal="center"/>
    </xf>
    <xf numFmtId="0" fontId="37" fillId="0" borderId="34" xfId="12" applyBorder="1" applyAlignment="1">
      <alignment horizontal="center"/>
    </xf>
    <xf numFmtId="0" fontId="37" fillId="0" borderId="40" xfId="12" applyBorder="1" applyAlignment="1">
      <alignment horizontal="right"/>
    </xf>
    <xf numFmtId="0" fontId="41" fillId="0" borderId="0" xfId="12" applyFont="1" applyAlignment="1">
      <alignment horizontal="right"/>
    </xf>
    <xf numFmtId="0" fontId="34" fillId="2" borderId="0" xfId="12" applyFont="1" applyFill="1" applyAlignment="1">
      <alignment horizontal="right"/>
    </xf>
    <xf numFmtId="10" fontId="34" fillId="2" borderId="34" xfId="6" applyNumberFormat="1" applyFont="1" applyFill="1" applyBorder="1" applyAlignment="1">
      <alignment horizontal="center"/>
    </xf>
    <xf numFmtId="0" fontId="37" fillId="0" borderId="42" xfId="12" applyBorder="1" applyAlignment="1"/>
    <xf numFmtId="0" fontId="37" fillId="0" borderId="24" xfId="12" applyBorder="1" applyAlignment="1"/>
    <xf numFmtId="0" fontId="37" fillId="0" borderId="31" xfId="12" applyBorder="1" applyAlignment="1"/>
    <xf numFmtId="0" fontId="2" fillId="0" borderId="4" xfId="4" applyFont="1" applyBorder="1" applyAlignment="1">
      <alignment horizontal="left" vertical="center" wrapText="1"/>
    </xf>
    <xf numFmtId="0" fontId="2" fillId="0" borderId="9" xfId="4" applyFont="1" applyBorder="1" applyAlignment="1">
      <alignment horizontal="left" vertical="center" wrapText="1"/>
    </xf>
    <xf numFmtId="0" fontId="2" fillId="0" borderId="2" xfId="4" applyFont="1" applyBorder="1" applyAlignment="1">
      <alignment horizontal="left" vertical="top" wrapText="1"/>
    </xf>
    <xf numFmtId="0" fontId="2" fillId="0" borderId="7" xfId="4" applyFont="1" applyBorder="1" applyAlignment="1">
      <alignment horizontal="left" vertical="top" wrapText="1"/>
    </xf>
    <xf numFmtId="0" fontId="2" fillId="0" borderId="13" xfId="4" applyFont="1" applyBorder="1" applyAlignment="1">
      <alignment horizontal="left" vertical="center" wrapText="1"/>
    </xf>
    <xf numFmtId="49" fontId="2" fillId="0" borderId="4" xfId="4" applyNumberFormat="1" applyFont="1" applyBorder="1" applyAlignment="1">
      <alignment horizontal="left" vertical="center" wrapText="1"/>
    </xf>
    <xf numFmtId="49" fontId="2" fillId="0" borderId="9" xfId="4" applyNumberFormat="1" applyFont="1" applyBorder="1" applyAlignment="1">
      <alignment horizontal="left" vertical="center" wrapText="1"/>
    </xf>
    <xf numFmtId="0" fontId="2" fillId="0" borderId="2" xfId="4" applyFont="1" applyBorder="1" applyAlignment="1">
      <alignment vertical="top" wrapText="1"/>
    </xf>
    <xf numFmtId="0" fontId="2" fillId="0" borderId="7" xfId="4" applyFont="1" applyBorder="1" applyAlignment="1">
      <alignment vertical="top" wrapText="1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6" fontId="27" fillId="0" borderId="27" xfId="2" applyNumberFormat="1" applyFont="1" applyBorder="1" applyAlignment="1">
      <alignment horizontal="center"/>
    </xf>
    <xf numFmtId="166" fontId="27" fillId="0" borderId="28" xfId="2" applyNumberFormat="1" applyFont="1" applyBorder="1" applyAlignment="1">
      <alignment horizontal="center"/>
    </xf>
    <xf numFmtId="166" fontId="27" fillId="0" borderId="30" xfId="2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166" fontId="27" fillId="0" borderId="33" xfId="2" applyNumberFormat="1" applyFont="1" applyBorder="1" applyAlignment="1">
      <alignment horizontal="center"/>
    </xf>
    <xf numFmtId="10" fontId="28" fillId="0" borderId="12" xfId="0" applyNumberFormat="1" applyFont="1" applyBorder="1" applyAlignment="1">
      <alignment horizontal="center"/>
    </xf>
    <xf numFmtId="10" fontId="28" fillId="0" borderId="15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center" vertical="center"/>
    </xf>
    <xf numFmtId="165" fontId="28" fillId="0" borderId="34" xfId="0" applyNumberFormat="1" applyFont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166" fontId="28" fillId="0" borderId="34" xfId="0" applyNumberFormat="1" applyFont="1" applyBorder="1" applyAlignment="1">
      <alignment horizontal="center" vertical="center"/>
    </xf>
    <xf numFmtId="10" fontId="28" fillId="0" borderId="24" xfId="0" applyNumberFormat="1" applyFont="1" applyBorder="1" applyAlignment="1">
      <alignment horizontal="center" vertical="center"/>
    </xf>
    <xf numFmtId="10" fontId="28" fillId="0" borderId="31" xfId="0" applyNumberFormat="1" applyFont="1" applyBorder="1" applyAlignment="1">
      <alignment horizontal="center" vertical="center"/>
    </xf>
    <xf numFmtId="10" fontId="28" fillId="0" borderId="7" xfId="0" applyNumberFormat="1" applyFont="1" applyBorder="1" applyAlignment="1">
      <alignment horizontal="center"/>
    </xf>
    <xf numFmtId="10" fontId="28" fillId="0" borderId="38" xfId="0" applyNumberFormat="1" applyFont="1" applyBorder="1" applyAlignment="1">
      <alignment horizontal="center"/>
    </xf>
    <xf numFmtId="0" fontId="17" fillId="0" borderId="42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8" fillId="0" borderId="0" xfId="0" applyFont="1" applyAlignment="1">
      <alignment horizontal="center"/>
    </xf>
    <xf numFmtId="166" fontId="17" fillId="0" borderId="0" xfId="0" applyNumberFormat="1" applyFont="1" applyAlignment="1">
      <alignment horizontal="center" wrapText="1"/>
    </xf>
    <xf numFmtId="166" fontId="17" fillId="0" borderId="34" xfId="0" applyNumberFormat="1" applyFont="1" applyBorder="1" applyAlignment="1">
      <alignment horizontal="center" wrapText="1"/>
    </xf>
    <xf numFmtId="10" fontId="17" fillId="0" borderId="24" xfId="0" applyNumberFormat="1" applyFont="1" applyBorder="1" applyAlignment="1">
      <alignment horizontal="center"/>
    </xf>
    <xf numFmtId="10" fontId="17" fillId="0" borderId="31" xfId="0" applyNumberFormat="1" applyFont="1" applyBorder="1" applyAlignment="1">
      <alignment horizontal="center"/>
    </xf>
    <xf numFmtId="10" fontId="10" fillId="0" borderId="8" xfId="0" applyNumberFormat="1" applyFont="1" applyBorder="1" applyAlignment="1">
      <alignment horizontal="center"/>
    </xf>
    <xf numFmtId="10" fontId="10" fillId="0" borderId="44" xfId="0" applyNumberFormat="1" applyFont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166" fontId="11" fillId="0" borderId="27" xfId="2" applyNumberFormat="1" applyFont="1" applyBorder="1" applyAlignment="1">
      <alignment horizontal="center"/>
    </xf>
    <xf numFmtId="166" fontId="11" fillId="0" borderId="28" xfId="2" applyNumberFormat="1" applyFont="1" applyBorder="1" applyAlignment="1">
      <alignment horizontal="center"/>
    </xf>
    <xf numFmtId="166" fontId="11" fillId="0" borderId="33" xfId="2" applyNumberFormat="1" applyFont="1" applyBorder="1" applyAlignment="1">
      <alignment horizontal="center"/>
    </xf>
    <xf numFmtId="10" fontId="10" fillId="0" borderId="12" xfId="0" applyNumberFormat="1" applyFont="1" applyBorder="1" applyAlignment="1">
      <alignment horizontal="center"/>
    </xf>
    <xf numFmtId="10" fontId="10" fillId="0" borderId="15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 wrapText="1"/>
    </xf>
    <xf numFmtId="165" fontId="10" fillId="0" borderId="34" xfId="0" applyNumberFormat="1" applyFont="1" applyBorder="1" applyAlignment="1">
      <alignment horizontal="center" wrapText="1"/>
    </xf>
    <xf numFmtId="165" fontId="17" fillId="0" borderId="0" xfId="0" applyNumberFormat="1" applyFont="1" applyAlignment="1">
      <alignment horizontal="center" wrapText="1"/>
    </xf>
    <xf numFmtId="165" fontId="17" fillId="0" borderId="34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10" fontId="17" fillId="0" borderId="8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0" fontId="10" fillId="0" borderId="0" xfId="3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6" borderId="43" xfId="0" applyFont="1" applyFill="1" applyBorder="1" applyAlignment="1">
      <alignment horizontal="center"/>
    </xf>
    <xf numFmtId="0" fontId="15" fillId="6" borderId="28" xfId="0" applyFont="1" applyFill="1" applyBorder="1" applyAlignment="1">
      <alignment horizontal="center"/>
    </xf>
    <xf numFmtId="44" fontId="11" fillId="0" borderId="0" xfId="0" applyNumberFormat="1" applyFont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5" borderId="39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/>
    </xf>
    <xf numFmtId="49" fontId="17" fillId="6" borderId="40" xfId="0" applyNumberFormat="1" applyFont="1" applyFill="1" applyBorder="1" applyAlignment="1">
      <alignment horizontal="left" wrapText="1"/>
    </xf>
    <xf numFmtId="49" fontId="17" fillId="6" borderId="0" xfId="0" applyNumberFormat="1" applyFont="1" applyFill="1" applyAlignment="1">
      <alignment horizontal="left" wrapText="1"/>
    </xf>
    <xf numFmtId="49" fontId="17" fillId="6" borderId="13" xfId="0" applyNumberFormat="1" applyFont="1" applyFill="1" applyBorder="1" applyAlignment="1">
      <alignment horizontal="left" wrapText="1"/>
    </xf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5" fillId="6" borderId="49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31" fillId="9" borderId="2" xfId="10" applyFont="1" applyFill="1" applyBorder="1" applyAlignment="1">
      <alignment horizontal="left"/>
    </xf>
    <xf numFmtId="0" fontId="31" fillId="9" borderId="4" xfId="10" applyFont="1" applyFill="1" applyBorder="1" applyAlignment="1">
      <alignment horizontal="left"/>
    </xf>
    <xf numFmtId="0" fontId="37" fillId="0" borderId="40" xfId="12" applyBorder="1" applyAlignment="1">
      <alignment horizontal="right"/>
    </xf>
    <xf numFmtId="0" fontId="37" fillId="0" borderId="0" xfId="12" applyAlignment="1">
      <alignment horizontal="right"/>
    </xf>
  </cellXfs>
  <cellStyles count="13">
    <cellStyle name="Comma" xfId="1" builtinId="3"/>
    <cellStyle name="Currency" xfId="2" builtinId="4"/>
    <cellStyle name="Currency 2 3" xfId="8" xr:uid="{AEE703D9-4ACC-4228-90D5-746C80381E6A}"/>
    <cellStyle name="Normal" xfId="0" builtinId="0"/>
    <cellStyle name="Normal 10 3 3" xfId="10" xr:uid="{DF594C69-702A-41A0-920C-CFFE7E07C469}"/>
    <cellStyle name="Normal 4 13" xfId="12" xr:uid="{01C7DFBB-D71E-41E3-A686-467447B1891F}"/>
    <cellStyle name="Normal 5 3 3" xfId="4" xr:uid="{30879329-089D-4B36-95E9-29BBEBF4E525}"/>
    <cellStyle name="Normal 6 2 9" xfId="11" xr:uid="{55FE550F-E925-4C54-9B5B-AF71A7510A30}"/>
    <cellStyle name="Percent" xfId="3" builtinId="5"/>
    <cellStyle name="Percent 10 2" xfId="5" xr:uid="{A1F45974-F550-4D71-993C-7B5A7F663B9D}"/>
    <cellStyle name="Percent 2 2" xfId="9" xr:uid="{63B83EC9-C657-48C3-9322-053ECC07A06E}"/>
    <cellStyle name="Percent 2 2 4" xfId="6" xr:uid="{A3D8C5EF-010A-4188-AA41-E91C27702E80}"/>
    <cellStyle name="Percent 3" xfId="7" xr:uid="{7413E088-62C7-4F8E-B8EE-BED9AA0F3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1855</xdr:colOff>
      <xdr:row>13</xdr:row>
      <xdr:rowOff>121688</xdr:rowOff>
    </xdr:from>
    <xdr:to>
      <xdr:col>3</xdr:col>
      <xdr:colOff>449081</xdr:colOff>
      <xdr:row>18</xdr:row>
      <xdr:rowOff>183062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5A3AF6-F367-45C2-87D5-CBF054D0DF46}"/>
            </a:ext>
          </a:extLst>
        </xdr:cNvPr>
        <xdr:cNvSpPr txBox="1"/>
      </xdr:nvSpPr>
      <xdr:spPr>
        <a:xfrm>
          <a:off x="467522" y="3106188"/>
          <a:ext cx="3992642" cy="1013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i="1"/>
            <a:t>*A HUD grant funds a housing subsidy for all 391 of the consumers in this group. As a result, HUD then requires the services above named "housing search" and "subsidy management." These services are funded jointly by DMH, DPH, and DDS.</a:t>
          </a: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149225</xdr:colOff>
      <xdr:row>30</xdr:row>
      <xdr:rowOff>117475</xdr:rowOff>
    </xdr:from>
    <xdr:to>
      <xdr:col>3</xdr:col>
      <xdr:colOff>444500</xdr:colOff>
      <xdr:row>31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759183-BF93-4432-B159-DB38EF1C2598}"/>
            </a:ext>
          </a:extLst>
        </xdr:cNvPr>
        <xdr:cNvSpPr txBox="1"/>
      </xdr:nvSpPr>
      <xdr:spPr>
        <a:xfrm>
          <a:off x="3816350" y="7883525"/>
          <a:ext cx="1203325" cy="26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sa\My%20Documents\BayCove\BayCove2005Profile31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e%20Services-POS%20Policy%20Office\Rate%20Setting\Rate%20Projects\DMH%20-%20Adult%20Homelessness%20Supports-%20CMR%20421\FY22%20Rate%20Review\1.%20Strategy%20Materials\Dual%20Dx%201.2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ISA\@lisa2001\Contracts2001\@LISA\@lisa99\Contracts99\FullerSEE99Am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ihbany\Desktop\FY16%20Budget%20-%20Consolidated%2006112015%20FC%20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a-fs01\WORKGROUPS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le"/>
      <sheetName val="Crosswalks"/>
      <sheetName val="Sheet2"/>
    </sheetNames>
    <sheetDataSet>
      <sheetData sheetId="0"/>
      <sheetData sheetId="1"/>
      <sheetData sheetId="2" refreshError="1">
        <row r="1">
          <cell r="B1" t="str">
            <v>REGION</v>
          </cell>
        </row>
        <row r="2">
          <cell r="A2" t="str">
            <v>Berkshire</v>
          </cell>
          <cell r="B2" t="str">
            <v>1&amp;2</v>
          </cell>
        </row>
        <row r="3">
          <cell r="A3" t="str">
            <v>Brockton</v>
          </cell>
          <cell r="B3">
            <v>3</v>
          </cell>
        </row>
        <row r="4">
          <cell r="A4" t="str">
            <v>Cape Cod/Islands</v>
          </cell>
          <cell r="B4">
            <v>5</v>
          </cell>
        </row>
        <row r="5">
          <cell r="A5" t="str">
            <v>Central Middlesex</v>
          </cell>
          <cell r="B5">
            <v>6</v>
          </cell>
        </row>
        <row r="6">
          <cell r="A6" t="str">
            <v>Charles River West</v>
          </cell>
        </row>
        <row r="7">
          <cell r="A7" t="str">
            <v>Dorchester/Fuller</v>
          </cell>
        </row>
        <row r="8">
          <cell r="A8" t="str">
            <v>Fall River</v>
          </cell>
        </row>
        <row r="9">
          <cell r="A9" t="str">
            <v>Franklin/Hampshire</v>
          </cell>
        </row>
        <row r="10">
          <cell r="A10" t="str">
            <v>Holyoke/Chicopee</v>
          </cell>
        </row>
        <row r="11">
          <cell r="A11" t="str">
            <v>Lowell</v>
          </cell>
        </row>
        <row r="12">
          <cell r="A12" t="str">
            <v>Merrimack</v>
          </cell>
        </row>
        <row r="13">
          <cell r="A13" t="str">
            <v>Metro Boston - Harbor</v>
          </cell>
        </row>
        <row r="14">
          <cell r="A14" t="str">
            <v>Metro North</v>
          </cell>
        </row>
        <row r="15">
          <cell r="A15" t="str">
            <v>Middlesex West</v>
          </cell>
        </row>
        <row r="16">
          <cell r="A16" t="str">
            <v>New Bedford</v>
          </cell>
        </row>
        <row r="17">
          <cell r="A17" t="str">
            <v>Newton/South Norfolk</v>
          </cell>
        </row>
        <row r="18">
          <cell r="A18" t="str">
            <v>North Central</v>
          </cell>
        </row>
        <row r="19">
          <cell r="A19" t="str">
            <v>North Shore</v>
          </cell>
        </row>
        <row r="20">
          <cell r="A20" t="str">
            <v>Plymouth</v>
          </cell>
        </row>
        <row r="21">
          <cell r="A21" t="str">
            <v>South Costal</v>
          </cell>
        </row>
        <row r="22">
          <cell r="A22" t="str">
            <v>South Valley</v>
          </cell>
        </row>
        <row r="23">
          <cell r="A23" t="str">
            <v>South Valley - Milford Site</v>
          </cell>
        </row>
        <row r="24">
          <cell r="A24" t="str">
            <v>Springfield</v>
          </cell>
        </row>
        <row r="25">
          <cell r="A25" t="str">
            <v>Taunton/Attleboro</v>
          </cell>
        </row>
        <row r="26">
          <cell r="A26" t="str">
            <v>West Boston/Brookline</v>
          </cell>
        </row>
        <row r="27">
          <cell r="A27" t="str">
            <v>Westfield Area</v>
          </cell>
        </row>
        <row r="28">
          <cell r="A28" t="str">
            <v>Worcester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yCoveModel"/>
      <sheetName val="Chart"/>
      <sheetName val="Original Dual Dx (Donated)"/>
      <sheetName val="FY22 Dual DX (donated)"/>
      <sheetName val="Dual Dx Shelter donated space"/>
      <sheetName val="Original Dual Dx (w-occupancy) "/>
      <sheetName val="FY22 Dual DX (w-occupancy)"/>
      <sheetName val="Fall 2018"/>
      <sheetName val="CAF Fall 2020"/>
      <sheetName val="BayCoveExpenses"/>
      <sheetName val="3039&amp;3049 UFR data"/>
      <sheetName val="FY15 Salary Benchmark"/>
      <sheetName val="Project Benchmarks"/>
      <sheetName val="FY17 UFR"/>
      <sheetName val="EXPENSE COMPARE"/>
      <sheetName val="Fiscal Imp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">
          <cell r="J10">
            <v>0.17499999999999999</v>
          </cell>
        </row>
        <row r="11">
          <cell r="J11">
            <v>1</v>
          </cell>
        </row>
        <row r="12">
          <cell r="J12">
            <v>0.22500000000000001</v>
          </cell>
        </row>
        <row r="13">
          <cell r="J13">
            <v>1</v>
          </cell>
        </row>
        <row r="14">
          <cell r="J14">
            <v>12</v>
          </cell>
        </row>
        <row r="27">
          <cell r="F27">
            <v>85000</v>
          </cell>
        </row>
      </sheetData>
      <sheetData sheetId="10" refreshError="1"/>
      <sheetData sheetId="11" refreshError="1"/>
      <sheetData sheetId="12" refreshError="1">
        <row r="32">
          <cell r="B32">
            <v>17.190000000000001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endA"/>
      <sheetName val="DATA  ENTRY"/>
      <sheetName val="FullerSEE"/>
      <sheetName val="SummaryNarrative"/>
    </sheetNames>
    <sheetDataSet>
      <sheetData sheetId="0" refreshError="1">
        <row r="2">
          <cell r="B2" t="str">
            <v>ATTACHMENT A: AMENDMENT FORM         1999</v>
          </cell>
        </row>
        <row r="4">
          <cell r="J4" t="str">
            <v>Service Contract:</v>
          </cell>
        </row>
        <row r="5">
          <cell r="J5" t="str">
            <v>2631 9631 317</v>
          </cell>
        </row>
        <row r="8">
          <cell r="C8" t="str">
            <v>1) Highlight any significant programmatic or fiscal changes:</v>
          </cell>
          <cell r="O8" t="str">
            <v>Amendment #</v>
          </cell>
          <cell r="S8">
            <v>1</v>
          </cell>
        </row>
        <row r="12">
          <cell r="C12" t="str">
            <v>None</v>
          </cell>
        </row>
        <row r="13">
          <cell r="C13" t="str">
            <v xml:space="preserve"> </v>
          </cell>
        </row>
        <row r="26">
          <cell r="C26" t="str">
            <v>2) Identify any modification to the outcome measures or performance based objectives:</v>
          </cell>
        </row>
        <row r="28">
          <cell r="C28" t="str">
            <v>Per agreement with the Fuller Area office of the Department of Mental Health, the Attachment 2: Performance</v>
          </cell>
        </row>
        <row r="29">
          <cell r="C29" t="str">
            <v>Measures have been amended. Please see the amended Perofrmance Measures, attached.</v>
          </cell>
        </row>
        <row r="33">
          <cell r="C33" t="str">
            <v>1) Highlight any significant programmatic or fiscal changes:</v>
          </cell>
          <cell r="O33" t="str">
            <v>Amendment #</v>
          </cell>
        </row>
        <row r="44">
          <cell r="C44" t="str">
            <v>2) Identify any modification to the outcome measures or performance based objectives:</v>
          </cell>
        </row>
        <row r="50">
          <cell r="B50" t="str">
            <v>Attach a copy of the Attachment A: Renewal Summary Form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niversal"/>
      <sheetName val="AllAgencyByDivisionFC"/>
      <sheetName val="FY16 Vs FY15 Comparison FC"/>
      <sheetName val="TreasurersReportDetail"/>
      <sheetName val="TreasurersReportSummary -dnu"/>
      <sheetName val="FY16 Vs FY15 Comparison"/>
      <sheetName val="Admin"/>
      <sheetName val="Development"/>
      <sheetName val="BCA"/>
      <sheetName val="DD"/>
      <sheetName val="EI"/>
      <sheetName val="MH"/>
      <sheetName val="AS"/>
      <sheetName val="CASPAR"/>
      <sheetName val="KC"/>
      <sheetName val="All Agency"/>
      <sheetName val="All Programs"/>
      <sheetName val="All Agency by Division"/>
      <sheetName val="All Bay Cove"/>
      <sheetName val="A150 Development"/>
      <sheetName val="All Admin"/>
      <sheetName val="A112 Central Administration"/>
      <sheetName val="A113 Advocacy"/>
      <sheetName val="A114 Accounting"/>
      <sheetName val="A115 Rep Payee"/>
      <sheetName val="A117 QI &amp; Special Projects"/>
      <sheetName val="A120 Information Services"/>
      <sheetName val="A122 Training &amp; CLC"/>
      <sheetName val="A130 Human Resources"/>
      <sheetName val="A140 Property"/>
      <sheetName val="A145 Housing"/>
      <sheetName val="O172 Canal Street"/>
      <sheetName val="B671 Bay Cove Academy"/>
      <sheetName val="All DD"/>
      <sheetName val="D802 DD Non-Res Central Costs"/>
      <sheetName val="All DD by Program"/>
      <sheetName val="All DD Housing Support"/>
      <sheetName val="All DD Residential"/>
      <sheetName val="D401 DD Residential Centralized"/>
      <sheetName val="D404 Res Social Rec"/>
      <sheetName val="D361 Bourne St"/>
      <sheetName val="D362 Center Ave"/>
      <sheetName val="D363 Plymouth St"/>
      <sheetName val="D366 Pat Ree Drive"/>
      <sheetName val="D372 Caswell 1"/>
      <sheetName val="D373 Caswell 2"/>
      <sheetName val="D374 Caswell 3"/>
      <sheetName val="D375 Caswell 4"/>
      <sheetName val="D411 Williams House"/>
      <sheetName val="D412 Juliette St"/>
      <sheetName val="D413 Marlowe House"/>
      <sheetName val="D415 Pond St"/>
      <sheetName val="D416 Quincy Adams"/>
      <sheetName val="D417 Columbia Rd"/>
      <sheetName val="D418 Willers St"/>
      <sheetName val="D420 Dorchester Ave"/>
      <sheetName val="D421 Brett House"/>
      <sheetName val="D422 Canterbury St"/>
      <sheetName val="D424 Harbor Point"/>
      <sheetName val="D431 Truman Highway"/>
      <sheetName val="D432 Utica St"/>
      <sheetName val="D433 Mill St"/>
      <sheetName val="D434 Winthrop St"/>
      <sheetName val="D435 Washington Ave"/>
      <sheetName val="D436 Carol Circle"/>
      <sheetName val="D437 Freeland St"/>
      <sheetName val="D438 Orlando Street I &amp; II"/>
      <sheetName val="D439 Cook Ave"/>
      <sheetName val="D444 Hyde Park Ave"/>
      <sheetName val="D446 Connors House"/>
      <sheetName val="D448 Columbia West"/>
      <sheetName val="D449 Kittredge Street"/>
      <sheetName val="D471 Zelma Lacey Ass Living"/>
      <sheetName val="D491 Adelaide St Residential"/>
      <sheetName val="D492 Revere House"/>
      <sheetName val="All DD SH"/>
      <sheetName val="D825 Lindsay Supported Housing"/>
      <sheetName val="D826 Adelaide St Supp Housing"/>
      <sheetName val="D831 Individual Supports"/>
      <sheetName val="D832 SEAD"/>
      <sheetName val="All Family and Parent Support"/>
      <sheetName val="D856 Parent Support"/>
      <sheetName val="All Family Support"/>
      <sheetName val="D844 Family Support Services"/>
      <sheetName val="D845 Family Sup Financial Assis"/>
      <sheetName val="All DD Day Programs"/>
      <sheetName val="O862 Bradston Street"/>
      <sheetName val="D874 Social Recreation"/>
      <sheetName val="All CBDS"/>
      <sheetName val="D863 CHES CBDS"/>
      <sheetName val="D873 City Square CBDS"/>
      <sheetName val="All Day Hab"/>
      <sheetName val="D866 Bradston Day Hab"/>
      <sheetName val="D876 Charlestown Day Hab"/>
      <sheetName val="F651 Early Intervention"/>
      <sheetName val="All Kit Clark"/>
      <sheetName val="K191 KCSS Administration"/>
      <sheetName val="All KC Occupancy"/>
      <sheetName val="O192 1500 Dorchester Ave"/>
      <sheetName val="O193 645 Washington Street"/>
      <sheetName val="K105 Kit Clark Clinic"/>
      <sheetName val="All Long Term Services"/>
      <sheetName val="All ADH"/>
      <sheetName val="K910 ADH AGO"/>
      <sheetName val="K911 Adult Day Health"/>
      <sheetName val="ADH Staffing"/>
      <sheetName val="All In Home Services"/>
      <sheetName val="K912 Foley Assisted Living"/>
      <sheetName val="K914 Homecare Program"/>
      <sheetName val="All Social and Health"/>
      <sheetName val="K921 Health Clinic"/>
      <sheetName val="K925 Senior Center"/>
      <sheetName val="K926 Fit for Life"/>
      <sheetName val="K928 SNAP"/>
      <sheetName val="All Housing and Homeless"/>
      <sheetName val="K933 MHSA YMCA"/>
      <sheetName val="K934 Congregate Housing"/>
      <sheetName val="K935 Cardinal Medeiros Center"/>
      <sheetName val="K937 Home Repair Program"/>
      <sheetName val="All Nutrition and Trans"/>
      <sheetName val="All Nutrition"/>
      <sheetName val="Meals"/>
      <sheetName val="All Public Nutrition"/>
      <sheetName val="All Private Nutrition"/>
      <sheetName val="K941 Public Nutrition"/>
      <sheetName val="K942 Private Nutrition"/>
      <sheetName val="K945 ADH Nutrition"/>
      <sheetName val="All Transportation"/>
      <sheetName val="K943 Transporation Private Food"/>
      <sheetName val="K944 Transporation Public Nutri"/>
      <sheetName val="K951 ADH Transportation"/>
      <sheetName val="K952 Private Transportation"/>
      <sheetName val="Vehicle List"/>
      <sheetName val="All MH + Clinic"/>
      <sheetName val="L206 Mental Health Clinic"/>
      <sheetName val="All MH"/>
      <sheetName val="All MH by Program"/>
      <sheetName val="M200 MH Non-CBFS Central Costs"/>
      <sheetName val="O177 Bowker Street"/>
      <sheetName val="O180 1960 Washington Street"/>
      <sheetName val="O181 3313 Washington Street"/>
      <sheetName val="M202 TPP"/>
      <sheetName val="M208 Bay View Inn"/>
      <sheetName val="M605 Home At Last"/>
      <sheetName val="M608 Health Home"/>
      <sheetName val="M609 CMMI Health Outreach"/>
      <sheetName val="M808 Boston Night Center"/>
      <sheetName val="All CCA CCS"/>
      <sheetName val="M214 CCA CCS - Brighton"/>
      <sheetName val="M215 CCA CCS - Carney"/>
      <sheetName val="All BEST"/>
      <sheetName val="All BEST CCS + Fuller"/>
      <sheetName val="M203 BEST CCS (Fuller)"/>
      <sheetName val="M204 BEST UCC"/>
      <sheetName val="M213 Longwood CCS"/>
      <sheetName val="All North Suffolk"/>
      <sheetName val="M209 Staniford House"/>
      <sheetName val="M400 Harbor House"/>
      <sheetName val="All MH Day Programs"/>
      <sheetName val="M750 PACT"/>
      <sheetName val="M821 Day Treatment"/>
      <sheetName val="M841 Employment Services"/>
      <sheetName val="All Clubs"/>
      <sheetName val="M801 Center Club"/>
      <sheetName val="M802 Transitions"/>
      <sheetName val="M803 Ruby Rogers"/>
      <sheetName val="All FBC CBFS"/>
      <sheetName val="O178 Amory Street"/>
      <sheetName val="M201 MH CBFS Centralized Costs"/>
      <sheetName val="M601 Wellness Center"/>
      <sheetName val="All Safety Net"/>
      <sheetName val="M603 Safety Net Respite"/>
      <sheetName val="M604 Safety Net Outreach"/>
      <sheetName val="All Teams"/>
      <sheetName val="M610 CBFS Teams - Occupancy"/>
      <sheetName val="M611 CBFS Team 2"/>
      <sheetName val="M612 CBFS Team 3"/>
      <sheetName val="M613 CBFS Team 4"/>
      <sheetName val="M614 CBFS Team 5"/>
      <sheetName val="All CBFS Residential"/>
      <sheetName val="M620 Hamilton"/>
      <sheetName val="M621 Gordon"/>
      <sheetName val="M622 Perrin Street"/>
      <sheetName val="M623 Walnut Residence"/>
      <sheetName val="M624 Speedwell"/>
      <sheetName val="M625 Walk Hill"/>
      <sheetName val="M626 Bowdoin"/>
      <sheetName val="M627 Bailey"/>
      <sheetName val="M628 Astoria Street"/>
      <sheetName val="M629 Dudley"/>
      <sheetName val="M630 Fessenden"/>
      <sheetName val="M631 Vincent"/>
      <sheetName val="M632 Betances"/>
      <sheetName val="M633 Stanley"/>
      <sheetName val="M634 Daly House"/>
      <sheetName val="M636 Lyon &amp; Orchardfield"/>
      <sheetName val="M637 Central Ave"/>
      <sheetName val="M638 Bartlett"/>
      <sheetName val="M639 Winston"/>
      <sheetName val="M640 Maple"/>
      <sheetName val="M641 Hollander"/>
      <sheetName val="M642 Pleasant St"/>
      <sheetName val="M643 Boylston Place"/>
      <sheetName val="M644 Charles"/>
      <sheetName val="M645 Harvard street"/>
      <sheetName val="M647 Tremont"/>
      <sheetName val="M648 Fenway"/>
      <sheetName val="M649 Fuller"/>
      <sheetName val="M650 Souris"/>
      <sheetName val="M651 Hosmer Street"/>
      <sheetName val="M653 Bay Cove Modified Apts"/>
      <sheetName val="M654 Norfolk"/>
      <sheetName val="M659 Dorchester Street "/>
      <sheetName val="M660 Aspinwall"/>
      <sheetName val="M661 Stanwood"/>
      <sheetName val="All AS"/>
      <sheetName val="S512 Andrew House ATS"/>
      <sheetName val="S531 New Hope TSS"/>
      <sheetName val="S543 Bay Cove Treatment Center"/>
      <sheetName val="S557 Charlestown Recovery House"/>
      <sheetName val="All Chelsea ASAP"/>
      <sheetName val="S571 Chelsea ASAP"/>
      <sheetName val="S572 DSS Family Services"/>
      <sheetName val="S573 Outpatient Counseling"/>
      <sheetName val="S574 Driver Alcohol Ed"/>
      <sheetName val="S575 Youth Program"/>
      <sheetName val="S578 Chelsea Batterers"/>
      <sheetName val="S581 Drug Free Communities"/>
      <sheetName val="All CASPAR"/>
      <sheetName val="S701 CASPAR Centralized Costs"/>
      <sheetName val="O702 Middlesex Ave"/>
      <sheetName val="All CASPAR Programs"/>
      <sheetName val="All Emergency Services"/>
      <sheetName val="S721 Shelter"/>
      <sheetName val="S725 First Step"/>
      <sheetName val="All Support Services"/>
      <sheetName val="S761 Phoenix Outpatient Svcs"/>
      <sheetName val="S771 Youth Services"/>
      <sheetName val="S791 Employment Services"/>
      <sheetName val="All Mens Residential"/>
      <sheetName val="S741 Highland Ave"/>
      <sheetName val="S742 Summit Ave"/>
      <sheetName val="S743 Hagan Manor"/>
      <sheetName val="All Womens Residential"/>
      <sheetName val="S751 WomanPlace"/>
      <sheetName val="S752 New Day"/>
      <sheetName val="S753 Grow-House"/>
      <sheetName val="All Intercompany"/>
      <sheetName val="X901 BayCove Group Homes I"/>
      <sheetName val="X902 BayCove Group Homes II"/>
      <sheetName val="X903 BayCove Group Homes III"/>
      <sheetName val="X904 BayCove Moseley"/>
      <sheetName val="X906 BayCove Hamilton"/>
      <sheetName val="X907 HUD 7"/>
      <sheetName val="2015 Orig Budget"/>
    </sheetNames>
    <sheetDataSet>
      <sheetData sheetId="0" refreshError="1"/>
      <sheetData sheetId="1" refreshError="1">
        <row r="7">
          <cell r="C7">
            <v>7.6499999999999999E-2</v>
          </cell>
        </row>
        <row r="8">
          <cell r="C8">
            <v>0.1285</v>
          </cell>
        </row>
        <row r="9">
          <cell r="C9">
            <v>2.3E-3</v>
          </cell>
        </row>
        <row r="10">
          <cell r="C10">
            <v>0.02</v>
          </cell>
        </row>
        <row r="11">
          <cell r="C11">
            <v>50</v>
          </cell>
        </row>
        <row r="12">
          <cell r="C12">
            <v>0.02</v>
          </cell>
        </row>
        <row r="13">
          <cell r="C13">
            <v>0.109</v>
          </cell>
        </row>
        <row r="14">
          <cell r="C14">
            <v>11.15</v>
          </cell>
        </row>
        <row r="17">
          <cell r="C17">
            <v>52.4</v>
          </cell>
        </row>
        <row r="18">
          <cell r="C18">
            <v>52.285714285714285</v>
          </cell>
        </row>
        <row r="19">
          <cell r="C19">
            <v>0.03</v>
          </cell>
        </row>
        <row r="20">
          <cell r="C20">
            <v>0.03</v>
          </cell>
        </row>
        <row r="21">
          <cell r="C21">
            <v>0.03</v>
          </cell>
        </row>
        <row r="22">
          <cell r="C22">
            <v>0.01</v>
          </cell>
        </row>
        <row r="23">
          <cell r="C23">
            <v>0.03</v>
          </cell>
        </row>
        <row r="24">
          <cell r="C24">
            <v>0.03</v>
          </cell>
        </row>
        <row r="25">
          <cell r="C25">
            <v>0.05</v>
          </cell>
        </row>
        <row r="30">
          <cell r="C30">
            <v>31</v>
          </cell>
          <cell r="D30">
            <v>31</v>
          </cell>
          <cell r="E30">
            <v>30</v>
          </cell>
          <cell r="F30">
            <v>31</v>
          </cell>
          <cell r="G30">
            <v>30</v>
          </cell>
          <cell r="H30">
            <v>31</v>
          </cell>
          <cell r="I30">
            <v>31</v>
          </cell>
          <cell r="J30">
            <v>29</v>
          </cell>
          <cell r="K30">
            <v>31</v>
          </cell>
          <cell r="L30">
            <v>30</v>
          </cell>
          <cell r="M30">
            <v>31</v>
          </cell>
          <cell r="N30">
            <v>30</v>
          </cell>
        </row>
        <row r="31">
          <cell r="C31">
            <v>23</v>
          </cell>
          <cell r="D31">
            <v>21</v>
          </cell>
          <cell r="E31">
            <v>22</v>
          </cell>
          <cell r="F31">
            <v>22</v>
          </cell>
          <cell r="G31">
            <v>21</v>
          </cell>
          <cell r="H31">
            <v>23</v>
          </cell>
          <cell r="I31">
            <v>21</v>
          </cell>
          <cell r="J31">
            <v>21</v>
          </cell>
          <cell r="K31">
            <v>23</v>
          </cell>
          <cell r="L31">
            <v>21</v>
          </cell>
          <cell r="M31">
            <v>22</v>
          </cell>
          <cell r="N31">
            <v>22</v>
          </cell>
        </row>
        <row r="33">
          <cell r="C33">
            <v>5</v>
          </cell>
          <cell r="D33">
            <v>4</v>
          </cell>
          <cell r="E33">
            <v>4</v>
          </cell>
          <cell r="F33">
            <v>5</v>
          </cell>
          <cell r="G33">
            <v>4</v>
          </cell>
          <cell r="H33">
            <v>5</v>
          </cell>
          <cell r="I33">
            <v>4</v>
          </cell>
          <cell r="J33">
            <v>4</v>
          </cell>
          <cell r="K33">
            <v>5</v>
          </cell>
          <cell r="L33">
            <v>4</v>
          </cell>
          <cell r="M33">
            <v>4</v>
          </cell>
          <cell r="N33">
            <v>5</v>
          </cell>
        </row>
        <row r="35">
          <cell r="B35" t="str">
            <v>DISTRIBUTION FOR VACATION BUYBACK</v>
          </cell>
          <cell r="C35">
            <v>0.11273627238600022</v>
          </cell>
          <cell r="D35">
            <v>8.4201725671216074E-2</v>
          </cell>
          <cell r="E35">
            <v>5.2132930663845105E-2</v>
          </cell>
          <cell r="F35">
            <v>6.2362634168389455E-2</v>
          </cell>
          <cell r="G35">
            <v>7.8957880368337438E-2</v>
          </cell>
          <cell r="H35">
            <v>0.11340406968814248</v>
          </cell>
          <cell r="I35">
            <v>8.2846422722826857E-2</v>
          </cell>
          <cell r="J35">
            <v>7.8949799086628136E-2</v>
          </cell>
          <cell r="K35">
            <v>7.8437634590311528E-2</v>
          </cell>
          <cell r="L35">
            <v>8.7033625381253546E-2</v>
          </cell>
          <cell r="M35">
            <v>7.6279140597660097E-2</v>
          </cell>
          <cell r="N35">
            <v>9.265786467538914E-2</v>
          </cell>
        </row>
        <row r="37">
          <cell r="C37">
            <v>8.7786259541984726E-2</v>
          </cell>
          <cell r="D37">
            <v>8.0152671755725186E-2</v>
          </cell>
          <cell r="E37">
            <v>8.3969465648854963E-2</v>
          </cell>
          <cell r="F37">
            <v>8.3969465648854963E-2</v>
          </cell>
          <cell r="G37">
            <v>8.0152671755725186E-2</v>
          </cell>
          <cell r="H37">
            <v>8.7786259541984726E-2</v>
          </cell>
          <cell r="I37">
            <v>8.0152671755725186E-2</v>
          </cell>
          <cell r="J37">
            <v>8.0152671755725186E-2</v>
          </cell>
          <cell r="K37">
            <v>8.7786259541984726E-2</v>
          </cell>
          <cell r="L37">
            <v>8.0152671755725186E-2</v>
          </cell>
          <cell r="M37">
            <v>8.3969465648854963E-2</v>
          </cell>
          <cell r="N37">
            <v>8.3969465648854963E-2</v>
          </cell>
        </row>
        <row r="38">
          <cell r="C38">
            <v>8.4699453551912565E-2</v>
          </cell>
          <cell r="D38">
            <v>8.4699453551912565E-2</v>
          </cell>
          <cell r="E38">
            <v>8.1967213114754092E-2</v>
          </cell>
          <cell r="F38">
            <v>8.4699453551912565E-2</v>
          </cell>
          <cell r="G38">
            <v>8.1967213114754092E-2</v>
          </cell>
          <cell r="H38">
            <v>8.4699453551912565E-2</v>
          </cell>
          <cell r="I38">
            <v>8.4699453551912565E-2</v>
          </cell>
          <cell r="J38">
            <v>7.9234972677595633E-2</v>
          </cell>
          <cell r="K38">
            <v>8.4699453551912565E-2</v>
          </cell>
          <cell r="L38">
            <v>8.1967213114754092E-2</v>
          </cell>
          <cell r="M38">
            <v>8.4699453551912565E-2</v>
          </cell>
          <cell r="N38">
            <v>8.1967213114754092E-2</v>
          </cell>
        </row>
        <row r="49">
          <cell r="C49">
            <v>42189</v>
          </cell>
        </row>
        <row r="50">
          <cell r="C50">
            <v>42254</v>
          </cell>
        </row>
        <row r="51">
          <cell r="C51">
            <v>42289</v>
          </cell>
        </row>
        <row r="52">
          <cell r="C52">
            <v>42319</v>
          </cell>
        </row>
        <row r="53">
          <cell r="C53">
            <v>42334</v>
          </cell>
        </row>
        <row r="54">
          <cell r="C54">
            <v>42363</v>
          </cell>
        </row>
        <row r="55">
          <cell r="C55">
            <v>42370</v>
          </cell>
        </row>
        <row r="56">
          <cell r="C56">
            <v>42387</v>
          </cell>
        </row>
        <row r="57">
          <cell r="C57">
            <v>42415</v>
          </cell>
        </row>
        <row r="58">
          <cell r="C58">
            <v>42478</v>
          </cell>
        </row>
        <row r="59">
          <cell r="C59">
            <v>42520</v>
          </cell>
        </row>
        <row r="72">
          <cell r="B72">
            <v>1</v>
          </cell>
          <cell r="F72">
            <v>215.35999999999999</v>
          </cell>
        </row>
        <row r="73">
          <cell r="B73">
            <v>2</v>
          </cell>
          <cell r="F73">
            <v>256.96000000000004</v>
          </cell>
        </row>
        <row r="74">
          <cell r="B74">
            <v>3</v>
          </cell>
          <cell r="F74">
            <v>272.55999999999995</v>
          </cell>
        </row>
        <row r="75">
          <cell r="B75">
            <v>4</v>
          </cell>
          <cell r="F75">
            <v>288.15999999999997</v>
          </cell>
        </row>
        <row r="76">
          <cell r="B76">
            <v>5</v>
          </cell>
          <cell r="F76">
            <v>303.76</v>
          </cell>
        </row>
        <row r="77">
          <cell r="B77">
            <v>6</v>
          </cell>
          <cell r="F77">
            <v>319.36</v>
          </cell>
        </row>
        <row r="78">
          <cell r="B78">
            <v>7</v>
          </cell>
          <cell r="F78">
            <v>334.96</v>
          </cell>
        </row>
        <row r="85">
          <cell r="B85">
            <v>5090</v>
          </cell>
        </row>
        <row r="86">
          <cell r="B86">
            <v>5110</v>
          </cell>
        </row>
        <row r="87">
          <cell r="B87">
            <v>5130</v>
          </cell>
        </row>
        <row r="88">
          <cell r="B88">
            <v>5160</v>
          </cell>
        </row>
        <row r="89">
          <cell r="B89">
            <v>5230</v>
          </cell>
        </row>
        <row r="90">
          <cell r="B90">
            <v>5250</v>
          </cell>
        </row>
        <row r="91">
          <cell r="B91">
            <v>5320</v>
          </cell>
        </row>
        <row r="92">
          <cell r="B92">
            <v>5330</v>
          </cell>
        </row>
        <row r="93">
          <cell r="B93">
            <v>5340</v>
          </cell>
        </row>
        <row r="94">
          <cell r="B94">
            <v>5350</v>
          </cell>
        </row>
        <row r="95">
          <cell r="B95">
            <v>5410</v>
          </cell>
        </row>
        <row r="96">
          <cell r="B96">
            <v>5420</v>
          </cell>
        </row>
        <row r="97">
          <cell r="B97">
            <v>5430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29DC-94E7-45BD-AB54-2B9E322CB87E}">
  <sheetPr>
    <pageSetUpPr fitToPage="1"/>
  </sheetPr>
  <dimension ref="B1:F50"/>
  <sheetViews>
    <sheetView showGridLines="0" zoomScale="60" zoomScaleNormal="60" workbookViewId="0">
      <selection activeCell="L15" sqref="L15"/>
    </sheetView>
  </sheetViews>
  <sheetFormatPr defaultRowHeight="26.25" x14ac:dyDescent="0.4"/>
  <cols>
    <col min="1" max="1" width="5.5703125" style="1" customWidth="1"/>
    <col min="2" max="2" width="58" style="1" customWidth="1"/>
    <col min="3" max="3" width="24.140625" style="1" customWidth="1"/>
    <col min="4" max="4" width="69.140625" style="1" customWidth="1"/>
    <col min="5" max="5" width="69.5703125" style="3" customWidth="1"/>
    <col min="6" max="6" width="44" style="3" customWidth="1"/>
    <col min="7" max="244" width="8.7109375" style="1"/>
    <col min="245" max="245" width="5.5703125" style="1" customWidth="1"/>
    <col min="246" max="246" width="58" style="1" customWidth="1"/>
    <col min="247" max="247" width="24.140625" style="1" customWidth="1"/>
    <col min="248" max="249" width="0" style="1" hidden="1" customWidth="1"/>
    <col min="250" max="250" width="61.42578125" style="1" customWidth="1"/>
    <col min="251" max="251" width="62.140625" style="1" customWidth="1"/>
    <col min="252" max="255" width="0" style="1" hidden="1" customWidth="1"/>
    <col min="256" max="500" width="8.7109375" style="1"/>
    <col min="501" max="501" width="5.5703125" style="1" customWidth="1"/>
    <col min="502" max="502" width="58" style="1" customWidth="1"/>
    <col min="503" max="503" width="24.140625" style="1" customWidth="1"/>
    <col min="504" max="505" width="0" style="1" hidden="1" customWidth="1"/>
    <col min="506" max="506" width="61.42578125" style="1" customWidth="1"/>
    <col min="507" max="507" width="62.140625" style="1" customWidth="1"/>
    <col min="508" max="511" width="0" style="1" hidden="1" customWidth="1"/>
    <col min="512" max="756" width="8.7109375" style="1"/>
    <col min="757" max="757" width="5.5703125" style="1" customWidth="1"/>
    <col min="758" max="758" width="58" style="1" customWidth="1"/>
    <col min="759" max="759" width="24.140625" style="1" customWidth="1"/>
    <col min="760" max="761" width="0" style="1" hidden="1" customWidth="1"/>
    <col min="762" max="762" width="61.42578125" style="1" customWidth="1"/>
    <col min="763" max="763" width="62.140625" style="1" customWidth="1"/>
    <col min="764" max="767" width="0" style="1" hidden="1" customWidth="1"/>
    <col min="768" max="1012" width="8.7109375" style="1"/>
    <col min="1013" max="1013" width="5.5703125" style="1" customWidth="1"/>
    <col min="1014" max="1014" width="58" style="1" customWidth="1"/>
    <col min="1015" max="1015" width="24.140625" style="1" customWidth="1"/>
    <col min="1016" max="1017" width="0" style="1" hidden="1" customWidth="1"/>
    <col min="1018" max="1018" width="61.42578125" style="1" customWidth="1"/>
    <col min="1019" max="1019" width="62.140625" style="1" customWidth="1"/>
    <col min="1020" max="1023" width="0" style="1" hidden="1" customWidth="1"/>
    <col min="1024" max="1268" width="8.7109375" style="1"/>
    <col min="1269" max="1269" width="5.5703125" style="1" customWidth="1"/>
    <col min="1270" max="1270" width="58" style="1" customWidth="1"/>
    <col min="1271" max="1271" width="24.140625" style="1" customWidth="1"/>
    <col min="1272" max="1273" width="0" style="1" hidden="1" customWidth="1"/>
    <col min="1274" max="1274" width="61.42578125" style="1" customWidth="1"/>
    <col min="1275" max="1275" width="62.140625" style="1" customWidth="1"/>
    <col min="1276" max="1279" width="0" style="1" hidden="1" customWidth="1"/>
    <col min="1280" max="1524" width="8.7109375" style="1"/>
    <col min="1525" max="1525" width="5.5703125" style="1" customWidth="1"/>
    <col min="1526" max="1526" width="58" style="1" customWidth="1"/>
    <col min="1527" max="1527" width="24.140625" style="1" customWidth="1"/>
    <col min="1528" max="1529" width="0" style="1" hidden="1" customWidth="1"/>
    <col min="1530" max="1530" width="61.42578125" style="1" customWidth="1"/>
    <col min="1531" max="1531" width="62.140625" style="1" customWidth="1"/>
    <col min="1532" max="1535" width="0" style="1" hidden="1" customWidth="1"/>
    <col min="1536" max="1780" width="8.7109375" style="1"/>
    <col min="1781" max="1781" width="5.5703125" style="1" customWidth="1"/>
    <col min="1782" max="1782" width="58" style="1" customWidth="1"/>
    <col min="1783" max="1783" width="24.140625" style="1" customWidth="1"/>
    <col min="1784" max="1785" width="0" style="1" hidden="1" customWidth="1"/>
    <col min="1786" max="1786" width="61.42578125" style="1" customWidth="1"/>
    <col min="1787" max="1787" width="62.140625" style="1" customWidth="1"/>
    <col min="1788" max="1791" width="0" style="1" hidden="1" customWidth="1"/>
    <col min="1792" max="2036" width="8.7109375" style="1"/>
    <col min="2037" max="2037" width="5.5703125" style="1" customWidth="1"/>
    <col min="2038" max="2038" width="58" style="1" customWidth="1"/>
    <col min="2039" max="2039" width="24.140625" style="1" customWidth="1"/>
    <col min="2040" max="2041" width="0" style="1" hidden="1" customWidth="1"/>
    <col min="2042" max="2042" width="61.42578125" style="1" customWidth="1"/>
    <col min="2043" max="2043" width="62.140625" style="1" customWidth="1"/>
    <col min="2044" max="2047" width="0" style="1" hidden="1" customWidth="1"/>
    <col min="2048" max="2292" width="8.7109375" style="1"/>
    <col min="2293" max="2293" width="5.5703125" style="1" customWidth="1"/>
    <col min="2294" max="2294" width="58" style="1" customWidth="1"/>
    <col min="2295" max="2295" width="24.140625" style="1" customWidth="1"/>
    <col min="2296" max="2297" width="0" style="1" hidden="1" customWidth="1"/>
    <col min="2298" max="2298" width="61.42578125" style="1" customWidth="1"/>
    <col min="2299" max="2299" width="62.140625" style="1" customWidth="1"/>
    <col min="2300" max="2303" width="0" style="1" hidden="1" customWidth="1"/>
    <col min="2304" max="2548" width="8.7109375" style="1"/>
    <col min="2549" max="2549" width="5.5703125" style="1" customWidth="1"/>
    <col min="2550" max="2550" width="58" style="1" customWidth="1"/>
    <col min="2551" max="2551" width="24.140625" style="1" customWidth="1"/>
    <col min="2552" max="2553" width="0" style="1" hidden="1" customWidth="1"/>
    <col min="2554" max="2554" width="61.42578125" style="1" customWidth="1"/>
    <col min="2555" max="2555" width="62.140625" style="1" customWidth="1"/>
    <col min="2556" max="2559" width="0" style="1" hidden="1" customWidth="1"/>
    <col min="2560" max="2804" width="8.7109375" style="1"/>
    <col min="2805" max="2805" width="5.5703125" style="1" customWidth="1"/>
    <col min="2806" max="2806" width="58" style="1" customWidth="1"/>
    <col min="2807" max="2807" width="24.140625" style="1" customWidth="1"/>
    <col min="2808" max="2809" width="0" style="1" hidden="1" customWidth="1"/>
    <col min="2810" max="2810" width="61.42578125" style="1" customWidth="1"/>
    <col min="2811" max="2811" width="62.140625" style="1" customWidth="1"/>
    <col min="2812" max="2815" width="0" style="1" hidden="1" customWidth="1"/>
    <col min="2816" max="3060" width="8.7109375" style="1"/>
    <col min="3061" max="3061" width="5.5703125" style="1" customWidth="1"/>
    <col min="3062" max="3062" width="58" style="1" customWidth="1"/>
    <col min="3063" max="3063" width="24.140625" style="1" customWidth="1"/>
    <col min="3064" max="3065" width="0" style="1" hidden="1" customWidth="1"/>
    <col min="3066" max="3066" width="61.42578125" style="1" customWidth="1"/>
    <col min="3067" max="3067" width="62.140625" style="1" customWidth="1"/>
    <col min="3068" max="3071" width="0" style="1" hidden="1" customWidth="1"/>
    <col min="3072" max="3316" width="8.7109375" style="1"/>
    <col min="3317" max="3317" width="5.5703125" style="1" customWidth="1"/>
    <col min="3318" max="3318" width="58" style="1" customWidth="1"/>
    <col min="3319" max="3319" width="24.140625" style="1" customWidth="1"/>
    <col min="3320" max="3321" width="0" style="1" hidden="1" customWidth="1"/>
    <col min="3322" max="3322" width="61.42578125" style="1" customWidth="1"/>
    <col min="3323" max="3323" width="62.140625" style="1" customWidth="1"/>
    <col min="3324" max="3327" width="0" style="1" hidden="1" customWidth="1"/>
    <col min="3328" max="3572" width="8.7109375" style="1"/>
    <col min="3573" max="3573" width="5.5703125" style="1" customWidth="1"/>
    <col min="3574" max="3574" width="58" style="1" customWidth="1"/>
    <col min="3575" max="3575" width="24.140625" style="1" customWidth="1"/>
    <col min="3576" max="3577" width="0" style="1" hidden="1" customWidth="1"/>
    <col min="3578" max="3578" width="61.42578125" style="1" customWidth="1"/>
    <col min="3579" max="3579" width="62.140625" style="1" customWidth="1"/>
    <col min="3580" max="3583" width="0" style="1" hidden="1" customWidth="1"/>
    <col min="3584" max="3828" width="8.7109375" style="1"/>
    <col min="3829" max="3829" width="5.5703125" style="1" customWidth="1"/>
    <col min="3830" max="3830" width="58" style="1" customWidth="1"/>
    <col min="3831" max="3831" width="24.140625" style="1" customWidth="1"/>
    <col min="3832" max="3833" width="0" style="1" hidden="1" customWidth="1"/>
    <col min="3834" max="3834" width="61.42578125" style="1" customWidth="1"/>
    <col min="3835" max="3835" width="62.140625" style="1" customWidth="1"/>
    <col min="3836" max="3839" width="0" style="1" hidden="1" customWidth="1"/>
    <col min="3840" max="4084" width="8.7109375" style="1"/>
    <col min="4085" max="4085" width="5.5703125" style="1" customWidth="1"/>
    <col min="4086" max="4086" width="58" style="1" customWidth="1"/>
    <col min="4087" max="4087" width="24.140625" style="1" customWidth="1"/>
    <col min="4088" max="4089" width="0" style="1" hidden="1" customWidth="1"/>
    <col min="4090" max="4090" width="61.42578125" style="1" customWidth="1"/>
    <col min="4091" max="4091" width="62.140625" style="1" customWidth="1"/>
    <col min="4092" max="4095" width="0" style="1" hidden="1" customWidth="1"/>
    <col min="4096" max="4340" width="8.7109375" style="1"/>
    <col min="4341" max="4341" width="5.5703125" style="1" customWidth="1"/>
    <col min="4342" max="4342" width="58" style="1" customWidth="1"/>
    <col min="4343" max="4343" width="24.140625" style="1" customWidth="1"/>
    <col min="4344" max="4345" width="0" style="1" hidden="1" customWidth="1"/>
    <col min="4346" max="4346" width="61.42578125" style="1" customWidth="1"/>
    <col min="4347" max="4347" width="62.140625" style="1" customWidth="1"/>
    <col min="4348" max="4351" width="0" style="1" hidden="1" customWidth="1"/>
    <col min="4352" max="4596" width="8.7109375" style="1"/>
    <col min="4597" max="4597" width="5.5703125" style="1" customWidth="1"/>
    <col min="4598" max="4598" width="58" style="1" customWidth="1"/>
    <col min="4599" max="4599" width="24.140625" style="1" customWidth="1"/>
    <col min="4600" max="4601" width="0" style="1" hidden="1" customWidth="1"/>
    <col min="4602" max="4602" width="61.42578125" style="1" customWidth="1"/>
    <col min="4603" max="4603" width="62.140625" style="1" customWidth="1"/>
    <col min="4604" max="4607" width="0" style="1" hidden="1" customWidth="1"/>
    <col min="4608" max="4852" width="8.7109375" style="1"/>
    <col min="4853" max="4853" width="5.5703125" style="1" customWidth="1"/>
    <col min="4854" max="4854" width="58" style="1" customWidth="1"/>
    <col min="4855" max="4855" width="24.140625" style="1" customWidth="1"/>
    <col min="4856" max="4857" width="0" style="1" hidden="1" customWidth="1"/>
    <col min="4858" max="4858" width="61.42578125" style="1" customWidth="1"/>
    <col min="4859" max="4859" width="62.140625" style="1" customWidth="1"/>
    <col min="4860" max="4863" width="0" style="1" hidden="1" customWidth="1"/>
    <col min="4864" max="5108" width="8.7109375" style="1"/>
    <col min="5109" max="5109" width="5.5703125" style="1" customWidth="1"/>
    <col min="5110" max="5110" width="58" style="1" customWidth="1"/>
    <col min="5111" max="5111" width="24.140625" style="1" customWidth="1"/>
    <col min="5112" max="5113" width="0" style="1" hidden="1" customWidth="1"/>
    <col min="5114" max="5114" width="61.42578125" style="1" customWidth="1"/>
    <col min="5115" max="5115" width="62.140625" style="1" customWidth="1"/>
    <col min="5116" max="5119" width="0" style="1" hidden="1" customWidth="1"/>
    <col min="5120" max="5364" width="8.7109375" style="1"/>
    <col min="5365" max="5365" width="5.5703125" style="1" customWidth="1"/>
    <col min="5366" max="5366" width="58" style="1" customWidth="1"/>
    <col min="5367" max="5367" width="24.140625" style="1" customWidth="1"/>
    <col min="5368" max="5369" width="0" style="1" hidden="1" customWidth="1"/>
    <col min="5370" max="5370" width="61.42578125" style="1" customWidth="1"/>
    <col min="5371" max="5371" width="62.140625" style="1" customWidth="1"/>
    <col min="5372" max="5375" width="0" style="1" hidden="1" customWidth="1"/>
    <col min="5376" max="5620" width="8.7109375" style="1"/>
    <col min="5621" max="5621" width="5.5703125" style="1" customWidth="1"/>
    <col min="5622" max="5622" width="58" style="1" customWidth="1"/>
    <col min="5623" max="5623" width="24.140625" style="1" customWidth="1"/>
    <col min="5624" max="5625" width="0" style="1" hidden="1" customWidth="1"/>
    <col min="5626" max="5626" width="61.42578125" style="1" customWidth="1"/>
    <col min="5627" max="5627" width="62.140625" style="1" customWidth="1"/>
    <col min="5628" max="5631" width="0" style="1" hidden="1" customWidth="1"/>
    <col min="5632" max="5876" width="8.7109375" style="1"/>
    <col min="5877" max="5877" width="5.5703125" style="1" customWidth="1"/>
    <col min="5878" max="5878" width="58" style="1" customWidth="1"/>
    <col min="5879" max="5879" width="24.140625" style="1" customWidth="1"/>
    <col min="5880" max="5881" width="0" style="1" hidden="1" customWidth="1"/>
    <col min="5882" max="5882" width="61.42578125" style="1" customWidth="1"/>
    <col min="5883" max="5883" width="62.140625" style="1" customWidth="1"/>
    <col min="5884" max="5887" width="0" style="1" hidden="1" customWidth="1"/>
    <col min="5888" max="6132" width="8.7109375" style="1"/>
    <col min="6133" max="6133" width="5.5703125" style="1" customWidth="1"/>
    <col min="6134" max="6134" width="58" style="1" customWidth="1"/>
    <col min="6135" max="6135" width="24.140625" style="1" customWidth="1"/>
    <col min="6136" max="6137" width="0" style="1" hidden="1" customWidth="1"/>
    <col min="6138" max="6138" width="61.42578125" style="1" customWidth="1"/>
    <col min="6139" max="6139" width="62.140625" style="1" customWidth="1"/>
    <col min="6140" max="6143" width="0" style="1" hidden="1" customWidth="1"/>
    <col min="6144" max="6388" width="8.7109375" style="1"/>
    <col min="6389" max="6389" width="5.5703125" style="1" customWidth="1"/>
    <col min="6390" max="6390" width="58" style="1" customWidth="1"/>
    <col min="6391" max="6391" width="24.140625" style="1" customWidth="1"/>
    <col min="6392" max="6393" width="0" style="1" hidden="1" customWidth="1"/>
    <col min="6394" max="6394" width="61.42578125" style="1" customWidth="1"/>
    <col min="6395" max="6395" width="62.140625" style="1" customWidth="1"/>
    <col min="6396" max="6399" width="0" style="1" hidden="1" customWidth="1"/>
    <col min="6400" max="6644" width="8.7109375" style="1"/>
    <col min="6645" max="6645" width="5.5703125" style="1" customWidth="1"/>
    <col min="6646" max="6646" width="58" style="1" customWidth="1"/>
    <col min="6647" max="6647" width="24.140625" style="1" customWidth="1"/>
    <col min="6648" max="6649" width="0" style="1" hidden="1" customWidth="1"/>
    <col min="6650" max="6650" width="61.42578125" style="1" customWidth="1"/>
    <col min="6651" max="6651" width="62.140625" style="1" customWidth="1"/>
    <col min="6652" max="6655" width="0" style="1" hidden="1" customWidth="1"/>
    <col min="6656" max="6900" width="8.7109375" style="1"/>
    <col min="6901" max="6901" width="5.5703125" style="1" customWidth="1"/>
    <col min="6902" max="6902" width="58" style="1" customWidth="1"/>
    <col min="6903" max="6903" width="24.140625" style="1" customWidth="1"/>
    <col min="6904" max="6905" width="0" style="1" hidden="1" customWidth="1"/>
    <col min="6906" max="6906" width="61.42578125" style="1" customWidth="1"/>
    <col min="6907" max="6907" width="62.140625" style="1" customWidth="1"/>
    <col min="6908" max="6911" width="0" style="1" hidden="1" customWidth="1"/>
    <col min="6912" max="7156" width="8.7109375" style="1"/>
    <col min="7157" max="7157" width="5.5703125" style="1" customWidth="1"/>
    <col min="7158" max="7158" width="58" style="1" customWidth="1"/>
    <col min="7159" max="7159" width="24.140625" style="1" customWidth="1"/>
    <col min="7160" max="7161" width="0" style="1" hidden="1" customWidth="1"/>
    <col min="7162" max="7162" width="61.42578125" style="1" customWidth="1"/>
    <col min="7163" max="7163" width="62.140625" style="1" customWidth="1"/>
    <col min="7164" max="7167" width="0" style="1" hidden="1" customWidth="1"/>
    <col min="7168" max="7412" width="8.7109375" style="1"/>
    <col min="7413" max="7413" width="5.5703125" style="1" customWidth="1"/>
    <col min="7414" max="7414" width="58" style="1" customWidth="1"/>
    <col min="7415" max="7415" width="24.140625" style="1" customWidth="1"/>
    <col min="7416" max="7417" width="0" style="1" hidden="1" customWidth="1"/>
    <col min="7418" max="7418" width="61.42578125" style="1" customWidth="1"/>
    <col min="7419" max="7419" width="62.140625" style="1" customWidth="1"/>
    <col min="7420" max="7423" width="0" style="1" hidden="1" customWidth="1"/>
    <col min="7424" max="7668" width="8.7109375" style="1"/>
    <col min="7669" max="7669" width="5.5703125" style="1" customWidth="1"/>
    <col min="7670" max="7670" width="58" style="1" customWidth="1"/>
    <col min="7671" max="7671" width="24.140625" style="1" customWidth="1"/>
    <col min="7672" max="7673" width="0" style="1" hidden="1" customWidth="1"/>
    <col min="7674" max="7674" width="61.42578125" style="1" customWidth="1"/>
    <col min="7675" max="7675" width="62.140625" style="1" customWidth="1"/>
    <col min="7676" max="7679" width="0" style="1" hidden="1" customWidth="1"/>
    <col min="7680" max="7924" width="8.7109375" style="1"/>
    <col min="7925" max="7925" width="5.5703125" style="1" customWidth="1"/>
    <col min="7926" max="7926" width="58" style="1" customWidth="1"/>
    <col min="7927" max="7927" width="24.140625" style="1" customWidth="1"/>
    <col min="7928" max="7929" width="0" style="1" hidden="1" customWidth="1"/>
    <col min="7930" max="7930" width="61.42578125" style="1" customWidth="1"/>
    <col min="7931" max="7931" width="62.140625" style="1" customWidth="1"/>
    <col min="7932" max="7935" width="0" style="1" hidden="1" customWidth="1"/>
    <col min="7936" max="8180" width="8.7109375" style="1"/>
    <col min="8181" max="8181" width="5.5703125" style="1" customWidth="1"/>
    <col min="8182" max="8182" width="58" style="1" customWidth="1"/>
    <col min="8183" max="8183" width="24.140625" style="1" customWidth="1"/>
    <col min="8184" max="8185" width="0" style="1" hidden="1" customWidth="1"/>
    <col min="8186" max="8186" width="61.42578125" style="1" customWidth="1"/>
    <col min="8187" max="8187" width="62.140625" style="1" customWidth="1"/>
    <col min="8188" max="8191" width="0" style="1" hidden="1" customWidth="1"/>
    <col min="8192" max="8436" width="8.7109375" style="1"/>
    <col min="8437" max="8437" width="5.5703125" style="1" customWidth="1"/>
    <col min="8438" max="8438" width="58" style="1" customWidth="1"/>
    <col min="8439" max="8439" width="24.140625" style="1" customWidth="1"/>
    <col min="8440" max="8441" width="0" style="1" hidden="1" customWidth="1"/>
    <col min="8442" max="8442" width="61.42578125" style="1" customWidth="1"/>
    <col min="8443" max="8443" width="62.140625" style="1" customWidth="1"/>
    <col min="8444" max="8447" width="0" style="1" hidden="1" customWidth="1"/>
    <col min="8448" max="8692" width="8.7109375" style="1"/>
    <col min="8693" max="8693" width="5.5703125" style="1" customWidth="1"/>
    <col min="8694" max="8694" width="58" style="1" customWidth="1"/>
    <col min="8695" max="8695" width="24.140625" style="1" customWidth="1"/>
    <col min="8696" max="8697" width="0" style="1" hidden="1" customWidth="1"/>
    <col min="8698" max="8698" width="61.42578125" style="1" customWidth="1"/>
    <col min="8699" max="8699" width="62.140625" style="1" customWidth="1"/>
    <col min="8700" max="8703" width="0" style="1" hidden="1" customWidth="1"/>
    <col min="8704" max="8948" width="8.7109375" style="1"/>
    <col min="8949" max="8949" width="5.5703125" style="1" customWidth="1"/>
    <col min="8950" max="8950" width="58" style="1" customWidth="1"/>
    <col min="8951" max="8951" width="24.140625" style="1" customWidth="1"/>
    <col min="8952" max="8953" width="0" style="1" hidden="1" customWidth="1"/>
    <col min="8954" max="8954" width="61.42578125" style="1" customWidth="1"/>
    <col min="8955" max="8955" width="62.140625" style="1" customWidth="1"/>
    <col min="8956" max="8959" width="0" style="1" hidden="1" customWidth="1"/>
    <col min="8960" max="9204" width="8.7109375" style="1"/>
    <col min="9205" max="9205" width="5.5703125" style="1" customWidth="1"/>
    <col min="9206" max="9206" width="58" style="1" customWidth="1"/>
    <col min="9207" max="9207" width="24.140625" style="1" customWidth="1"/>
    <col min="9208" max="9209" width="0" style="1" hidden="1" customWidth="1"/>
    <col min="9210" max="9210" width="61.42578125" style="1" customWidth="1"/>
    <col min="9211" max="9211" width="62.140625" style="1" customWidth="1"/>
    <col min="9212" max="9215" width="0" style="1" hidden="1" customWidth="1"/>
    <col min="9216" max="9460" width="8.7109375" style="1"/>
    <col min="9461" max="9461" width="5.5703125" style="1" customWidth="1"/>
    <col min="9462" max="9462" width="58" style="1" customWidth="1"/>
    <col min="9463" max="9463" width="24.140625" style="1" customWidth="1"/>
    <col min="9464" max="9465" width="0" style="1" hidden="1" customWidth="1"/>
    <col min="9466" max="9466" width="61.42578125" style="1" customWidth="1"/>
    <col min="9467" max="9467" width="62.140625" style="1" customWidth="1"/>
    <col min="9468" max="9471" width="0" style="1" hidden="1" customWidth="1"/>
    <col min="9472" max="9716" width="8.7109375" style="1"/>
    <col min="9717" max="9717" width="5.5703125" style="1" customWidth="1"/>
    <col min="9718" max="9718" width="58" style="1" customWidth="1"/>
    <col min="9719" max="9719" width="24.140625" style="1" customWidth="1"/>
    <col min="9720" max="9721" width="0" style="1" hidden="1" customWidth="1"/>
    <col min="9722" max="9722" width="61.42578125" style="1" customWidth="1"/>
    <col min="9723" max="9723" width="62.140625" style="1" customWidth="1"/>
    <col min="9724" max="9727" width="0" style="1" hidden="1" customWidth="1"/>
    <col min="9728" max="9972" width="8.7109375" style="1"/>
    <col min="9973" max="9973" width="5.5703125" style="1" customWidth="1"/>
    <col min="9974" max="9974" width="58" style="1" customWidth="1"/>
    <col min="9975" max="9975" width="24.140625" style="1" customWidth="1"/>
    <col min="9976" max="9977" width="0" style="1" hidden="1" customWidth="1"/>
    <col min="9978" max="9978" width="61.42578125" style="1" customWidth="1"/>
    <col min="9979" max="9979" width="62.140625" style="1" customWidth="1"/>
    <col min="9980" max="9983" width="0" style="1" hidden="1" customWidth="1"/>
    <col min="9984" max="10228" width="8.7109375" style="1"/>
    <col min="10229" max="10229" width="5.5703125" style="1" customWidth="1"/>
    <col min="10230" max="10230" width="58" style="1" customWidth="1"/>
    <col min="10231" max="10231" width="24.140625" style="1" customWidth="1"/>
    <col min="10232" max="10233" width="0" style="1" hidden="1" customWidth="1"/>
    <col min="10234" max="10234" width="61.42578125" style="1" customWidth="1"/>
    <col min="10235" max="10235" width="62.140625" style="1" customWidth="1"/>
    <col min="10236" max="10239" width="0" style="1" hidden="1" customWidth="1"/>
    <col min="10240" max="10484" width="8.7109375" style="1"/>
    <col min="10485" max="10485" width="5.5703125" style="1" customWidth="1"/>
    <col min="10486" max="10486" width="58" style="1" customWidth="1"/>
    <col min="10487" max="10487" width="24.140625" style="1" customWidth="1"/>
    <col min="10488" max="10489" width="0" style="1" hidden="1" customWidth="1"/>
    <col min="10490" max="10490" width="61.42578125" style="1" customWidth="1"/>
    <col min="10491" max="10491" width="62.140625" style="1" customWidth="1"/>
    <col min="10492" max="10495" width="0" style="1" hidden="1" customWidth="1"/>
    <col min="10496" max="10740" width="8.7109375" style="1"/>
    <col min="10741" max="10741" width="5.5703125" style="1" customWidth="1"/>
    <col min="10742" max="10742" width="58" style="1" customWidth="1"/>
    <col min="10743" max="10743" width="24.140625" style="1" customWidth="1"/>
    <col min="10744" max="10745" width="0" style="1" hidden="1" customWidth="1"/>
    <col min="10746" max="10746" width="61.42578125" style="1" customWidth="1"/>
    <col min="10747" max="10747" width="62.140625" style="1" customWidth="1"/>
    <col min="10748" max="10751" width="0" style="1" hidden="1" customWidth="1"/>
    <col min="10752" max="10996" width="8.7109375" style="1"/>
    <col min="10997" max="10997" width="5.5703125" style="1" customWidth="1"/>
    <col min="10998" max="10998" width="58" style="1" customWidth="1"/>
    <col min="10999" max="10999" width="24.140625" style="1" customWidth="1"/>
    <col min="11000" max="11001" width="0" style="1" hidden="1" customWidth="1"/>
    <col min="11002" max="11002" width="61.42578125" style="1" customWidth="1"/>
    <col min="11003" max="11003" width="62.140625" style="1" customWidth="1"/>
    <col min="11004" max="11007" width="0" style="1" hidden="1" customWidth="1"/>
    <col min="11008" max="11252" width="8.7109375" style="1"/>
    <col min="11253" max="11253" width="5.5703125" style="1" customWidth="1"/>
    <col min="11254" max="11254" width="58" style="1" customWidth="1"/>
    <col min="11255" max="11255" width="24.140625" style="1" customWidth="1"/>
    <col min="11256" max="11257" width="0" style="1" hidden="1" customWidth="1"/>
    <col min="11258" max="11258" width="61.42578125" style="1" customWidth="1"/>
    <col min="11259" max="11259" width="62.140625" style="1" customWidth="1"/>
    <col min="11260" max="11263" width="0" style="1" hidden="1" customWidth="1"/>
    <col min="11264" max="11508" width="8.7109375" style="1"/>
    <col min="11509" max="11509" width="5.5703125" style="1" customWidth="1"/>
    <col min="11510" max="11510" width="58" style="1" customWidth="1"/>
    <col min="11511" max="11511" width="24.140625" style="1" customWidth="1"/>
    <col min="11512" max="11513" width="0" style="1" hidden="1" customWidth="1"/>
    <col min="11514" max="11514" width="61.42578125" style="1" customWidth="1"/>
    <col min="11515" max="11515" width="62.140625" style="1" customWidth="1"/>
    <col min="11516" max="11519" width="0" style="1" hidden="1" customWidth="1"/>
    <col min="11520" max="11764" width="8.7109375" style="1"/>
    <col min="11765" max="11765" width="5.5703125" style="1" customWidth="1"/>
    <col min="11766" max="11766" width="58" style="1" customWidth="1"/>
    <col min="11767" max="11767" width="24.140625" style="1" customWidth="1"/>
    <col min="11768" max="11769" width="0" style="1" hidden="1" customWidth="1"/>
    <col min="11770" max="11770" width="61.42578125" style="1" customWidth="1"/>
    <col min="11771" max="11771" width="62.140625" style="1" customWidth="1"/>
    <col min="11772" max="11775" width="0" style="1" hidden="1" customWidth="1"/>
    <col min="11776" max="12020" width="8.7109375" style="1"/>
    <col min="12021" max="12021" width="5.5703125" style="1" customWidth="1"/>
    <col min="12022" max="12022" width="58" style="1" customWidth="1"/>
    <col min="12023" max="12023" width="24.140625" style="1" customWidth="1"/>
    <col min="12024" max="12025" width="0" style="1" hidden="1" customWidth="1"/>
    <col min="12026" max="12026" width="61.42578125" style="1" customWidth="1"/>
    <col min="12027" max="12027" width="62.140625" style="1" customWidth="1"/>
    <col min="12028" max="12031" width="0" style="1" hidden="1" customWidth="1"/>
    <col min="12032" max="12276" width="8.7109375" style="1"/>
    <col min="12277" max="12277" width="5.5703125" style="1" customWidth="1"/>
    <col min="12278" max="12278" width="58" style="1" customWidth="1"/>
    <col min="12279" max="12279" width="24.140625" style="1" customWidth="1"/>
    <col min="12280" max="12281" width="0" style="1" hidden="1" customWidth="1"/>
    <col min="12282" max="12282" width="61.42578125" style="1" customWidth="1"/>
    <col min="12283" max="12283" width="62.140625" style="1" customWidth="1"/>
    <col min="12284" max="12287" width="0" style="1" hidden="1" customWidth="1"/>
    <col min="12288" max="12532" width="8.7109375" style="1"/>
    <col min="12533" max="12533" width="5.5703125" style="1" customWidth="1"/>
    <col min="12534" max="12534" width="58" style="1" customWidth="1"/>
    <col min="12535" max="12535" width="24.140625" style="1" customWidth="1"/>
    <col min="12536" max="12537" width="0" style="1" hidden="1" customWidth="1"/>
    <col min="12538" max="12538" width="61.42578125" style="1" customWidth="1"/>
    <col min="12539" max="12539" width="62.140625" style="1" customWidth="1"/>
    <col min="12540" max="12543" width="0" style="1" hidden="1" customWidth="1"/>
    <col min="12544" max="12788" width="8.7109375" style="1"/>
    <col min="12789" max="12789" width="5.5703125" style="1" customWidth="1"/>
    <col min="12790" max="12790" width="58" style="1" customWidth="1"/>
    <col min="12791" max="12791" width="24.140625" style="1" customWidth="1"/>
    <col min="12792" max="12793" width="0" style="1" hidden="1" customWidth="1"/>
    <col min="12794" max="12794" width="61.42578125" style="1" customWidth="1"/>
    <col min="12795" max="12795" width="62.140625" style="1" customWidth="1"/>
    <col min="12796" max="12799" width="0" style="1" hidden="1" customWidth="1"/>
    <col min="12800" max="13044" width="8.7109375" style="1"/>
    <col min="13045" max="13045" width="5.5703125" style="1" customWidth="1"/>
    <col min="13046" max="13046" width="58" style="1" customWidth="1"/>
    <col min="13047" max="13047" width="24.140625" style="1" customWidth="1"/>
    <col min="13048" max="13049" width="0" style="1" hidden="1" customWidth="1"/>
    <col min="13050" max="13050" width="61.42578125" style="1" customWidth="1"/>
    <col min="13051" max="13051" width="62.140625" style="1" customWidth="1"/>
    <col min="13052" max="13055" width="0" style="1" hidden="1" customWidth="1"/>
    <col min="13056" max="13300" width="8.7109375" style="1"/>
    <col min="13301" max="13301" width="5.5703125" style="1" customWidth="1"/>
    <col min="13302" max="13302" width="58" style="1" customWidth="1"/>
    <col min="13303" max="13303" width="24.140625" style="1" customWidth="1"/>
    <col min="13304" max="13305" width="0" style="1" hidden="1" customWidth="1"/>
    <col min="13306" max="13306" width="61.42578125" style="1" customWidth="1"/>
    <col min="13307" max="13307" width="62.140625" style="1" customWidth="1"/>
    <col min="13308" max="13311" width="0" style="1" hidden="1" customWidth="1"/>
    <col min="13312" max="13556" width="8.7109375" style="1"/>
    <col min="13557" max="13557" width="5.5703125" style="1" customWidth="1"/>
    <col min="13558" max="13558" width="58" style="1" customWidth="1"/>
    <col min="13559" max="13559" width="24.140625" style="1" customWidth="1"/>
    <col min="13560" max="13561" width="0" style="1" hidden="1" customWidth="1"/>
    <col min="13562" max="13562" width="61.42578125" style="1" customWidth="1"/>
    <col min="13563" max="13563" width="62.140625" style="1" customWidth="1"/>
    <col min="13564" max="13567" width="0" style="1" hidden="1" customWidth="1"/>
    <col min="13568" max="13812" width="8.7109375" style="1"/>
    <col min="13813" max="13813" width="5.5703125" style="1" customWidth="1"/>
    <col min="13814" max="13814" width="58" style="1" customWidth="1"/>
    <col min="13815" max="13815" width="24.140625" style="1" customWidth="1"/>
    <col min="13816" max="13817" width="0" style="1" hidden="1" customWidth="1"/>
    <col min="13818" max="13818" width="61.42578125" style="1" customWidth="1"/>
    <col min="13819" max="13819" width="62.140625" style="1" customWidth="1"/>
    <col min="13820" max="13823" width="0" style="1" hidden="1" customWidth="1"/>
    <col min="13824" max="14068" width="8.7109375" style="1"/>
    <col min="14069" max="14069" width="5.5703125" style="1" customWidth="1"/>
    <col min="14070" max="14070" width="58" style="1" customWidth="1"/>
    <col min="14071" max="14071" width="24.140625" style="1" customWidth="1"/>
    <col min="14072" max="14073" width="0" style="1" hidden="1" customWidth="1"/>
    <col min="14074" max="14074" width="61.42578125" style="1" customWidth="1"/>
    <col min="14075" max="14075" width="62.140625" style="1" customWidth="1"/>
    <col min="14076" max="14079" width="0" style="1" hidden="1" customWidth="1"/>
    <col min="14080" max="14324" width="8.7109375" style="1"/>
    <col min="14325" max="14325" width="5.5703125" style="1" customWidth="1"/>
    <col min="14326" max="14326" width="58" style="1" customWidth="1"/>
    <col min="14327" max="14327" width="24.140625" style="1" customWidth="1"/>
    <col min="14328" max="14329" width="0" style="1" hidden="1" customWidth="1"/>
    <col min="14330" max="14330" width="61.42578125" style="1" customWidth="1"/>
    <col min="14331" max="14331" width="62.140625" style="1" customWidth="1"/>
    <col min="14332" max="14335" width="0" style="1" hidden="1" customWidth="1"/>
    <col min="14336" max="14580" width="8.7109375" style="1"/>
    <col min="14581" max="14581" width="5.5703125" style="1" customWidth="1"/>
    <col min="14582" max="14582" width="58" style="1" customWidth="1"/>
    <col min="14583" max="14583" width="24.140625" style="1" customWidth="1"/>
    <col min="14584" max="14585" width="0" style="1" hidden="1" customWidth="1"/>
    <col min="14586" max="14586" width="61.42578125" style="1" customWidth="1"/>
    <col min="14587" max="14587" width="62.140625" style="1" customWidth="1"/>
    <col min="14588" max="14591" width="0" style="1" hidden="1" customWidth="1"/>
    <col min="14592" max="14836" width="8.7109375" style="1"/>
    <col min="14837" max="14837" width="5.5703125" style="1" customWidth="1"/>
    <col min="14838" max="14838" width="58" style="1" customWidth="1"/>
    <col min="14839" max="14839" width="24.140625" style="1" customWidth="1"/>
    <col min="14840" max="14841" width="0" style="1" hidden="1" customWidth="1"/>
    <col min="14842" max="14842" width="61.42578125" style="1" customWidth="1"/>
    <col min="14843" max="14843" width="62.140625" style="1" customWidth="1"/>
    <col min="14844" max="14847" width="0" style="1" hidden="1" customWidth="1"/>
    <col min="14848" max="15092" width="8.7109375" style="1"/>
    <col min="15093" max="15093" width="5.5703125" style="1" customWidth="1"/>
    <col min="15094" max="15094" width="58" style="1" customWidth="1"/>
    <col min="15095" max="15095" width="24.140625" style="1" customWidth="1"/>
    <col min="15096" max="15097" width="0" style="1" hidden="1" customWidth="1"/>
    <col min="15098" max="15098" width="61.42578125" style="1" customWidth="1"/>
    <col min="15099" max="15099" width="62.140625" style="1" customWidth="1"/>
    <col min="15100" max="15103" width="0" style="1" hidden="1" customWidth="1"/>
    <col min="15104" max="15348" width="8.7109375" style="1"/>
    <col min="15349" max="15349" width="5.5703125" style="1" customWidth="1"/>
    <col min="15350" max="15350" width="58" style="1" customWidth="1"/>
    <col min="15351" max="15351" width="24.140625" style="1" customWidth="1"/>
    <col min="15352" max="15353" width="0" style="1" hidden="1" customWidth="1"/>
    <col min="15354" max="15354" width="61.42578125" style="1" customWidth="1"/>
    <col min="15355" max="15355" width="62.140625" style="1" customWidth="1"/>
    <col min="15356" max="15359" width="0" style="1" hidden="1" customWidth="1"/>
    <col min="15360" max="15604" width="8.7109375" style="1"/>
    <col min="15605" max="15605" width="5.5703125" style="1" customWidth="1"/>
    <col min="15606" max="15606" width="58" style="1" customWidth="1"/>
    <col min="15607" max="15607" width="24.140625" style="1" customWidth="1"/>
    <col min="15608" max="15609" width="0" style="1" hidden="1" customWidth="1"/>
    <col min="15610" max="15610" width="61.42578125" style="1" customWidth="1"/>
    <col min="15611" max="15611" width="62.140625" style="1" customWidth="1"/>
    <col min="15612" max="15615" width="0" style="1" hidden="1" customWidth="1"/>
    <col min="15616" max="15860" width="8.7109375" style="1"/>
    <col min="15861" max="15861" width="5.5703125" style="1" customWidth="1"/>
    <col min="15862" max="15862" width="58" style="1" customWidth="1"/>
    <col min="15863" max="15863" width="24.140625" style="1" customWidth="1"/>
    <col min="15864" max="15865" width="0" style="1" hidden="1" customWidth="1"/>
    <col min="15866" max="15866" width="61.42578125" style="1" customWidth="1"/>
    <col min="15867" max="15867" width="62.140625" style="1" customWidth="1"/>
    <col min="15868" max="15871" width="0" style="1" hidden="1" customWidth="1"/>
    <col min="15872" max="16116" width="8.7109375" style="1"/>
    <col min="16117" max="16117" width="5.5703125" style="1" customWidth="1"/>
    <col min="16118" max="16118" width="58" style="1" customWidth="1"/>
    <col min="16119" max="16119" width="24.140625" style="1" customWidth="1"/>
    <col min="16120" max="16121" width="0" style="1" hidden="1" customWidth="1"/>
    <col min="16122" max="16122" width="61.42578125" style="1" customWidth="1"/>
    <col min="16123" max="16123" width="62.140625" style="1" customWidth="1"/>
    <col min="16124" max="16127" width="0" style="1" hidden="1" customWidth="1"/>
    <col min="16128" max="16384" width="8.7109375" style="1"/>
  </cols>
  <sheetData>
    <row r="1" spans="2:6" x14ac:dyDescent="0.4">
      <c r="C1" s="2" t="s">
        <v>0</v>
      </c>
    </row>
    <row r="2" spans="2:6" x14ac:dyDescent="0.4">
      <c r="C2" s="5">
        <v>44317</v>
      </c>
    </row>
    <row r="3" spans="2:6" x14ac:dyDescent="0.4">
      <c r="B3" s="6"/>
      <c r="C3" s="2" t="s">
        <v>1</v>
      </c>
    </row>
    <row r="4" spans="2:6" ht="19.350000000000001" customHeight="1" thickBot="1" x14ac:dyDescent="0.45">
      <c r="B4" s="7" t="s">
        <v>2</v>
      </c>
      <c r="C4" s="473" t="s">
        <v>3</v>
      </c>
      <c r="D4" s="7" t="s">
        <v>4</v>
      </c>
      <c r="E4" s="8" t="s">
        <v>5</v>
      </c>
      <c r="F4" s="8" t="s">
        <v>6</v>
      </c>
    </row>
    <row r="5" spans="2:6" ht="39.950000000000003" customHeight="1" x14ac:dyDescent="0.4">
      <c r="B5" s="9" t="s">
        <v>7</v>
      </c>
      <c r="C5" s="11">
        <v>19.000800000000002</v>
      </c>
      <c r="D5" s="514" t="s">
        <v>8</v>
      </c>
      <c r="E5" s="512" t="s">
        <v>9</v>
      </c>
      <c r="F5" s="512" t="s">
        <v>10</v>
      </c>
    </row>
    <row r="6" spans="2:6" ht="42.6" customHeight="1" thickBot="1" x14ac:dyDescent="0.45">
      <c r="B6" s="13" t="s">
        <v>11</v>
      </c>
      <c r="C6" s="14">
        <v>39521.664000000004</v>
      </c>
      <c r="D6" s="515"/>
      <c r="E6" s="513"/>
      <c r="F6" s="513"/>
    </row>
    <row r="7" spans="2:6" x14ac:dyDescent="0.4">
      <c r="B7" s="9" t="s">
        <v>12</v>
      </c>
      <c r="C7" s="11">
        <v>24.241120000000002</v>
      </c>
      <c r="D7" s="15" t="s">
        <v>13</v>
      </c>
      <c r="E7" s="512" t="s">
        <v>14</v>
      </c>
      <c r="F7" s="512" t="s">
        <v>15</v>
      </c>
    </row>
    <row r="8" spans="2:6" ht="27" thickBot="1" x14ac:dyDescent="0.45">
      <c r="B8" s="16" t="s">
        <v>16</v>
      </c>
      <c r="C8" s="17">
        <v>50421.529600000002</v>
      </c>
      <c r="D8" s="1" t="s">
        <v>17</v>
      </c>
      <c r="E8" s="516"/>
      <c r="F8" s="516"/>
    </row>
    <row r="9" spans="2:6" x14ac:dyDescent="0.4">
      <c r="B9" s="9" t="s">
        <v>18</v>
      </c>
      <c r="C9" s="11">
        <v>18.008399999999998</v>
      </c>
      <c r="D9" s="15"/>
      <c r="E9" s="512" t="s">
        <v>19</v>
      </c>
      <c r="F9" s="512" t="s">
        <v>20</v>
      </c>
    </row>
    <row r="10" spans="2:6" ht="27" thickBot="1" x14ac:dyDescent="0.45">
      <c r="B10" s="13" t="s">
        <v>21</v>
      </c>
      <c r="C10" s="14">
        <v>37457.471999999994</v>
      </c>
      <c r="D10" s="18"/>
      <c r="E10" s="513"/>
      <c r="F10" s="513"/>
    </row>
    <row r="11" spans="2:6" x14ac:dyDescent="0.4">
      <c r="B11" s="9" t="s">
        <v>22</v>
      </c>
      <c r="C11" s="11">
        <v>24.3888</v>
      </c>
      <c r="D11" s="15" t="s">
        <v>23</v>
      </c>
      <c r="E11" s="512" t="s">
        <v>24</v>
      </c>
      <c r="F11" s="512" t="s">
        <v>25</v>
      </c>
    </row>
    <row r="12" spans="2:6" ht="27" thickBot="1" x14ac:dyDescent="0.45">
      <c r="B12" s="16" t="s">
        <v>26</v>
      </c>
      <c r="C12" s="17">
        <v>50728.703999999998</v>
      </c>
      <c r="D12" s="1" t="s">
        <v>27</v>
      </c>
      <c r="E12" s="516"/>
      <c r="F12" s="516"/>
    </row>
    <row r="13" spans="2:6" ht="78.75" x14ac:dyDescent="0.4">
      <c r="B13" s="19" t="s">
        <v>28</v>
      </c>
      <c r="C13" s="11">
        <v>30.569499999999998</v>
      </c>
      <c r="D13" s="15" t="s">
        <v>29</v>
      </c>
      <c r="E13" s="512" t="s">
        <v>30</v>
      </c>
      <c r="F13" s="512" t="s">
        <v>31</v>
      </c>
    </row>
    <row r="14" spans="2:6" ht="53.25" thickBot="1" x14ac:dyDescent="0.45">
      <c r="B14" s="20" t="s">
        <v>32</v>
      </c>
      <c r="C14" s="14">
        <v>63584.56</v>
      </c>
      <c r="D14" s="18" t="s">
        <v>33</v>
      </c>
      <c r="E14" s="513"/>
      <c r="F14" s="513"/>
    </row>
    <row r="15" spans="2:6" x14ac:dyDescent="0.4">
      <c r="B15" s="9" t="s">
        <v>34</v>
      </c>
      <c r="C15" s="11">
        <v>29.084</v>
      </c>
      <c r="D15" s="15"/>
      <c r="E15" s="512" t="s">
        <v>35</v>
      </c>
      <c r="F15" s="512" t="s">
        <v>36</v>
      </c>
    </row>
    <row r="16" spans="2:6" ht="27" thickBot="1" x14ac:dyDescent="0.45">
      <c r="B16" s="13" t="s">
        <v>37</v>
      </c>
      <c r="C16" s="14">
        <v>60494.720000000001</v>
      </c>
      <c r="D16" s="18"/>
      <c r="E16" s="513"/>
      <c r="F16" s="513"/>
    </row>
    <row r="17" spans="2:6" x14ac:dyDescent="0.4">
      <c r="B17" s="9" t="s">
        <v>38</v>
      </c>
      <c r="C17" s="11">
        <v>35.178200000000004</v>
      </c>
      <c r="D17" s="15" t="s">
        <v>39</v>
      </c>
      <c r="E17" s="512" t="s">
        <v>40</v>
      </c>
      <c r="F17" s="512" t="s">
        <v>41</v>
      </c>
    </row>
    <row r="18" spans="2:6" ht="27" thickBot="1" x14ac:dyDescent="0.45">
      <c r="B18" s="13" t="s">
        <v>42</v>
      </c>
      <c r="C18" s="14">
        <v>73170.656000000003</v>
      </c>
      <c r="D18" s="18"/>
      <c r="E18" s="513"/>
      <c r="F18" s="513"/>
    </row>
    <row r="19" spans="2:6" x14ac:dyDescent="0.4">
      <c r="B19" s="9" t="s">
        <v>43</v>
      </c>
      <c r="C19" s="10">
        <v>30.937200000000001</v>
      </c>
      <c r="D19" s="15"/>
      <c r="E19" s="512" t="s">
        <v>44</v>
      </c>
      <c r="F19" s="512" t="s">
        <v>45</v>
      </c>
    </row>
    <row r="20" spans="2:6" ht="27" thickBot="1" x14ac:dyDescent="0.45">
      <c r="B20" s="13" t="s">
        <v>46</v>
      </c>
      <c r="C20" s="14">
        <v>64349.376000000004</v>
      </c>
      <c r="D20" s="18"/>
      <c r="E20" s="513"/>
      <c r="F20" s="513"/>
    </row>
    <row r="21" spans="2:6" x14ac:dyDescent="0.4">
      <c r="B21" s="16" t="s">
        <v>47</v>
      </c>
      <c r="C21" s="21">
        <v>35.084000000000003</v>
      </c>
      <c r="D21" s="1" t="s">
        <v>48</v>
      </c>
      <c r="E21" s="512" t="s">
        <v>49</v>
      </c>
      <c r="F21" s="517" t="s">
        <v>50</v>
      </c>
    </row>
    <row r="22" spans="2:6" ht="27" thickBot="1" x14ac:dyDescent="0.45">
      <c r="B22" s="13" t="s">
        <v>51</v>
      </c>
      <c r="C22" s="14">
        <v>72974.720000000001</v>
      </c>
      <c r="D22" s="18" t="s">
        <v>52</v>
      </c>
      <c r="E22" s="513"/>
      <c r="F22" s="518"/>
    </row>
    <row r="23" spans="2:6" x14ac:dyDescent="0.4">
      <c r="B23" s="16" t="s">
        <v>53</v>
      </c>
      <c r="C23" s="21">
        <v>38.650100000000002</v>
      </c>
      <c r="D23" s="1" t="s">
        <v>54</v>
      </c>
      <c r="E23" s="512" t="s">
        <v>30</v>
      </c>
      <c r="F23" s="512" t="s">
        <v>55</v>
      </c>
    </row>
    <row r="24" spans="2:6" ht="27" thickBot="1" x14ac:dyDescent="0.45">
      <c r="B24" s="13" t="s">
        <v>56</v>
      </c>
      <c r="C24" s="14">
        <v>80392.207999999999</v>
      </c>
      <c r="D24" s="18"/>
      <c r="E24" s="513"/>
      <c r="F24" s="513"/>
    </row>
    <row r="25" spans="2:6" x14ac:dyDescent="0.4">
      <c r="B25" s="16" t="s">
        <v>57</v>
      </c>
      <c r="C25" s="21">
        <v>40.563600000000001</v>
      </c>
      <c r="D25" s="1" t="s">
        <v>58</v>
      </c>
      <c r="E25" s="512" t="s">
        <v>30</v>
      </c>
      <c r="F25" s="512" t="s">
        <v>59</v>
      </c>
    </row>
    <row r="26" spans="2:6" ht="27" thickBot="1" x14ac:dyDescent="0.45">
      <c r="B26" s="13" t="s">
        <v>60</v>
      </c>
      <c r="C26" s="17">
        <v>84372.288</v>
      </c>
      <c r="E26" s="513"/>
      <c r="F26" s="513"/>
    </row>
    <row r="27" spans="2:6" x14ac:dyDescent="0.4">
      <c r="B27" s="9" t="s">
        <v>61</v>
      </c>
      <c r="C27" s="11">
        <v>43.1312</v>
      </c>
      <c r="D27" s="519" t="s">
        <v>62</v>
      </c>
      <c r="E27" s="512" t="s">
        <v>63</v>
      </c>
      <c r="F27" s="512" t="s">
        <v>64</v>
      </c>
    </row>
    <row r="28" spans="2:6" ht="34.5" customHeight="1" thickBot="1" x14ac:dyDescent="0.45">
      <c r="B28" s="13" t="s">
        <v>65</v>
      </c>
      <c r="C28" s="14">
        <v>89712.895999999993</v>
      </c>
      <c r="D28" s="520"/>
      <c r="E28" s="513"/>
      <c r="F28" s="513"/>
    </row>
    <row r="29" spans="2:6" x14ac:dyDescent="0.4">
      <c r="B29" s="9" t="s">
        <v>66</v>
      </c>
      <c r="C29" s="11">
        <v>43.066240000000008</v>
      </c>
      <c r="D29" s="15"/>
      <c r="E29" s="512" t="s">
        <v>30</v>
      </c>
      <c r="F29" s="512" t="s">
        <v>67</v>
      </c>
    </row>
    <row r="30" spans="2:6" ht="27" thickBot="1" x14ac:dyDescent="0.45">
      <c r="B30" s="13" t="s">
        <v>68</v>
      </c>
      <c r="C30" s="14">
        <v>89577.779200000019</v>
      </c>
      <c r="D30" s="18"/>
      <c r="E30" s="513"/>
      <c r="F30" s="513"/>
    </row>
    <row r="31" spans="2:6" x14ac:dyDescent="0.4">
      <c r="B31" s="9" t="s">
        <v>69</v>
      </c>
      <c r="C31" s="11">
        <v>47.109200000000001</v>
      </c>
      <c r="D31" s="15"/>
      <c r="E31" s="512" t="s">
        <v>70</v>
      </c>
      <c r="F31" s="512" t="s">
        <v>71</v>
      </c>
    </row>
    <row r="32" spans="2:6" ht="38.450000000000003" customHeight="1" thickBot="1" x14ac:dyDescent="0.45">
      <c r="B32" s="13" t="s">
        <v>72</v>
      </c>
      <c r="C32" s="14">
        <v>97987.135999999999</v>
      </c>
      <c r="D32" s="18"/>
      <c r="E32" s="513"/>
      <c r="F32" s="513"/>
    </row>
    <row r="33" spans="2:6" x14ac:dyDescent="0.4">
      <c r="B33" s="9" t="s">
        <v>73</v>
      </c>
      <c r="C33" s="11">
        <v>62.008800000000001</v>
      </c>
      <c r="D33" s="15"/>
      <c r="E33" s="512" t="s">
        <v>74</v>
      </c>
      <c r="F33" s="512" t="s">
        <v>75</v>
      </c>
    </row>
    <row r="34" spans="2:6" ht="27" thickBot="1" x14ac:dyDescent="0.45">
      <c r="B34" s="13" t="s">
        <v>76</v>
      </c>
      <c r="C34" s="14">
        <v>128978.304</v>
      </c>
      <c r="D34" s="18"/>
      <c r="E34" s="513"/>
      <c r="F34" s="513"/>
    </row>
    <row r="36" spans="2:6" ht="78.75" x14ac:dyDescent="0.4">
      <c r="B36" s="22" t="s">
        <v>77</v>
      </c>
      <c r="C36" s="17">
        <f>C6</f>
        <v>39521.664000000004</v>
      </c>
    </row>
    <row r="37" spans="2:6" x14ac:dyDescent="0.4">
      <c r="C37" s="23"/>
    </row>
    <row r="38" spans="2:6" x14ac:dyDescent="0.4">
      <c r="B38" s="24" t="s">
        <v>78</v>
      </c>
      <c r="C38" s="25">
        <f>23.39%+2%</f>
        <v>0.25390000000000001</v>
      </c>
      <c r="D38" s="1" t="s">
        <v>79</v>
      </c>
    </row>
    <row r="39" spans="2:6" ht="34.35" customHeight="1" x14ac:dyDescent="0.4">
      <c r="B39" s="24"/>
      <c r="C39" s="23"/>
      <c r="D39" s="521" t="s">
        <v>80</v>
      </c>
      <c r="E39" s="521"/>
      <c r="F39" s="1"/>
    </row>
    <row r="40" spans="2:6" x14ac:dyDescent="0.4">
      <c r="C40" s="23"/>
    </row>
    <row r="41" spans="2:6" x14ac:dyDescent="0.4">
      <c r="B41" s="24" t="s">
        <v>81</v>
      </c>
      <c r="C41" s="26">
        <v>0.12</v>
      </c>
      <c r="D41" s="1" t="s">
        <v>82</v>
      </c>
    </row>
    <row r="42" spans="2:6" x14ac:dyDescent="0.4">
      <c r="B42" s="24"/>
      <c r="C42" s="4"/>
    </row>
    <row r="43" spans="2:6" x14ac:dyDescent="0.4">
      <c r="B43" s="522" t="s">
        <v>83</v>
      </c>
      <c r="C43" s="522"/>
      <c r="D43" s="522"/>
    </row>
    <row r="44" spans="2:6" x14ac:dyDescent="0.4">
      <c r="B44" s="24" t="s">
        <v>84</v>
      </c>
      <c r="C44" s="17">
        <v>247150</v>
      </c>
      <c r="D44" s="1" t="s">
        <v>85</v>
      </c>
    </row>
    <row r="45" spans="2:6" x14ac:dyDescent="0.4">
      <c r="B45" s="24" t="s">
        <v>86</v>
      </c>
      <c r="C45" s="17">
        <v>206010</v>
      </c>
      <c r="D45" s="1" t="s">
        <v>87</v>
      </c>
    </row>
    <row r="46" spans="2:6" x14ac:dyDescent="0.4">
      <c r="B46" s="24" t="s">
        <v>88</v>
      </c>
      <c r="C46" s="17">
        <v>133902</v>
      </c>
      <c r="D46" s="1" t="s">
        <v>89</v>
      </c>
    </row>
    <row r="49" spans="3:3" x14ac:dyDescent="0.4">
      <c r="C49" s="12"/>
    </row>
    <row r="50" spans="3:3" x14ac:dyDescent="0.4">
      <c r="C50" s="27"/>
    </row>
  </sheetData>
  <mergeCells count="34">
    <mergeCell ref="D39:E39"/>
    <mergeCell ref="B43:D43"/>
    <mergeCell ref="E29:E30"/>
    <mergeCell ref="F29:F30"/>
    <mergeCell ref="E31:E32"/>
    <mergeCell ref="F31:F32"/>
    <mergeCell ref="E33:E34"/>
    <mergeCell ref="F33:F34"/>
    <mergeCell ref="E23:E24"/>
    <mergeCell ref="F23:F24"/>
    <mergeCell ref="E25:E26"/>
    <mergeCell ref="F25:F26"/>
    <mergeCell ref="D27:D28"/>
    <mergeCell ref="E27:E28"/>
    <mergeCell ref="F27:F28"/>
    <mergeCell ref="E17:E18"/>
    <mergeCell ref="F17:F18"/>
    <mergeCell ref="E19:E20"/>
    <mergeCell ref="F19:F20"/>
    <mergeCell ref="E21:E22"/>
    <mergeCell ref="F21:F22"/>
    <mergeCell ref="E11:E12"/>
    <mergeCell ref="F11:F12"/>
    <mergeCell ref="E13:E14"/>
    <mergeCell ref="F13:F14"/>
    <mergeCell ref="E15:E16"/>
    <mergeCell ref="F15:F16"/>
    <mergeCell ref="E9:E10"/>
    <mergeCell ref="F9:F10"/>
    <mergeCell ref="D5:D6"/>
    <mergeCell ref="E5:E6"/>
    <mergeCell ref="F5:F6"/>
    <mergeCell ref="E7:E8"/>
    <mergeCell ref="F7:F8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2E5F-8737-49D6-B1AD-1B676C20534B}">
  <sheetPr>
    <pageSetUpPr fitToPage="1"/>
  </sheetPr>
  <dimension ref="A1:L27"/>
  <sheetViews>
    <sheetView showGridLines="0" tabSelected="1" zoomScaleNormal="100" workbookViewId="0">
      <selection activeCell="C21" sqref="C21"/>
    </sheetView>
  </sheetViews>
  <sheetFormatPr defaultColWidth="9.140625" defaultRowHeight="12.75" x14ac:dyDescent="0.2"/>
  <cols>
    <col min="1" max="1" width="5.140625" style="426" customWidth="1"/>
    <col min="2" max="2" width="31.42578125" style="400" customWidth="1"/>
    <col min="3" max="3" width="14.5703125" style="357" customWidth="1"/>
    <col min="4" max="4" width="42.7109375" style="357" customWidth="1"/>
    <col min="5" max="5" width="9.140625" style="426"/>
    <col min="6" max="6" width="30" style="470" customWidth="1"/>
    <col min="7" max="7" width="13.140625" style="432" customWidth="1"/>
    <col min="8" max="8" width="10.7109375" style="426" customWidth="1"/>
    <col min="9" max="9" width="14.5703125" style="426" customWidth="1"/>
    <col min="10" max="10" width="9.140625" style="426"/>
    <col min="11" max="11" width="22.42578125" style="426" customWidth="1"/>
    <col min="12" max="12" width="24.42578125" style="426" customWidth="1"/>
    <col min="13" max="16384" width="9.140625" style="426"/>
  </cols>
  <sheetData>
    <row r="1" spans="1:12" ht="18.75" customHeight="1" thickBot="1" x14ac:dyDescent="0.25">
      <c r="C1" s="429"/>
      <c r="D1" s="430"/>
      <c r="F1" s="431"/>
    </row>
    <row r="2" spans="1:12" ht="45" customHeight="1" thickBot="1" x14ac:dyDescent="0.25">
      <c r="B2" s="523" t="s">
        <v>90</v>
      </c>
      <c r="C2" s="524"/>
      <c r="D2" s="525"/>
      <c r="F2" s="523" t="s">
        <v>91</v>
      </c>
      <c r="G2" s="524"/>
      <c r="H2" s="524"/>
      <c r="I2" s="525"/>
    </row>
    <row r="3" spans="1:12" ht="15" customHeight="1" x14ac:dyDescent="0.2">
      <c r="B3" s="526" t="s">
        <v>100</v>
      </c>
      <c r="C3" s="527"/>
      <c r="D3" s="355" t="s">
        <v>92</v>
      </c>
      <c r="F3" s="388" t="s">
        <v>93</v>
      </c>
      <c r="G3" s="433">
        <v>300</v>
      </c>
      <c r="H3" s="434" t="s">
        <v>94</v>
      </c>
      <c r="I3" s="435">
        <v>12</v>
      </c>
      <c r="K3" s="436"/>
    </row>
    <row r="4" spans="1:12" ht="15" customHeight="1" x14ac:dyDescent="0.2">
      <c r="B4" s="360" t="s">
        <v>101</v>
      </c>
      <c r="C4" s="361">
        <v>1</v>
      </c>
      <c r="D4" s="362" t="s">
        <v>102</v>
      </c>
      <c r="F4" s="363"/>
      <c r="G4" s="437"/>
      <c r="H4" s="438" t="s">
        <v>96</v>
      </c>
      <c r="I4" s="439" t="s">
        <v>97</v>
      </c>
      <c r="K4" s="436"/>
    </row>
    <row r="5" spans="1:12" ht="15" customHeight="1" x14ac:dyDescent="0.2">
      <c r="B5" s="440" t="s">
        <v>104</v>
      </c>
      <c r="C5" s="370">
        <v>2</v>
      </c>
      <c r="D5" s="362" t="s">
        <v>102</v>
      </c>
      <c r="E5" s="441"/>
      <c r="F5" s="360" t="s">
        <v>235</v>
      </c>
      <c r="G5" s="442"/>
      <c r="H5" s="443"/>
      <c r="I5" s="444">
        <v>72974.720000000001</v>
      </c>
      <c r="K5" s="436"/>
      <c r="L5" s="445"/>
    </row>
    <row r="6" spans="1:12" ht="15" customHeight="1" x14ac:dyDescent="0.2">
      <c r="B6" s="374" t="s">
        <v>99</v>
      </c>
      <c r="C6" s="375">
        <v>1</v>
      </c>
      <c r="D6" s="376" t="s">
        <v>102</v>
      </c>
      <c r="F6" s="360" t="s">
        <v>233</v>
      </c>
      <c r="G6" s="446"/>
      <c r="H6" s="370"/>
      <c r="I6" s="447">
        <v>100843.0592</v>
      </c>
      <c r="K6" s="436"/>
      <c r="L6" s="445"/>
    </row>
    <row r="7" spans="1:12" ht="15" customHeight="1" x14ac:dyDescent="0.2">
      <c r="A7" s="350"/>
      <c r="B7" s="526" t="s">
        <v>106</v>
      </c>
      <c r="C7" s="527"/>
      <c r="D7" s="528"/>
      <c r="F7" s="374" t="s">
        <v>234</v>
      </c>
      <c r="G7" s="448"/>
      <c r="H7" s="361"/>
      <c r="I7" s="444">
        <v>73170.656000000003</v>
      </c>
      <c r="K7" s="436"/>
      <c r="L7" s="445"/>
    </row>
    <row r="8" spans="1:12" ht="15" customHeight="1" x14ac:dyDescent="0.2">
      <c r="A8" s="350"/>
      <c r="B8" s="385" t="s">
        <v>108</v>
      </c>
      <c r="C8" s="449">
        <f>'M2021 BLS  SALARY CHART'!C38</f>
        <v>0.25390000000000001</v>
      </c>
      <c r="D8" s="362" t="s">
        <v>238</v>
      </c>
      <c r="F8" s="363" t="s">
        <v>103</v>
      </c>
      <c r="G8" s="450"/>
      <c r="H8" s="451">
        <v>4</v>
      </c>
      <c r="I8" s="452">
        <f>SUM(I5:I7)</f>
        <v>246988.43520000001</v>
      </c>
      <c r="K8" s="436"/>
      <c r="L8" s="445"/>
    </row>
    <row r="9" spans="1:12" ht="15" customHeight="1" x14ac:dyDescent="0.2">
      <c r="A9" s="350"/>
      <c r="B9" s="385" t="s">
        <v>111</v>
      </c>
      <c r="C9" s="453">
        <v>152.16999999999999</v>
      </c>
      <c r="D9" s="362" t="s">
        <v>112</v>
      </c>
      <c r="F9" s="360" t="s">
        <v>105</v>
      </c>
      <c r="G9" s="454">
        <f>C8</f>
        <v>0.25390000000000001</v>
      </c>
      <c r="H9" s="357"/>
      <c r="I9" s="444">
        <f>I8*G9</f>
        <v>62710.363697280009</v>
      </c>
      <c r="K9" s="436"/>
      <c r="L9" s="445"/>
    </row>
    <row r="10" spans="1:12" ht="15" customHeight="1" x14ac:dyDescent="0.2">
      <c r="A10" s="350"/>
      <c r="B10" s="385" t="s">
        <v>113</v>
      </c>
      <c r="C10" s="453">
        <v>25.67</v>
      </c>
      <c r="D10" s="362" t="s">
        <v>114</v>
      </c>
      <c r="F10" s="455" t="s">
        <v>236</v>
      </c>
      <c r="G10" s="454">
        <f>C13</f>
        <v>2.7799999999999998E-2</v>
      </c>
      <c r="H10" s="357"/>
      <c r="I10" s="444">
        <f>(I9+I8)*G10</f>
        <v>8609.6266093443828</v>
      </c>
      <c r="K10" s="436"/>
      <c r="L10" s="445"/>
    </row>
    <row r="11" spans="1:12" ht="15" customHeight="1" x14ac:dyDescent="0.2">
      <c r="A11" s="350"/>
      <c r="B11" s="385" t="s">
        <v>115</v>
      </c>
      <c r="C11" s="453">
        <f>9.36*(2%+1)</f>
        <v>9.5472000000000001</v>
      </c>
      <c r="D11" s="362" t="s">
        <v>116</v>
      </c>
      <c r="F11" s="377" t="s">
        <v>107</v>
      </c>
      <c r="G11" s="456"/>
      <c r="H11" s="457"/>
      <c r="I11" s="452">
        <f>SUM(I8:I10)</f>
        <v>318308.42550662439</v>
      </c>
      <c r="K11" s="436"/>
      <c r="L11" s="445"/>
    </row>
    <row r="12" spans="1:12" ht="15" customHeight="1" x14ac:dyDescent="0.2">
      <c r="B12" s="458" t="s">
        <v>118</v>
      </c>
      <c r="C12" s="459">
        <f>'M2021 BLS  SALARY CHART'!C41</f>
        <v>0.12</v>
      </c>
      <c r="D12" s="376" t="s">
        <v>82</v>
      </c>
      <c r="F12" s="360"/>
      <c r="G12" s="457" t="s">
        <v>109</v>
      </c>
      <c r="H12" s="457" t="s">
        <v>110</v>
      </c>
      <c r="I12" s="444"/>
      <c r="K12" s="436"/>
      <c r="L12" s="445"/>
    </row>
    <row r="13" spans="1:12" ht="15" customHeight="1" thickBot="1" x14ac:dyDescent="0.25">
      <c r="B13" s="398" t="s">
        <v>120</v>
      </c>
      <c r="C13" s="460">
        <v>2.7799999999999998E-2</v>
      </c>
      <c r="D13" s="399" t="s">
        <v>121</v>
      </c>
      <c r="F13" s="360" t="s">
        <v>111</v>
      </c>
      <c r="G13" s="461">
        <f>C9</f>
        <v>152.16999999999999</v>
      </c>
      <c r="H13" s="357">
        <v>104</v>
      </c>
      <c r="I13" s="444">
        <f>G13*H13</f>
        <v>15825.679999999998</v>
      </c>
      <c r="K13" s="436"/>
      <c r="L13" s="445"/>
    </row>
    <row r="14" spans="1:12" ht="15" customHeight="1" x14ac:dyDescent="0.2">
      <c r="F14" s="360" t="s">
        <v>113</v>
      </c>
      <c r="G14" s="453">
        <f>C10</f>
        <v>25.67</v>
      </c>
      <c r="H14" s="462"/>
      <c r="I14" s="444">
        <f>150*H8*G14</f>
        <v>15402.000000000002</v>
      </c>
      <c r="K14" s="436"/>
      <c r="L14" s="445"/>
    </row>
    <row r="15" spans="1:12" ht="15" customHeight="1" x14ac:dyDescent="0.2">
      <c r="F15" s="360" t="s">
        <v>117</v>
      </c>
      <c r="G15" s="453">
        <f>C11</f>
        <v>9.5472000000000001</v>
      </c>
      <c r="H15" s="357"/>
      <c r="I15" s="444">
        <f>G15*G3*I3</f>
        <v>34369.919999999998</v>
      </c>
      <c r="K15" s="436"/>
      <c r="L15" s="445"/>
    </row>
    <row r="16" spans="1:12" ht="15" customHeight="1" x14ac:dyDescent="0.2">
      <c r="F16" s="463" t="s">
        <v>119</v>
      </c>
      <c r="G16" s="464"/>
      <c r="H16" s="457"/>
      <c r="I16" s="452">
        <f>I11+SUM(I13:I15)</f>
        <v>383906.02550662437</v>
      </c>
      <c r="K16" s="436"/>
      <c r="L16" s="445"/>
    </row>
    <row r="17" spans="2:12" ht="15" customHeight="1" x14ac:dyDescent="0.2">
      <c r="C17" s="462"/>
      <c r="F17" s="401" t="str">
        <f>B12</f>
        <v>Administrative Allocation</v>
      </c>
      <c r="G17" s="449">
        <f>C12</f>
        <v>0.12</v>
      </c>
      <c r="H17" s="357"/>
      <c r="I17" s="444">
        <f>I16*G17</f>
        <v>46068.723060794924</v>
      </c>
      <c r="K17" s="436"/>
      <c r="L17" s="445"/>
    </row>
    <row r="18" spans="2:12" ht="15" customHeight="1" x14ac:dyDescent="0.2">
      <c r="B18" s="79"/>
      <c r="F18" s="377" t="s">
        <v>122</v>
      </c>
      <c r="G18" s="437"/>
      <c r="H18" s="457"/>
      <c r="I18" s="452">
        <f>SUM(I16:I17)</f>
        <v>429974.7485674193</v>
      </c>
      <c r="K18" s="436"/>
      <c r="L18" s="445"/>
    </row>
    <row r="19" spans="2:12" ht="15" customHeight="1" x14ac:dyDescent="0.2">
      <c r="B19" s="51"/>
      <c r="F19" s="360" t="s">
        <v>237</v>
      </c>
      <c r="G19" s="465">
        <f>C13</f>
        <v>2.7799999999999998E-2</v>
      </c>
      <c r="H19" s="357"/>
      <c r="I19" s="444">
        <f>SUM(I13:I15)*G19</f>
        <v>1823.61328</v>
      </c>
      <c r="K19" s="436"/>
      <c r="L19" s="445"/>
    </row>
    <row r="20" spans="2:12" ht="15" customHeight="1" x14ac:dyDescent="0.2">
      <c r="B20" s="51"/>
      <c r="F20" s="377" t="s">
        <v>123</v>
      </c>
      <c r="G20" s="437"/>
      <c r="H20" s="457"/>
      <c r="I20" s="452">
        <f>SUM(I18:I19)</f>
        <v>431798.36184741929</v>
      </c>
      <c r="K20" s="436"/>
      <c r="L20" s="445"/>
    </row>
    <row r="21" spans="2:12" ht="15" customHeight="1" thickBot="1" x14ac:dyDescent="0.25">
      <c r="B21" s="51"/>
      <c r="F21" s="466" t="s">
        <v>124</v>
      </c>
      <c r="G21" s="467"/>
      <c r="H21" s="468"/>
      <c r="I21" s="469">
        <f>ROUND(I20/12,0)</f>
        <v>35983</v>
      </c>
      <c r="K21" s="436"/>
      <c r="L21" s="445"/>
    </row>
    <row r="22" spans="2:12" ht="15" customHeight="1" x14ac:dyDescent="0.2">
      <c r="B22" s="51"/>
      <c r="G22" s="426"/>
      <c r="I22" s="471"/>
    </row>
    <row r="23" spans="2:12" ht="15" customHeight="1" x14ac:dyDescent="0.2"/>
    <row r="24" spans="2:12" ht="15" customHeight="1" x14ac:dyDescent="0.2"/>
    <row r="27" spans="2:12" x14ac:dyDescent="0.2">
      <c r="G27" s="472"/>
    </row>
  </sheetData>
  <mergeCells count="4">
    <mergeCell ref="B2:D2"/>
    <mergeCell ref="F2:I2"/>
    <mergeCell ref="B3:C3"/>
    <mergeCell ref="B7:D7"/>
  </mergeCells>
  <pageMargins left="0.2" right="0.2" top="0.75" bottom="0.75" header="0.3" footer="0.3"/>
  <pageSetup scale="62" orientation="landscape" r:id="rId1"/>
  <ignoredErrors>
    <ignoredError sqref="I19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5AF4-0279-47CC-A564-5EE2BA0AB59A}">
  <sheetPr>
    <pageSetUpPr fitToPage="1"/>
  </sheetPr>
  <dimension ref="B1:O66"/>
  <sheetViews>
    <sheetView showGridLines="0" zoomScaleNormal="100" zoomScalePageLayoutView="55" workbookViewId="0">
      <selection activeCell="C21" sqref="C21"/>
    </sheetView>
  </sheetViews>
  <sheetFormatPr defaultColWidth="8.85546875" defaultRowHeight="15" customHeight="1" x14ac:dyDescent="0.2"/>
  <cols>
    <col min="1" max="1" width="2.5703125" style="51" customWidth="1"/>
    <col min="2" max="2" width="31" style="426" customWidth="1"/>
    <col min="3" max="3" width="9.5703125" style="426" customWidth="1"/>
    <col min="4" max="4" width="8.7109375" style="426" customWidth="1"/>
    <col min="5" max="5" width="48.5703125" style="426" customWidth="1"/>
    <col min="6" max="6" width="4.42578125" style="51" customWidth="1"/>
    <col min="7" max="7" width="28.42578125" style="51" customWidth="1"/>
    <col min="8" max="8" width="12.7109375" style="51" customWidth="1"/>
    <col min="9" max="9" width="13.5703125" style="51" customWidth="1"/>
    <col min="10" max="10" width="11.7109375" style="51" customWidth="1"/>
    <col min="11" max="11" width="3.42578125" style="51" customWidth="1"/>
    <col min="12" max="12" width="29.5703125" style="51" customWidth="1"/>
    <col min="13" max="13" width="12.7109375" style="51" customWidth="1"/>
    <col min="14" max="14" width="10.5703125" style="51" customWidth="1"/>
    <col min="15" max="15" width="13.42578125" style="51" customWidth="1"/>
    <col min="16" max="17" width="8.85546875" style="51"/>
    <col min="18" max="18" width="29.140625" style="51" customWidth="1"/>
    <col min="19" max="19" width="8.85546875" style="51"/>
    <col min="20" max="20" width="17.28515625" style="51" customWidth="1"/>
    <col min="21" max="21" width="16.140625" style="51" customWidth="1"/>
    <col min="22" max="16384" width="8.85546875" style="51"/>
  </cols>
  <sheetData>
    <row r="1" spans="2:15" ht="15" customHeight="1" thickBot="1" x14ac:dyDescent="0.25">
      <c r="B1" s="350"/>
      <c r="C1" s="350"/>
      <c r="D1" s="350"/>
      <c r="E1" s="350"/>
      <c r="G1" s="351"/>
    </row>
    <row r="2" spans="2:15" ht="18.75" customHeight="1" thickBot="1" x14ac:dyDescent="0.25">
      <c r="B2" s="523" t="s">
        <v>125</v>
      </c>
      <c r="C2" s="524"/>
      <c r="D2" s="524"/>
      <c r="E2" s="525"/>
      <c r="G2" s="529" t="s">
        <v>126</v>
      </c>
      <c r="H2" s="530"/>
      <c r="I2" s="530"/>
      <c r="J2" s="531"/>
      <c r="L2" s="529" t="s">
        <v>127</v>
      </c>
      <c r="M2" s="530"/>
      <c r="N2" s="530"/>
      <c r="O2" s="531"/>
    </row>
    <row r="3" spans="2:15" ht="17.25" customHeight="1" x14ac:dyDescent="0.2">
      <c r="B3" s="352" t="s">
        <v>100</v>
      </c>
      <c r="C3" s="353" t="s">
        <v>133</v>
      </c>
      <c r="D3" s="354" t="s">
        <v>134</v>
      </c>
      <c r="E3" s="355" t="s">
        <v>92</v>
      </c>
      <c r="G3" s="356" t="s">
        <v>128</v>
      </c>
      <c r="H3" s="357">
        <v>8</v>
      </c>
      <c r="I3" s="358" t="s">
        <v>129</v>
      </c>
      <c r="J3" s="359">
        <f>H3*365</f>
        <v>2920</v>
      </c>
      <c r="L3" s="356" t="s">
        <v>128</v>
      </c>
      <c r="M3" s="357">
        <v>12</v>
      </c>
      <c r="N3" s="358" t="s">
        <v>129</v>
      </c>
      <c r="O3" s="359">
        <f>M3*365</f>
        <v>4380</v>
      </c>
    </row>
    <row r="4" spans="2:15" ht="15" customHeight="1" x14ac:dyDescent="0.2">
      <c r="B4" s="360" t="s">
        <v>101</v>
      </c>
      <c r="C4" s="361">
        <v>1</v>
      </c>
      <c r="D4" s="361">
        <v>1</v>
      </c>
      <c r="E4" s="362" t="s">
        <v>102</v>
      </c>
      <c r="G4" s="363" t="s">
        <v>2</v>
      </c>
      <c r="H4" s="364"/>
      <c r="I4" s="364" t="s">
        <v>130</v>
      </c>
      <c r="J4" s="365" t="s">
        <v>97</v>
      </c>
      <c r="L4" s="363" t="s">
        <v>2</v>
      </c>
      <c r="M4" s="364"/>
      <c r="N4" s="364" t="s">
        <v>130</v>
      </c>
      <c r="O4" s="365" t="s">
        <v>97</v>
      </c>
    </row>
    <row r="5" spans="2:15" ht="15" customHeight="1" x14ac:dyDescent="0.2">
      <c r="B5" s="360" t="s">
        <v>137</v>
      </c>
      <c r="C5" s="361"/>
      <c r="D5" s="361">
        <v>0.25</v>
      </c>
      <c r="E5" s="362" t="s">
        <v>102</v>
      </c>
      <c r="G5" s="366" t="s">
        <v>235</v>
      </c>
      <c r="H5" s="367"/>
      <c r="I5" s="368"/>
      <c r="J5" s="369">
        <v>72974.720000000001</v>
      </c>
      <c r="L5" s="366" t="s">
        <v>235</v>
      </c>
      <c r="M5" s="367"/>
      <c r="N5" s="370"/>
      <c r="O5" s="369">
        <v>72974.720000000001</v>
      </c>
    </row>
    <row r="6" spans="2:15" ht="15" customHeight="1" x14ac:dyDescent="0.2">
      <c r="B6" s="360" t="s">
        <v>131</v>
      </c>
      <c r="C6" s="361">
        <v>6</v>
      </c>
      <c r="D6" s="361">
        <v>8</v>
      </c>
      <c r="E6" s="362" t="s">
        <v>102</v>
      </c>
      <c r="G6" s="371" t="s">
        <v>242</v>
      </c>
      <c r="H6" s="367"/>
      <c r="I6" s="372"/>
      <c r="J6" s="373">
        <v>277259.67</v>
      </c>
      <c r="L6" s="371" t="s">
        <v>242</v>
      </c>
      <c r="M6" s="367"/>
      <c r="N6" s="370"/>
      <c r="O6" s="369">
        <v>384033.81</v>
      </c>
    </row>
    <row r="7" spans="2:15" ht="15" customHeight="1" x14ac:dyDescent="0.2">
      <c r="B7" s="374" t="s">
        <v>132</v>
      </c>
      <c r="C7" s="375">
        <f>C6*D25</f>
        <v>1.0153846153846153</v>
      </c>
      <c r="D7" s="375">
        <f>(D6+D5)*D25</f>
        <v>1.3961538461538463</v>
      </c>
      <c r="E7" s="376" t="s">
        <v>102</v>
      </c>
      <c r="G7" s="377" t="s">
        <v>135</v>
      </c>
      <c r="H7" s="378"/>
      <c r="I7" s="379">
        <v>8.0153846153846153</v>
      </c>
      <c r="J7" s="380">
        <f>SUM(J5:J6)</f>
        <v>350234.39</v>
      </c>
      <c r="L7" s="377" t="s">
        <v>135</v>
      </c>
      <c r="M7" s="378"/>
      <c r="N7" s="379">
        <v>10.646153846153846</v>
      </c>
      <c r="O7" s="380">
        <f>SUM(O5:O6)</f>
        <v>457008.53</v>
      </c>
    </row>
    <row r="8" spans="2:15" ht="15" customHeight="1" x14ac:dyDescent="0.2">
      <c r="B8" s="526" t="s">
        <v>106</v>
      </c>
      <c r="C8" s="527"/>
      <c r="D8" s="532"/>
      <c r="E8" s="381"/>
      <c r="G8" s="360" t="s">
        <v>136</v>
      </c>
      <c r="H8" s="382">
        <f>C9</f>
        <v>0.25390000000000001</v>
      </c>
      <c r="I8" s="383"/>
      <c r="J8" s="384">
        <f>J7*H8</f>
        <v>88924.511621000012</v>
      </c>
      <c r="L8" s="360" t="s">
        <v>136</v>
      </c>
      <c r="M8" s="382">
        <f>C9</f>
        <v>0.25390000000000001</v>
      </c>
      <c r="N8" s="383"/>
      <c r="O8" s="384">
        <f>O7*M8</f>
        <v>116034.46576700002</v>
      </c>
    </row>
    <row r="9" spans="2:15" ht="15" customHeight="1" x14ac:dyDescent="0.2">
      <c r="B9" s="385" t="s">
        <v>108</v>
      </c>
      <c r="C9" s="533">
        <f>'M2021 BLS  SALARY CHART'!C38</f>
        <v>0.25390000000000001</v>
      </c>
      <c r="D9" s="534"/>
      <c r="E9" s="362" t="s">
        <v>238</v>
      </c>
      <c r="F9" s="386"/>
      <c r="G9" s="360" t="s">
        <v>239</v>
      </c>
      <c r="H9" s="382">
        <f>C16</f>
        <v>2.7799999999999998E-2</v>
      </c>
      <c r="I9" s="383"/>
      <c r="J9" s="384">
        <f>(J8+J7)*H9</f>
        <v>12208.6174650638</v>
      </c>
      <c r="L9" s="360" t="s">
        <v>239</v>
      </c>
      <c r="M9" s="382">
        <f>C16</f>
        <v>2.7799999999999998E-2</v>
      </c>
      <c r="N9" s="383"/>
      <c r="O9" s="384">
        <f>(O8+O7)*M9</f>
        <v>15930.5952823226</v>
      </c>
    </row>
    <row r="10" spans="2:15" ht="15" customHeight="1" x14ac:dyDescent="0.2">
      <c r="B10" s="360" t="s">
        <v>140</v>
      </c>
      <c r="C10" s="535">
        <v>94.45</v>
      </c>
      <c r="D10" s="536"/>
      <c r="E10" s="362" t="str">
        <f>'Outreach and Engagement'!D9</f>
        <v>Benchmarked to  101 CMR 413: YITs</v>
      </c>
      <c r="F10" s="386"/>
      <c r="G10" s="377" t="s">
        <v>138</v>
      </c>
      <c r="H10" s="387"/>
      <c r="I10" s="387"/>
      <c r="J10" s="380">
        <f>SUM(J7:J9)</f>
        <v>451367.51908606384</v>
      </c>
      <c r="L10" s="377" t="s">
        <v>138</v>
      </c>
      <c r="M10" s="387"/>
      <c r="N10" s="387"/>
      <c r="O10" s="380">
        <f>SUM(O7:O9)</f>
        <v>588973.59104932263</v>
      </c>
    </row>
    <row r="11" spans="2:15" ht="15" customHeight="1" x14ac:dyDescent="0.2">
      <c r="B11" s="371" t="s">
        <v>143</v>
      </c>
      <c r="C11" s="370">
        <v>1</v>
      </c>
      <c r="D11" s="370">
        <v>2</v>
      </c>
      <c r="E11" s="362" t="s">
        <v>243</v>
      </c>
      <c r="F11" s="386"/>
      <c r="G11" s="388"/>
      <c r="H11" s="389" t="s">
        <v>139</v>
      </c>
      <c r="I11" s="389" t="s">
        <v>110</v>
      </c>
      <c r="J11" s="390"/>
      <c r="K11" s="386"/>
      <c r="L11" s="388"/>
      <c r="M11" s="389" t="s">
        <v>139</v>
      </c>
      <c r="N11" s="389" t="s">
        <v>110</v>
      </c>
      <c r="O11" s="390"/>
    </row>
    <row r="12" spans="2:15" ht="15" customHeight="1" x14ac:dyDescent="0.2">
      <c r="B12" s="391" t="s">
        <v>141</v>
      </c>
      <c r="C12" s="535">
        <f>29.75*(2%+1)</f>
        <v>30.344999999999999</v>
      </c>
      <c r="D12" s="536"/>
      <c r="E12" s="362" t="s">
        <v>145</v>
      </c>
      <c r="F12" s="386"/>
      <c r="G12" s="360" t="s">
        <v>140</v>
      </c>
      <c r="H12" s="427">
        <f>C10</f>
        <v>94.45</v>
      </c>
      <c r="I12" s="383">
        <f>C11*52</f>
        <v>52</v>
      </c>
      <c r="J12" s="384">
        <f>H12*I12</f>
        <v>4911.4000000000005</v>
      </c>
      <c r="K12" s="386"/>
      <c r="L12" s="360" t="s">
        <v>140</v>
      </c>
      <c r="M12" s="427">
        <f>C10</f>
        <v>94.45</v>
      </c>
      <c r="N12" s="383">
        <f>D11*52</f>
        <v>104</v>
      </c>
      <c r="O12" s="384">
        <f>M12*N12</f>
        <v>9822.8000000000011</v>
      </c>
    </row>
    <row r="13" spans="2:15" ht="15" customHeight="1" x14ac:dyDescent="0.2">
      <c r="B13" s="360" t="s">
        <v>142</v>
      </c>
      <c r="C13" s="535">
        <v>9.66</v>
      </c>
      <c r="D13" s="536"/>
      <c r="E13" s="362" t="s">
        <v>241</v>
      </c>
      <c r="F13" s="386"/>
      <c r="G13" s="391" t="s">
        <v>141</v>
      </c>
      <c r="H13" s="427">
        <f>C12</f>
        <v>30.344999999999999</v>
      </c>
      <c r="I13" s="392"/>
      <c r="J13" s="369">
        <f>J3*H13</f>
        <v>88607.4</v>
      </c>
      <c r="K13" s="386"/>
      <c r="L13" s="391" t="s">
        <v>141</v>
      </c>
      <c r="M13" s="427">
        <f>C12</f>
        <v>30.344999999999999</v>
      </c>
      <c r="N13" s="392"/>
      <c r="O13" s="369">
        <f>O3*M13</f>
        <v>132911.1</v>
      </c>
    </row>
    <row r="14" spans="2:15" ht="15" customHeight="1" x14ac:dyDescent="0.2">
      <c r="B14" s="360" t="s">
        <v>144</v>
      </c>
      <c r="C14" s="537">
        <f>1215.76*(2%+1)</f>
        <v>1240.0752</v>
      </c>
      <c r="D14" s="538"/>
      <c r="E14" s="362" t="s">
        <v>145</v>
      </c>
      <c r="F14" s="386"/>
      <c r="G14" s="360" t="s">
        <v>142</v>
      </c>
      <c r="H14" s="427">
        <f>C13</f>
        <v>9.66</v>
      </c>
      <c r="I14" s="393"/>
      <c r="J14" s="384">
        <f>H14*J3</f>
        <v>28207.200000000001</v>
      </c>
      <c r="K14" s="386"/>
      <c r="L14" s="360" t="s">
        <v>142</v>
      </c>
      <c r="M14" s="427">
        <f>C13</f>
        <v>9.66</v>
      </c>
      <c r="N14" s="393"/>
      <c r="O14" s="384">
        <f>M14*O3</f>
        <v>42310.8</v>
      </c>
    </row>
    <row r="15" spans="2:15" ht="15" customHeight="1" x14ac:dyDescent="0.2">
      <c r="B15" s="394" t="s">
        <v>118</v>
      </c>
      <c r="C15" s="539">
        <f>'M2021 BLS  SALARY CHART'!C41</f>
        <v>0.12</v>
      </c>
      <c r="D15" s="540"/>
      <c r="E15" s="395" t="s">
        <v>82</v>
      </c>
      <c r="F15" s="386"/>
      <c r="G15" s="360" t="s">
        <v>144</v>
      </c>
      <c r="H15" s="428">
        <f>C14</f>
        <v>1240.0752</v>
      </c>
      <c r="I15" s="397"/>
      <c r="J15" s="384">
        <f>H15*H3</f>
        <v>9920.6016</v>
      </c>
      <c r="K15" s="386"/>
      <c r="L15" s="360" t="s">
        <v>144</v>
      </c>
      <c r="M15" s="428">
        <f>C14</f>
        <v>1240.0752</v>
      </c>
      <c r="N15" s="397"/>
      <c r="O15" s="384">
        <f>M15*M3</f>
        <v>14880.902399999999</v>
      </c>
    </row>
    <row r="16" spans="2:15" ht="15" customHeight="1" thickBot="1" x14ac:dyDescent="0.25">
      <c r="B16" s="398" t="s">
        <v>120</v>
      </c>
      <c r="C16" s="541">
        <f>'Outreach and Engagement'!C13</f>
        <v>2.7799999999999998E-2</v>
      </c>
      <c r="D16" s="542"/>
      <c r="E16" s="399" t="str">
        <f>'Outreach and Engagement'!D13</f>
        <v>FY24 &amp; FY25</v>
      </c>
      <c r="F16" s="386"/>
      <c r="G16" s="377" t="s">
        <v>119</v>
      </c>
      <c r="H16" s="387"/>
      <c r="I16" s="387"/>
      <c r="J16" s="380">
        <f>J10+SUM(J12:J15)</f>
        <v>583014.12068606378</v>
      </c>
      <c r="K16" s="386"/>
      <c r="L16" s="377" t="s">
        <v>119</v>
      </c>
      <c r="M16" s="387"/>
      <c r="N16" s="387"/>
      <c r="O16" s="380">
        <f>O10+SUM(O12:O15)</f>
        <v>788899.1934493226</v>
      </c>
    </row>
    <row r="17" spans="2:15" ht="15" customHeight="1" x14ac:dyDescent="0.2">
      <c r="B17" s="400"/>
      <c r="C17" s="357"/>
      <c r="D17" s="357"/>
      <c r="E17" s="357"/>
      <c r="F17" s="386"/>
      <c r="G17" s="401" t="str">
        <f>B15</f>
        <v>Administrative Allocation</v>
      </c>
      <c r="H17" s="382">
        <f>C15</f>
        <v>0.12</v>
      </c>
      <c r="I17" s="383"/>
      <c r="J17" s="384">
        <f>J16*H17</f>
        <v>69961.694482327657</v>
      </c>
      <c r="K17" s="386"/>
      <c r="L17" s="401" t="str">
        <f>B15</f>
        <v>Administrative Allocation</v>
      </c>
      <c r="M17" s="382">
        <f>C15</f>
        <v>0.12</v>
      </c>
      <c r="N17" s="383"/>
      <c r="O17" s="384">
        <f>O16*M17</f>
        <v>94667.903213918704</v>
      </c>
    </row>
    <row r="18" spans="2:15" ht="15" customHeight="1" thickBot="1" x14ac:dyDescent="0.25">
      <c r="B18" s="402"/>
      <c r="C18" s="402"/>
      <c r="D18" s="402"/>
      <c r="E18" s="402"/>
      <c r="F18" s="386"/>
      <c r="G18" s="403" t="s">
        <v>122</v>
      </c>
      <c r="H18" s="404"/>
      <c r="I18" s="404"/>
      <c r="J18" s="405">
        <f>SUM(J16:J17)</f>
        <v>652975.81516839145</v>
      </c>
      <c r="K18" s="386"/>
      <c r="L18" s="403" t="s">
        <v>122</v>
      </c>
      <c r="M18" s="404"/>
      <c r="N18" s="404"/>
      <c r="O18" s="405">
        <f>SUM(O16:O17)</f>
        <v>883567.09666324127</v>
      </c>
    </row>
    <row r="19" spans="2:15" ht="15" customHeight="1" thickTop="1" x14ac:dyDescent="0.2">
      <c r="B19" s="406" t="s">
        <v>148</v>
      </c>
      <c r="C19" s="407" t="s">
        <v>149</v>
      </c>
      <c r="D19" s="408" t="s">
        <v>150</v>
      </c>
      <c r="E19" s="402"/>
      <c r="F19" s="386"/>
      <c r="G19" s="360" t="s">
        <v>240</v>
      </c>
      <c r="H19" s="382">
        <f>C16</f>
        <v>2.7799999999999998E-2</v>
      </c>
      <c r="I19" s="383"/>
      <c r="J19" s="384">
        <f>SUM(J12:J15)*H19</f>
        <v>3659.7755244799996</v>
      </c>
      <c r="K19" s="386"/>
      <c r="L19" s="360" t="s">
        <v>240</v>
      </c>
      <c r="M19" s="382">
        <f>C16</f>
        <v>2.7799999999999998E-2</v>
      </c>
      <c r="N19" s="383"/>
      <c r="O19" s="384">
        <f>SUM(O12:O15)*M19</f>
        <v>5557.9317467199999</v>
      </c>
    </row>
    <row r="20" spans="2:15" ht="15" customHeight="1" x14ac:dyDescent="0.2">
      <c r="B20" s="55" t="s">
        <v>151</v>
      </c>
      <c r="C20" s="42">
        <v>15</v>
      </c>
      <c r="D20" s="409">
        <f>C20*8</f>
        <v>120</v>
      </c>
      <c r="E20" s="410"/>
      <c r="G20" s="377" t="s">
        <v>123</v>
      </c>
      <c r="H20" s="387"/>
      <c r="I20" s="387"/>
      <c r="J20" s="380">
        <f>SUM(J18:J19)</f>
        <v>656635.59069287148</v>
      </c>
      <c r="K20" s="386"/>
      <c r="L20" s="377" t="s">
        <v>123</v>
      </c>
      <c r="M20" s="387"/>
      <c r="N20" s="387"/>
      <c r="O20" s="380">
        <f>SUM(O18:O19)</f>
        <v>889125.02840996126</v>
      </c>
    </row>
    <row r="21" spans="2:15" s="386" customFormat="1" ht="15" customHeight="1" thickBot="1" x14ac:dyDescent="0.25">
      <c r="B21" s="55" t="s">
        <v>152</v>
      </c>
      <c r="C21" s="42">
        <v>8</v>
      </c>
      <c r="D21" s="409">
        <f>C21*8</f>
        <v>64</v>
      </c>
      <c r="E21" s="411"/>
      <c r="F21" s="51"/>
      <c r="G21" s="360" t="s">
        <v>146</v>
      </c>
      <c r="H21" s="383"/>
      <c r="I21" s="383"/>
      <c r="J21" s="412">
        <f>J20/J3</f>
        <v>224.87520229207928</v>
      </c>
      <c r="L21" s="360" t="s">
        <v>146</v>
      </c>
      <c r="M21" s="383"/>
      <c r="N21" s="383"/>
      <c r="O21" s="412">
        <f>O20/O3</f>
        <v>202.99658182875828</v>
      </c>
    </row>
    <row r="22" spans="2:15" ht="15" customHeight="1" thickBot="1" x14ac:dyDescent="0.25">
      <c r="B22" s="55" t="s">
        <v>153</v>
      </c>
      <c r="C22" s="42">
        <v>11</v>
      </c>
      <c r="D22" s="409">
        <f>C22*8</f>
        <v>88</v>
      </c>
      <c r="E22" s="402"/>
      <c r="G22" s="413" t="s">
        <v>147</v>
      </c>
      <c r="H22" s="414">
        <v>0.98</v>
      </c>
      <c r="I22" s="415"/>
      <c r="J22" s="416">
        <f>ROUND(J21/H22,2)</f>
        <v>229.46</v>
      </c>
      <c r="L22" s="413" t="s">
        <v>147</v>
      </c>
      <c r="M22" s="414">
        <v>0.98</v>
      </c>
      <c r="N22" s="415"/>
      <c r="O22" s="416">
        <f>ROUND(O21/M22,2)</f>
        <v>207.14</v>
      </c>
    </row>
    <row r="23" spans="2:15" ht="15" customHeight="1" thickBot="1" x14ac:dyDescent="0.25">
      <c r="B23" s="417" t="s">
        <v>154</v>
      </c>
      <c r="C23" s="42">
        <v>10</v>
      </c>
      <c r="D23" s="418">
        <f>C23*8</f>
        <v>80</v>
      </c>
      <c r="E23" s="402"/>
    </row>
    <row r="24" spans="2:15" ht="15" customHeight="1" thickTop="1" x14ac:dyDescent="0.2">
      <c r="B24" s="55"/>
      <c r="C24" s="84" t="s">
        <v>155</v>
      </c>
      <c r="D24" s="409">
        <f>SUM(D20:D23)</f>
        <v>352</v>
      </c>
      <c r="E24" s="410"/>
    </row>
    <row r="25" spans="2:15" ht="15" customHeight="1" x14ac:dyDescent="0.2">
      <c r="B25" s="543" t="s">
        <v>156</v>
      </c>
      <c r="C25" s="544"/>
      <c r="D25" s="419">
        <f>D24/(52*40)</f>
        <v>0.16923076923076924</v>
      </c>
      <c r="E25" s="410"/>
    </row>
    <row r="26" spans="2:15" ht="15" customHeight="1" x14ac:dyDescent="0.2">
      <c r="B26" s="51"/>
      <c r="C26" s="51"/>
      <c r="D26" s="51"/>
      <c r="E26" s="402"/>
      <c r="J26" s="192"/>
      <c r="O26" s="192"/>
    </row>
    <row r="27" spans="2:15" ht="15" customHeight="1" x14ac:dyDescent="0.2">
      <c r="B27" s="420"/>
      <c r="C27" s="421"/>
      <c r="D27" s="421"/>
      <c r="E27" s="422"/>
    </row>
    <row r="28" spans="2:15" ht="15" customHeight="1" x14ac:dyDescent="0.2">
      <c r="B28" s="420"/>
      <c r="C28" s="421"/>
      <c r="D28" s="421"/>
      <c r="E28" s="422"/>
    </row>
    <row r="29" spans="2:15" ht="15" customHeight="1" x14ac:dyDescent="0.2">
      <c r="B29" s="420"/>
      <c r="C29" s="421"/>
      <c r="D29" s="421"/>
      <c r="E29" s="422"/>
    </row>
    <row r="30" spans="2:15" ht="15" customHeight="1" x14ac:dyDescent="0.2">
      <c r="B30" s="420"/>
      <c r="C30" s="421"/>
      <c r="D30" s="421"/>
      <c r="E30" s="422"/>
    </row>
    <row r="31" spans="2:15" ht="15" customHeight="1" x14ac:dyDescent="0.2">
      <c r="B31" s="420"/>
      <c r="C31" s="421"/>
      <c r="D31" s="421"/>
      <c r="E31" s="422"/>
    </row>
    <row r="32" spans="2:15" ht="15" customHeight="1" x14ac:dyDescent="0.2">
      <c r="B32" s="79"/>
      <c r="C32" s="357"/>
      <c r="D32" s="357"/>
      <c r="E32" s="343"/>
    </row>
    <row r="33" spans="2:11" ht="27.6" customHeight="1" x14ac:dyDescent="0.2">
      <c r="B33" s="51"/>
      <c r="C33" s="357"/>
      <c r="D33" s="357"/>
      <c r="E33" s="423"/>
    </row>
    <row r="34" spans="2:11" ht="15" customHeight="1" x14ac:dyDescent="0.2">
      <c r="B34" s="51"/>
      <c r="C34" s="357"/>
      <c r="D34" s="357"/>
      <c r="E34" s="423"/>
    </row>
    <row r="35" spans="2:11" ht="15" customHeight="1" x14ac:dyDescent="0.2">
      <c r="B35" s="51"/>
      <c r="C35" s="357"/>
      <c r="D35" s="357"/>
      <c r="E35" s="423"/>
    </row>
    <row r="36" spans="2:11" ht="15" customHeight="1" x14ac:dyDescent="0.2">
      <c r="B36" s="51"/>
      <c r="C36" s="357"/>
      <c r="D36" s="357"/>
      <c r="E36" s="357"/>
    </row>
    <row r="37" spans="2:11" ht="15" customHeight="1" x14ac:dyDescent="0.2">
      <c r="B37" s="424"/>
      <c r="C37" s="424"/>
      <c r="D37" s="424"/>
      <c r="E37" s="424"/>
    </row>
    <row r="38" spans="2:11" ht="15" customHeight="1" x14ac:dyDescent="0.2">
      <c r="B38" s="396"/>
      <c r="C38" s="396"/>
      <c r="D38" s="396"/>
      <c r="E38" s="396"/>
    </row>
    <row r="39" spans="2:11" ht="15" customHeight="1" x14ac:dyDescent="0.2">
      <c r="B39" s="396"/>
      <c r="C39" s="396"/>
      <c r="D39" s="396"/>
      <c r="E39" s="396"/>
    </row>
    <row r="40" spans="2:11" ht="15" customHeight="1" x14ac:dyDescent="0.2">
      <c r="B40" s="396"/>
      <c r="C40" s="396"/>
      <c r="D40" s="396"/>
      <c r="E40" s="396"/>
    </row>
    <row r="41" spans="2:11" ht="15" customHeight="1" x14ac:dyDescent="0.2">
      <c r="B41" s="396"/>
      <c r="C41" s="396"/>
      <c r="D41" s="396"/>
      <c r="E41" s="396"/>
    </row>
    <row r="42" spans="2:11" ht="15" customHeight="1" x14ac:dyDescent="0.2">
      <c r="B42" s="396"/>
      <c r="C42" s="396"/>
      <c r="D42" s="396"/>
      <c r="E42" s="396"/>
    </row>
    <row r="43" spans="2:11" ht="15" customHeight="1" x14ac:dyDescent="0.2">
      <c r="B43" s="402"/>
      <c r="C43" s="402"/>
      <c r="D43" s="402"/>
      <c r="E43" s="402"/>
    </row>
    <row r="44" spans="2:11" ht="15" customHeight="1" x14ac:dyDescent="0.2">
      <c r="B44" s="410"/>
      <c r="C44" s="410"/>
      <c r="D44" s="410"/>
      <c r="E44" s="410"/>
    </row>
    <row r="45" spans="2:11" ht="15" customHeight="1" x14ac:dyDescent="0.2">
      <c r="B45" s="410"/>
      <c r="C45" s="410"/>
      <c r="D45" s="410"/>
      <c r="E45" s="410"/>
    </row>
    <row r="46" spans="2:11" ht="15" customHeight="1" x14ac:dyDescent="0.2">
      <c r="B46" s="402"/>
      <c r="C46" s="402"/>
      <c r="D46" s="402"/>
      <c r="E46" s="402"/>
    </row>
    <row r="47" spans="2:11" ht="15" customHeight="1" x14ac:dyDescent="0.2">
      <c r="B47" s="402"/>
      <c r="C47" s="402"/>
      <c r="D47" s="402"/>
      <c r="E47" s="402"/>
      <c r="K47" s="425"/>
    </row>
    <row r="48" spans="2:11" ht="15" customHeight="1" x14ac:dyDescent="0.2">
      <c r="B48" s="410"/>
      <c r="C48" s="410"/>
      <c r="D48" s="410"/>
      <c r="E48" s="410"/>
    </row>
    <row r="49" spans="2:5" ht="15" customHeight="1" x14ac:dyDescent="0.2">
      <c r="B49" s="396"/>
      <c r="C49" s="396"/>
      <c r="D49" s="396"/>
      <c r="E49" s="396"/>
    </row>
    <row r="50" spans="2:5" ht="15" customHeight="1" x14ac:dyDescent="0.2">
      <c r="B50" s="410"/>
      <c r="C50" s="410"/>
      <c r="D50" s="410"/>
      <c r="E50" s="410"/>
    </row>
    <row r="51" spans="2:5" ht="15" customHeight="1" x14ac:dyDescent="0.2">
      <c r="B51" s="410"/>
      <c r="C51" s="410"/>
      <c r="D51" s="410"/>
      <c r="E51" s="410"/>
    </row>
    <row r="52" spans="2:5" ht="15" customHeight="1" x14ac:dyDescent="0.2">
      <c r="B52" s="410"/>
      <c r="C52" s="410"/>
      <c r="D52" s="410"/>
      <c r="E52" s="410"/>
    </row>
    <row r="53" spans="2:5" ht="15" customHeight="1" x14ac:dyDescent="0.2">
      <c r="B53" s="402"/>
      <c r="C53" s="402"/>
      <c r="D53" s="402"/>
      <c r="E53" s="402"/>
    </row>
    <row r="54" spans="2:5" ht="15" customHeight="1" x14ac:dyDescent="0.2">
      <c r="B54" s="402"/>
      <c r="C54" s="402"/>
      <c r="D54" s="402"/>
      <c r="E54" s="402"/>
    </row>
    <row r="55" spans="2:5" ht="15" customHeight="1" x14ac:dyDescent="0.2">
      <c r="B55" s="410"/>
      <c r="C55" s="410"/>
      <c r="D55" s="410"/>
      <c r="E55" s="410"/>
    </row>
    <row r="56" spans="2:5" ht="15" customHeight="1" x14ac:dyDescent="0.2">
      <c r="B56" s="410"/>
      <c r="C56" s="410"/>
      <c r="D56" s="410"/>
      <c r="E56" s="410"/>
    </row>
    <row r="57" spans="2:5" ht="15" customHeight="1" x14ac:dyDescent="0.2">
      <c r="B57" s="402"/>
      <c r="C57" s="402"/>
      <c r="D57" s="402"/>
      <c r="E57" s="402"/>
    </row>
    <row r="58" spans="2:5" ht="15" customHeight="1" x14ac:dyDescent="0.2">
      <c r="B58" s="402"/>
      <c r="C58" s="402"/>
      <c r="D58" s="402"/>
      <c r="E58" s="402"/>
    </row>
    <row r="59" spans="2:5" ht="15" customHeight="1" x14ac:dyDescent="0.2">
      <c r="B59" s="410"/>
      <c r="C59" s="410"/>
      <c r="D59" s="410"/>
      <c r="E59" s="410"/>
    </row>
    <row r="60" spans="2:5" ht="15" customHeight="1" x14ac:dyDescent="0.2">
      <c r="B60" s="410"/>
      <c r="C60" s="410"/>
      <c r="D60" s="410"/>
      <c r="E60" s="410"/>
    </row>
    <row r="61" spans="2:5" ht="15" customHeight="1" x14ac:dyDescent="0.2">
      <c r="B61" s="402"/>
      <c r="C61" s="402"/>
      <c r="D61" s="402"/>
      <c r="E61" s="402"/>
    </row>
    <row r="62" spans="2:5" ht="15" customHeight="1" x14ac:dyDescent="0.2">
      <c r="B62" s="422"/>
      <c r="C62" s="422"/>
      <c r="D62" s="422"/>
      <c r="E62" s="422"/>
    </row>
    <row r="63" spans="2:5" ht="15" customHeight="1" x14ac:dyDescent="0.2">
      <c r="B63" s="422"/>
      <c r="C63" s="422"/>
      <c r="D63" s="422"/>
      <c r="E63" s="422"/>
    </row>
    <row r="64" spans="2:5" ht="15" customHeight="1" x14ac:dyDescent="0.2">
      <c r="B64" s="422"/>
      <c r="C64" s="422"/>
      <c r="D64" s="422"/>
      <c r="E64" s="422"/>
    </row>
    <row r="65" spans="2:5" ht="15" customHeight="1" x14ac:dyDescent="0.2">
      <c r="B65" s="422"/>
      <c r="C65" s="422"/>
      <c r="D65" s="422"/>
      <c r="E65" s="422"/>
    </row>
    <row r="66" spans="2:5" ht="15" customHeight="1" x14ac:dyDescent="0.2">
      <c r="B66" s="422"/>
      <c r="C66" s="422"/>
      <c r="D66" s="422"/>
      <c r="E66" s="422"/>
    </row>
  </sheetData>
  <mergeCells count="12">
    <mergeCell ref="C16:D16"/>
    <mergeCell ref="B25:C25"/>
    <mergeCell ref="C12:D12"/>
    <mergeCell ref="B2:E2"/>
    <mergeCell ref="C13:D13"/>
    <mergeCell ref="C14:D14"/>
    <mergeCell ref="C15:D15"/>
    <mergeCell ref="G2:J2"/>
    <mergeCell ref="L2:O2"/>
    <mergeCell ref="B8:D8"/>
    <mergeCell ref="C9:D9"/>
    <mergeCell ref="C10:D10"/>
  </mergeCells>
  <pageMargins left="0.7" right="0.7" top="0.75" bottom="0.75" header="0.3" footer="0.3"/>
  <pageSetup scale="79" orientation="landscape" r:id="rId1"/>
  <ignoredErrors>
    <ignoredError sqref="J19 O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D6D6-B98D-46EC-9529-0EA18A7C8CDF}">
  <sheetPr>
    <pageSetUpPr fitToPage="1"/>
  </sheetPr>
  <dimension ref="A1:Q134"/>
  <sheetViews>
    <sheetView showGridLines="0" topLeftCell="B1" zoomScaleNormal="100" zoomScaleSheetLayoutView="85" workbookViewId="0">
      <selection activeCell="C21" sqref="C21"/>
    </sheetView>
  </sheetViews>
  <sheetFormatPr defaultColWidth="9.140625" defaultRowHeight="12.75" x14ac:dyDescent="0.2"/>
  <cols>
    <col min="1" max="1" width="6.7109375" style="109" customWidth="1"/>
    <col min="2" max="2" width="35" style="31" customWidth="1"/>
    <col min="3" max="3" width="9" style="31" customWidth="1"/>
    <col min="4" max="4" width="9.28515625" style="31" customWidth="1"/>
    <col min="5" max="5" width="39.7109375" style="31" customWidth="1"/>
    <col min="6" max="6" width="3.7109375" style="109" customWidth="1"/>
    <col min="7" max="7" width="24.85546875" style="31" customWidth="1"/>
    <col min="8" max="8" width="11.140625" style="31" customWidth="1"/>
    <col min="9" max="9" width="7.85546875" style="31" customWidth="1"/>
    <col min="10" max="10" width="11.85546875" style="31" customWidth="1"/>
    <col min="11" max="11" width="6.28515625" style="31" customWidth="1"/>
    <col min="12" max="12" width="24.85546875" style="109" customWidth="1"/>
    <col min="13" max="13" width="11.140625" style="109" customWidth="1"/>
    <col min="14" max="14" width="10.7109375" style="109" customWidth="1"/>
    <col min="15" max="15" width="11.7109375" style="109" customWidth="1"/>
    <col min="16" max="16384" width="9.140625" style="109"/>
  </cols>
  <sheetData>
    <row r="1" spans="2:15" ht="15" customHeight="1" thickBot="1" x14ac:dyDescent="0.25">
      <c r="B1" s="109"/>
      <c r="C1" s="109"/>
      <c r="D1" s="109"/>
      <c r="G1" s="213"/>
      <c r="H1" s="109"/>
      <c r="I1" s="109"/>
      <c r="K1" s="109"/>
    </row>
    <row r="2" spans="2:15" ht="13.5" thickBot="1" x14ac:dyDescent="0.25">
      <c r="B2" s="545" t="s">
        <v>157</v>
      </c>
      <c r="C2" s="546"/>
      <c r="D2" s="546"/>
      <c r="E2" s="547"/>
      <c r="F2" s="79"/>
      <c r="G2" s="548" t="s">
        <v>158</v>
      </c>
      <c r="H2" s="549"/>
      <c r="I2" s="549"/>
      <c r="J2" s="549"/>
      <c r="K2" s="549"/>
      <c r="L2" s="549"/>
      <c r="M2" s="549"/>
      <c r="N2" s="549"/>
      <c r="O2" s="550"/>
    </row>
    <row r="3" spans="2:15" ht="13.5" thickBot="1" x14ac:dyDescent="0.25">
      <c r="B3" s="294" t="s">
        <v>100</v>
      </c>
      <c r="C3" s="295" t="s">
        <v>165</v>
      </c>
      <c r="D3" s="296" t="s">
        <v>166</v>
      </c>
      <c r="E3" s="297" t="s">
        <v>92</v>
      </c>
      <c r="F3" s="79"/>
      <c r="G3" s="551" t="s">
        <v>159</v>
      </c>
      <c r="H3" s="552"/>
      <c r="I3" s="552"/>
      <c r="J3" s="552"/>
      <c r="K3" s="552"/>
      <c r="L3" s="552"/>
      <c r="M3" s="552"/>
      <c r="N3" s="552"/>
      <c r="O3" s="553"/>
    </row>
    <row r="4" spans="2:15" ht="15" customHeight="1" thickBot="1" x14ac:dyDescent="0.25">
      <c r="B4" s="298" t="s">
        <v>101</v>
      </c>
      <c r="C4" s="299">
        <v>1</v>
      </c>
      <c r="D4" s="299">
        <v>0.5</v>
      </c>
      <c r="E4" s="300" t="s">
        <v>102</v>
      </c>
      <c r="G4" s="301" t="s">
        <v>160</v>
      </c>
      <c r="H4" s="554"/>
      <c r="I4" s="554"/>
      <c r="K4" s="109"/>
      <c r="L4" s="301" t="s">
        <v>161</v>
      </c>
    </row>
    <row r="5" spans="2:15" ht="15" customHeight="1" x14ac:dyDescent="0.2">
      <c r="B5" s="302" t="s">
        <v>162</v>
      </c>
      <c r="C5" s="303">
        <v>1.5</v>
      </c>
      <c r="D5" s="303">
        <v>4</v>
      </c>
      <c r="E5" s="300" t="s">
        <v>102</v>
      </c>
      <c r="G5" s="561" t="s">
        <v>163</v>
      </c>
      <c r="H5" s="562"/>
      <c r="I5" s="304"/>
      <c r="J5" s="305"/>
      <c r="K5" s="109"/>
      <c r="L5" s="306" t="s">
        <v>164</v>
      </c>
      <c r="M5" s="307"/>
      <c r="N5" s="307"/>
      <c r="O5" s="308"/>
    </row>
    <row r="6" spans="2:15" ht="15" customHeight="1" x14ac:dyDescent="0.2">
      <c r="B6" s="563" t="s">
        <v>106</v>
      </c>
      <c r="C6" s="564"/>
      <c r="D6" s="565"/>
      <c r="E6" s="309"/>
      <c r="G6" s="310"/>
      <c r="H6" s="311"/>
      <c r="I6" s="220" t="s">
        <v>167</v>
      </c>
      <c r="J6" s="289">
        <v>391</v>
      </c>
      <c r="K6" s="109"/>
      <c r="L6" s="310"/>
      <c r="M6" s="311"/>
      <c r="N6" s="220" t="s">
        <v>167</v>
      </c>
      <c r="O6" s="289">
        <v>137</v>
      </c>
    </row>
    <row r="7" spans="2:15" ht="15" customHeight="1" x14ac:dyDescent="0.2">
      <c r="B7" s="312" t="s">
        <v>108</v>
      </c>
      <c r="C7" s="566">
        <f>'M2021 BLS  SALARY CHART'!C38</f>
        <v>0.25390000000000001</v>
      </c>
      <c r="D7" s="567"/>
      <c r="E7" s="300" t="s">
        <v>238</v>
      </c>
      <c r="G7" s="313"/>
      <c r="H7" s="314"/>
      <c r="I7" s="314" t="s">
        <v>96</v>
      </c>
      <c r="J7" s="315" t="s">
        <v>97</v>
      </c>
      <c r="K7" s="109"/>
      <c r="L7" s="313"/>
      <c r="M7" s="314"/>
      <c r="N7" s="314" t="s">
        <v>96</v>
      </c>
      <c r="O7" s="315" t="s">
        <v>97</v>
      </c>
    </row>
    <row r="8" spans="2:15" ht="15" customHeight="1" x14ac:dyDescent="0.2">
      <c r="B8" s="313" t="s">
        <v>169</v>
      </c>
      <c r="C8" s="568">
        <f>917.07+(2%+1)</f>
        <v>918.09</v>
      </c>
      <c r="D8" s="569"/>
      <c r="E8" s="300" t="s">
        <v>170</v>
      </c>
      <c r="G8" s="310" t="s">
        <v>235</v>
      </c>
      <c r="H8" s="316"/>
      <c r="I8" s="299"/>
      <c r="J8" s="317">
        <v>72974.720000000001</v>
      </c>
      <c r="K8" s="318"/>
      <c r="L8" s="310" t="s">
        <v>235</v>
      </c>
      <c r="M8" s="319"/>
      <c r="N8" s="299"/>
      <c r="O8" s="317">
        <v>36487.360000000001</v>
      </c>
    </row>
    <row r="9" spans="2:15" ht="15" customHeight="1" x14ac:dyDescent="0.2">
      <c r="B9" s="47" t="s">
        <v>113</v>
      </c>
      <c r="C9" s="570">
        <f>'Outreach and Engagement'!C10</f>
        <v>25.67</v>
      </c>
      <c r="D9" s="571"/>
      <c r="E9" s="320" t="s">
        <v>114</v>
      </c>
      <c r="G9" s="313" t="s">
        <v>233</v>
      </c>
      <c r="H9" s="321"/>
      <c r="I9" s="228"/>
      <c r="J9" s="322">
        <v>59282.5</v>
      </c>
      <c r="K9" s="318"/>
      <c r="L9" s="313" t="s">
        <v>233</v>
      </c>
      <c r="M9" s="323"/>
      <c r="N9" s="228"/>
      <c r="O9" s="322">
        <v>158086.66</v>
      </c>
    </row>
    <row r="10" spans="2:15" ht="15" customHeight="1" x14ac:dyDescent="0.2">
      <c r="B10" s="47" t="s">
        <v>172</v>
      </c>
      <c r="C10" s="555">
        <f>4097*(2%+1)</f>
        <v>4178.9400000000005</v>
      </c>
      <c r="D10" s="556"/>
      <c r="E10" s="300" t="s">
        <v>170</v>
      </c>
      <c r="G10" s="324" t="s">
        <v>168</v>
      </c>
      <c r="H10" s="325"/>
      <c r="I10" s="245">
        <f>SUM(C4:C5)</f>
        <v>2.5</v>
      </c>
      <c r="J10" s="326">
        <f>SUM(J8:J9)</f>
        <v>132257.22</v>
      </c>
      <c r="K10" s="318"/>
      <c r="L10" s="324" t="s">
        <v>168</v>
      </c>
      <c r="M10" s="232"/>
      <c r="N10" s="245">
        <f>SUM(D4:D5)</f>
        <v>4.5</v>
      </c>
      <c r="O10" s="326">
        <f>SUM(O8:O9)</f>
        <v>194574.02000000002</v>
      </c>
    </row>
    <row r="11" spans="2:15" ht="15" customHeight="1" x14ac:dyDescent="0.2">
      <c r="B11" s="47" t="s">
        <v>173</v>
      </c>
      <c r="C11" s="555">
        <f>1295*(2%+1)</f>
        <v>1320.9</v>
      </c>
      <c r="D11" s="556"/>
      <c r="E11" s="300" t="s">
        <v>170</v>
      </c>
      <c r="G11" s="313" t="s">
        <v>171</v>
      </c>
      <c r="H11" s="204">
        <f>C7</f>
        <v>0.25390000000000001</v>
      </c>
      <c r="J11" s="322">
        <f>H11*J10</f>
        <v>33580.108158000003</v>
      </c>
      <c r="K11" s="318"/>
      <c r="L11" s="313" t="s">
        <v>171</v>
      </c>
      <c r="M11" s="204">
        <f>C7</f>
        <v>0.25390000000000001</v>
      </c>
      <c r="N11" s="31"/>
      <c r="O11" s="322">
        <f>M11*O10</f>
        <v>49402.343678000005</v>
      </c>
    </row>
    <row r="12" spans="2:15" ht="15" customHeight="1" x14ac:dyDescent="0.2">
      <c r="B12" s="327" t="s">
        <v>118</v>
      </c>
      <c r="C12" s="557">
        <f>'M2021 BLS  SALARY CHART'!C41</f>
        <v>0.12</v>
      </c>
      <c r="D12" s="558"/>
      <c r="E12" s="328" t="s">
        <v>82</v>
      </c>
      <c r="G12" s="313" t="s">
        <v>239</v>
      </c>
      <c r="H12" s="204">
        <f>C13</f>
        <v>2.7799999999999998E-2</v>
      </c>
      <c r="J12" s="322">
        <f>(J11+J10)*H12</f>
        <v>4610.2777227923998</v>
      </c>
      <c r="K12" s="318"/>
      <c r="L12" s="313" t="s">
        <v>239</v>
      </c>
      <c r="M12" s="204">
        <f>C13</f>
        <v>2.7799999999999998E-2</v>
      </c>
      <c r="N12" s="31"/>
      <c r="O12" s="322">
        <f>(O11+O10)*M12</f>
        <v>6782.5429102484004</v>
      </c>
    </row>
    <row r="13" spans="2:15" ht="15" customHeight="1" thickBot="1" x14ac:dyDescent="0.25">
      <c r="B13" s="329" t="s">
        <v>120</v>
      </c>
      <c r="C13" s="559">
        <f>'Outreach and Engagement'!C13</f>
        <v>2.7799999999999998E-2</v>
      </c>
      <c r="D13" s="560"/>
      <c r="E13" s="330" t="str">
        <f>' Safe Haven 7-9, 10-12 beds'!E16</f>
        <v>FY24 &amp; FY25</v>
      </c>
      <c r="G13" s="324" t="s">
        <v>107</v>
      </c>
      <c r="H13" s="232"/>
      <c r="I13" s="232"/>
      <c r="J13" s="326">
        <f>SUM(J10+J11+J12)</f>
        <v>170447.60588079243</v>
      </c>
      <c r="K13" s="318"/>
      <c r="L13" s="324" t="s">
        <v>107</v>
      </c>
      <c r="M13" s="232"/>
      <c r="N13" s="232"/>
      <c r="O13" s="326">
        <f>SUM(O10+O11+O12)</f>
        <v>250758.90658824841</v>
      </c>
    </row>
    <row r="14" spans="2:15" ht="15" customHeight="1" x14ac:dyDescent="0.2">
      <c r="F14" s="283"/>
      <c r="G14" s="313" t="s">
        <v>169</v>
      </c>
      <c r="H14" s="331">
        <f>C8</f>
        <v>918.09</v>
      </c>
      <c r="I14" s="332"/>
      <c r="J14" s="322">
        <f>I10*H14</f>
        <v>2295.2249999999999</v>
      </c>
      <c r="K14" s="318"/>
      <c r="L14" s="313" t="str">
        <f>G14</f>
        <v>Staff mileage - per FTE</v>
      </c>
      <c r="M14" s="331">
        <f>C8</f>
        <v>918.09</v>
      </c>
      <c r="N14" s="332"/>
      <c r="O14" s="322">
        <f>N10*M14</f>
        <v>4131.4049999999997</v>
      </c>
    </row>
    <row r="15" spans="2:15" ht="15" customHeight="1" x14ac:dyDescent="0.2">
      <c r="F15" s="283"/>
      <c r="G15" s="313" t="s">
        <v>113</v>
      </c>
      <c r="H15" s="331">
        <f>C9</f>
        <v>25.67</v>
      </c>
      <c r="J15" s="322">
        <f>150*I10*H15</f>
        <v>9626.25</v>
      </c>
      <c r="K15" s="318"/>
      <c r="L15" s="313" t="s">
        <v>113</v>
      </c>
      <c r="M15" s="331">
        <f>C9</f>
        <v>25.67</v>
      </c>
      <c r="N15" s="31"/>
      <c r="O15" s="322">
        <f>150*N10*M15</f>
        <v>17327.25</v>
      </c>
    </row>
    <row r="16" spans="2:15" ht="15" customHeight="1" x14ac:dyDescent="0.2">
      <c r="G16" s="313" t="s">
        <v>172</v>
      </c>
      <c r="H16" s="333"/>
      <c r="I16" s="333"/>
      <c r="J16" s="322">
        <f>C10</f>
        <v>4178.9400000000005</v>
      </c>
      <c r="K16" s="318"/>
      <c r="L16" s="313" t="str">
        <f>B11</f>
        <v>Supplies and Materials per FTE</v>
      </c>
      <c r="M16" s="208">
        <f>C11</f>
        <v>1320.9</v>
      </c>
      <c r="N16" s="31"/>
      <c r="O16" s="322">
        <f>N10*M16</f>
        <v>5944.05</v>
      </c>
    </row>
    <row r="17" spans="2:15" ht="15" customHeight="1" x14ac:dyDescent="0.2">
      <c r="G17" s="313" t="str">
        <f>B11</f>
        <v>Supplies and Materials per FTE</v>
      </c>
      <c r="H17" s="208">
        <f>C11</f>
        <v>1320.9</v>
      </c>
      <c r="J17" s="322">
        <f>H17*I10</f>
        <v>3302.25</v>
      </c>
      <c r="K17" s="318"/>
      <c r="L17" s="334" t="s">
        <v>174</v>
      </c>
      <c r="M17" s="53"/>
      <c r="N17" s="53"/>
      <c r="O17" s="118">
        <f>SUM((O13)+SUM(O14:O16))</f>
        <v>278161.6115882484</v>
      </c>
    </row>
    <row r="18" spans="2:15" ht="15" customHeight="1" x14ac:dyDescent="0.2">
      <c r="G18" s="334" t="s">
        <v>174</v>
      </c>
      <c r="H18" s="53"/>
      <c r="I18" s="53"/>
      <c r="J18" s="118">
        <f>SUM((J13)+SUM(J14:J17))</f>
        <v>189850.27088079244</v>
      </c>
      <c r="K18" s="335"/>
      <c r="L18" s="336" t="str">
        <f>B12</f>
        <v>Administrative Allocation</v>
      </c>
      <c r="M18" s="56">
        <f>C12</f>
        <v>0.12</v>
      </c>
      <c r="N18" s="42"/>
      <c r="O18" s="116">
        <f>M18*O17</f>
        <v>33379.393390589808</v>
      </c>
    </row>
    <row r="19" spans="2:15" ht="15" customHeight="1" thickBot="1" x14ac:dyDescent="0.25">
      <c r="G19" s="336" t="str">
        <f>B12</f>
        <v>Administrative Allocation</v>
      </c>
      <c r="H19" s="56">
        <f>C12</f>
        <v>0.12</v>
      </c>
      <c r="I19" s="42"/>
      <c r="J19" s="116">
        <f>H19*J18</f>
        <v>22782.03250569509</v>
      </c>
      <c r="K19" s="335"/>
      <c r="L19" s="337" t="s">
        <v>122</v>
      </c>
      <c r="M19" s="78"/>
      <c r="N19" s="78"/>
      <c r="O19" s="121">
        <f>SUM(O17:O18)</f>
        <v>311541.0049788382</v>
      </c>
    </row>
    <row r="20" spans="2:15" ht="15" customHeight="1" thickTop="1" thickBot="1" x14ac:dyDescent="0.25">
      <c r="F20" s="283"/>
      <c r="G20" s="337" t="s">
        <v>122</v>
      </c>
      <c r="H20" s="78"/>
      <c r="I20" s="78"/>
      <c r="J20" s="121">
        <f>SUM(J18:J19)</f>
        <v>212632.30338648753</v>
      </c>
      <c r="K20" s="335"/>
      <c r="L20" s="47" t="s">
        <v>240</v>
      </c>
      <c r="M20" s="56">
        <f>C13</f>
        <v>2.7799999999999998E-2</v>
      </c>
      <c r="N20" s="42"/>
      <c r="O20" s="116">
        <f>SUM(O14:O16)*M20</f>
        <v>761.79519899999991</v>
      </c>
    </row>
    <row r="21" spans="2:15" ht="15" customHeight="1" thickTop="1" x14ac:dyDescent="0.2">
      <c r="G21" s="47" t="s">
        <v>240</v>
      </c>
      <c r="H21" s="56">
        <f>C13</f>
        <v>2.7799999999999998E-2</v>
      </c>
      <c r="I21" s="42"/>
      <c r="J21" s="116">
        <f>SUM(J14:J17)*H21</f>
        <v>539.39408700000001</v>
      </c>
      <c r="K21" s="335"/>
      <c r="L21" s="324" t="s">
        <v>123</v>
      </c>
      <c r="M21" s="338"/>
      <c r="N21" s="232"/>
      <c r="O21" s="326">
        <f>SUM(O19:O20)</f>
        <v>312302.80017783819</v>
      </c>
    </row>
    <row r="22" spans="2:15" ht="15" customHeight="1" thickBot="1" x14ac:dyDescent="0.25">
      <c r="G22" s="324" t="s">
        <v>123</v>
      </c>
      <c r="H22" s="338"/>
      <c r="I22" s="232"/>
      <c r="J22" s="326">
        <f>SUM(J20:J21)</f>
        <v>213171.69747348753</v>
      </c>
      <c r="K22" s="318"/>
      <c r="L22" s="339" t="s">
        <v>175</v>
      </c>
      <c r="M22" s="278"/>
      <c r="N22" s="278"/>
      <c r="O22" s="340">
        <f>ROUND(O21/12/O6,2)</f>
        <v>189.97</v>
      </c>
    </row>
    <row r="23" spans="2:15" ht="15" customHeight="1" thickBot="1" x14ac:dyDescent="0.25">
      <c r="G23" s="339" t="s">
        <v>175</v>
      </c>
      <c r="H23" s="278"/>
      <c r="I23" s="278"/>
      <c r="J23" s="340">
        <f>ROUND(J22/12/J6,2)</f>
        <v>45.43</v>
      </c>
      <c r="K23" s="109"/>
    </row>
    <row r="24" spans="2:15" s="283" customFormat="1" ht="15" customHeight="1" x14ac:dyDescent="0.2">
      <c r="B24" s="271"/>
      <c r="C24" s="341"/>
      <c r="D24" s="341"/>
      <c r="E24" s="342"/>
      <c r="G24" s="31"/>
      <c r="H24" s="31"/>
      <c r="I24" s="31"/>
      <c r="J24" s="31"/>
      <c r="K24" s="31"/>
      <c r="L24" s="109"/>
      <c r="M24" s="109"/>
      <c r="N24" s="109"/>
      <c r="O24" s="109"/>
    </row>
    <row r="25" spans="2:15" ht="15" customHeight="1" x14ac:dyDescent="0.2">
      <c r="B25" s="274"/>
      <c r="C25" s="341"/>
      <c r="D25" s="341"/>
      <c r="E25" s="343"/>
      <c r="L25" s="331"/>
      <c r="M25" s="331"/>
      <c r="N25" s="331"/>
      <c r="O25" s="331"/>
    </row>
    <row r="26" spans="2:15" ht="15" customHeight="1" x14ac:dyDescent="0.2">
      <c r="B26" s="274"/>
      <c r="C26" s="341"/>
      <c r="D26" s="341"/>
      <c r="E26" s="344"/>
      <c r="J26" s="331"/>
      <c r="K26" s="331"/>
      <c r="L26" s="345"/>
      <c r="M26" s="345"/>
      <c r="N26" s="345"/>
      <c r="O26" s="345"/>
    </row>
    <row r="27" spans="2:15" ht="15" customHeight="1" x14ac:dyDescent="0.2">
      <c r="B27" s="274"/>
      <c r="C27" s="341"/>
      <c r="D27" s="341"/>
      <c r="E27" s="346"/>
      <c r="J27" s="345"/>
      <c r="K27" s="345"/>
      <c r="L27" s="347"/>
      <c r="M27" s="348"/>
      <c r="N27" s="348"/>
      <c r="O27" s="348"/>
    </row>
    <row r="28" spans="2:15" ht="15" customHeight="1" x14ac:dyDescent="0.2">
      <c r="B28" s="274"/>
      <c r="C28" s="341"/>
      <c r="D28" s="341"/>
      <c r="E28" s="346"/>
      <c r="J28" s="347"/>
      <c r="K28" s="347"/>
      <c r="L28" s="347"/>
      <c r="M28" s="348"/>
      <c r="N28" s="348"/>
      <c r="O28" s="348"/>
    </row>
    <row r="29" spans="2:15" ht="15" customHeight="1" x14ac:dyDescent="0.2">
      <c r="B29" s="274"/>
      <c r="C29" s="341"/>
      <c r="D29" s="341"/>
      <c r="E29" s="341"/>
      <c r="J29" s="347"/>
      <c r="K29" s="347"/>
      <c r="L29" s="31"/>
    </row>
    <row r="30" spans="2:15" ht="15" customHeight="1" x14ac:dyDescent="0.2">
      <c r="J30" s="349"/>
      <c r="L30" s="31"/>
    </row>
    <row r="31" spans="2:15" ht="15" customHeight="1" x14ac:dyDescent="0.2">
      <c r="L31" s="31"/>
    </row>
    <row r="32" spans="2:15" ht="15" customHeight="1" x14ac:dyDescent="0.2">
      <c r="L32" s="31"/>
    </row>
    <row r="33" spans="1:17" ht="15" customHeight="1" x14ac:dyDescent="0.2">
      <c r="J33" s="331"/>
      <c r="L33" s="31"/>
    </row>
    <row r="34" spans="1:17" ht="15" customHeight="1" x14ac:dyDescent="0.2">
      <c r="F34" s="31"/>
      <c r="L34" s="31"/>
    </row>
    <row r="35" spans="1:17" s="31" customFormat="1" ht="15" customHeight="1" x14ac:dyDescent="0.2">
      <c r="A35" s="109"/>
      <c r="M35" s="109"/>
      <c r="N35" s="109"/>
      <c r="O35" s="109"/>
      <c r="P35" s="109"/>
      <c r="Q35" s="109"/>
    </row>
    <row r="36" spans="1:17" s="31" customFormat="1" ht="15" customHeight="1" x14ac:dyDescent="0.2">
      <c r="A36" s="109"/>
      <c r="M36" s="109"/>
      <c r="N36" s="109"/>
      <c r="O36" s="109"/>
      <c r="P36" s="109"/>
      <c r="Q36" s="109"/>
    </row>
    <row r="37" spans="1:17" ht="15" customHeight="1" x14ac:dyDescent="0.2">
      <c r="F37" s="31"/>
      <c r="L37" s="31"/>
    </row>
    <row r="38" spans="1:17" ht="15" customHeight="1" x14ac:dyDescent="0.2">
      <c r="F38" s="31"/>
      <c r="L38" s="31"/>
    </row>
    <row r="39" spans="1:17" ht="15" customHeight="1" x14ac:dyDescent="0.2">
      <c r="F39" s="31"/>
      <c r="L39" s="31"/>
    </row>
    <row r="40" spans="1:17" ht="15" customHeight="1" x14ac:dyDescent="0.2">
      <c r="F40" s="31"/>
      <c r="L40" s="31"/>
    </row>
    <row r="41" spans="1:17" ht="15" customHeight="1" x14ac:dyDescent="0.2">
      <c r="F41" s="31"/>
      <c r="L41" s="31"/>
    </row>
    <row r="42" spans="1:17" ht="15" customHeight="1" x14ac:dyDescent="0.2">
      <c r="F42" s="31"/>
      <c r="L42" s="31"/>
    </row>
    <row r="43" spans="1:17" ht="15" customHeight="1" x14ac:dyDescent="0.2">
      <c r="F43" s="31"/>
    </row>
    <row r="44" spans="1:17" ht="15" customHeight="1" x14ac:dyDescent="0.2">
      <c r="F44" s="31"/>
    </row>
    <row r="45" spans="1:17" ht="15" customHeight="1" x14ac:dyDescent="0.2">
      <c r="F45" s="31"/>
    </row>
    <row r="46" spans="1:17" ht="15" customHeight="1" x14ac:dyDescent="0.2">
      <c r="F46" s="31"/>
    </row>
    <row r="47" spans="1:17" ht="15" customHeight="1" x14ac:dyDescent="0.2">
      <c r="F47" s="31"/>
    </row>
    <row r="48" spans="1:17" ht="15" customHeight="1" x14ac:dyDescent="0.2">
      <c r="F48" s="31"/>
    </row>
    <row r="49" spans="6:15" s="31" customFormat="1" ht="15" customHeight="1" x14ac:dyDescent="0.2">
      <c r="L49" s="109"/>
      <c r="M49" s="109"/>
      <c r="N49" s="109"/>
      <c r="O49" s="109"/>
    </row>
    <row r="50" spans="6:15" s="31" customFormat="1" ht="15" customHeight="1" x14ac:dyDescent="0.2">
      <c r="L50" s="109"/>
      <c r="M50" s="109"/>
      <c r="N50" s="109"/>
      <c r="O50" s="109"/>
    </row>
    <row r="51" spans="6:15" s="31" customFormat="1" ht="15" customHeight="1" x14ac:dyDescent="0.2">
      <c r="F51" s="109"/>
      <c r="L51" s="109"/>
      <c r="M51" s="109"/>
      <c r="N51" s="109"/>
      <c r="O51" s="109"/>
    </row>
    <row r="52" spans="6:15" s="31" customFormat="1" ht="15" customHeight="1" x14ac:dyDescent="0.2">
      <c r="F52" s="109"/>
      <c r="L52" s="109"/>
      <c r="M52" s="109"/>
      <c r="N52" s="109"/>
      <c r="O52" s="109"/>
    </row>
    <row r="53" spans="6:15" s="31" customFormat="1" ht="15" customHeight="1" x14ac:dyDescent="0.2">
      <c r="F53" s="109"/>
      <c r="L53" s="109"/>
      <c r="M53" s="109"/>
      <c r="N53" s="109"/>
      <c r="O53" s="109"/>
    </row>
    <row r="54" spans="6:15" s="31" customFormat="1" ht="15" customHeight="1" x14ac:dyDescent="0.2">
      <c r="F54" s="109"/>
      <c r="L54" s="109"/>
      <c r="M54" s="109"/>
      <c r="N54" s="109"/>
      <c r="O54" s="109"/>
    </row>
    <row r="55" spans="6:15" s="31" customFormat="1" ht="15" customHeight="1" x14ac:dyDescent="0.2">
      <c r="F55" s="109"/>
      <c r="L55" s="109"/>
      <c r="M55" s="109"/>
      <c r="N55" s="109"/>
      <c r="O55" s="109"/>
    </row>
    <row r="56" spans="6:15" s="31" customFormat="1" ht="15" customHeight="1" x14ac:dyDescent="0.2">
      <c r="F56" s="109"/>
      <c r="L56" s="109"/>
      <c r="M56" s="109"/>
      <c r="N56" s="109"/>
      <c r="O56" s="109"/>
    </row>
    <row r="57" spans="6:15" s="31" customFormat="1" ht="15" customHeight="1" x14ac:dyDescent="0.2">
      <c r="F57" s="109"/>
      <c r="L57" s="109"/>
      <c r="M57" s="109"/>
      <c r="N57" s="109"/>
      <c r="O57" s="109"/>
    </row>
    <row r="58" spans="6:15" s="31" customFormat="1" ht="15" customHeight="1" x14ac:dyDescent="0.2">
      <c r="F58" s="109"/>
      <c r="L58" s="109"/>
      <c r="M58" s="109"/>
      <c r="N58" s="109"/>
      <c r="O58" s="109"/>
    </row>
    <row r="59" spans="6:15" s="31" customFormat="1" ht="15" customHeight="1" x14ac:dyDescent="0.2">
      <c r="F59" s="109"/>
      <c r="L59" s="109"/>
      <c r="M59" s="109"/>
      <c r="N59" s="109"/>
      <c r="O59" s="109"/>
    </row>
    <row r="60" spans="6:15" s="31" customFormat="1" ht="15" customHeight="1" x14ac:dyDescent="0.2">
      <c r="F60" s="109"/>
      <c r="L60" s="109"/>
      <c r="M60" s="109"/>
      <c r="N60" s="109"/>
      <c r="O60" s="109"/>
    </row>
    <row r="61" spans="6:15" s="31" customFormat="1" ht="15" customHeight="1" x14ac:dyDescent="0.2">
      <c r="F61" s="109"/>
      <c r="L61" s="109"/>
      <c r="M61" s="109"/>
      <c r="N61" s="109"/>
      <c r="O61" s="109"/>
    </row>
    <row r="62" spans="6:15" s="31" customFormat="1" ht="15" customHeight="1" x14ac:dyDescent="0.2">
      <c r="F62" s="109"/>
      <c r="L62" s="109"/>
      <c r="M62" s="109"/>
      <c r="N62" s="109"/>
      <c r="O62" s="109"/>
    </row>
    <row r="63" spans="6:15" s="31" customFormat="1" ht="15" customHeight="1" x14ac:dyDescent="0.2">
      <c r="F63" s="109"/>
      <c r="L63" s="109"/>
      <c r="M63" s="109"/>
      <c r="N63" s="109"/>
      <c r="O63" s="109"/>
    </row>
    <row r="64" spans="6:15" s="31" customFormat="1" ht="15" customHeight="1" x14ac:dyDescent="0.2">
      <c r="F64" s="109"/>
      <c r="L64" s="109"/>
      <c r="M64" s="109"/>
      <c r="N64" s="109"/>
      <c r="O64" s="109"/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</sheetData>
  <mergeCells count="13">
    <mergeCell ref="C11:D11"/>
    <mergeCell ref="C12:D12"/>
    <mergeCell ref="C13:D13"/>
    <mergeCell ref="G5:H5"/>
    <mergeCell ref="B6:D6"/>
    <mergeCell ref="C7:D7"/>
    <mergeCell ref="C8:D8"/>
    <mergeCell ref="C9:D9"/>
    <mergeCell ref="B2:E2"/>
    <mergeCell ref="G2:O2"/>
    <mergeCell ref="G3:O3"/>
    <mergeCell ref="H4:I4"/>
    <mergeCell ref="C10:D10"/>
  </mergeCells>
  <pageMargins left="0.7" right="0.7" top="0.75" bottom="0.75" header="0.3" footer="0.3"/>
  <pageSetup scale="85" orientation="landscape" r:id="rId1"/>
  <ignoredErrors>
    <ignoredError sqref="O20 J2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C883-E23C-4642-BD72-A1B0DF19AAB5}">
  <sheetPr>
    <pageSetUpPr fitToPage="1"/>
  </sheetPr>
  <dimension ref="B1:AC42"/>
  <sheetViews>
    <sheetView showGridLines="0" zoomScaleNormal="100" zoomScaleSheetLayoutView="70" workbookViewId="0">
      <selection activeCell="C21" sqref="C21"/>
    </sheetView>
  </sheetViews>
  <sheetFormatPr defaultColWidth="9.140625" defaultRowHeight="20.100000000000001" customHeight="1" x14ac:dyDescent="0.2"/>
  <cols>
    <col min="1" max="1" width="5.28515625" style="28" customWidth="1"/>
    <col min="2" max="2" width="29.85546875" style="28" customWidth="1"/>
    <col min="3" max="3" width="9.42578125" style="28" customWidth="1"/>
    <col min="4" max="4" width="12.28515625" style="28" bestFit="1" customWidth="1"/>
    <col min="5" max="5" width="40.42578125" style="28" customWidth="1"/>
    <col min="6" max="6" width="3.7109375" style="28" customWidth="1"/>
    <col min="7" max="7" width="30" style="29" customWidth="1"/>
    <col min="8" max="8" width="6.42578125" style="29" customWidth="1"/>
    <col min="9" max="9" width="6.42578125" style="29" bestFit="1" customWidth="1"/>
    <col min="10" max="10" width="12.140625" style="29" customWidth="1"/>
    <col min="11" max="11" width="14.42578125" style="28" customWidth="1"/>
    <col min="12" max="12" width="2.5703125" style="28" customWidth="1"/>
    <col min="13" max="13" width="29.5703125" style="28" customWidth="1"/>
    <col min="14" max="14" width="7.140625" style="28" customWidth="1"/>
    <col min="15" max="15" width="6.42578125" style="28" bestFit="1" customWidth="1"/>
    <col min="16" max="16" width="10.5703125" style="28" customWidth="1"/>
    <col min="17" max="17" width="12.7109375" style="28" customWidth="1"/>
    <col min="18" max="16384" width="9.140625" style="28"/>
  </cols>
  <sheetData>
    <row r="1" spans="2:29" ht="15" customHeight="1" thickBot="1" x14ac:dyDescent="0.25">
      <c r="F1" s="109"/>
      <c r="G1" s="213"/>
      <c r="H1" s="213"/>
      <c r="I1" s="31"/>
      <c r="J1" s="31"/>
      <c r="K1" s="109"/>
    </row>
    <row r="2" spans="2:29" ht="39" customHeight="1" thickBot="1" x14ac:dyDescent="0.25">
      <c r="B2" s="572" t="s">
        <v>176</v>
      </c>
      <c r="C2" s="573"/>
      <c r="D2" s="573"/>
      <c r="E2" s="574"/>
      <c r="F2" s="109"/>
      <c r="G2" s="575" t="s">
        <v>177</v>
      </c>
      <c r="H2" s="576"/>
      <c r="I2" s="576"/>
      <c r="J2" s="576"/>
      <c r="K2" s="577"/>
      <c r="L2" s="51"/>
      <c r="M2" s="575" t="s">
        <v>178</v>
      </c>
      <c r="N2" s="576"/>
      <c r="O2" s="576"/>
      <c r="P2" s="576"/>
      <c r="Q2" s="577"/>
      <c r="AA2" s="214" t="s">
        <v>148</v>
      </c>
      <c r="AB2" s="215" t="s">
        <v>149</v>
      </c>
      <c r="AC2" s="216" t="s">
        <v>150</v>
      </c>
    </row>
    <row r="3" spans="2:29" ht="15" customHeight="1" x14ac:dyDescent="0.2">
      <c r="B3" s="217" t="s">
        <v>100</v>
      </c>
      <c r="C3" s="218" t="s">
        <v>184</v>
      </c>
      <c r="D3" s="218" t="s">
        <v>185</v>
      </c>
      <c r="E3" s="219" t="s">
        <v>92</v>
      </c>
      <c r="F3" s="109"/>
      <c r="G3" s="288" t="s">
        <v>179</v>
      </c>
      <c r="H3" s="215">
        <v>11</v>
      </c>
      <c r="I3" s="215"/>
      <c r="J3" s="220" t="s">
        <v>180</v>
      </c>
      <c r="K3" s="289">
        <f>H3*365</f>
        <v>4015</v>
      </c>
      <c r="M3" s="221" t="s">
        <v>179</v>
      </c>
      <c r="N3" s="222">
        <v>7</v>
      </c>
      <c r="O3" s="222"/>
      <c r="P3" s="223" t="s">
        <v>181</v>
      </c>
      <c r="Q3" s="224">
        <f>N3*365</f>
        <v>2555</v>
      </c>
      <c r="AA3" s="225" t="s">
        <v>151</v>
      </c>
      <c r="AB3" s="31">
        <v>15</v>
      </c>
      <c r="AC3" s="226">
        <f>AB3*8</f>
        <v>120</v>
      </c>
    </row>
    <row r="4" spans="2:29" ht="15" customHeight="1" x14ac:dyDescent="0.2">
      <c r="B4" s="227" t="s">
        <v>186</v>
      </c>
      <c r="C4" s="228">
        <v>1</v>
      </c>
      <c r="D4" s="228">
        <v>0.5</v>
      </c>
      <c r="E4" s="229" t="s">
        <v>102</v>
      </c>
      <c r="F4" s="109"/>
      <c r="G4" s="230"/>
      <c r="H4" s="231"/>
      <c r="I4" s="232"/>
      <c r="J4" s="232" t="s">
        <v>130</v>
      </c>
      <c r="K4" s="233" t="s">
        <v>97</v>
      </c>
      <c r="L4" s="31"/>
      <c r="M4" s="234"/>
      <c r="N4" s="235"/>
      <c r="O4" s="236"/>
      <c r="P4" s="236" t="s">
        <v>130</v>
      </c>
      <c r="Q4" s="237" t="s">
        <v>97</v>
      </c>
      <c r="AA4" s="225" t="s">
        <v>152</v>
      </c>
      <c r="AB4" s="31">
        <v>8</v>
      </c>
      <c r="AC4" s="226">
        <f>AB4*8</f>
        <v>64</v>
      </c>
    </row>
    <row r="5" spans="2:29" ht="15" customHeight="1" x14ac:dyDescent="0.2">
      <c r="B5" s="238" t="s">
        <v>131</v>
      </c>
      <c r="C5" s="239">
        <v>1.5</v>
      </c>
      <c r="D5" s="239">
        <v>1</v>
      </c>
      <c r="E5" s="229" t="s">
        <v>102</v>
      </c>
      <c r="F5" s="109"/>
      <c r="G5" s="227" t="s">
        <v>235</v>
      </c>
      <c r="H5" s="109"/>
      <c r="I5" s="290"/>
      <c r="J5" s="228"/>
      <c r="K5" s="240">
        <v>72974.720000000001</v>
      </c>
      <c r="M5" s="227" t="s">
        <v>235</v>
      </c>
      <c r="N5" s="109"/>
      <c r="O5" s="290"/>
      <c r="P5" s="228"/>
      <c r="Q5" s="240">
        <v>36487.360000000001</v>
      </c>
      <c r="AA5" s="225" t="s">
        <v>153</v>
      </c>
      <c r="AB5" s="31">
        <v>11</v>
      </c>
      <c r="AC5" s="226">
        <f>AB5*8</f>
        <v>88</v>
      </c>
    </row>
    <row r="6" spans="2:29" ht="15" customHeight="1" x14ac:dyDescent="0.2">
      <c r="B6" s="227" t="s">
        <v>182</v>
      </c>
      <c r="C6" s="228">
        <v>0.25</v>
      </c>
      <c r="D6" s="228">
        <v>0.25</v>
      </c>
      <c r="E6" s="229" t="s">
        <v>102</v>
      </c>
      <c r="F6" s="109"/>
      <c r="G6" s="227" t="s">
        <v>244</v>
      </c>
      <c r="H6" s="110"/>
      <c r="I6" s="290"/>
      <c r="J6" s="228"/>
      <c r="K6" s="241">
        <v>79195.33</v>
      </c>
      <c r="M6" s="227" t="s">
        <v>244</v>
      </c>
      <c r="N6" s="110"/>
      <c r="O6" s="290"/>
      <c r="P6" s="228"/>
      <c r="Q6" s="241">
        <v>56090.36</v>
      </c>
      <c r="AA6" s="242" t="s">
        <v>154</v>
      </c>
      <c r="AB6" s="222">
        <v>10</v>
      </c>
      <c r="AC6" s="243">
        <f>AB6*8</f>
        <v>80</v>
      </c>
    </row>
    <row r="7" spans="2:29" ht="15" customHeight="1" x14ac:dyDescent="0.2">
      <c r="B7" s="227" t="s">
        <v>183</v>
      </c>
      <c r="C7" s="228">
        <f>C5*' Safe Haven 7-9, 10-12 beds'!D25</f>
        <v>0.25384615384615383</v>
      </c>
      <c r="D7" s="228">
        <f>D5*' Safe Haven 7-9, 10-12 beds'!D25</f>
        <v>0.16923076923076924</v>
      </c>
      <c r="E7" s="229" t="s">
        <v>102</v>
      </c>
      <c r="F7" s="109"/>
      <c r="G7" s="230" t="s">
        <v>168</v>
      </c>
      <c r="H7" s="231"/>
      <c r="I7" s="244"/>
      <c r="J7" s="245">
        <f>SUM(C4:C7)</f>
        <v>3.0038461538461538</v>
      </c>
      <c r="K7" s="246">
        <f>SUM(K5:K6)</f>
        <v>152170.04999999999</v>
      </c>
      <c r="L7" s="247"/>
      <c r="M7" s="230" t="s">
        <v>168</v>
      </c>
      <c r="N7" s="231"/>
      <c r="O7" s="244"/>
      <c r="P7" s="245">
        <f>SUM(D4:D7)</f>
        <v>1.9192307692307693</v>
      </c>
      <c r="Q7" s="246">
        <f>SUM(Q5:Q6)</f>
        <v>92577.72</v>
      </c>
      <c r="AA7" s="225"/>
      <c r="AB7" s="248" t="s">
        <v>155</v>
      </c>
      <c r="AC7" s="226">
        <f>SUM(AC3:AC6)</f>
        <v>352</v>
      </c>
    </row>
    <row r="8" spans="2:29" ht="15" customHeight="1" x14ac:dyDescent="0.2">
      <c r="B8" s="580" t="s">
        <v>106</v>
      </c>
      <c r="C8" s="581"/>
      <c r="D8" s="581"/>
      <c r="E8" s="249"/>
      <c r="F8" s="109"/>
      <c r="G8" s="227" t="s">
        <v>136</v>
      </c>
      <c r="H8" s="109"/>
      <c r="I8" s="291">
        <f>C9</f>
        <v>0.25390000000000001</v>
      </c>
      <c r="J8" s="31"/>
      <c r="K8" s="250">
        <f>K7*I8</f>
        <v>38635.975695000001</v>
      </c>
      <c r="M8" s="227" t="s">
        <v>136</v>
      </c>
      <c r="N8" s="109"/>
      <c r="O8" s="291">
        <f>C9</f>
        <v>0.25390000000000001</v>
      </c>
      <c r="P8" s="31"/>
      <c r="Q8" s="250">
        <f>Q7*O8</f>
        <v>23505.483108</v>
      </c>
      <c r="AA8" s="242" t="s">
        <v>156</v>
      </c>
      <c r="AB8" s="251"/>
      <c r="AC8" s="252">
        <f>AC7/(52*40)</f>
        <v>0.16923076923076924</v>
      </c>
    </row>
    <row r="9" spans="2:29" ht="15" customHeight="1" x14ac:dyDescent="0.2">
      <c r="B9" s="253" t="s">
        <v>108</v>
      </c>
      <c r="C9" s="582">
        <f>'M2021 BLS  SALARY CHART'!C38</f>
        <v>0.25390000000000001</v>
      </c>
      <c r="D9" s="582"/>
      <c r="E9" s="249" t="s">
        <v>238</v>
      </c>
      <c r="F9" s="109"/>
      <c r="G9" s="227" t="s">
        <v>239</v>
      </c>
      <c r="H9" s="109"/>
      <c r="I9" s="291">
        <f>C12</f>
        <v>2.7799999999999998E-2</v>
      </c>
      <c r="J9" s="31"/>
      <c r="K9" s="250">
        <f>(K8+K7)*I9</f>
        <v>5304.4075143209993</v>
      </c>
      <c r="M9" s="227" t="s">
        <v>239</v>
      </c>
      <c r="N9" s="109"/>
      <c r="O9" s="291">
        <f>I9</f>
        <v>2.7799999999999998E-2</v>
      </c>
      <c r="P9" s="31"/>
      <c r="Q9" s="250">
        <f>(Q8+Q7)*O9</f>
        <v>3227.1130464024</v>
      </c>
    </row>
    <row r="10" spans="2:29" ht="15" customHeight="1" x14ac:dyDescent="0.2">
      <c r="B10" s="76" t="s">
        <v>113</v>
      </c>
      <c r="C10" s="583">
        <f>'Outreach and Engagement'!C10</f>
        <v>25.67</v>
      </c>
      <c r="D10" s="583"/>
      <c r="E10" s="254" t="s">
        <v>114</v>
      </c>
      <c r="F10" s="109"/>
      <c r="G10" s="230" t="s">
        <v>187</v>
      </c>
      <c r="H10" s="231"/>
      <c r="I10" s="255"/>
      <c r="J10" s="232"/>
      <c r="K10" s="246">
        <f>SUM(K7:K9)</f>
        <v>196110.433209321</v>
      </c>
      <c r="M10" s="230" t="s">
        <v>187</v>
      </c>
      <c r="N10" s="231"/>
      <c r="O10" s="255"/>
      <c r="P10" s="232"/>
      <c r="Q10" s="246">
        <f>SUM(Q7:Q9)</f>
        <v>119310.3161544024</v>
      </c>
    </row>
    <row r="11" spans="2:29" ht="15" customHeight="1" x14ac:dyDescent="0.2">
      <c r="B11" s="76" t="s">
        <v>118</v>
      </c>
      <c r="C11" s="584">
        <f>'M2021 BLS  SALARY CHART'!C41</f>
        <v>0.12</v>
      </c>
      <c r="D11" s="584">
        <v>0.10979999999999999</v>
      </c>
      <c r="E11" s="254" t="s">
        <v>82</v>
      </c>
      <c r="F11" s="109"/>
      <c r="G11" s="76" t="s">
        <v>113</v>
      </c>
      <c r="H11" s="51"/>
      <c r="I11" s="292">
        <f>C10</f>
        <v>25.67</v>
      </c>
      <c r="J11" s="85"/>
      <c r="K11" s="256">
        <f>150*J7*I11</f>
        <v>11566.309615384616</v>
      </c>
      <c r="M11" s="76" t="s">
        <v>113</v>
      </c>
      <c r="N11" s="51"/>
      <c r="O11" s="292">
        <f>C10</f>
        <v>25.67</v>
      </c>
      <c r="P11" s="85"/>
      <c r="Q11" s="256">
        <f>150*P7*O11</f>
        <v>7389.9980769230779</v>
      </c>
    </row>
    <row r="12" spans="2:29" ht="15" customHeight="1" thickBot="1" x14ac:dyDescent="0.25">
      <c r="B12" s="257" t="s">
        <v>120</v>
      </c>
      <c r="C12" s="578">
        <f>'Outreach and Engagement'!C13</f>
        <v>2.7799999999999998E-2</v>
      </c>
      <c r="D12" s="579"/>
      <c r="E12" s="258" t="str">
        <f>'Outreach and Engagement'!D13</f>
        <v>FY24 &amp; FY25</v>
      </c>
      <c r="F12" s="109"/>
      <c r="G12" s="117" t="s">
        <v>174</v>
      </c>
      <c r="H12" s="259"/>
      <c r="I12" s="260"/>
      <c r="J12" s="53"/>
      <c r="K12" s="261">
        <f>K10+SUM(K11:K11)</f>
        <v>207676.74282470561</v>
      </c>
      <c r="M12" s="117" t="s">
        <v>174</v>
      </c>
      <c r="N12" s="259"/>
      <c r="O12" s="260"/>
      <c r="P12" s="53"/>
      <c r="Q12" s="261">
        <f>Q10+SUM(Q11:Q11)</f>
        <v>126700.31423132548</v>
      </c>
    </row>
    <row r="13" spans="2:29" ht="15" customHeight="1" x14ac:dyDescent="0.2">
      <c r="F13" s="109"/>
      <c r="G13" s="76" t="str">
        <f>B11</f>
        <v>Administrative Allocation</v>
      </c>
      <c r="H13" s="51"/>
      <c r="I13" s="293">
        <f>C11</f>
        <v>0.12</v>
      </c>
      <c r="J13" s="51"/>
      <c r="K13" s="256">
        <f>K12*I13</f>
        <v>24921.209138964674</v>
      </c>
      <c r="L13" s="51"/>
      <c r="M13" s="76" t="s">
        <v>188</v>
      </c>
      <c r="N13" s="51"/>
      <c r="O13" s="293">
        <f>C11</f>
        <v>0.12</v>
      </c>
      <c r="P13" s="51"/>
      <c r="Q13" s="256">
        <f>Q12*O13</f>
        <v>15204.037707759057</v>
      </c>
    </row>
    <row r="14" spans="2:29" ht="15" customHeight="1" thickBot="1" x14ac:dyDescent="0.25">
      <c r="F14" s="109"/>
      <c r="G14" s="262" t="s">
        <v>122</v>
      </c>
      <c r="H14" s="263"/>
      <c r="I14" s="264"/>
      <c r="J14" s="265"/>
      <c r="K14" s="266">
        <f>SUM(K12:K13)</f>
        <v>232597.95196367029</v>
      </c>
      <c r="L14" s="51"/>
      <c r="M14" s="158" t="s">
        <v>122</v>
      </c>
      <c r="N14" s="267"/>
      <c r="O14" s="268"/>
      <c r="P14" s="269"/>
      <c r="Q14" s="270">
        <f>SUM(Q12:Q13)</f>
        <v>141904.35193908453</v>
      </c>
    </row>
    <row r="15" spans="2:29" ht="15" customHeight="1" thickTop="1" x14ac:dyDescent="0.2">
      <c r="F15" s="109"/>
      <c r="G15" s="76" t="s">
        <v>240</v>
      </c>
      <c r="H15" s="51"/>
      <c r="I15" s="293">
        <f>C12</f>
        <v>2.7799999999999998E-2</v>
      </c>
      <c r="J15" s="51"/>
      <c r="K15" s="256">
        <f>K11*I15</f>
        <v>321.54340730769229</v>
      </c>
      <c r="L15" s="51"/>
      <c r="M15" s="76" t="s">
        <v>240</v>
      </c>
      <c r="N15" s="51"/>
      <c r="O15" s="293">
        <f>C12</f>
        <v>2.7799999999999998E-2</v>
      </c>
      <c r="P15" s="51"/>
      <c r="Q15" s="256">
        <f>Q11*O15</f>
        <v>205.44194653846156</v>
      </c>
    </row>
    <row r="16" spans="2:29" ht="15" customHeight="1" x14ac:dyDescent="0.2">
      <c r="B16" s="271"/>
      <c r="C16" s="29"/>
      <c r="D16" s="29"/>
      <c r="E16" s="272"/>
      <c r="F16" s="109"/>
      <c r="G16" s="117" t="s">
        <v>123</v>
      </c>
      <c r="H16" s="259"/>
      <c r="I16" s="273"/>
      <c r="J16" s="259"/>
      <c r="K16" s="261">
        <f>SUM(K14:K15)</f>
        <v>232919.49537097799</v>
      </c>
      <c r="L16" s="51"/>
      <c r="M16" s="117" t="s">
        <v>123</v>
      </c>
      <c r="N16" s="259"/>
      <c r="O16" s="273"/>
      <c r="P16" s="259"/>
      <c r="Q16" s="261">
        <f>SUM(Q14:Q15)</f>
        <v>142109.79388562299</v>
      </c>
    </row>
    <row r="17" spans="2:17" ht="15" customHeight="1" thickBot="1" x14ac:dyDescent="0.25">
      <c r="B17" s="274"/>
      <c r="C17" s="29"/>
      <c r="D17" s="29"/>
      <c r="E17" s="42"/>
      <c r="F17" s="109"/>
      <c r="G17" s="275" t="s">
        <v>189</v>
      </c>
      <c r="H17" s="276"/>
      <c r="I17" s="277"/>
      <c r="J17" s="278"/>
      <c r="K17" s="279">
        <f>ROUND(K16/K3,2)</f>
        <v>58.01</v>
      </c>
      <c r="L17" s="51"/>
      <c r="M17" s="275" t="s">
        <v>189</v>
      </c>
      <c r="N17" s="276"/>
      <c r="O17" s="277"/>
      <c r="P17" s="278"/>
      <c r="Q17" s="279">
        <f>ROUND(Q16/Q3,2)</f>
        <v>55.62</v>
      </c>
    </row>
    <row r="18" spans="2:17" ht="15" customHeight="1" x14ac:dyDescent="0.2">
      <c r="B18" s="274"/>
      <c r="C18" s="29"/>
      <c r="D18" s="29"/>
      <c r="E18" s="30"/>
      <c r="F18" s="109"/>
      <c r="G18" s="109"/>
      <c r="H18" s="109"/>
      <c r="I18" s="248"/>
      <c r="J18" s="31"/>
      <c r="K18" s="280"/>
      <c r="L18" s="51"/>
    </row>
    <row r="19" spans="2:17" ht="15" customHeight="1" x14ac:dyDescent="0.2">
      <c r="B19" s="274"/>
      <c r="C19" s="29"/>
      <c r="D19" s="29"/>
      <c r="E19" s="281"/>
      <c r="F19" s="109"/>
      <c r="K19" s="282"/>
    </row>
    <row r="20" spans="2:17" ht="15" customHeight="1" x14ac:dyDescent="0.2">
      <c r="B20" s="274"/>
      <c r="C20" s="29"/>
      <c r="D20" s="29"/>
      <c r="E20" s="281"/>
      <c r="F20" s="283"/>
      <c r="M20" s="109"/>
      <c r="N20" s="109"/>
    </row>
    <row r="21" spans="2:17" ht="15" customHeight="1" x14ac:dyDescent="0.2">
      <c r="B21" s="274"/>
      <c r="C21" s="29"/>
      <c r="D21" s="29"/>
      <c r="E21" s="29"/>
      <c r="F21" s="109"/>
      <c r="K21" s="153"/>
      <c r="Q21" s="153"/>
    </row>
    <row r="22" spans="2:17" ht="15" customHeight="1" x14ac:dyDescent="0.2">
      <c r="F22" s="109"/>
    </row>
    <row r="23" spans="2:17" ht="15" customHeight="1" x14ac:dyDescent="0.2">
      <c r="F23" s="109"/>
    </row>
    <row r="24" spans="2:17" ht="15" customHeight="1" x14ac:dyDescent="0.2">
      <c r="F24" s="109"/>
      <c r="G24" s="284"/>
      <c r="H24" s="284"/>
      <c r="I24" s="284"/>
      <c r="J24" s="284"/>
      <c r="K24" s="285"/>
      <c r="M24" s="285"/>
      <c r="N24" s="285"/>
      <c r="O24" s="285"/>
      <c r="P24" s="285"/>
      <c r="Q24" s="285"/>
    </row>
    <row r="25" spans="2:17" ht="15" customHeight="1" x14ac:dyDescent="0.2">
      <c r="D25" s="153"/>
      <c r="F25" s="109"/>
    </row>
    <row r="26" spans="2:17" ht="15" customHeight="1" x14ac:dyDescent="0.2">
      <c r="D26" s="286"/>
      <c r="F26" s="109"/>
      <c r="L26" s="285"/>
    </row>
    <row r="27" spans="2:17" ht="15" customHeight="1" x14ac:dyDescent="0.2">
      <c r="F27" s="109"/>
    </row>
    <row r="28" spans="2:17" ht="15" customHeight="1" x14ac:dyDescent="0.2">
      <c r="B28" s="285"/>
      <c r="C28" s="285"/>
      <c r="D28" s="285"/>
      <c r="E28" s="285"/>
      <c r="F28" s="109"/>
    </row>
    <row r="29" spans="2:17" ht="15" customHeight="1" x14ac:dyDescent="0.2">
      <c r="F29" s="109"/>
    </row>
    <row r="30" spans="2:17" ht="15" customHeight="1" x14ac:dyDescent="0.2">
      <c r="F30" s="109"/>
    </row>
    <row r="31" spans="2:17" ht="15" customHeight="1" x14ac:dyDescent="0.2">
      <c r="F31" s="287"/>
    </row>
    <row r="32" spans="2:17" ht="15" customHeight="1" x14ac:dyDescent="0.2">
      <c r="F32" s="287"/>
    </row>
    <row r="33" spans="2:17" ht="15" customHeight="1" x14ac:dyDescent="0.2"/>
    <row r="34" spans="2:17" s="285" customFormat="1" ht="15" customHeight="1" x14ac:dyDescent="0.2">
      <c r="B34" s="28"/>
      <c r="C34" s="28"/>
      <c r="D34" s="28"/>
      <c r="E34" s="28"/>
      <c r="G34" s="29"/>
      <c r="H34" s="29"/>
      <c r="I34" s="29"/>
      <c r="J34" s="29"/>
      <c r="K34" s="28"/>
      <c r="L34" s="28"/>
      <c r="M34" s="28"/>
      <c r="N34" s="28"/>
      <c r="O34" s="28"/>
      <c r="P34" s="28"/>
      <c r="Q34" s="28"/>
    </row>
    <row r="35" spans="2:17" ht="15" customHeight="1" x14ac:dyDescent="0.2"/>
    <row r="36" spans="2:17" ht="15" customHeight="1" x14ac:dyDescent="0.2"/>
    <row r="37" spans="2:17" ht="15" customHeight="1" x14ac:dyDescent="0.2"/>
    <row r="38" spans="2:17" ht="15" customHeight="1" x14ac:dyDescent="0.2"/>
    <row r="39" spans="2:17" ht="15" customHeight="1" x14ac:dyDescent="0.2"/>
    <row r="40" spans="2:17" ht="15" customHeight="1" x14ac:dyDescent="0.2"/>
    <row r="41" spans="2:17" ht="15" customHeight="1" x14ac:dyDescent="0.2"/>
    <row r="42" spans="2:17" ht="15" customHeight="1" x14ac:dyDescent="0.2"/>
  </sheetData>
  <mergeCells count="8">
    <mergeCell ref="B2:E2"/>
    <mergeCell ref="G2:K2"/>
    <mergeCell ref="M2:Q2"/>
    <mergeCell ref="C12:D12"/>
    <mergeCell ref="B8:D8"/>
    <mergeCell ref="C9:D9"/>
    <mergeCell ref="C10:D10"/>
    <mergeCell ref="C11:D11"/>
  </mergeCells>
  <pageMargins left="0.7" right="0.7" top="0.75" bottom="0.75" header="0.3" footer="0.3"/>
  <pageSetup scale="72" orientation="landscape" r:id="rId1"/>
  <ignoredErrors>
    <ignoredError sqref="Q15 K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763C-BBD0-44E2-9A19-E1F04C09DF3B}">
  <sheetPr>
    <pageSetUpPr fitToPage="1"/>
  </sheetPr>
  <dimension ref="B1:M58"/>
  <sheetViews>
    <sheetView showGridLines="0" zoomScaleNormal="100" zoomScaleSheetLayoutView="70" workbookViewId="0">
      <selection activeCell="C21" sqref="C21"/>
    </sheetView>
  </sheetViews>
  <sheetFormatPr defaultColWidth="9.140625" defaultRowHeight="12.75" x14ac:dyDescent="0.2"/>
  <cols>
    <col min="1" max="1" width="9.140625" style="51"/>
    <col min="2" max="2" width="50" style="51" customWidth="1"/>
    <col min="3" max="5" width="22.28515625" style="51" customWidth="1"/>
    <col min="6" max="6" width="11.7109375" style="51" customWidth="1"/>
    <col min="7" max="7" width="13.28515625" style="51" customWidth="1"/>
    <col min="8" max="8" width="18.140625" style="51" customWidth="1"/>
    <col min="9" max="9" width="13" style="51" customWidth="1"/>
    <col min="10" max="10" width="14.42578125" style="51" customWidth="1"/>
    <col min="11" max="11" width="13.140625" style="51" customWidth="1"/>
    <col min="12" max="12" width="15.85546875" style="51" customWidth="1"/>
    <col min="13" max="13" width="36.7109375" style="51" customWidth="1"/>
    <col min="14" max="16384" width="9.140625" style="51"/>
  </cols>
  <sheetData>
    <row r="1" spans="2:13" ht="15" customHeight="1" x14ac:dyDescent="0.2">
      <c r="B1" s="177"/>
    </row>
    <row r="2" spans="2:13" ht="15" customHeight="1" x14ac:dyDescent="0.2">
      <c r="B2" s="178"/>
      <c r="C2" s="179"/>
      <c r="H2" s="180"/>
    </row>
    <row r="3" spans="2:13" ht="36.6" customHeight="1" thickBot="1" x14ac:dyDescent="0.25">
      <c r="B3" s="585"/>
      <c r="C3" s="585"/>
      <c r="D3" s="585"/>
      <c r="E3" s="585"/>
      <c r="F3" s="585"/>
      <c r="H3" s="585"/>
      <c r="I3" s="585"/>
      <c r="J3" s="585"/>
      <c r="K3" s="585"/>
      <c r="L3" s="585"/>
    </row>
    <row r="4" spans="2:13" ht="15" hidden="1" customHeight="1" thickBot="1" x14ac:dyDescent="0.25">
      <c r="B4" s="181"/>
      <c r="C4" s="181"/>
      <c r="H4" s="42"/>
      <c r="I4" s="42"/>
      <c r="J4" s="42"/>
      <c r="K4" s="42"/>
      <c r="L4" s="42"/>
      <c r="M4" s="79"/>
    </row>
    <row r="5" spans="2:13" ht="15" hidden="1" customHeight="1" thickBot="1" x14ac:dyDescent="0.25">
      <c r="D5" s="42"/>
      <c r="E5" s="42"/>
      <c r="F5" s="42"/>
      <c r="H5" s="586"/>
      <c r="I5" s="586"/>
      <c r="J5" s="586"/>
      <c r="K5" s="586"/>
      <c r="L5" s="586"/>
    </row>
    <row r="6" spans="2:13" s="79" customFormat="1" ht="40.15" customHeight="1" thickBot="1" x14ac:dyDescent="0.25">
      <c r="B6" s="51"/>
      <c r="C6" s="182" t="s">
        <v>162</v>
      </c>
      <c r="D6" s="183" t="s">
        <v>98</v>
      </c>
      <c r="E6" s="184" t="s">
        <v>190</v>
      </c>
      <c r="F6" s="42"/>
      <c r="H6" s="42"/>
      <c r="I6" s="42"/>
      <c r="J6" s="585"/>
      <c r="K6" s="585"/>
      <c r="L6" s="585"/>
      <c r="M6" s="51"/>
    </row>
    <row r="7" spans="2:13" ht="15" customHeight="1" x14ac:dyDescent="0.2">
      <c r="B7" s="185" t="s">
        <v>95</v>
      </c>
      <c r="C7" s="211">
        <f>'M2021 BLS  SALARY CHART'!C6</f>
        <v>39521.664000000004</v>
      </c>
      <c r="D7" s="186">
        <f>'M2021 BLS  SALARY CHART'!C8</f>
        <v>50421.529600000002</v>
      </c>
      <c r="E7" s="211">
        <f>'M2021 BLS  SALARY CHART'!C18</f>
        <v>73170.656000000003</v>
      </c>
      <c r="F7" s="68"/>
      <c r="H7" s="68"/>
      <c r="I7" s="68"/>
      <c r="J7" s="68"/>
      <c r="K7" s="68"/>
      <c r="L7" s="68"/>
    </row>
    <row r="8" spans="2:13" ht="15" customHeight="1" x14ac:dyDescent="0.2">
      <c r="B8" s="187" t="s">
        <v>108</v>
      </c>
      <c r="C8" s="212">
        <f>'M2021 BLS  SALARY CHART'!C38</f>
        <v>0.25390000000000001</v>
      </c>
      <c r="D8" s="204">
        <f>'M2021 BLS  SALARY CHART'!C38</f>
        <v>0.25390000000000001</v>
      </c>
      <c r="E8" s="212">
        <f>'M2021 BLS  SALARY CHART'!C38</f>
        <v>0.25390000000000001</v>
      </c>
      <c r="F8" s="68"/>
      <c r="H8" s="68"/>
      <c r="I8" s="68"/>
      <c r="J8" s="587"/>
      <c r="K8" s="587"/>
      <c r="L8" s="587"/>
    </row>
    <row r="9" spans="2:13" ht="15" customHeight="1" x14ac:dyDescent="0.2">
      <c r="B9" s="187" t="s">
        <v>191</v>
      </c>
      <c r="C9" s="205">
        <f>C7*C8</f>
        <v>10034.550489600002</v>
      </c>
      <c r="D9" s="208">
        <f t="shared" ref="D9:E9" si="0">D7*D8</f>
        <v>12802.026365440001</v>
      </c>
      <c r="E9" s="205">
        <f t="shared" si="0"/>
        <v>18578.029558400001</v>
      </c>
      <c r="F9" s="68"/>
      <c r="H9" s="42"/>
      <c r="I9" s="85"/>
      <c r="J9" s="73"/>
      <c r="K9" s="48"/>
      <c r="L9" s="48"/>
    </row>
    <row r="10" spans="2:13" ht="15" customHeight="1" x14ac:dyDescent="0.2">
      <c r="B10" s="187" t="s">
        <v>192</v>
      </c>
      <c r="C10" s="205">
        <f>C9+C7</f>
        <v>49556.21448960001</v>
      </c>
      <c r="D10" s="208">
        <f t="shared" ref="D10:E10" si="1">D9+D7</f>
        <v>63223.555965439999</v>
      </c>
      <c r="E10" s="205">
        <f t="shared" si="1"/>
        <v>91748.6855584</v>
      </c>
      <c r="F10" s="188"/>
      <c r="H10" s="42"/>
      <c r="I10" s="85"/>
      <c r="J10" s="73"/>
      <c r="K10" s="48"/>
      <c r="L10" s="48"/>
    </row>
    <row r="11" spans="2:13" ht="15" customHeight="1" thickBot="1" x14ac:dyDescent="0.25">
      <c r="B11" s="187" t="s">
        <v>120</v>
      </c>
      <c r="C11" s="206">
        <f>C10*'Outreach and Engagement'!C13</f>
        <v>1377.6627628108802</v>
      </c>
      <c r="D11" s="209">
        <f>D10*'Outreach and Engagement'!C13</f>
        <v>1757.614855839232</v>
      </c>
      <c r="E11" s="206">
        <f>E10*'Outreach and Engagement'!C13</f>
        <v>2550.61345852352</v>
      </c>
      <c r="F11" s="48"/>
      <c r="H11" s="42"/>
      <c r="I11" s="42"/>
      <c r="J11" s="42"/>
      <c r="K11" s="42"/>
      <c r="L11" s="42"/>
    </row>
    <row r="12" spans="2:13" ht="15" customHeight="1" thickTop="1" x14ac:dyDescent="0.2">
      <c r="B12" s="187" t="s">
        <v>193</v>
      </c>
      <c r="C12" s="205">
        <f>C11+C10</f>
        <v>50933.877252410894</v>
      </c>
      <c r="D12" s="208">
        <f t="shared" ref="D12:E12" si="2">D11+D10</f>
        <v>64981.170821279229</v>
      </c>
      <c r="E12" s="205">
        <f t="shared" si="2"/>
        <v>94299.299016923527</v>
      </c>
      <c r="F12" s="48"/>
      <c r="H12" s="42"/>
      <c r="I12" s="42"/>
      <c r="J12" s="42"/>
      <c r="K12" s="42"/>
      <c r="L12" s="42"/>
    </row>
    <row r="13" spans="2:13" ht="15" customHeight="1" thickBot="1" x14ac:dyDescent="0.25">
      <c r="B13" s="189" t="s">
        <v>194</v>
      </c>
      <c r="C13" s="207">
        <f>C12/12</f>
        <v>4244.4897710342411</v>
      </c>
      <c r="D13" s="210">
        <f t="shared" ref="D13:E13" si="3">D12/12</f>
        <v>5415.0975684399355</v>
      </c>
      <c r="E13" s="207">
        <f t="shared" si="3"/>
        <v>7858.2749180769606</v>
      </c>
      <c r="F13" s="48"/>
      <c r="H13" s="42"/>
      <c r="I13" s="68"/>
      <c r="J13" s="42"/>
      <c r="K13" s="68"/>
      <c r="L13" s="42"/>
    </row>
    <row r="14" spans="2:13" ht="15" customHeight="1" thickBot="1" x14ac:dyDescent="0.25">
      <c r="B14" s="189" t="s">
        <v>195</v>
      </c>
      <c r="C14" s="207">
        <f>C13*0.5</f>
        <v>2122.2448855171206</v>
      </c>
      <c r="D14" s="210">
        <f t="shared" ref="D14:E14" si="4">D13*0.5</f>
        <v>2707.5487842199677</v>
      </c>
      <c r="E14" s="207">
        <f t="shared" si="4"/>
        <v>3929.1374590384803</v>
      </c>
      <c r="F14" s="74"/>
      <c r="H14" s="42"/>
      <c r="I14" s="74"/>
      <c r="J14" s="74"/>
      <c r="K14" s="74"/>
      <c r="L14" s="74"/>
    </row>
    <row r="15" spans="2:13" ht="15" customHeight="1" thickBot="1" x14ac:dyDescent="0.25">
      <c r="B15" s="189" t="s">
        <v>196</v>
      </c>
      <c r="C15" s="207">
        <f>C13*0.25</f>
        <v>1061.1224427585603</v>
      </c>
      <c r="D15" s="210">
        <f t="shared" ref="D15:E15" si="5">D13*0.25</f>
        <v>1353.7743921099839</v>
      </c>
      <c r="E15" s="207">
        <f t="shared" si="5"/>
        <v>1964.5687295192402</v>
      </c>
      <c r="F15" s="42"/>
      <c r="H15" s="42"/>
      <c r="I15" s="74"/>
      <c r="J15" s="74"/>
      <c r="K15" s="74"/>
      <c r="L15" s="74"/>
    </row>
    <row r="16" spans="2:13" ht="15" customHeight="1" thickBot="1" x14ac:dyDescent="0.25">
      <c r="B16" s="189" t="s">
        <v>197</v>
      </c>
      <c r="C16" s="207">
        <f>(C12/2080)*7.5</f>
        <v>183.65580740052005</v>
      </c>
      <c r="D16" s="210">
        <f>(D12/2080)*7.5</f>
        <v>234.30710632672799</v>
      </c>
      <c r="E16" s="207">
        <f t="shared" ref="E16" si="6">(E12/2080)*7.5</f>
        <v>340.02151087832999</v>
      </c>
      <c r="F16" s="42"/>
      <c r="H16" s="42"/>
      <c r="I16" s="74"/>
      <c r="J16" s="74"/>
      <c r="K16" s="74"/>
      <c r="L16" s="74"/>
    </row>
    <row r="17" spans="2:13" ht="15" customHeight="1" x14ac:dyDescent="0.2">
      <c r="C17" s="190"/>
      <c r="D17" s="191"/>
      <c r="E17" s="191"/>
      <c r="F17" s="68"/>
      <c r="G17" s="192"/>
      <c r="H17" s="192"/>
      <c r="M17" s="79"/>
    </row>
    <row r="18" spans="2:13" ht="15" customHeight="1" x14ac:dyDescent="0.2">
      <c r="C18" s="191"/>
      <c r="D18" s="191"/>
      <c r="E18" s="191"/>
      <c r="F18" s="68"/>
      <c r="G18" s="192"/>
      <c r="H18" s="192"/>
      <c r="I18" s="584"/>
      <c r="J18" s="584"/>
      <c r="K18" s="179"/>
    </row>
    <row r="19" spans="2:13" s="79" customFormat="1" ht="15" customHeight="1" x14ac:dyDescent="0.2">
      <c r="B19" s="51"/>
      <c r="C19" s="193"/>
      <c r="D19" s="194"/>
      <c r="E19" s="194"/>
      <c r="F19" s="68"/>
      <c r="G19" s="192"/>
      <c r="H19" s="192"/>
      <c r="I19" s="51"/>
      <c r="J19" s="51"/>
      <c r="K19" s="51"/>
      <c r="L19" s="51"/>
      <c r="M19" s="51"/>
    </row>
    <row r="20" spans="2:13" ht="15" customHeight="1" x14ac:dyDescent="0.2">
      <c r="C20" s="190"/>
      <c r="D20" s="191"/>
      <c r="E20" s="191"/>
      <c r="F20" s="42"/>
      <c r="G20" s="192"/>
      <c r="H20" s="192"/>
    </row>
    <row r="21" spans="2:13" ht="15" customHeight="1" x14ac:dyDescent="0.2">
      <c r="B21" s="79"/>
      <c r="C21" s="195"/>
      <c r="D21" s="195"/>
      <c r="E21" s="195"/>
      <c r="F21" s="196"/>
      <c r="J21" s="192"/>
    </row>
    <row r="22" spans="2:13" ht="15" customHeight="1" x14ac:dyDescent="0.2">
      <c r="C22" s="191"/>
      <c r="D22" s="48"/>
      <c r="E22" s="48"/>
      <c r="F22" s="48"/>
      <c r="J22" s="192"/>
    </row>
    <row r="23" spans="2:13" ht="15" customHeight="1" x14ac:dyDescent="0.2">
      <c r="C23" s="191"/>
      <c r="D23" s="48"/>
      <c r="E23" s="48"/>
      <c r="F23" s="48"/>
      <c r="J23" s="192"/>
    </row>
    <row r="24" spans="2:13" ht="15" customHeight="1" x14ac:dyDescent="0.2">
      <c r="B24" s="197"/>
      <c r="C24" s="190"/>
      <c r="D24" s="196"/>
      <c r="E24" s="196"/>
      <c r="F24" s="196"/>
      <c r="J24" s="192"/>
    </row>
    <row r="25" spans="2:13" ht="15" customHeight="1" x14ac:dyDescent="0.2">
      <c r="C25" s="191"/>
      <c r="D25" s="198"/>
      <c r="E25" s="74"/>
      <c r="F25" s="74"/>
      <c r="J25" s="192"/>
    </row>
    <row r="26" spans="2:13" ht="15" customHeight="1" x14ac:dyDescent="0.2">
      <c r="C26" s="42"/>
      <c r="D26" s="198"/>
      <c r="E26" s="74"/>
      <c r="F26" s="74"/>
    </row>
    <row r="27" spans="2:13" ht="15" customHeight="1" x14ac:dyDescent="0.2">
      <c r="B27" s="79"/>
      <c r="C27" s="79"/>
      <c r="D27" s="42"/>
      <c r="E27" s="42"/>
      <c r="F27" s="42"/>
      <c r="H27" s="79"/>
      <c r="I27" s="42"/>
      <c r="J27" s="42"/>
      <c r="K27" s="199"/>
    </row>
    <row r="28" spans="2:13" ht="15" customHeight="1" x14ac:dyDescent="0.2">
      <c r="D28" s="200"/>
      <c r="E28" s="68"/>
      <c r="F28" s="68"/>
      <c r="I28" s="42"/>
      <c r="J28" s="42"/>
      <c r="K28" s="42"/>
    </row>
    <row r="29" spans="2:13" ht="15" customHeight="1" x14ac:dyDescent="0.2">
      <c r="C29" s="56"/>
      <c r="D29" s="200"/>
      <c r="E29" s="68"/>
      <c r="F29" s="68"/>
      <c r="I29" s="42"/>
      <c r="J29" s="42"/>
      <c r="K29" s="68"/>
    </row>
    <row r="30" spans="2:13" ht="15" customHeight="1" x14ac:dyDescent="0.2">
      <c r="C30" s="201"/>
      <c r="D30" s="200"/>
      <c r="E30" s="68"/>
      <c r="F30" s="68"/>
      <c r="I30" s="42"/>
      <c r="J30" s="42"/>
      <c r="K30" s="68"/>
    </row>
    <row r="31" spans="2:13" ht="15" customHeight="1" x14ac:dyDescent="0.2">
      <c r="D31" s="42"/>
      <c r="E31" s="42"/>
      <c r="F31" s="42"/>
      <c r="I31" s="42"/>
      <c r="J31" s="42"/>
      <c r="K31" s="68"/>
    </row>
    <row r="32" spans="2:13" ht="15" customHeight="1" x14ac:dyDescent="0.2">
      <c r="B32" s="79"/>
      <c r="D32" s="188"/>
      <c r="E32" s="196"/>
      <c r="F32" s="196"/>
    </row>
    <row r="33" spans="2:6" ht="15" customHeight="1" x14ac:dyDescent="0.2">
      <c r="C33" s="56"/>
      <c r="D33" s="48"/>
      <c r="E33" s="48"/>
      <c r="F33" s="48"/>
    </row>
    <row r="34" spans="2:6" ht="15" customHeight="1" x14ac:dyDescent="0.2">
      <c r="C34" s="56"/>
      <c r="D34" s="48"/>
      <c r="E34" s="48"/>
      <c r="F34" s="48"/>
    </row>
    <row r="35" spans="2:6" ht="15" customHeight="1" x14ac:dyDescent="0.2">
      <c r="B35" s="197"/>
      <c r="C35" s="202"/>
      <c r="D35" s="196"/>
      <c r="E35" s="196"/>
      <c r="F35" s="196"/>
    </row>
    <row r="36" spans="2:6" ht="15" customHeight="1" x14ac:dyDescent="0.2">
      <c r="C36" s="42"/>
      <c r="D36" s="198"/>
      <c r="E36" s="74"/>
      <c r="F36" s="74"/>
    </row>
    <row r="37" spans="2:6" ht="15" customHeight="1" x14ac:dyDescent="0.2">
      <c r="D37" s="74"/>
      <c r="E37" s="74"/>
      <c r="F37" s="74"/>
    </row>
    <row r="38" spans="2:6" ht="15" customHeight="1" x14ac:dyDescent="0.2">
      <c r="B38" s="79"/>
      <c r="C38" s="79"/>
      <c r="D38" s="42"/>
      <c r="E38" s="42"/>
      <c r="F38" s="68"/>
    </row>
    <row r="39" spans="2:6" ht="15" customHeight="1" x14ac:dyDescent="0.2">
      <c r="D39" s="200"/>
      <c r="E39" s="68"/>
      <c r="F39" s="42"/>
    </row>
    <row r="40" spans="2:6" ht="15" customHeight="1" x14ac:dyDescent="0.2">
      <c r="C40" s="56"/>
      <c r="D40" s="200"/>
      <c r="E40" s="68"/>
      <c r="F40" s="42"/>
    </row>
    <row r="41" spans="2:6" ht="15" customHeight="1" x14ac:dyDescent="0.2">
      <c r="C41" s="201"/>
      <c r="D41" s="200"/>
      <c r="E41" s="68"/>
      <c r="F41" s="42"/>
    </row>
    <row r="42" spans="2:6" ht="15" customHeight="1" x14ac:dyDescent="0.2">
      <c r="D42" s="42"/>
      <c r="E42" s="42"/>
      <c r="F42" s="42"/>
    </row>
    <row r="43" spans="2:6" x14ac:dyDescent="0.2">
      <c r="D43" s="188"/>
      <c r="E43" s="196"/>
      <c r="F43" s="196"/>
    </row>
    <row r="44" spans="2:6" x14ac:dyDescent="0.2">
      <c r="B44" s="179"/>
      <c r="C44" s="56"/>
      <c r="D44" s="48"/>
      <c r="E44" s="48"/>
      <c r="F44" s="48"/>
    </row>
    <row r="45" spans="2:6" x14ac:dyDescent="0.2">
      <c r="B45" s="179"/>
      <c r="C45" s="56"/>
      <c r="D45" s="48"/>
      <c r="E45" s="48"/>
      <c r="F45" s="48"/>
    </row>
    <row r="46" spans="2:6" x14ac:dyDescent="0.2">
      <c r="B46" s="197"/>
      <c r="C46" s="202"/>
      <c r="D46" s="196"/>
      <c r="E46" s="196"/>
      <c r="F46" s="196"/>
    </row>
    <row r="47" spans="2:6" x14ac:dyDescent="0.2">
      <c r="C47" s="42"/>
      <c r="D47" s="198"/>
      <c r="E47" s="74"/>
      <c r="F47" s="74"/>
    </row>
    <row r="48" spans="2:6" x14ac:dyDescent="0.2">
      <c r="D48" s="42"/>
      <c r="E48" s="42"/>
      <c r="F48" s="42"/>
    </row>
    <row r="49" spans="2:6" x14ac:dyDescent="0.2">
      <c r="D49" s="42"/>
      <c r="E49" s="42"/>
      <c r="F49" s="42"/>
    </row>
    <row r="50" spans="2:6" x14ac:dyDescent="0.2">
      <c r="D50" s="42"/>
      <c r="E50" s="42"/>
      <c r="F50" s="42"/>
    </row>
    <row r="51" spans="2:6" x14ac:dyDescent="0.2">
      <c r="D51" s="42"/>
      <c r="E51" s="42"/>
      <c r="F51" s="42"/>
    </row>
    <row r="58" spans="2:6" x14ac:dyDescent="0.2">
      <c r="B58" s="203"/>
      <c r="C58" s="42"/>
      <c r="D58" s="42"/>
      <c r="E58" s="42"/>
    </row>
  </sheetData>
  <mergeCells count="6">
    <mergeCell ref="I18:J18"/>
    <mergeCell ref="B3:F3"/>
    <mergeCell ref="H3:L3"/>
    <mergeCell ref="H5:L5"/>
    <mergeCell ref="J6:L6"/>
    <mergeCell ref="J8:L8"/>
  </mergeCells>
  <pageMargins left="0.7" right="0.7" top="0.75" bottom="0.7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EB09-729E-4E23-8DB1-0583C0EE6535}">
  <dimension ref="A1:Q47"/>
  <sheetViews>
    <sheetView showGridLines="0" topLeftCell="A3" zoomScaleNormal="100" workbookViewId="0">
      <selection activeCell="C21" sqref="C21"/>
    </sheetView>
  </sheetViews>
  <sheetFormatPr defaultColWidth="9.140625" defaultRowHeight="12.75" x14ac:dyDescent="0.2"/>
  <cols>
    <col min="1" max="1" width="30.7109375" style="28" customWidth="1"/>
    <col min="2" max="2" width="13.85546875" style="28" customWidth="1"/>
    <col min="3" max="3" width="13" style="28" customWidth="1"/>
    <col min="4" max="4" width="16.7109375" style="28" customWidth="1"/>
    <col min="5" max="5" width="14.140625" style="28" customWidth="1"/>
    <col min="6" max="7" width="3.5703125" style="28" customWidth="1"/>
    <col min="8" max="8" width="4.5703125" style="28" customWidth="1"/>
    <col min="9" max="9" width="4.28515625" style="29" customWidth="1"/>
    <col min="10" max="10" width="37" style="28" customWidth="1"/>
    <col min="11" max="11" width="12.42578125" style="28" customWidth="1"/>
    <col min="12" max="12" width="11.42578125" style="28" customWidth="1"/>
    <col min="13" max="13" width="25.7109375" style="28" customWidth="1"/>
    <col min="14" max="14" width="4.42578125" style="28" customWidth="1"/>
    <col min="15" max="16384" width="9.140625" style="28"/>
  </cols>
  <sheetData>
    <row r="1" spans="1:16" ht="15" customHeight="1" x14ac:dyDescent="0.2"/>
    <row r="2" spans="1:16" ht="15" customHeight="1" x14ac:dyDescent="0.2">
      <c r="I2" s="30"/>
      <c r="J2" s="594"/>
      <c r="K2" s="594"/>
      <c r="L2" s="594"/>
      <c r="M2" s="594"/>
    </row>
    <row r="3" spans="1:16" ht="18" customHeight="1" thickBot="1" x14ac:dyDescent="0.25">
      <c r="A3" s="595" t="s">
        <v>198</v>
      </c>
      <c r="B3" s="596"/>
      <c r="C3" s="596"/>
      <c r="D3" s="596"/>
      <c r="E3" s="596"/>
      <c r="F3" s="596"/>
      <c r="G3" s="597"/>
      <c r="I3" s="31"/>
      <c r="J3" s="32"/>
      <c r="K3" s="31"/>
      <c r="L3" s="31"/>
      <c r="M3" s="31"/>
    </row>
    <row r="4" spans="1:16" s="33" customFormat="1" ht="23.25" customHeight="1" x14ac:dyDescent="0.2">
      <c r="A4" s="588" t="s">
        <v>100</v>
      </c>
      <c r="B4" s="589"/>
      <c r="C4" s="589"/>
      <c r="D4" s="591" t="s">
        <v>199</v>
      </c>
      <c r="E4" s="592"/>
      <c r="F4" s="592"/>
      <c r="G4" s="593"/>
      <c r="I4" s="34"/>
      <c r="J4" s="598" t="s">
        <v>200</v>
      </c>
      <c r="K4" s="599"/>
      <c r="L4" s="599"/>
      <c r="M4" s="600"/>
      <c r="O4" s="28"/>
    </row>
    <row r="5" spans="1:16" ht="15" customHeight="1" x14ac:dyDescent="0.2">
      <c r="A5" s="38" t="s">
        <v>201</v>
      </c>
      <c r="B5" s="36"/>
      <c r="C5" s="37">
        <f>[13]BayCoveExpenses!J11</f>
        <v>1</v>
      </c>
      <c r="D5" s="38" t="s">
        <v>102</v>
      </c>
      <c r="E5" s="39"/>
      <c r="F5" s="39"/>
      <c r="G5" s="146"/>
      <c r="H5" s="51"/>
      <c r="I5" s="42"/>
      <c r="J5" s="147" t="s">
        <v>202</v>
      </c>
      <c r="K5" s="77">
        <v>20</v>
      </c>
      <c r="L5" s="77" t="s">
        <v>203</v>
      </c>
      <c r="M5" s="148">
        <f>K5*365</f>
        <v>7300</v>
      </c>
    </row>
    <row r="6" spans="1:16" ht="15" customHeight="1" x14ac:dyDescent="0.2">
      <c r="A6" s="38" t="s">
        <v>204</v>
      </c>
      <c r="B6" s="36"/>
      <c r="C6" s="37">
        <f>[13]BayCoveExpenses!J10</f>
        <v>0.17499999999999999</v>
      </c>
      <c r="D6" s="38" t="s">
        <v>102</v>
      </c>
      <c r="E6" s="39"/>
      <c r="F6" s="39"/>
      <c r="G6" s="146"/>
      <c r="H6" s="51"/>
      <c r="I6" s="42"/>
      <c r="J6" s="149"/>
      <c r="K6" s="150"/>
      <c r="L6" s="151" t="s">
        <v>130</v>
      </c>
      <c r="M6" s="152" t="s">
        <v>97</v>
      </c>
    </row>
    <row r="7" spans="1:16" ht="15" customHeight="1" x14ac:dyDescent="0.2">
      <c r="A7" s="38" t="s">
        <v>205</v>
      </c>
      <c r="B7" s="36"/>
      <c r="C7" s="37">
        <v>1</v>
      </c>
      <c r="D7" s="38" t="s">
        <v>102</v>
      </c>
      <c r="E7" s="39"/>
      <c r="F7" s="39"/>
      <c r="G7" s="146"/>
      <c r="H7" s="51"/>
      <c r="I7" s="42"/>
      <c r="J7" s="47" t="s">
        <v>235</v>
      </c>
      <c r="K7" s="48"/>
      <c r="L7" s="115"/>
      <c r="M7" s="116">
        <v>161649.20000000001</v>
      </c>
    </row>
    <row r="8" spans="1:16" ht="15" customHeight="1" x14ac:dyDescent="0.2">
      <c r="A8" s="38" t="s">
        <v>206</v>
      </c>
      <c r="B8" s="49"/>
      <c r="C8" s="37">
        <f>[13]BayCoveExpenses!J12</f>
        <v>0.22500000000000001</v>
      </c>
      <c r="D8" s="38" t="s">
        <v>102</v>
      </c>
      <c r="E8" s="39"/>
      <c r="F8" s="39"/>
      <c r="G8" s="146"/>
      <c r="H8" s="51"/>
      <c r="I8" s="50"/>
      <c r="J8" s="47" t="s">
        <v>245</v>
      </c>
      <c r="K8" s="48"/>
      <c r="L8" s="115"/>
      <c r="M8" s="116">
        <v>151184.34</v>
      </c>
    </row>
    <row r="9" spans="1:16" ht="15" customHeight="1" x14ac:dyDescent="0.2">
      <c r="A9" s="38" t="s">
        <v>207</v>
      </c>
      <c r="B9" s="49"/>
      <c r="C9" s="37">
        <v>0.5</v>
      </c>
      <c r="D9" s="38" t="s">
        <v>102</v>
      </c>
      <c r="E9" s="39"/>
      <c r="F9" s="39"/>
      <c r="G9" s="146"/>
      <c r="H9" s="51"/>
      <c r="I9" s="51"/>
      <c r="J9" s="47" t="s">
        <v>244</v>
      </c>
      <c r="K9" s="48"/>
      <c r="L9" s="115"/>
      <c r="M9" s="116">
        <v>562423.68000000005</v>
      </c>
    </row>
    <row r="10" spans="1:16" ht="15" customHeight="1" x14ac:dyDescent="0.2">
      <c r="A10" s="38" t="s">
        <v>208</v>
      </c>
      <c r="B10" s="49"/>
      <c r="C10" s="37">
        <f>[13]BayCoveExpenses!J13</f>
        <v>1</v>
      </c>
      <c r="D10" s="38" t="s">
        <v>102</v>
      </c>
      <c r="E10" s="39"/>
      <c r="F10" s="39"/>
      <c r="G10" s="146"/>
      <c r="H10" s="51"/>
      <c r="I10" s="51"/>
      <c r="J10" s="117" t="s">
        <v>210</v>
      </c>
      <c r="K10" s="53"/>
      <c r="L10" s="54">
        <f>SUM(C5:C13)</f>
        <v>18.130769230769229</v>
      </c>
      <c r="M10" s="118">
        <f>SUM(M7:M9)</f>
        <v>875257.22000000009</v>
      </c>
    </row>
    <row r="11" spans="1:16" ht="15" customHeight="1" x14ac:dyDescent="0.2">
      <c r="A11" s="38" t="s">
        <v>131</v>
      </c>
      <c r="B11" s="49"/>
      <c r="C11" s="37">
        <f>[13]BayCoveExpenses!J14</f>
        <v>12</v>
      </c>
      <c r="D11" s="38" t="s">
        <v>102</v>
      </c>
      <c r="E11" s="39"/>
      <c r="F11" s="39"/>
      <c r="G11" s="146"/>
      <c r="H11" s="51"/>
      <c r="I11" s="51"/>
      <c r="J11" s="76" t="str">
        <f>A15</f>
        <v>Tax &amp; Fringe</v>
      </c>
      <c r="K11" s="56">
        <f>C15</f>
        <v>0.25390000000000001</v>
      </c>
      <c r="L11" s="42"/>
      <c r="M11" s="116">
        <f>M10*K11</f>
        <v>222227.80815800003</v>
      </c>
    </row>
    <row r="12" spans="1:16" ht="15" customHeight="1" x14ac:dyDescent="0.2">
      <c r="A12" s="38" t="s">
        <v>132</v>
      </c>
      <c r="B12" s="49"/>
      <c r="C12" s="37">
        <f>C26*C11</f>
        <v>2.0307692307692307</v>
      </c>
      <c r="D12" s="38" t="s">
        <v>102</v>
      </c>
      <c r="E12" s="39"/>
      <c r="F12" s="39"/>
      <c r="G12" s="146"/>
      <c r="H12" s="51"/>
      <c r="I12" s="51"/>
      <c r="J12" s="76" t="s">
        <v>239</v>
      </c>
      <c r="K12" s="56">
        <f>C19</f>
        <v>2.7799999999999998E-2</v>
      </c>
      <c r="L12" s="42"/>
      <c r="M12" s="116">
        <f>(M11+M10)*K12</f>
        <v>30510.083782792404</v>
      </c>
      <c r="P12" s="153"/>
    </row>
    <row r="13" spans="1:16" ht="15" customHeight="1" x14ac:dyDescent="0.2">
      <c r="A13" s="95" t="s">
        <v>209</v>
      </c>
      <c r="B13" s="58"/>
      <c r="C13" s="59">
        <v>0.2</v>
      </c>
      <c r="D13" s="60" t="s">
        <v>102</v>
      </c>
      <c r="E13" s="61"/>
      <c r="F13" s="61"/>
      <c r="G13" s="154"/>
      <c r="H13" s="51"/>
      <c r="I13" s="63"/>
      <c r="J13" s="117" t="s">
        <v>107</v>
      </c>
      <c r="K13" s="53"/>
      <c r="L13" s="53"/>
      <c r="M13" s="118">
        <f>M11+M10+M12</f>
        <v>1127995.1119407925</v>
      </c>
    </row>
    <row r="14" spans="1:16" ht="15" customHeight="1" x14ac:dyDescent="0.2">
      <c r="A14" s="588" t="s">
        <v>213</v>
      </c>
      <c r="B14" s="589"/>
      <c r="C14" s="589"/>
      <c r="D14" s="64"/>
      <c r="E14" s="65"/>
      <c r="F14" s="65"/>
      <c r="G14" s="155"/>
      <c r="H14" s="51"/>
      <c r="I14" s="67"/>
      <c r="J14" s="76" t="str">
        <f>A16</f>
        <v>Subcontracts</v>
      </c>
      <c r="K14" s="74"/>
      <c r="L14" s="74"/>
      <c r="M14" s="116">
        <f>C16</f>
        <v>91497.184694999989</v>
      </c>
    </row>
    <row r="15" spans="1:16" ht="15" customHeight="1" x14ac:dyDescent="0.2">
      <c r="A15" s="156" t="s">
        <v>108</v>
      </c>
      <c r="B15" s="49"/>
      <c r="C15" s="70">
        <f>'M2021 BLS  SALARY CHART'!C38</f>
        <v>0.25390000000000001</v>
      </c>
      <c r="D15" s="71" t="s">
        <v>238</v>
      </c>
      <c r="E15" s="41"/>
      <c r="F15" s="41"/>
      <c r="G15" s="146"/>
      <c r="H15" s="51"/>
      <c r="I15" s="73"/>
      <c r="J15" s="76" t="s">
        <v>211</v>
      </c>
      <c r="K15" s="74"/>
      <c r="L15" s="48">
        <f>C17</f>
        <v>614.64579365700001</v>
      </c>
      <c r="M15" s="116">
        <f>L15*K5</f>
        <v>12292.91587314</v>
      </c>
    </row>
    <row r="16" spans="1:16" ht="15" customHeight="1" x14ac:dyDescent="0.2">
      <c r="A16" s="156" t="s">
        <v>214</v>
      </c>
      <c r="B16" s="49"/>
      <c r="C16" s="75">
        <f>[13]BayCoveExpenses!F27*(3.11%+1)*(2.35%+1)*(2%+1)</f>
        <v>91497.184694999989</v>
      </c>
      <c r="D16" s="38" t="s">
        <v>215</v>
      </c>
      <c r="E16" s="41"/>
      <c r="F16" s="41"/>
      <c r="G16" s="157"/>
      <c r="H16" s="51"/>
      <c r="I16" s="73"/>
      <c r="J16" s="117" t="s">
        <v>119</v>
      </c>
      <c r="K16" s="77"/>
      <c r="L16" s="77"/>
      <c r="M16" s="118">
        <f>SUM(M13:M15)</f>
        <v>1231785.2125089327</v>
      </c>
    </row>
    <row r="17" spans="1:13" ht="15" customHeight="1" x14ac:dyDescent="0.2">
      <c r="A17" s="156" t="s">
        <v>216</v>
      </c>
      <c r="B17" s="49"/>
      <c r="C17" s="75">
        <f>571*(3.11%+1)*(2.35%+1)*(2%+1)</f>
        <v>614.64579365700001</v>
      </c>
      <c r="D17" s="38" t="s">
        <v>215</v>
      </c>
      <c r="E17" s="41"/>
      <c r="F17" s="41"/>
      <c r="G17" s="157"/>
      <c r="H17" s="51"/>
      <c r="I17" s="73"/>
      <c r="J17" s="76" t="s">
        <v>212</v>
      </c>
      <c r="K17" s="56">
        <f>C18</f>
        <v>0.12</v>
      </c>
      <c r="L17" s="56"/>
      <c r="M17" s="116">
        <f>M16*K17</f>
        <v>147814.22550107192</v>
      </c>
    </row>
    <row r="18" spans="1:13" ht="15" customHeight="1" thickBot="1" x14ac:dyDescent="0.25">
      <c r="A18" s="156" t="s">
        <v>81</v>
      </c>
      <c r="B18" s="49"/>
      <c r="C18" s="70">
        <f>'M2021 BLS  SALARY CHART'!C41</f>
        <v>0.12</v>
      </c>
      <c r="D18" s="71" t="s">
        <v>82</v>
      </c>
      <c r="E18" s="41"/>
      <c r="F18" s="41"/>
      <c r="G18" s="157"/>
      <c r="H18" s="51"/>
      <c r="I18" s="42"/>
      <c r="J18" s="158" t="s">
        <v>122</v>
      </c>
      <c r="K18" s="78"/>
      <c r="L18" s="78"/>
      <c r="M18" s="121">
        <f>M16+M17</f>
        <v>1379599.4380100046</v>
      </c>
    </row>
    <row r="19" spans="1:13" ht="15" customHeight="1" thickTop="1" x14ac:dyDescent="0.2">
      <c r="A19" s="159" t="s">
        <v>218</v>
      </c>
      <c r="B19" s="160"/>
      <c r="C19" s="161">
        <f>'Outreach and Engagement'!C13</f>
        <v>2.7799999999999998E-2</v>
      </c>
      <c r="D19" s="52" t="s">
        <v>121</v>
      </c>
      <c r="E19" s="162"/>
      <c r="F19" s="162"/>
      <c r="G19" s="163"/>
      <c r="H19" s="51"/>
      <c r="I19" s="73"/>
      <c r="J19" s="76" t="s">
        <v>240</v>
      </c>
      <c r="K19" s="56">
        <f>C19</f>
        <v>2.7799999999999998E-2</v>
      </c>
      <c r="L19" s="42"/>
      <c r="M19" s="116">
        <f>SUM(M14+M15)*K19</f>
        <v>2885.3647957942912</v>
      </c>
    </row>
    <row r="20" spans="1:13" ht="15" customHeight="1" x14ac:dyDescent="0.2">
      <c r="A20" s="164" t="s">
        <v>148</v>
      </c>
      <c r="B20" s="165" t="s">
        <v>149</v>
      </c>
      <c r="C20" s="166" t="s">
        <v>150</v>
      </c>
      <c r="D20" s="55"/>
      <c r="E20" s="51"/>
      <c r="F20" s="51"/>
      <c r="G20" s="51"/>
      <c r="H20" s="51"/>
      <c r="I20" s="73"/>
      <c r="J20" s="76" t="s">
        <v>123</v>
      </c>
      <c r="K20" s="56"/>
      <c r="L20" s="56"/>
      <c r="M20" s="116">
        <f>M19+M18</f>
        <v>1382484.8028057988</v>
      </c>
    </row>
    <row r="21" spans="1:13" ht="15" customHeight="1" thickBot="1" x14ac:dyDescent="0.25">
      <c r="A21" s="81" t="s">
        <v>220</v>
      </c>
      <c r="B21" s="82">
        <v>15</v>
      </c>
      <c r="C21" s="83">
        <f>B21*8</f>
        <v>120</v>
      </c>
      <c r="D21" s="84"/>
      <c r="E21" s="42"/>
      <c r="F21" s="84"/>
      <c r="G21" s="68"/>
      <c r="H21" s="51"/>
      <c r="I21" s="42"/>
      <c r="J21" s="117" t="s">
        <v>217</v>
      </c>
      <c r="K21" s="167"/>
      <c r="L21" s="167"/>
      <c r="M21" s="168">
        <f>M20</f>
        <v>1382484.8028057988</v>
      </c>
    </row>
    <row r="22" spans="1:13" ht="15" customHeight="1" thickTop="1" thickBot="1" x14ac:dyDescent="0.25">
      <c r="A22" s="81" t="s">
        <v>221</v>
      </c>
      <c r="B22" s="42">
        <v>8</v>
      </c>
      <c r="C22" s="83">
        <f t="shared" ref="C22:C24" si="0">B22*8</f>
        <v>64</v>
      </c>
      <c r="D22" s="84"/>
      <c r="E22" s="42"/>
      <c r="F22" s="84"/>
      <c r="G22" s="68"/>
      <c r="H22" s="51"/>
      <c r="I22" s="80"/>
      <c r="J22" s="169" t="s">
        <v>219</v>
      </c>
      <c r="K22" s="170"/>
      <c r="L22" s="171"/>
      <c r="M22" s="172">
        <f>M21/M5</f>
        <v>189.38147983641079</v>
      </c>
    </row>
    <row r="23" spans="1:13" ht="15" customHeight="1" x14ac:dyDescent="0.2">
      <c r="A23" s="81" t="s">
        <v>222</v>
      </c>
      <c r="B23" s="42">
        <v>11</v>
      </c>
      <c r="C23" s="83">
        <f t="shared" si="0"/>
        <v>88</v>
      </c>
      <c r="D23" s="84"/>
      <c r="E23" s="68"/>
      <c r="F23" s="173"/>
      <c r="G23" s="68"/>
      <c r="H23" s="51"/>
      <c r="I23" s="63"/>
      <c r="J23" s="51"/>
      <c r="K23" s="174"/>
      <c r="L23" s="51"/>
      <c r="M23" s="51"/>
    </row>
    <row r="24" spans="1:13" ht="15" customHeight="1" x14ac:dyDescent="0.2">
      <c r="A24" s="86" t="s">
        <v>223</v>
      </c>
      <c r="B24" s="87">
        <v>10</v>
      </c>
      <c r="C24" s="88">
        <f t="shared" si="0"/>
        <v>80</v>
      </c>
      <c r="D24" s="79"/>
      <c r="E24" s="68"/>
      <c r="F24" s="175"/>
      <c r="G24" s="68"/>
      <c r="H24" s="51"/>
      <c r="I24" s="63"/>
      <c r="J24" s="51"/>
      <c r="K24" s="51"/>
      <c r="L24" s="51"/>
      <c r="M24" s="90"/>
    </row>
    <row r="25" spans="1:13" ht="15" customHeight="1" x14ac:dyDescent="0.2">
      <c r="A25" s="91"/>
      <c r="B25" s="92" t="s">
        <v>155</v>
      </c>
      <c r="C25" s="83">
        <f>SUM(C21:C24)</f>
        <v>352</v>
      </c>
      <c r="D25" s="79"/>
      <c r="E25" s="68"/>
      <c r="F25" s="89"/>
      <c r="G25" s="68"/>
      <c r="H25" s="51"/>
      <c r="I25" s="80"/>
      <c r="J25" s="98"/>
      <c r="K25" s="99"/>
      <c r="M25" s="94"/>
    </row>
    <row r="26" spans="1:13" ht="15" customHeight="1" x14ac:dyDescent="0.2">
      <c r="A26" s="95"/>
      <c r="B26" s="96" t="s">
        <v>224</v>
      </c>
      <c r="C26" s="97">
        <f>C25/2080</f>
        <v>0.16923076923076924</v>
      </c>
      <c r="D26" s="51"/>
      <c r="E26" s="51"/>
      <c r="F26" s="89"/>
      <c r="G26" s="68"/>
      <c r="H26" s="51"/>
      <c r="I26" s="42"/>
      <c r="J26" s="590"/>
      <c r="K26" s="590"/>
      <c r="L26" s="590"/>
      <c r="M26" s="590"/>
    </row>
    <row r="27" spans="1:13" ht="15" customHeight="1" x14ac:dyDescent="0.2">
      <c r="H27" s="51"/>
      <c r="I27" s="73"/>
      <c r="J27" s="29"/>
      <c r="K27" s="29"/>
      <c r="L27" s="103"/>
      <c r="M27" s="104"/>
    </row>
    <row r="28" spans="1:13" ht="15" customHeight="1" x14ac:dyDescent="0.2">
      <c r="A28" s="28" t="s">
        <v>225</v>
      </c>
      <c r="H28" s="51"/>
      <c r="I28" s="42"/>
      <c r="J28" s="29"/>
      <c r="K28" s="29"/>
      <c r="L28" s="107"/>
      <c r="M28" s="104"/>
    </row>
    <row r="29" spans="1:13" ht="15" customHeight="1" x14ac:dyDescent="0.2">
      <c r="G29" s="100"/>
      <c r="H29" s="51"/>
      <c r="I29" s="73"/>
      <c r="J29" s="29"/>
      <c r="K29" s="29"/>
      <c r="L29" s="108"/>
      <c r="M29" s="104"/>
    </row>
    <row r="30" spans="1:13" ht="15" customHeight="1" x14ac:dyDescent="0.2">
      <c r="H30" s="51"/>
      <c r="I30" s="73"/>
      <c r="J30" s="29"/>
      <c r="K30" s="29"/>
      <c r="L30" s="108"/>
      <c r="M30" s="106"/>
    </row>
    <row r="31" spans="1:13" ht="15" customHeight="1" x14ac:dyDescent="0.2">
      <c r="H31" s="51"/>
      <c r="I31" s="73"/>
      <c r="J31" s="29"/>
      <c r="K31" s="29"/>
      <c r="L31" s="108"/>
      <c r="M31" s="104"/>
    </row>
    <row r="32" spans="1:13" ht="15" customHeight="1" x14ac:dyDescent="0.2">
      <c r="H32" s="51"/>
      <c r="I32" s="42"/>
      <c r="J32" s="29"/>
      <c r="K32" s="29"/>
      <c r="L32" s="108"/>
      <c r="M32" s="104"/>
    </row>
    <row r="33" spans="1:17" ht="15" customHeight="1" x14ac:dyDescent="0.2">
      <c r="H33" s="51"/>
      <c r="I33" s="85"/>
    </row>
    <row r="34" spans="1:17" ht="15" customHeight="1" x14ac:dyDescent="0.2">
      <c r="A34" s="29"/>
      <c r="B34" s="29"/>
      <c r="C34" s="29"/>
      <c r="D34" s="29"/>
      <c r="E34" s="29"/>
      <c r="F34" s="29"/>
      <c r="G34" s="29"/>
      <c r="H34" s="51"/>
      <c r="I34" s="85"/>
    </row>
    <row r="35" spans="1:17" ht="15" customHeight="1" x14ac:dyDescent="0.2">
      <c r="H35" s="51"/>
      <c r="I35" s="73"/>
      <c r="Q35" s="100"/>
    </row>
    <row r="36" spans="1:17" ht="15" customHeight="1" x14ac:dyDescent="0.2">
      <c r="H36" s="51"/>
      <c r="I36" s="73"/>
      <c r="Q36" s="94"/>
    </row>
    <row r="37" spans="1:17" ht="15" customHeight="1" x14ac:dyDescent="0.2">
      <c r="H37" s="51"/>
      <c r="I37" s="42"/>
    </row>
    <row r="38" spans="1:17" ht="15" customHeight="1" x14ac:dyDescent="0.2"/>
    <row r="39" spans="1:17" ht="15" customHeight="1" x14ac:dyDescent="0.2"/>
    <row r="40" spans="1:17" ht="15" customHeight="1" x14ac:dyDescent="0.2"/>
    <row r="41" spans="1:17" ht="15" customHeight="1" x14ac:dyDescent="0.2"/>
    <row r="42" spans="1:17" ht="15" customHeight="1" x14ac:dyDescent="0.2">
      <c r="I42" s="176"/>
    </row>
    <row r="43" spans="1:17" ht="15" customHeight="1" x14ac:dyDescent="0.2"/>
    <row r="44" spans="1:17" ht="15" customHeight="1" x14ac:dyDescent="0.2">
      <c r="I44" s="28"/>
      <c r="N44" s="29"/>
      <c r="O44" s="29"/>
    </row>
    <row r="45" spans="1:17" s="29" customFormat="1" ht="18" customHeight="1" x14ac:dyDescent="0.2">
      <c r="A45" s="28"/>
      <c r="B45" s="28"/>
      <c r="C45" s="28"/>
      <c r="D45" s="28"/>
      <c r="E45" s="28"/>
      <c r="F45" s="28"/>
      <c r="G45" s="28"/>
      <c r="J45" s="28"/>
      <c r="K45" s="28"/>
      <c r="L45" s="28"/>
      <c r="M45" s="28"/>
      <c r="O45" s="28"/>
    </row>
    <row r="46" spans="1:17" x14ac:dyDescent="0.2">
      <c r="H46" s="29"/>
      <c r="I46" s="28"/>
    </row>
    <row r="47" spans="1:17" x14ac:dyDescent="0.2">
      <c r="H47" s="29"/>
    </row>
  </sheetData>
  <mergeCells count="7">
    <mergeCell ref="A14:C14"/>
    <mergeCell ref="J26:M26"/>
    <mergeCell ref="D4:G4"/>
    <mergeCell ref="J2:M2"/>
    <mergeCell ref="A3:G3"/>
    <mergeCell ref="J4:M4"/>
    <mergeCell ref="A4:C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8935-F3A1-4080-AA7A-5FF1FB6DD82E}">
  <dimension ref="A1:P54"/>
  <sheetViews>
    <sheetView showGridLines="0" zoomScaleNormal="100" workbookViewId="0">
      <selection activeCell="C21" sqref="C21"/>
    </sheetView>
  </sheetViews>
  <sheetFormatPr defaultColWidth="9.140625" defaultRowHeight="12.75" x14ac:dyDescent="0.2"/>
  <cols>
    <col min="1" max="1" width="31.85546875" style="28" customWidth="1"/>
    <col min="2" max="2" width="16.28515625" style="28" bestFit="1" customWidth="1"/>
    <col min="3" max="3" width="7.28515625" style="28" bestFit="1" customWidth="1"/>
    <col min="4" max="4" width="16.7109375" style="28" customWidth="1"/>
    <col min="5" max="5" width="14.140625" style="28" customWidth="1"/>
    <col min="6" max="6" width="6.42578125" style="28" customWidth="1"/>
    <col min="7" max="7" width="4.5703125" style="28" customWidth="1"/>
    <col min="8" max="8" width="4.28515625" style="29" customWidth="1"/>
    <col min="9" max="9" width="37.5703125" style="28" customWidth="1"/>
    <col min="10" max="10" width="13.85546875" style="28" customWidth="1"/>
    <col min="11" max="11" width="13.42578125" style="28" customWidth="1"/>
    <col min="12" max="12" width="14.5703125" style="28" customWidth="1"/>
    <col min="13" max="13" width="4.42578125" style="28" customWidth="1"/>
    <col min="14" max="16384" width="9.140625" style="28"/>
  </cols>
  <sheetData>
    <row r="1" spans="1:13" ht="15" customHeight="1" x14ac:dyDescent="0.2"/>
    <row r="2" spans="1:13" ht="15" customHeight="1" thickBot="1" x14ac:dyDescent="0.25">
      <c r="H2" s="30"/>
      <c r="I2" s="594"/>
      <c r="J2" s="594"/>
      <c r="K2" s="594"/>
      <c r="L2" s="594"/>
    </row>
    <row r="3" spans="1:13" ht="18" customHeight="1" thickBot="1" x14ac:dyDescent="0.25">
      <c r="A3" s="608" t="s">
        <v>226</v>
      </c>
      <c r="B3" s="609"/>
      <c r="C3" s="609"/>
      <c r="D3" s="609"/>
      <c r="E3" s="609"/>
      <c r="F3" s="610"/>
      <c r="H3" s="31"/>
      <c r="I3" s="32"/>
      <c r="J3" s="31"/>
      <c r="K3" s="31"/>
      <c r="L3" s="31"/>
    </row>
    <row r="4" spans="1:13" s="33" customFormat="1" ht="22.5" customHeight="1" thickBot="1" x14ac:dyDescent="0.25">
      <c r="A4" s="614" t="s">
        <v>130</v>
      </c>
      <c r="B4" s="615"/>
      <c r="C4" s="615"/>
      <c r="D4" s="605" t="s">
        <v>199</v>
      </c>
      <c r="E4" s="606"/>
      <c r="F4" s="607"/>
      <c r="H4" s="34"/>
      <c r="I4" s="611" t="s">
        <v>227</v>
      </c>
      <c r="J4" s="612"/>
      <c r="K4" s="612"/>
      <c r="L4" s="613"/>
    </row>
    <row r="5" spans="1:13" ht="17.25" customHeight="1" x14ac:dyDescent="0.2">
      <c r="A5" s="35" t="s">
        <v>201</v>
      </c>
      <c r="B5" s="36"/>
      <c r="C5" s="37">
        <f>[13]BayCoveExpenses!J11</f>
        <v>1</v>
      </c>
      <c r="D5" s="38" t="s">
        <v>102</v>
      </c>
      <c r="E5" s="39"/>
      <c r="F5" s="40"/>
      <c r="G5" s="41"/>
      <c r="H5" s="42"/>
      <c r="I5" s="111" t="s">
        <v>228</v>
      </c>
      <c r="J5" s="43">
        <v>20</v>
      </c>
      <c r="K5" s="43" t="s">
        <v>203</v>
      </c>
      <c r="L5" s="112">
        <f>J5*365</f>
        <v>7300</v>
      </c>
      <c r="M5" s="44"/>
    </row>
    <row r="6" spans="1:13" ht="14.25" customHeight="1" x14ac:dyDescent="0.2">
      <c r="A6" s="35" t="s">
        <v>204</v>
      </c>
      <c r="B6" s="36"/>
      <c r="C6" s="37">
        <f>[13]BayCoveExpenses!J10</f>
        <v>0.17499999999999999</v>
      </c>
      <c r="D6" s="38" t="s">
        <v>102</v>
      </c>
      <c r="E6" s="39"/>
      <c r="F6" s="40"/>
      <c r="G6" s="39"/>
      <c r="H6" s="42"/>
      <c r="I6" s="113" t="s">
        <v>2</v>
      </c>
      <c r="J6" s="45"/>
      <c r="K6" s="46" t="s">
        <v>130</v>
      </c>
      <c r="L6" s="114" t="s">
        <v>97</v>
      </c>
    </row>
    <row r="7" spans="1:13" ht="15" customHeight="1" x14ac:dyDescent="0.2">
      <c r="A7" s="35" t="s">
        <v>205</v>
      </c>
      <c r="B7" s="36"/>
      <c r="C7" s="37">
        <v>1</v>
      </c>
      <c r="D7" s="38" t="s">
        <v>102</v>
      </c>
      <c r="E7" s="39"/>
      <c r="F7" s="40"/>
      <c r="G7" s="41"/>
      <c r="H7" s="42"/>
      <c r="I7" s="47" t="s">
        <v>235</v>
      </c>
      <c r="J7" s="48"/>
      <c r="K7" s="115"/>
      <c r="L7" s="116">
        <v>161649.20000000001</v>
      </c>
    </row>
    <row r="8" spans="1:13" ht="15" customHeight="1" x14ac:dyDescent="0.2">
      <c r="A8" s="35" t="s">
        <v>206</v>
      </c>
      <c r="B8" s="49"/>
      <c r="C8" s="37">
        <f>[13]BayCoveExpenses!J12</f>
        <v>0.22500000000000001</v>
      </c>
      <c r="D8" s="38" t="s">
        <v>102</v>
      </c>
      <c r="E8" s="39"/>
      <c r="F8" s="40"/>
      <c r="G8" s="41"/>
      <c r="H8" s="50"/>
      <c r="I8" s="47" t="s">
        <v>245</v>
      </c>
      <c r="J8" s="48"/>
      <c r="K8" s="115"/>
      <c r="L8" s="116">
        <v>151184.34</v>
      </c>
    </row>
    <row r="9" spans="1:13" ht="15" customHeight="1" x14ac:dyDescent="0.2">
      <c r="A9" s="35" t="s">
        <v>207</v>
      </c>
      <c r="B9" s="49"/>
      <c r="C9" s="37">
        <v>0.5</v>
      </c>
      <c r="D9" s="38" t="s">
        <v>102</v>
      </c>
      <c r="E9" s="39"/>
      <c r="F9" s="40"/>
      <c r="G9" s="41"/>
      <c r="H9" s="51"/>
      <c r="I9" s="47" t="s">
        <v>244</v>
      </c>
      <c r="J9" s="48"/>
      <c r="K9" s="115"/>
      <c r="L9" s="116">
        <v>562423.68000000005</v>
      </c>
    </row>
    <row r="10" spans="1:13" ht="15" customHeight="1" x14ac:dyDescent="0.2">
      <c r="A10" s="35" t="s">
        <v>208</v>
      </c>
      <c r="B10" s="49"/>
      <c r="C10" s="37">
        <f>[13]BayCoveExpenses!J13</f>
        <v>1</v>
      </c>
      <c r="D10" s="38" t="s">
        <v>102</v>
      </c>
      <c r="E10" s="39"/>
      <c r="F10" s="40"/>
      <c r="G10" s="39"/>
      <c r="H10" s="51"/>
      <c r="I10" s="117" t="s">
        <v>210</v>
      </c>
      <c r="J10" s="53"/>
      <c r="K10" s="54">
        <f>SUM(C5:C13)</f>
        <v>18.130769230769229</v>
      </c>
      <c r="L10" s="118">
        <f>SUM(L7:L9)</f>
        <v>875257.22000000009</v>
      </c>
    </row>
    <row r="11" spans="1:13" ht="15" customHeight="1" x14ac:dyDescent="0.2">
      <c r="A11" s="35" t="s">
        <v>162</v>
      </c>
      <c r="B11" s="49"/>
      <c r="C11" s="37">
        <f>[13]BayCoveExpenses!J14</f>
        <v>12</v>
      </c>
      <c r="D11" s="38" t="s">
        <v>102</v>
      </c>
      <c r="E11" s="39"/>
      <c r="F11" s="40"/>
      <c r="G11" s="41"/>
      <c r="H11" s="51"/>
      <c r="I11" s="76" t="str">
        <f>A15</f>
        <v>Tax &amp; Fringe</v>
      </c>
      <c r="J11" s="56">
        <f>C15</f>
        <v>0.25390000000000001</v>
      </c>
      <c r="K11" s="42"/>
      <c r="L11" s="116">
        <f>L10*J11</f>
        <v>222227.80815800003</v>
      </c>
    </row>
    <row r="12" spans="1:13" ht="15" customHeight="1" x14ac:dyDescent="0.2">
      <c r="A12" s="35" t="s">
        <v>132</v>
      </c>
      <c r="B12" s="49"/>
      <c r="C12" s="37">
        <f>C11*C28</f>
        <v>2.0307692307692307</v>
      </c>
      <c r="D12" s="38" t="s">
        <v>102</v>
      </c>
      <c r="E12" s="39"/>
      <c r="F12" s="40"/>
      <c r="G12" s="39"/>
      <c r="H12" s="51"/>
      <c r="I12" s="76" t="s">
        <v>239</v>
      </c>
      <c r="J12" s="56">
        <f>C20</f>
        <v>2.7799999999999998E-2</v>
      </c>
      <c r="K12" s="42"/>
      <c r="L12" s="116">
        <f>(L11+L10)*J12</f>
        <v>30510.083782792404</v>
      </c>
    </row>
    <row r="13" spans="1:13" ht="15" customHeight="1" x14ac:dyDescent="0.2">
      <c r="A13" s="57" t="s">
        <v>209</v>
      </c>
      <c r="B13" s="58"/>
      <c r="C13" s="59">
        <v>0.2</v>
      </c>
      <c r="D13" s="60" t="s">
        <v>102</v>
      </c>
      <c r="E13" s="61"/>
      <c r="F13" s="62"/>
      <c r="G13" s="39"/>
      <c r="H13" s="63"/>
      <c r="I13" s="117" t="s">
        <v>107</v>
      </c>
      <c r="J13" s="53"/>
      <c r="K13" s="53"/>
      <c r="L13" s="118">
        <f>L12+L11+L10</f>
        <v>1127995.1119407925</v>
      </c>
    </row>
    <row r="14" spans="1:13" ht="15" customHeight="1" x14ac:dyDescent="0.2">
      <c r="A14" s="601" t="s">
        <v>213</v>
      </c>
      <c r="B14" s="589"/>
      <c r="C14" s="589"/>
      <c r="D14" s="64"/>
      <c r="E14" s="65"/>
      <c r="F14" s="66"/>
      <c r="G14" s="51"/>
      <c r="H14" s="67"/>
      <c r="I14" s="119" t="s">
        <v>229</v>
      </c>
      <c r="J14" s="42"/>
      <c r="K14" s="68" t="s">
        <v>139</v>
      </c>
      <c r="L14" s="116"/>
    </row>
    <row r="15" spans="1:13" ht="15" customHeight="1" x14ac:dyDescent="0.2">
      <c r="A15" s="69" t="s">
        <v>108</v>
      </c>
      <c r="B15" s="49"/>
      <c r="C15" s="70">
        <f>'M2021 BLS  SALARY CHART'!C38</f>
        <v>0.25390000000000001</v>
      </c>
      <c r="D15" s="71" t="s">
        <v>238</v>
      </c>
      <c r="E15" s="41"/>
      <c r="F15" s="72"/>
      <c r="G15" s="51"/>
      <c r="H15" s="73"/>
      <c r="I15" s="76" t="str">
        <f>A16</f>
        <v>Occupancy purchased (per bed day)</v>
      </c>
      <c r="J15" s="42"/>
      <c r="K15" s="74">
        <f>C16</f>
        <v>18.503960057730005</v>
      </c>
      <c r="L15" s="116">
        <f>K15*L5</f>
        <v>135078.90842142905</v>
      </c>
    </row>
    <row r="16" spans="1:13" ht="15" customHeight="1" x14ac:dyDescent="0.2">
      <c r="A16" s="69" t="s">
        <v>231</v>
      </c>
      <c r="B16" s="49"/>
      <c r="C16" s="128">
        <f>'[13]Project Benchmarks'!B32*(3.11%+1)*(2.35%+1)*(2%+1)</f>
        <v>18.503960057730005</v>
      </c>
      <c r="D16" s="602" t="s">
        <v>215</v>
      </c>
      <c r="E16" s="603"/>
      <c r="F16" s="604"/>
      <c r="G16" s="51"/>
      <c r="H16" s="73"/>
      <c r="I16" s="76" t="str">
        <f>A17</f>
        <v>Subcontracts</v>
      </c>
      <c r="J16" s="74"/>
      <c r="K16" s="74"/>
      <c r="L16" s="116">
        <f>C17</f>
        <v>91497.184694999989</v>
      </c>
    </row>
    <row r="17" spans="1:12" ht="15" customHeight="1" x14ac:dyDescent="0.2">
      <c r="A17" s="69" t="s">
        <v>214</v>
      </c>
      <c r="B17" s="49"/>
      <c r="C17" s="75">
        <f>[13]BayCoveExpenses!F27*(3.11%+1)*(2.35%+1)*(2%+1)</f>
        <v>91497.184694999989</v>
      </c>
      <c r="D17" s="38" t="str">
        <f>'FY22 Dual DX (donated)'!D16</f>
        <v>Rebased with prior CAFs</v>
      </c>
      <c r="E17" s="41"/>
      <c r="F17" s="72"/>
      <c r="G17" s="51"/>
      <c r="H17" s="73"/>
      <c r="I17" s="76" t="s">
        <v>211</v>
      </c>
      <c r="J17" s="74"/>
      <c r="K17" s="48">
        <f>C18</f>
        <v>614.64579365700001</v>
      </c>
      <c r="L17" s="116">
        <f>K17*J5</f>
        <v>12292.91587314</v>
      </c>
    </row>
    <row r="18" spans="1:12" ht="15" customHeight="1" x14ac:dyDescent="0.2">
      <c r="A18" s="69" t="s">
        <v>216</v>
      </c>
      <c r="B18" s="49"/>
      <c r="C18" s="75">
        <f>571*(3.11%+1)*(2.35%+1)*(2%+1)</f>
        <v>614.64579365700001</v>
      </c>
      <c r="D18" s="38" t="str">
        <f>'FY22 Dual DX (donated)'!D17</f>
        <v>Rebased with prior CAFs</v>
      </c>
      <c r="E18" s="41"/>
      <c r="F18" s="72"/>
      <c r="G18" s="51"/>
      <c r="H18" s="42"/>
      <c r="I18" s="117" t="s">
        <v>230</v>
      </c>
      <c r="J18" s="77"/>
      <c r="K18" s="77"/>
      <c r="L18" s="118">
        <f>SUM(L13:L17)</f>
        <v>1366864.1209303618</v>
      </c>
    </row>
    <row r="19" spans="1:12" ht="15" customHeight="1" x14ac:dyDescent="0.2">
      <c r="A19" s="69" t="s">
        <v>81</v>
      </c>
      <c r="B19" s="49"/>
      <c r="C19" s="70">
        <f>'M2021 BLS  SALARY CHART'!C41</f>
        <v>0.12</v>
      </c>
      <c r="D19" s="71" t="s">
        <v>82</v>
      </c>
      <c r="E19" s="41"/>
      <c r="F19" s="72"/>
      <c r="G19" s="51"/>
      <c r="H19" s="73"/>
      <c r="I19" s="76" t="str">
        <f>A19</f>
        <v>Admin Allocation</v>
      </c>
      <c r="J19" s="56">
        <f>C19</f>
        <v>0.12</v>
      </c>
      <c r="K19" s="56"/>
      <c r="L19" s="116">
        <f>L18*J19</f>
        <v>164023.69451164341</v>
      </c>
    </row>
    <row r="20" spans="1:12" ht="15" customHeight="1" thickBot="1" x14ac:dyDescent="0.25">
      <c r="A20" s="129" t="s">
        <v>120</v>
      </c>
      <c r="B20" s="130"/>
      <c r="C20" s="131">
        <f>'Outreach and Engagement'!C13</f>
        <v>2.7799999999999998E-2</v>
      </c>
      <c r="D20" s="132" t="s">
        <v>121</v>
      </c>
      <c r="E20" s="133"/>
      <c r="F20" s="134"/>
      <c r="G20" s="51"/>
      <c r="H20" s="73"/>
      <c r="I20" s="120" t="s">
        <v>122</v>
      </c>
      <c r="J20" s="78"/>
      <c r="K20" s="78"/>
      <c r="L20" s="121">
        <f>L18+L19</f>
        <v>1530887.8154420052</v>
      </c>
    </row>
    <row r="21" spans="1:12" ht="15" customHeight="1" thickBot="1" x14ac:dyDescent="0.25">
      <c r="A21" s="51"/>
      <c r="B21" s="51"/>
      <c r="C21" s="73"/>
      <c r="D21" s="79"/>
      <c r="E21" s="79"/>
      <c r="F21" s="79"/>
      <c r="G21" s="51"/>
      <c r="H21" s="42"/>
      <c r="I21" s="76" t="s">
        <v>246</v>
      </c>
      <c r="J21" s="122">
        <f>C20</f>
        <v>2.7799999999999998E-2</v>
      </c>
      <c r="K21" s="68"/>
      <c r="L21" s="123">
        <f>(L15+L16+L17)*J21</f>
        <v>6640.5584499100196</v>
      </c>
    </row>
    <row r="22" spans="1:12" ht="15" customHeight="1" x14ac:dyDescent="0.2">
      <c r="A22" s="135" t="s">
        <v>148</v>
      </c>
      <c r="B22" s="136" t="s">
        <v>149</v>
      </c>
      <c r="C22" s="137" t="s">
        <v>150</v>
      </c>
      <c r="D22" s="586"/>
      <c r="E22" s="586"/>
      <c r="F22" s="586"/>
      <c r="G22" s="51"/>
      <c r="H22" s="80"/>
      <c r="I22" s="76" t="s">
        <v>123</v>
      </c>
      <c r="J22" s="56"/>
      <c r="K22" s="56"/>
      <c r="L22" s="116">
        <f>L21+L20</f>
        <v>1537528.3738919152</v>
      </c>
    </row>
    <row r="23" spans="1:12" ht="15" customHeight="1" x14ac:dyDescent="0.2">
      <c r="A23" s="138" t="s">
        <v>220</v>
      </c>
      <c r="B23" s="82">
        <v>15</v>
      </c>
      <c r="C23" s="139">
        <f>B23*8</f>
        <v>120</v>
      </c>
      <c r="D23" s="84"/>
      <c r="E23" s="85"/>
      <c r="F23" s="84"/>
      <c r="G23" s="51"/>
      <c r="H23" s="63"/>
      <c r="I23" s="117" t="s">
        <v>232</v>
      </c>
      <c r="J23" s="53"/>
      <c r="K23" s="53"/>
      <c r="L23" s="118">
        <f>L22</f>
        <v>1537528.3738919152</v>
      </c>
    </row>
    <row r="24" spans="1:12" ht="15" customHeight="1" thickBot="1" x14ac:dyDescent="0.25">
      <c r="A24" s="138" t="s">
        <v>221</v>
      </c>
      <c r="B24" s="82">
        <v>8</v>
      </c>
      <c r="C24" s="139">
        <f t="shared" ref="C24:C26" si="0">B24*8</f>
        <v>64</v>
      </c>
      <c r="D24" s="84"/>
      <c r="E24" s="42"/>
      <c r="F24" s="84"/>
      <c r="G24" s="51"/>
      <c r="H24" s="63"/>
      <c r="I24" s="124" t="s">
        <v>219</v>
      </c>
      <c r="J24" s="125"/>
      <c r="K24" s="126"/>
      <c r="L24" s="127">
        <f>L23/L5</f>
        <v>210.62032519067333</v>
      </c>
    </row>
    <row r="25" spans="1:12" ht="15" customHeight="1" x14ac:dyDescent="0.2">
      <c r="A25" s="138" t="s">
        <v>222</v>
      </c>
      <c r="B25" s="42">
        <v>11</v>
      </c>
      <c r="C25" s="139">
        <f t="shared" si="0"/>
        <v>88</v>
      </c>
      <c r="D25" s="84"/>
      <c r="E25" s="68"/>
      <c r="F25" s="84"/>
      <c r="G25" s="51"/>
      <c r="H25" s="80"/>
      <c r="I25" s="51"/>
      <c r="J25" s="51"/>
      <c r="K25" s="51"/>
      <c r="L25" s="51"/>
    </row>
    <row r="26" spans="1:12" x14ac:dyDescent="0.2">
      <c r="A26" s="140" t="s">
        <v>223</v>
      </c>
      <c r="B26" s="87">
        <v>10</v>
      </c>
      <c r="C26" s="141">
        <f t="shared" si="0"/>
        <v>80</v>
      </c>
      <c r="D26" s="79"/>
      <c r="E26" s="68"/>
      <c r="F26" s="89"/>
      <c r="G26" s="51"/>
      <c r="H26" s="42"/>
      <c r="I26" s="51"/>
      <c r="J26" s="51"/>
      <c r="K26" s="51"/>
      <c r="L26" s="90"/>
    </row>
    <row r="27" spans="1:12" ht="15" customHeight="1" x14ac:dyDescent="0.2">
      <c r="A27" s="142"/>
      <c r="B27" s="92" t="s">
        <v>155</v>
      </c>
      <c r="C27" s="139">
        <f>SUM(C23:C26)</f>
        <v>352</v>
      </c>
      <c r="D27" s="79"/>
      <c r="E27" s="68"/>
      <c r="F27" s="89"/>
      <c r="G27" s="51"/>
      <c r="H27" s="73"/>
      <c r="I27" s="79"/>
      <c r="J27" s="93"/>
      <c r="L27" s="94"/>
    </row>
    <row r="28" spans="1:12" ht="15" customHeight="1" thickBot="1" x14ac:dyDescent="0.25">
      <c r="A28" s="143"/>
      <c r="B28" s="144" t="s">
        <v>224</v>
      </c>
      <c r="C28" s="145">
        <f>C27/2080</f>
        <v>0.16923076923076924</v>
      </c>
      <c r="D28" s="51"/>
      <c r="E28" s="51"/>
      <c r="F28" s="89"/>
      <c r="G28" s="51"/>
      <c r="H28" s="42"/>
      <c r="I28" s="98"/>
      <c r="J28" s="98"/>
    </row>
    <row r="29" spans="1:12" ht="15" customHeight="1" x14ac:dyDescent="0.2">
      <c r="G29" s="51"/>
      <c r="H29" s="73"/>
      <c r="I29" s="98"/>
      <c r="J29" s="99"/>
      <c r="L29" s="100"/>
    </row>
    <row r="30" spans="1:12" ht="15" customHeight="1" x14ac:dyDescent="0.2">
      <c r="A30" s="28" t="s">
        <v>225</v>
      </c>
      <c r="G30" s="51"/>
      <c r="H30" s="73"/>
      <c r="I30" s="98"/>
      <c r="J30" s="98"/>
      <c r="L30" s="101"/>
    </row>
    <row r="31" spans="1:12" ht="15" customHeight="1" x14ac:dyDescent="0.2">
      <c r="G31" s="51"/>
      <c r="H31" s="73"/>
    </row>
    <row r="32" spans="1:12" ht="15" customHeight="1" x14ac:dyDescent="0.2">
      <c r="G32" s="51"/>
      <c r="H32" s="42"/>
    </row>
    <row r="33" spans="1:16" ht="15" customHeight="1" x14ac:dyDescent="0.2">
      <c r="G33" s="51"/>
      <c r="H33" s="85"/>
      <c r="I33" s="102"/>
      <c r="J33" s="30"/>
      <c r="K33" s="30"/>
      <c r="L33" s="30"/>
    </row>
    <row r="34" spans="1:16" ht="15" customHeight="1" x14ac:dyDescent="0.2">
      <c r="G34" s="51"/>
      <c r="H34" s="85"/>
      <c r="I34" s="103"/>
      <c r="J34" s="104"/>
      <c r="K34" s="105"/>
      <c r="L34" s="106"/>
    </row>
    <row r="35" spans="1:16" ht="15" customHeight="1" x14ac:dyDescent="0.2">
      <c r="G35" s="51"/>
      <c r="H35" s="73"/>
      <c r="I35" s="107"/>
      <c r="J35" s="104"/>
      <c r="K35" s="29"/>
      <c r="L35" s="29"/>
      <c r="P35" s="100"/>
    </row>
    <row r="36" spans="1:16" ht="15" customHeight="1" x14ac:dyDescent="0.2">
      <c r="G36" s="51"/>
      <c r="H36" s="73"/>
      <c r="I36" s="108"/>
      <c r="J36" s="104"/>
      <c r="K36" s="29"/>
      <c r="L36" s="29"/>
      <c r="P36" s="94"/>
    </row>
    <row r="37" spans="1:16" ht="15" customHeight="1" x14ac:dyDescent="0.2">
      <c r="G37" s="51"/>
      <c r="H37" s="42"/>
      <c r="I37" s="108"/>
      <c r="J37" s="106"/>
      <c r="K37" s="29"/>
      <c r="L37" s="29"/>
    </row>
    <row r="38" spans="1:16" ht="15" customHeight="1" x14ac:dyDescent="0.2">
      <c r="D38" s="29"/>
      <c r="E38" s="29"/>
      <c r="F38" s="29"/>
      <c r="G38" s="51"/>
      <c r="H38" s="51"/>
      <c r="I38" s="30"/>
      <c r="J38" s="30"/>
      <c r="K38" s="29"/>
      <c r="L38" s="29"/>
    </row>
    <row r="39" spans="1:16" ht="15" customHeight="1" x14ac:dyDescent="0.2">
      <c r="B39" s="29"/>
      <c r="C39" s="29"/>
      <c r="D39" s="29"/>
      <c r="E39" s="29"/>
      <c r="F39" s="29"/>
      <c r="H39" s="109"/>
      <c r="I39" s="29"/>
      <c r="J39" s="29"/>
      <c r="K39" s="29"/>
      <c r="L39" s="29"/>
    </row>
    <row r="40" spans="1:16" ht="15" customHeight="1" x14ac:dyDescent="0.2">
      <c r="A40" s="29"/>
      <c r="B40" s="29"/>
      <c r="C40" s="29"/>
      <c r="D40" s="29"/>
      <c r="E40" s="29"/>
      <c r="F40" s="29"/>
      <c r="I40" s="29"/>
      <c r="J40" s="29"/>
      <c r="K40" s="29"/>
      <c r="L40" s="29"/>
    </row>
    <row r="41" spans="1:16" ht="15" customHeight="1" x14ac:dyDescent="0.2">
      <c r="A41" s="29"/>
      <c r="B41" s="29"/>
      <c r="C41" s="110"/>
      <c r="D41" s="29"/>
      <c r="E41" s="29"/>
      <c r="F41" s="29"/>
    </row>
    <row r="42" spans="1:16" ht="15" customHeight="1" x14ac:dyDescent="0.2">
      <c r="A42" s="29"/>
      <c r="B42" s="29"/>
      <c r="C42" s="29"/>
      <c r="D42" s="29"/>
      <c r="E42" s="29"/>
      <c r="F42" s="29"/>
    </row>
    <row r="43" spans="1:16" ht="15" customHeight="1" x14ac:dyDescent="0.2">
      <c r="A43" s="29"/>
      <c r="B43" s="29"/>
      <c r="C43" s="29"/>
      <c r="D43" s="29"/>
      <c r="E43" s="29"/>
      <c r="F43" s="29"/>
    </row>
    <row r="44" spans="1:16" ht="15" customHeight="1" x14ac:dyDescent="0.2">
      <c r="A44" s="29"/>
      <c r="B44" s="29"/>
      <c r="C44" s="29"/>
      <c r="M44" s="108"/>
    </row>
    <row r="45" spans="1:16" ht="18" customHeight="1" x14ac:dyDescent="0.2">
      <c r="A45" s="29"/>
      <c r="M45" s="30"/>
    </row>
    <row r="46" spans="1:16" ht="18" customHeight="1" x14ac:dyDescent="0.2">
      <c r="M46" s="29"/>
    </row>
    <row r="47" spans="1:16" ht="18" customHeight="1" x14ac:dyDescent="0.2">
      <c r="G47" s="29"/>
      <c r="M47" s="29"/>
    </row>
    <row r="48" spans="1:16" ht="18" customHeight="1" x14ac:dyDescent="0.2">
      <c r="G48" s="29"/>
      <c r="M48" s="29"/>
    </row>
    <row r="49" spans="1:13" s="29" customFormat="1" ht="18" customHeight="1" x14ac:dyDescent="0.2">
      <c r="A49" s="28"/>
      <c r="B49" s="28"/>
      <c r="C49" s="28"/>
      <c r="D49" s="28"/>
      <c r="E49" s="28"/>
      <c r="F49" s="28"/>
      <c r="I49" s="28"/>
      <c r="J49" s="28"/>
      <c r="K49" s="28"/>
      <c r="L49" s="28"/>
    </row>
    <row r="50" spans="1:13" s="29" customFormat="1" ht="18" customHeight="1" x14ac:dyDescent="0.2">
      <c r="A50" s="28"/>
      <c r="B50" s="28"/>
      <c r="C50" s="28"/>
      <c r="D50" s="28"/>
      <c r="E50" s="28"/>
      <c r="F50" s="28"/>
      <c r="I50" s="28"/>
      <c r="J50" s="28"/>
      <c r="K50" s="28"/>
      <c r="L50" s="28"/>
    </row>
    <row r="51" spans="1:13" s="29" customFormat="1" ht="18" customHeight="1" x14ac:dyDescent="0.2">
      <c r="A51" s="28"/>
      <c r="B51" s="28"/>
      <c r="C51" s="28"/>
      <c r="D51" s="28"/>
      <c r="E51" s="28"/>
      <c r="F51" s="28"/>
      <c r="I51" s="28"/>
      <c r="J51" s="28"/>
      <c r="K51" s="28"/>
      <c r="L51" s="28"/>
    </row>
    <row r="52" spans="1:13" s="29" customFormat="1" ht="18" customHeight="1" x14ac:dyDescent="0.2">
      <c r="A52" s="28"/>
      <c r="B52" s="28"/>
      <c r="C52" s="28"/>
      <c r="D52" s="28"/>
      <c r="E52" s="28"/>
      <c r="F52" s="28"/>
      <c r="I52" s="28"/>
      <c r="J52" s="28"/>
      <c r="K52" s="28"/>
      <c r="L52" s="28"/>
    </row>
    <row r="53" spans="1:13" s="29" customFormat="1" ht="18" customHeight="1" x14ac:dyDescent="0.2">
      <c r="A53" s="28"/>
      <c r="B53" s="28"/>
      <c r="C53" s="28"/>
      <c r="D53" s="28"/>
      <c r="E53" s="28"/>
      <c r="F53" s="28"/>
      <c r="G53" s="28"/>
      <c r="I53" s="28"/>
      <c r="J53" s="28"/>
      <c r="K53" s="28"/>
      <c r="L53" s="28"/>
      <c r="M53" s="28"/>
    </row>
    <row r="54" spans="1:13" s="29" customFormat="1" ht="18" customHeight="1" x14ac:dyDescent="0.2">
      <c r="A54" s="28"/>
      <c r="B54" s="28"/>
      <c r="C54" s="28"/>
      <c r="D54" s="28"/>
      <c r="E54" s="28"/>
      <c r="F54" s="28"/>
      <c r="G54" s="28"/>
      <c r="I54" s="28"/>
      <c r="J54" s="28"/>
      <c r="K54" s="28"/>
      <c r="L54" s="28"/>
      <c r="M54" s="28"/>
    </row>
  </sheetData>
  <mergeCells count="8">
    <mergeCell ref="A14:C14"/>
    <mergeCell ref="D16:F16"/>
    <mergeCell ref="D22:F22"/>
    <mergeCell ref="D4:F4"/>
    <mergeCell ref="I2:L2"/>
    <mergeCell ref="A3:F3"/>
    <mergeCell ref="I4:L4"/>
    <mergeCell ref="A4:C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1688-FDFB-43B5-A003-0DACEEB7D3D1}">
  <dimension ref="A1:CT24"/>
  <sheetViews>
    <sheetView showGridLines="0" workbookViewId="0">
      <selection activeCell="CB27" sqref="CB27"/>
    </sheetView>
  </sheetViews>
  <sheetFormatPr defaultRowHeight="12.75" x14ac:dyDescent="0.2"/>
  <cols>
    <col min="1" max="1" width="38.42578125" style="474" customWidth="1"/>
    <col min="2" max="2" width="12.85546875" style="479" customWidth="1"/>
    <col min="3" max="62" width="7.7109375" style="474" hidden="1" customWidth="1"/>
    <col min="63" max="82" width="7.7109375" style="474" customWidth="1"/>
    <col min="83" max="256" width="8.7109375" style="474"/>
    <col min="257" max="257" width="38.42578125" style="474" customWidth="1"/>
    <col min="258" max="258" width="12.85546875" style="474" customWidth="1"/>
    <col min="259" max="318" width="0" style="474" hidden="1" customWidth="1"/>
    <col min="319" max="338" width="7.7109375" style="474" customWidth="1"/>
    <col min="339" max="512" width="8.7109375" style="474"/>
    <col min="513" max="513" width="38.42578125" style="474" customWidth="1"/>
    <col min="514" max="514" width="12.85546875" style="474" customWidth="1"/>
    <col min="515" max="574" width="0" style="474" hidden="1" customWidth="1"/>
    <col min="575" max="594" width="7.7109375" style="474" customWidth="1"/>
    <col min="595" max="768" width="8.7109375" style="474"/>
    <col min="769" max="769" width="38.42578125" style="474" customWidth="1"/>
    <col min="770" max="770" width="12.85546875" style="474" customWidth="1"/>
    <col min="771" max="830" width="0" style="474" hidden="1" customWidth="1"/>
    <col min="831" max="850" width="7.7109375" style="474" customWidth="1"/>
    <col min="851" max="1024" width="8.7109375" style="474"/>
    <col min="1025" max="1025" width="38.42578125" style="474" customWidth="1"/>
    <col min="1026" max="1026" width="12.85546875" style="474" customWidth="1"/>
    <col min="1027" max="1086" width="0" style="474" hidden="1" customWidth="1"/>
    <col min="1087" max="1106" width="7.7109375" style="474" customWidth="1"/>
    <col min="1107" max="1280" width="8.7109375" style="474"/>
    <col min="1281" max="1281" width="38.42578125" style="474" customWidth="1"/>
    <col min="1282" max="1282" width="12.85546875" style="474" customWidth="1"/>
    <col min="1283" max="1342" width="0" style="474" hidden="1" customWidth="1"/>
    <col min="1343" max="1362" width="7.7109375" style="474" customWidth="1"/>
    <col min="1363" max="1536" width="8.7109375" style="474"/>
    <col min="1537" max="1537" width="38.42578125" style="474" customWidth="1"/>
    <col min="1538" max="1538" width="12.85546875" style="474" customWidth="1"/>
    <col min="1539" max="1598" width="0" style="474" hidden="1" customWidth="1"/>
    <col min="1599" max="1618" width="7.7109375" style="474" customWidth="1"/>
    <col min="1619" max="1792" width="8.7109375" style="474"/>
    <col min="1793" max="1793" width="38.42578125" style="474" customWidth="1"/>
    <col min="1794" max="1794" width="12.85546875" style="474" customWidth="1"/>
    <col min="1795" max="1854" width="0" style="474" hidden="1" customWidth="1"/>
    <col min="1855" max="1874" width="7.7109375" style="474" customWidth="1"/>
    <col min="1875" max="2048" width="8.7109375" style="474"/>
    <col min="2049" max="2049" width="38.42578125" style="474" customWidth="1"/>
    <col min="2050" max="2050" width="12.85546875" style="474" customWidth="1"/>
    <col min="2051" max="2110" width="0" style="474" hidden="1" customWidth="1"/>
    <col min="2111" max="2130" width="7.7109375" style="474" customWidth="1"/>
    <col min="2131" max="2304" width="8.7109375" style="474"/>
    <col min="2305" max="2305" width="38.42578125" style="474" customWidth="1"/>
    <col min="2306" max="2306" width="12.85546875" style="474" customWidth="1"/>
    <col min="2307" max="2366" width="0" style="474" hidden="1" customWidth="1"/>
    <col min="2367" max="2386" width="7.7109375" style="474" customWidth="1"/>
    <col min="2387" max="2560" width="8.7109375" style="474"/>
    <col min="2561" max="2561" width="38.42578125" style="474" customWidth="1"/>
    <col min="2562" max="2562" width="12.85546875" style="474" customWidth="1"/>
    <col min="2563" max="2622" width="0" style="474" hidden="1" customWidth="1"/>
    <col min="2623" max="2642" width="7.7109375" style="474" customWidth="1"/>
    <col min="2643" max="2816" width="8.7109375" style="474"/>
    <col min="2817" max="2817" width="38.42578125" style="474" customWidth="1"/>
    <col min="2818" max="2818" width="12.85546875" style="474" customWidth="1"/>
    <col min="2819" max="2878" width="0" style="474" hidden="1" customWidth="1"/>
    <col min="2879" max="2898" width="7.7109375" style="474" customWidth="1"/>
    <col min="2899" max="3072" width="8.7109375" style="474"/>
    <col min="3073" max="3073" width="38.42578125" style="474" customWidth="1"/>
    <col min="3074" max="3074" width="12.85546875" style="474" customWidth="1"/>
    <col min="3075" max="3134" width="0" style="474" hidden="1" customWidth="1"/>
    <col min="3135" max="3154" width="7.7109375" style="474" customWidth="1"/>
    <col min="3155" max="3328" width="8.7109375" style="474"/>
    <col min="3329" max="3329" width="38.42578125" style="474" customWidth="1"/>
    <col min="3330" max="3330" width="12.85546875" style="474" customWidth="1"/>
    <col min="3331" max="3390" width="0" style="474" hidden="1" customWidth="1"/>
    <col min="3391" max="3410" width="7.7109375" style="474" customWidth="1"/>
    <col min="3411" max="3584" width="8.7109375" style="474"/>
    <col min="3585" max="3585" width="38.42578125" style="474" customWidth="1"/>
    <col min="3586" max="3586" width="12.85546875" style="474" customWidth="1"/>
    <col min="3587" max="3646" width="0" style="474" hidden="1" customWidth="1"/>
    <col min="3647" max="3666" width="7.7109375" style="474" customWidth="1"/>
    <col min="3667" max="3840" width="8.7109375" style="474"/>
    <col min="3841" max="3841" width="38.42578125" style="474" customWidth="1"/>
    <col min="3842" max="3842" width="12.85546875" style="474" customWidth="1"/>
    <col min="3843" max="3902" width="0" style="474" hidden="1" customWidth="1"/>
    <col min="3903" max="3922" width="7.7109375" style="474" customWidth="1"/>
    <col min="3923" max="4096" width="8.7109375" style="474"/>
    <col min="4097" max="4097" width="38.42578125" style="474" customWidth="1"/>
    <col min="4098" max="4098" width="12.85546875" style="474" customWidth="1"/>
    <col min="4099" max="4158" width="0" style="474" hidden="1" customWidth="1"/>
    <col min="4159" max="4178" width="7.7109375" style="474" customWidth="1"/>
    <col min="4179" max="4352" width="8.7109375" style="474"/>
    <col min="4353" max="4353" width="38.42578125" style="474" customWidth="1"/>
    <col min="4354" max="4354" width="12.85546875" style="474" customWidth="1"/>
    <col min="4355" max="4414" width="0" style="474" hidden="1" customWidth="1"/>
    <col min="4415" max="4434" width="7.7109375" style="474" customWidth="1"/>
    <col min="4435" max="4608" width="8.7109375" style="474"/>
    <col min="4609" max="4609" width="38.42578125" style="474" customWidth="1"/>
    <col min="4610" max="4610" width="12.85546875" style="474" customWidth="1"/>
    <col min="4611" max="4670" width="0" style="474" hidden="1" customWidth="1"/>
    <col min="4671" max="4690" width="7.7109375" style="474" customWidth="1"/>
    <col min="4691" max="4864" width="8.7109375" style="474"/>
    <col min="4865" max="4865" width="38.42578125" style="474" customWidth="1"/>
    <col min="4866" max="4866" width="12.85546875" style="474" customWidth="1"/>
    <col min="4867" max="4926" width="0" style="474" hidden="1" customWidth="1"/>
    <col min="4927" max="4946" width="7.7109375" style="474" customWidth="1"/>
    <col min="4947" max="5120" width="8.7109375" style="474"/>
    <col min="5121" max="5121" width="38.42578125" style="474" customWidth="1"/>
    <col min="5122" max="5122" width="12.85546875" style="474" customWidth="1"/>
    <col min="5123" max="5182" width="0" style="474" hidden="1" customWidth="1"/>
    <col min="5183" max="5202" width="7.7109375" style="474" customWidth="1"/>
    <col min="5203" max="5376" width="8.7109375" style="474"/>
    <col min="5377" max="5377" width="38.42578125" style="474" customWidth="1"/>
    <col min="5378" max="5378" width="12.85546875" style="474" customWidth="1"/>
    <col min="5379" max="5438" width="0" style="474" hidden="1" customWidth="1"/>
    <col min="5439" max="5458" width="7.7109375" style="474" customWidth="1"/>
    <col min="5459" max="5632" width="8.7109375" style="474"/>
    <col min="5633" max="5633" width="38.42578125" style="474" customWidth="1"/>
    <col min="5634" max="5634" width="12.85546875" style="474" customWidth="1"/>
    <col min="5635" max="5694" width="0" style="474" hidden="1" customWidth="1"/>
    <col min="5695" max="5714" width="7.7109375" style="474" customWidth="1"/>
    <col min="5715" max="5888" width="8.7109375" style="474"/>
    <col min="5889" max="5889" width="38.42578125" style="474" customWidth="1"/>
    <col min="5890" max="5890" width="12.85546875" style="474" customWidth="1"/>
    <col min="5891" max="5950" width="0" style="474" hidden="1" customWidth="1"/>
    <col min="5951" max="5970" width="7.7109375" style="474" customWidth="1"/>
    <col min="5971" max="6144" width="8.7109375" style="474"/>
    <col min="6145" max="6145" width="38.42578125" style="474" customWidth="1"/>
    <col min="6146" max="6146" width="12.85546875" style="474" customWidth="1"/>
    <col min="6147" max="6206" width="0" style="474" hidden="1" customWidth="1"/>
    <col min="6207" max="6226" width="7.7109375" style="474" customWidth="1"/>
    <col min="6227" max="6400" width="8.7109375" style="474"/>
    <col min="6401" max="6401" width="38.42578125" style="474" customWidth="1"/>
    <col min="6402" max="6402" width="12.85546875" style="474" customWidth="1"/>
    <col min="6403" max="6462" width="0" style="474" hidden="1" customWidth="1"/>
    <col min="6463" max="6482" width="7.7109375" style="474" customWidth="1"/>
    <col min="6483" max="6656" width="8.7109375" style="474"/>
    <col min="6657" max="6657" width="38.42578125" style="474" customWidth="1"/>
    <col min="6658" max="6658" width="12.85546875" style="474" customWidth="1"/>
    <col min="6659" max="6718" width="0" style="474" hidden="1" customWidth="1"/>
    <col min="6719" max="6738" width="7.7109375" style="474" customWidth="1"/>
    <col min="6739" max="6912" width="8.7109375" style="474"/>
    <col min="6913" max="6913" width="38.42578125" style="474" customWidth="1"/>
    <col min="6914" max="6914" width="12.85546875" style="474" customWidth="1"/>
    <col min="6915" max="6974" width="0" style="474" hidden="1" customWidth="1"/>
    <col min="6975" max="6994" width="7.7109375" style="474" customWidth="1"/>
    <col min="6995" max="7168" width="8.7109375" style="474"/>
    <col min="7169" max="7169" width="38.42578125" style="474" customWidth="1"/>
    <col min="7170" max="7170" width="12.85546875" style="474" customWidth="1"/>
    <col min="7171" max="7230" width="0" style="474" hidden="1" customWidth="1"/>
    <col min="7231" max="7250" width="7.7109375" style="474" customWidth="1"/>
    <col min="7251" max="7424" width="8.7109375" style="474"/>
    <col min="7425" max="7425" width="38.42578125" style="474" customWidth="1"/>
    <col min="7426" max="7426" width="12.85546875" style="474" customWidth="1"/>
    <col min="7427" max="7486" width="0" style="474" hidden="1" customWidth="1"/>
    <col min="7487" max="7506" width="7.7109375" style="474" customWidth="1"/>
    <col min="7507" max="7680" width="8.7109375" style="474"/>
    <col min="7681" max="7681" width="38.42578125" style="474" customWidth="1"/>
    <col min="7682" max="7682" width="12.85546875" style="474" customWidth="1"/>
    <col min="7683" max="7742" width="0" style="474" hidden="1" customWidth="1"/>
    <col min="7743" max="7762" width="7.7109375" style="474" customWidth="1"/>
    <col min="7763" max="7936" width="8.7109375" style="474"/>
    <col min="7937" max="7937" width="38.42578125" style="474" customWidth="1"/>
    <col min="7938" max="7938" width="12.85546875" style="474" customWidth="1"/>
    <col min="7939" max="7998" width="0" style="474" hidden="1" customWidth="1"/>
    <col min="7999" max="8018" width="7.7109375" style="474" customWidth="1"/>
    <col min="8019" max="8192" width="8.7109375" style="474"/>
    <col min="8193" max="8193" width="38.42578125" style="474" customWidth="1"/>
    <col min="8194" max="8194" width="12.85546875" style="474" customWidth="1"/>
    <col min="8195" max="8254" width="0" style="474" hidden="1" customWidth="1"/>
    <col min="8255" max="8274" width="7.7109375" style="474" customWidth="1"/>
    <col min="8275" max="8448" width="8.7109375" style="474"/>
    <col min="8449" max="8449" width="38.42578125" style="474" customWidth="1"/>
    <col min="8450" max="8450" width="12.85546875" style="474" customWidth="1"/>
    <col min="8451" max="8510" width="0" style="474" hidden="1" customWidth="1"/>
    <col min="8511" max="8530" width="7.7109375" style="474" customWidth="1"/>
    <col min="8531" max="8704" width="8.7109375" style="474"/>
    <col min="8705" max="8705" width="38.42578125" style="474" customWidth="1"/>
    <col min="8706" max="8706" width="12.85546875" style="474" customWidth="1"/>
    <col min="8707" max="8766" width="0" style="474" hidden="1" customWidth="1"/>
    <col min="8767" max="8786" width="7.7109375" style="474" customWidth="1"/>
    <col min="8787" max="8960" width="8.7109375" style="474"/>
    <col min="8961" max="8961" width="38.42578125" style="474" customWidth="1"/>
    <col min="8962" max="8962" width="12.85546875" style="474" customWidth="1"/>
    <col min="8963" max="9022" width="0" style="474" hidden="1" customWidth="1"/>
    <col min="9023" max="9042" width="7.7109375" style="474" customWidth="1"/>
    <col min="9043" max="9216" width="8.7109375" style="474"/>
    <col min="9217" max="9217" width="38.42578125" style="474" customWidth="1"/>
    <col min="9218" max="9218" width="12.85546875" style="474" customWidth="1"/>
    <col min="9219" max="9278" width="0" style="474" hidden="1" customWidth="1"/>
    <col min="9279" max="9298" width="7.7109375" style="474" customWidth="1"/>
    <col min="9299" max="9472" width="8.7109375" style="474"/>
    <col min="9473" max="9473" width="38.42578125" style="474" customWidth="1"/>
    <col min="9474" max="9474" width="12.85546875" style="474" customWidth="1"/>
    <col min="9475" max="9534" width="0" style="474" hidden="1" customWidth="1"/>
    <col min="9535" max="9554" width="7.7109375" style="474" customWidth="1"/>
    <col min="9555" max="9728" width="8.7109375" style="474"/>
    <col min="9729" max="9729" width="38.42578125" style="474" customWidth="1"/>
    <col min="9730" max="9730" width="12.85546875" style="474" customWidth="1"/>
    <col min="9731" max="9790" width="0" style="474" hidden="1" customWidth="1"/>
    <col min="9791" max="9810" width="7.7109375" style="474" customWidth="1"/>
    <col min="9811" max="9984" width="8.7109375" style="474"/>
    <col min="9985" max="9985" width="38.42578125" style="474" customWidth="1"/>
    <col min="9986" max="9986" width="12.85546875" style="474" customWidth="1"/>
    <col min="9987" max="10046" width="0" style="474" hidden="1" customWidth="1"/>
    <col min="10047" max="10066" width="7.7109375" style="474" customWidth="1"/>
    <col min="10067" max="10240" width="8.7109375" style="474"/>
    <col min="10241" max="10241" width="38.42578125" style="474" customWidth="1"/>
    <col min="10242" max="10242" width="12.85546875" style="474" customWidth="1"/>
    <col min="10243" max="10302" width="0" style="474" hidden="1" customWidth="1"/>
    <col min="10303" max="10322" width="7.7109375" style="474" customWidth="1"/>
    <col min="10323" max="10496" width="8.7109375" style="474"/>
    <col min="10497" max="10497" width="38.42578125" style="474" customWidth="1"/>
    <col min="10498" max="10498" width="12.85546875" style="474" customWidth="1"/>
    <col min="10499" max="10558" width="0" style="474" hidden="1" customWidth="1"/>
    <col min="10559" max="10578" width="7.7109375" style="474" customWidth="1"/>
    <col min="10579" max="10752" width="8.7109375" style="474"/>
    <col min="10753" max="10753" width="38.42578125" style="474" customWidth="1"/>
    <col min="10754" max="10754" width="12.85546875" style="474" customWidth="1"/>
    <col min="10755" max="10814" width="0" style="474" hidden="1" customWidth="1"/>
    <col min="10815" max="10834" width="7.7109375" style="474" customWidth="1"/>
    <col min="10835" max="11008" width="8.7109375" style="474"/>
    <col min="11009" max="11009" width="38.42578125" style="474" customWidth="1"/>
    <col min="11010" max="11010" width="12.85546875" style="474" customWidth="1"/>
    <col min="11011" max="11070" width="0" style="474" hidden="1" customWidth="1"/>
    <col min="11071" max="11090" width="7.7109375" style="474" customWidth="1"/>
    <col min="11091" max="11264" width="8.7109375" style="474"/>
    <col min="11265" max="11265" width="38.42578125" style="474" customWidth="1"/>
    <col min="11266" max="11266" width="12.85546875" style="474" customWidth="1"/>
    <col min="11267" max="11326" width="0" style="474" hidden="1" customWidth="1"/>
    <col min="11327" max="11346" width="7.7109375" style="474" customWidth="1"/>
    <col min="11347" max="11520" width="8.7109375" style="474"/>
    <col min="11521" max="11521" width="38.42578125" style="474" customWidth="1"/>
    <col min="11522" max="11522" width="12.85546875" style="474" customWidth="1"/>
    <col min="11523" max="11582" width="0" style="474" hidden="1" customWidth="1"/>
    <col min="11583" max="11602" width="7.7109375" style="474" customWidth="1"/>
    <col min="11603" max="11776" width="8.7109375" style="474"/>
    <col min="11777" max="11777" width="38.42578125" style="474" customWidth="1"/>
    <col min="11778" max="11778" width="12.85546875" style="474" customWidth="1"/>
    <col min="11779" max="11838" width="0" style="474" hidden="1" customWidth="1"/>
    <col min="11839" max="11858" width="7.7109375" style="474" customWidth="1"/>
    <col min="11859" max="12032" width="8.7109375" style="474"/>
    <col min="12033" max="12033" width="38.42578125" style="474" customWidth="1"/>
    <col min="12034" max="12034" width="12.85546875" style="474" customWidth="1"/>
    <col min="12035" max="12094" width="0" style="474" hidden="1" customWidth="1"/>
    <col min="12095" max="12114" width="7.7109375" style="474" customWidth="1"/>
    <col min="12115" max="12288" width="8.7109375" style="474"/>
    <col min="12289" max="12289" width="38.42578125" style="474" customWidth="1"/>
    <col min="12290" max="12290" width="12.85546875" style="474" customWidth="1"/>
    <col min="12291" max="12350" width="0" style="474" hidden="1" customWidth="1"/>
    <col min="12351" max="12370" width="7.7109375" style="474" customWidth="1"/>
    <col min="12371" max="12544" width="8.7109375" style="474"/>
    <col min="12545" max="12545" width="38.42578125" style="474" customWidth="1"/>
    <col min="12546" max="12546" width="12.85546875" style="474" customWidth="1"/>
    <col min="12547" max="12606" width="0" style="474" hidden="1" customWidth="1"/>
    <col min="12607" max="12626" width="7.7109375" style="474" customWidth="1"/>
    <col min="12627" max="12800" width="8.7109375" style="474"/>
    <col min="12801" max="12801" width="38.42578125" style="474" customWidth="1"/>
    <col min="12802" max="12802" width="12.85546875" style="474" customWidth="1"/>
    <col min="12803" max="12862" width="0" style="474" hidden="1" customWidth="1"/>
    <col min="12863" max="12882" width="7.7109375" style="474" customWidth="1"/>
    <col min="12883" max="13056" width="8.7109375" style="474"/>
    <col min="13057" max="13057" width="38.42578125" style="474" customWidth="1"/>
    <col min="13058" max="13058" width="12.85546875" style="474" customWidth="1"/>
    <col min="13059" max="13118" width="0" style="474" hidden="1" customWidth="1"/>
    <col min="13119" max="13138" width="7.7109375" style="474" customWidth="1"/>
    <col min="13139" max="13312" width="8.7109375" style="474"/>
    <col min="13313" max="13313" width="38.42578125" style="474" customWidth="1"/>
    <col min="13314" max="13314" width="12.85546875" style="474" customWidth="1"/>
    <col min="13315" max="13374" width="0" style="474" hidden="1" customWidth="1"/>
    <col min="13375" max="13394" width="7.7109375" style="474" customWidth="1"/>
    <col min="13395" max="13568" width="8.7109375" style="474"/>
    <col min="13569" max="13569" width="38.42578125" style="474" customWidth="1"/>
    <col min="13570" max="13570" width="12.85546875" style="474" customWidth="1"/>
    <col min="13571" max="13630" width="0" style="474" hidden="1" customWidth="1"/>
    <col min="13631" max="13650" width="7.7109375" style="474" customWidth="1"/>
    <col min="13651" max="13824" width="8.7109375" style="474"/>
    <col min="13825" max="13825" width="38.42578125" style="474" customWidth="1"/>
    <col min="13826" max="13826" width="12.85546875" style="474" customWidth="1"/>
    <col min="13827" max="13886" width="0" style="474" hidden="1" customWidth="1"/>
    <col min="13887" max="13906" width="7.7109375" style="474" customWidth="1"/>
    <col min="13907" max="14080" width="8.7109375" style="474"/>
    <col min="14081" max="14081" width="38.42578125" style="474" customWidth="1"/>
    <col min="14082" max="14082" width="12.85546875" style="474" customWidth="1"/>
    <col min="14083" max="14142" width="0" style="474" hidden="1" customWidth="1"/>
    <col min="14143" max="14162" width="7.7109375" style="474" customWidth="1"/>
    <col min="14163" max="14336" width="8.7109375" style="474"/>
    <col min="14337" max="14337" width="38.42578125" style="474" customWidth="1"/>
    <col min="14338" max="14338" width="12.85546875" style="474" customWidth="1"/>
    <col min="14339" max="14398" width="0" style="474" hidden="1" customWidth="1"/>
    <col min="14399" max="14418" width="7.7109375" style="474" customWidth="1"/>
    <col min="14419" max="14592" width="8.7109375" style="474"/>
    <col min="14593" max="14593" width="38.42578125" style="474" customWidth="1"/>
    <col min="14594" max="14594" width="12.85546875" style="474" customWidth="1"/>
    <col min="14595" max="14654" width="0" style="474" hidden="1" customWidth="1"/>
    <col min="14655" max="14674" width="7.7109375" style="474" customWidth="1"/>
    <col min="14675" max="14848" width="8.7109375" style="474"/>
    <col min="14849" max="14849" width="38.42578125" style="474" customWidth="1"/>
    <col min="14850" max="14850" width="12.85546875" style="474" customWidth="1"/>
    <col min="14851" max="14910" width="0" style="474" hidden="1" customWidth="1"/>
    <col min="14911" max="14930" width="7.7109375" style="474" customWidth="1"/>
    <col min="14931" max="15104" width="8.7109375" style="474"/>
    <col min="15105" max="15105" width="38.42578125" style="474" customWidth="1"/>
    <col min="15106" max="15106" width="12.85546875" style="474" customWidth="1"/>
    <col min="15107" max="15166" width="0" style="474" hidden="1" customWidth="1"/>
    <col min="15167" max="15186" width="7.7109375" style="474" customWidth="1"/>
    <col min="15187" max="15360" width="8.7109375" style="474"/>
    <col min="15361" max="15361" width="38.42578125" style="474" customWidth="1"/>
    <col min="15362" max="15362" width="12.85546875" style="474" customWidth="1"/>
    <col min="15363" max="15422" width="0" style="474" hidden="1" customWidth="1"/>
    <col min="15423" max="15442" width="7.7109375" style="474" customWidth="1"/>
    <col min="15443" max="15616" width="8.7109375" style="474"/>
    <col min="15617" max="15617" width="38.42578125" style="474" customWidth="1"/>
    <col min="15618" max="15618" width="12.85546875" style="474" customWidth="1"/>
    <col min="15619" max="15678" width="0" style="474" hidden="1" customWidth="1"/>
    <col min="15679" max="15698" width="7.7109375" style="474" customWidth="1"/>
    <col min="15699" max="15872" width="8.7109375" style="474"/>
    <col min="15873" max="15873" width="38.42578125" style="474" customWidth="1"/>
    <col min="15874" max="15874" width="12.85546875" style="474" customWidth="1"/>
    <col min="15875" max="15934" width="0" style="474" hidden="1" customWidth="1"/>
    <col min="15935" max="15954" width="7.7109375" style="474" customWidth="1"/>
    <col min="15955" max="16128" width="8.7109375" style="474"/>
    <col min="16129" max="16129" width="38.42578125" style="474" customWidth="1"/>
    <col min="16130" max="16130" width="12.85546875" style="474" customWidth="1"/>
    <col min="16131" max="16190" width="0" style="474" hidden="1" customWidth="1"/>
    <col min="16191" max="16210" width="7.7109375" style="474" customWidth="1"/>
    <col min="16211" max="16384" width="8.7109375" style="474"/>
  </cols>
  <sheetData>
    <row r="1" spans="1:98" ht="18" x14ac:dyDescent="0.25">
      <c r="A1" s="616" t="s">
        <v>247</v>
      </c>
      <c r="B1" s="617"/>
    </row>
    <row r="2" spans="1:98" ht="15.75" x14ac:dyDescent="0.25">
      <c r="A2" s="475" t="s">
        <v>248</v>
      </c>
      <c r="B2" s="476"/>
    </row>
    <row r="3" spans="1:98" ht="15.75" thickBot="1" x14ac:dyDescent="0.3">
      <c r="A3" s="477" t="s">
        <v>249</v>
      </c>
      <c r="B3" s="478"/>
    </row>
    <row r="6" spans="1:98" x14ac:dyDescent="0.2">
      <c r="BQ6" s="480" t="s">
        <v>250</v>
      </c>
      <c r="BR6" s="480" t="s">
        <v>250</v>
      </c>
      <c r="BS6" s="480" t="s">
        <v>250</v>
      </c>
      <c r="BT6" s="480" t="s">
        <v>250</v>
      </c>
      <c r="BU6" s="481" t="s">
        <v>251</v>
      </c>
      <c r="BV6" s="481" t="s">
        <v>251</v>
      </c>
      <c r="BW6" s="481" t="s">
        <v>251</v>
      </c>
      <c r="BX6" s="481" t="s">
        <v>251</v>
      </c>
      <c r="BY6" s="482" t="s">
        <v>252</v>
      </c>
      <c r="BZ6" s="482" t="s">
        <v>252</v>
      </c>
      <c r="CA6" s="482" t="s">
        <v>252</v>
      </c>
      <c r="CB6" s="482" t="s">
        <v>252</v>
      </c>
      <c r="CC6" s="483" t="s">
        <v>253</v>
      </c>
      <c r="CD6" s="483" t="s">
        <v>253</v>
      </c>
      <c r="CE6" s="483" t="s">
        <v>253</v>
      </c>
      <c r="CF6" s="483" t="s">
        <v>253</v>
      </c>
      <c r="CG6" s="484" t="s">
        <v>254</v>
      </c>
      <c r="CH6" s="484" t="s">
        <v>254</v>
      </c>
      <c r="CI6" s="484" t="s">
        <v>254</v>
      </c>
      <c r="CJ6" s="484" t="s">
        <v>254</v>
      </c>
    </row>
    <row r="7" spans="1:98" s="479" customFormat="1" x14ac:dyDescent="0.2">
      <c r="B7" s="479" t="s">
        <v>255</v>
      </c>
      <c r="C7" s="485" t="s">
        <v>256</v>
      </c>
      <c r="D7" s="485" t="s">
        <v>257</v>
      </c>
      <c r="E7" s="485" t="s">
        <v>258</v>
      </c>
      <c r="F7" s="485" t="s">
        <v>259</v>
      </c>
      <c r="G7" s="485" t="s">
        <v>260</v>
      </c>
      <c r="H7" s="485" t="s">
        <v>261</v>
      </c>
      <c r="I7" s="485" t="s">
        <v>262</v>
      </c>
      <c r="J7" s="485" t="s">
        <v>263</v>
      </c>
      <c r="K7" s="485" t="s">
        <v>264</v>
      </c>
      <c r="L7" s="485" t="s">
        <v>265</v>
      </c>
      <c r="M7" s="485" t="s">
        <v>266</v>
      </c>
      <c r="N7" s="485" t="s">
        <v>267</v>
      </c>
      <c r="O7" s="485" t="s">
        <v>268</v>
      </c>
      <c r="P7" s="485" t="s">
        <v>269</v>
      </c>
      <c r="Q7" s="485" t="s">
        <v>270</v>
      </c>
      <c r="R7" s="485" t="s">
        <v>271</v>
      </c>
      <c r="S7" s="485" t="s">
        <v>272</v>
      </c>
      <c r="T7" s="485" t="s">
        <v>273</v>
      </c>
      <c r="U7" s="485" t="s">
        <v>274</v>
      </c>
      <c r="V7" s="485" t="s">
        <v>275</v>
      </c>
      <c r="W7" s="485" t="s">
        <v>276</v>
      </c>
      <c r="X7" s="485" t="s">
        <v>277</v>
      </c>
      <c r="Y7" s="485" t="s">
        <v>278</v>
      </c>
      <c r="Z7" s="485" t="s">
        <v>279</v>
      </c>
      <c r="AA7" s="485" t="s">
        <v>280</v>
      </c>
      <c r="AB7" s="485" t="s">
        <v>281</v>
      </c>
      <c r="AC7" s="485" t="s">
        <v>282</v>
      </c>
      <c r="AD7" s="485" t="s">
        <v>283</v>
      </c>
      <c r="AE7" s="485" t="s">
        <v>284</v>
      </c>
      <c r="AF7" s="485" t="s">
        <v>285</v>
      </c>
      <c r="AG7" s="485" t="s">
        <v>286</v>
      </c>
      <c r="AH7" s="485" t="s">
        <v>287</v>
      </c>
      <c r="AI7" s="485" t="s">
        <v>288</v>
      </c>
      <c r="AJ7" s="485" t="s">
        <v>289</v>
      </c>
      <c r="AK7" s="485" t="s">
        <v>290</v>
      </c>
      <c r="AL7" s="485" t="s">
        <v>291</v>
      </c>
      <c r="AM7" s="485" t="s">
        <v>292</v>
      </c>
      <c r="AN7" s="485" t="s">
        <v>293</v>
      </c>
      <c r="AO7" s="485" t="s">
        <v>294</v>
      </c>
      <c r="AP7" s="485" t="s">
        <v>295</v>
      </c>
      <c r="AQ7" s="485" t="s">
        <v>296</v>
      </c>
      <c r="AR7" s="485" t="s">
        <v>297</v>
      </c>
      <c r="AS7" s="485" t="s">
        <v>298</v>
      </c>
      <c r="AT7" s="485" t="s">
        <v>299</v>
      </c>
      <c r="AU7" s="479" t="s">
        <v>300</v>
      </c>
      <c r="AV7" s="479" t="s">
        <v>301</v>
      </c>
      <c r="AW7" s="479" t="s">
        <v>302</v>
      </c>
      <c r="AX7" s="479" t="s">
        <v>303</v>
      </c>
      <c r="AY7" s="479" t="s">
        <v>304</v>
      </c>
      <c r="AZ7" s="479" t="s">
        <v>305</v>
      </c>
      <c r="BA7" s="479" t="s">
        <v>306</v>
      </c>
      <c r="BB7" s="479" t="s">
        <v>307</v>
      </c>
      <c r="BC7" s="479" t="s">
        <v>308</v>
      </c>
      <c r="BD7" s="479" t="s">
        <v>309</v>
      </c>
      <c r="BE7" s="479" t="s">
        <v>310</v>
      </c>
      <c r="BF7" s="479" t="s">
        <v>311</v>
      </c>
      <c r="BG7" s="479" t="s">
        <v>312</v>
      </c>
      <c r="BH7" s="479" t="s">
        <v>313</v>
      </c>
      <c r="BI7" s="479" t="s">
        <v>314</v>
      </c>
      <c r="BJ7" s="479" t="s">
        <v>315</v>
      </c>
      <c r="BK7" s="479" t="s">
        <v>316</v>
      </c>
      <c r="BL7" s="479" t="s">
        <v>317</v>
      </c>
      <c r="BM7" s="479" t="s">
        <v>318</v>
      </c>
      <c r="BN7" s="479" t="s">
        <v>319</v>
      </c>
      <c r="BO7" s="479" t="s">
        <v>320</v>
      </c>
      <c r="BP7" s="479" t="s">
        <v>321</v>
      </c>
      <c r="BQ7" s="479" t="s">
        <v>322</v>
      </c>
      <c r="BR7" s="479" t="s">
        <v>323</v>
      </c>
      <c r="BS7" s="479" t="s">
        <v>324</v>
      </c>
      <c r="BT7" s="479" t="s">
        <v>325</v>
      </c>
      <c r="BU7" s="479" t="s">
        <v>326</v>
      </c>
      <c r="BV7" s="479" t="s">
        <v>327</v>
      </c>
      <c r="BW7" s="479" t="s">
        <v>328</v>
      </c>
      <c r="BX7" s="479" t="s">
        <v>329</v>
      </c>
      <c r="BY7" s="479" t="s">
        <v>330</v>
      </c>
      <c r="BZ7" s="479" t="s">
        <v>331</v>
      </c>
      <c r="CA7" s="479" t="s">
        <v>332</v>
      </c>
      <c r="CB7" s="479" t="s">
        <v>333</v>
      </c>
      <c r="CC7" s="479" t="s">
        <v>334</v>
      </c>
      <c r="CD7" s="479" t="s">
        <v>335</v>
      </c>
      <c r="CE7" s="479" t="s">
        <v>336</v>
      </c>
      <c r="CF7" s="479" t="s">
        <v>337</v>
      </c>
      <c r="CG7" s="479" t="s">
        <v>338</v>
      </c>
      <c r="CH7" s="479" t="s">
        <v>339</v>
      </c>
      <c r="CI7" s="479" t="s">
        <v>340</v>
      </c>
      <c r="CJ7" s="479" t="s">
        <v>341</v>
      </c>
      <c r="CK7" s="479" t="s">
        <v>342</v>
      </c>
      <c r="CL7" s="479" t="s">
        <v>343</v>
      </c>
      <c r="CM7" s="479" t="s">
        <v>344</v>
      </c>
      <c r="CN7" s="479" t="s">
        <v>345</v>
      </c>
      <c r="CO7" s="479" t="s">
        <v>346</v>
      </c>
      <c r="CP7" s="479" t="s">
        <v>347</v>
      </c>
      <c r="CQ7" s="479" t="s">
        <v>348</v>
      </c>
      <c r="CR7" s="479" t="s">
        <v>349</v>
      </c>
      <c r="CS7" s="479" t="s">
        <v>350</v>
      </c>
      <c r="CT7" s="479" t="s">
        <v>351</v>
      </c>
    </row>
    <row r="8" spans="1:98" x14ac:dyDescent="0.2">
      <c r="A8" s="479" t="s">
        <v>352</v>
      </c>
      <c r="B8" s="479" t="s">
        <v>353</v>
      </c>
      <c r="C8" s="486">
        <v>2.03516971038266</v>
      </c>
      <c r="D8" s="486">
        <v>2.0603243586248499</v>
      </c>
      <c r="E8" s="486">
        <v>2.0653694065802699</v>
      </c>
      <c r="F8" s="486">
        <v>2.0874807762832099</v>
      </c>
      <c r="G8" s="486">
        <v>2.1050400482010199</v>
      </c>
      <c r="H8" s="486">
        <v>2.1154192603458899</v>
      </c>
      <c r="I8" s="486">
        <v>2.1518068200870601</v>
      </c>
      <c r="J8" s="486">
        <v>2.1707783725541501</v>
      </c>
      <c r="K8" s="486">
        <v>2.18783691981761</v>
      </c>
      <c r="L8" s="486">
        <v>2.2132586941521701</v>
      </c>
      <c r="M8" s="486">
        <v>2.2359257447920902</v>
      </c>
      <c r="N8" s="486">
        <v>2.2211869184724802</v>
      </c>
      <c r="O8" s="486">
        <v>2.2326241842019399</v>
      </c>
      <c r="P8" s="486">
        <v>2.25901750728924</v>
      </c>
      <c r="Q8" s="486">
        <v>2.2765164106308</v>
      </c>
      <c r="R8" s="486">
        <v>2.30291395940545</v>
      </c>
      <c r="S8" s="486">
        <v>2.3203732479405201</v>
      </c>
      <c r="T8" s="486">
        <v>2.3642172164480799</v>
      </c>
      <c r="U8" s="486">
        <v>2.4053168355103001</v>
      </c>
      <c r="V8" s="486">
        <v>2.3519755124970101</v>
      </c>
      <c r="W8" s="486">
        <v>2.3408422306286298</v>
      </c>
      <c r="X8" s="486">
        <v>2.3474188487574099</v>
      </c>
      <c r="Y8" s="486">
        <v>2.36722788639723</v>
      </c>
      <c r="Z8" s="486">
        <v>2.38170796623861</v>
      </c>
      <c r="AA8" s="486">
        <v>2.37977560548517</v>
      </c>
      <c r="AB8" s="486">
        <v>2.3845469305921401</v>
      </c>
      <c r="AC8" s="486">
        <v>2.3990494738484398</v>
      </c>
      <c r="AD8" s="486">
        <v>2.4227910394257499</v>
      </c>
      <c r="AE8" s="486">
        <v>2.4330498565991299</v>
      </c>
      <c r="AF8" s="486">
        <v>2.4782592908991101</v>
      </c>
      <c r="AG8" s="486">
        <v>2.48958598393371</v>
      </c>
      <c r="AH8" s="486">
        <v>2.4982528033804701</v>
      </c>
      <c r="AI8" s="486">
        <v>2.5146494553159999</v>
      </c>
      <c r="AJ8" s="486">
        <v>2.52107076869803</v>
      </c>
      <c r="AK8" s="486">
        <v>2.5313114193711401</v>
      </c>
      <c r="AL8" s="486">
        <v>2.5519818070473299</v>
      </c>
      <c r="AM8" s="486">
        <v>2.5588970948066301</v>
      </c>
      <c r="AN8" s="486">
        <v>2.5563607318916199</v>
      </c>
      <c r="AO8" s="486">
        <v>2.5757018498037501</v>
      </c>
      <c r="AP8" s="486">
        <v>2.5903118852466198</v>
      </c>
      <c r="AQ8" s="486">
        <v>2.5984834377108701</v>
      </c>
      <c r="AR8" s="486">
        <v>2.6097667453760698</v>
      </c>
      <c r="AS8" s="486">
        <v>2.6162580136308198</v>
      </c>
      <c r="AT8" s="486">
        <v>2.6185435816407101</v>
      </c>
      <c r="AU8" s="486">
        <v>2.6130742036410601</v>
      </c>
      <c r="AV8" s="486">
        <v>2.6248654931503501</v>
      </c>
      <c r="AW8" s="486">
        <v>2.6210903132751202</v>
      </c>
      <c r="AX8" s="486">
        <v>2.62812001494735</v>
      </c>
      <c r="AY8" s="486">
        <v>2.6195672059792101</v>
      </c>
      <c r="AZ8" s="486">
        <v>2.6445845101286198</v>
      </c>
      <c r="BA8" s="486">
        <v>2.6645119184811499</v>
      </c>
      <c r="BB8" s="486">
        <v>2.6793127669589998</v>
      </c>
      <c r="BC8" s="486">
        <v>2.69196801581622</v>
      </c>
      <c r="BD8" s="486">
        <v>2.6963999173151398</v>
      </c>
      <c r="BE8" s="486">
        <v>2.70820199309592</v>
      </c>
      <c r="BF8" s="486">
        <v>2.7228199938442401</v>
      </c>
      <c r="BG8" s="486">
        <v>2.7581855200157999</v>
      </c>
      <c r="BH8" s="486">
        <v>2.7725868388914199</v>
      </c>
      <c r="BI8" s="486">
        <v>2.7794261240196301</v>
      </c>
      <c r="BJ8" s="486">
        <v>2.79252284616837</v>
      </c>
      <c r="BK8" s="486">
        <v>2.80204068249218</v>
      </c>
      <c r="BL8" s="486">
        <v>2.8122450644763202</v>
      </c>
      <c r="BM8" s="486">
        <v>2.8300584393122699</v>
      </c>
      <c r="BN8" s="486">
        <v>2.84208162724111</v>
      </c>
      <c r="BO8" s="486">
        <v>2.8551686160991401</v>
      </c>
      <c r="BP8" s="486">
        <v>2.8532778182259202</v>
      </c>
      <c r="BQ8" s="486">
        <v>2.8766732544002802</v>
      </c>
      <c r="BR8" s="486">
        <v>2.8982648495135899</v>
      </c>
      <c r="BS8" s="486">
        <v>2.9160216774221999</v>
      </c>
      <c r="BT8" s="486">
        <v>2.9654626403941302</v>
      </c>
      <c r="BU8" s="486">
        <v>3.0081548337632902</v>
      </c>
      <c r="BV8" s="486">
        <v>3.0630482422248799</v>
      </c>
      <c r="BW8" s="486">
        <v>3.1259030163817498</v>
      </c>
      <c r="BX8" s="486">
        <v>3.2014215237569101</v>
      </c>
      <c r="BY8" s="486">
        <v>3.2421852795932899</v>
      </c>
      <c r="BZ8" s="486">
        <v>3.28097034676113</v>
      </c>
      <c r="CA8" s="486">
        <v>3.3147673493876102</v>
      </c>
      <c r="CB8" s="486">
        <v>3.3342442670690202</v>
      </c>
      <c r="CC8" s="486">
        <v>3.3575240050477801</v>
      </c>
      <c r="CD8" s="486">
        <v>3.3819769082909898</v>
      </c>
      <c r="CE8" s="486">
        <v>3.4050737208242499</v>
      </c>
      <c r="CF8" s="486">
        <v>3.4235125377062201</v>
      </c>
      <c r="CG8" s="486">
        <v>3.4450513542515901</v>
      </c>
      <c r="CH8" s="486">
        <v>3.46875440874557</v>
      </c>
      <c r="CI8" s="486">
        <v>3.4882052868706701</v>
      </c>
      <c r="CJ8" s="486">
        <v>3.5079404569764301</v>
      </c>
      <c r="CK8" s="486">
        <v>3.52720160365971</v>
      </c>
      <c r="CL8" s="486">
        <v>3.5476099886222801</v>
      </c>
      <c r="CM8" s="486">
        <v>3.56843780489451</v>
      </c>
      <c r="CN8" s="486">
        <v>3.5885155982193702</v>
      </c>
      <c r="CO8" s="486">
        <v>3.6085155243706</v>
      </c>
      <c r="CP8" s="486">
        <v>3.6288578979966402</v>
      </c>
      <c r="CQ8" s="486">
        <v>3.6502636785569198</v>
      </c>
      <c r="CR8" s="486">
        <v>3.6714830563818301</v>
      </c>
      <c r="CS8" s="486">
        <v>3.6917467571563201</v>
      </c>
      <c r="CT8" s="486">
        <v>3.7124949401037699</v>
      </c>
    </row>
    <row r="9" spans="1:98" x14ac:dyDescent="0.2">
      <c r="A9" s="479" t="s">
        <v>354</v>
      </c>
      <c r="B9" s="479" t="s">
        <v>355</v>
      </c>
      <c r="C9" s="486">
        <v>2.03516971038266</v>
      </c>
      <c r="D9" s="486">
        <v>2.0603243586248499</v>
      </c>
      <c r="E9" s="486">
        <v>2.0653694065802699</v>
      </c>
      <c r="F9" s="486">
        <v>2.0874807762832099</v>
      </c>
      <c r="G9" s="486">
        <v>2.1050400482010199</v>
      </c>
      <c r="H9" s="486">
        <v>2.1154192603458899</v>
      </c>
      <c r="I9" s="486">
        <v>2.1518068200870601</v>
      </c>
      <c r="J9" s="486">
        <v>2.1707783725541501</v>
      </c>
      <c r="K9" s="486">
        <v>2.18783691981761</v>
      </c>
      <c r="L9" s="486">
        <v>2.2132586941521701</v>
      </c>
      <c r="M9" s="486">
        <v>2.2359257447920902</v>
      </c>
      <c r="N9" s="486">
        <v>2.2211869184724802</v>
      </c>
      <c r="O9" s="486">
        <v>2.2326241842019399</v>
      </c>
      <c r="P9" s="486">
        <v>2.25901750728924</v>
      </c>
      <c r="Q9" s="486">
        <v>2.2765164106308</v>
      </c>
      <c r="R9" s="486">
        <v>2.30291395940545</v>
      </c>
      <c r="S9" s="486">
        <v>2.3203732479405201</v>
      </c>
      <c r="T9" s="486">
        <v>2.3642172164480799</v>
      </c>
      <c r="U9" s="486">
        <v>2.4053168355103001</v>
      </c>
      <c r="V9" s="486">
        <v>2.3519755124970101</v>
      </c>
      <c r="W9" s="486">
        <v>2.3408422306286298</v>
      </c>
      <c r="X9" s="486">
        <v>2.3474188487574099</v>
      </c>
      <c r="Y9" s="486">
        <v>2.36722788639723</v>
      </c>
      <c r="Z9" s="486">
        <v>2.38170796623861</v>
      </c>
      <c r="AA9" s="486">
        <v>2.37977560548517</v>
      </c>
      <c r="AB9" s="486">
        <v>2.3845469305921401</v>
      </c>
      <c r="AC9" s="486">
        <v>2.3990494738484398</v>
      </c>
      <c r="AD9" s="486">
        <v>2.4227910394257499</v>
      </c>
      <c r="AE9" s="486">
        <v>2.4330498565991299</v>
      </c>
      <c r="AF9" s="486">
        <v>2.4782592908991101</v>
      </c>
      <c r="AG9" s="486">
        <v>2.48958598393371</v>
      </c>
      <c r="AH9" s="486">
        <v>2.4982528033804701</v>
      </c>
      <c r="AI9" s="486">
        <v>2.5146494553159999</v>
      </c>
      <c r="AJ9" s="486">
        <v>2.52107076869803</v>
      </c>
      <c r="AK9" s="486">
        <v>2.5313114193711401</v>
      </c>
      <c r="AL9" s="486">
        <v>2.5519818070473299</v>
      </c>
      <c r="AM9" s="486">
        <v>2.5588970948066301</v>
      </c>
      <c r="AN9" s="486">
        <v>2.5563607318916199</v>
      </c>
      <c r="AO9" s="486">
        <v>2.5757018498037501</v>
      </c>
      <c r="AP9" s="486">
        <v>2.5903118852466198</v>
      </c>
      <c r="AQ9" s="486">
        <v>2.5984834377108701</v>
      </c>
      <c r="AR9" s="486">
        <v>2.6097667453760698</v>
      </c>
      <c r="AS9" s="486">
        <v>2.6162580136308198</v>
      </c>
      <c r="AT9" s="486">
        <v>2.6185435816407101</v>
      </c>
      <c r="AU9" s="486">
        <v>2.6130742036410601</v>
      </c>
      <c r="AV9" s="486">
        <v>2.6248654931503501</v>
      </c>
      <c r="AW9" s="486">
        <v>2.6210903132751202</v>
      </c>
      <c r="AX9" s="486">
        <v>2.62812001494735</v>
      </c>
      <c r="AY9" s="486">
        <v>2.6195672059792101</v>
      </c>
      <c r="AZ9" s="486">
        <v>2.6445845101286198</v>
      </c>
      <c r="BA9" s="486">
        <v>2.6645119184811499</v>
      </c>
      <c r="BB9" s="486">
        <v>2.6793127669589998</v>
      </c>
      <c r="BC9" s="486">
        <v>2.69196801581622</v>
      </c>
      <c r="BD9" s="486">
        <v>2.6963999173151398</v>
      </c>
      <c r="BE9" s="486">
        <v>2.70820199309592</v>
      </c>
      <c r="BF9" s="486">
        <v>2.7228199938442401</v>
      </c>
      <c r="BG9" s="486">
        <v>2.7581855200157999</v>
      </c>
      <c r="BH9" s="486">
        <v>2.7725868388914199</v>
      </c>
      <c r="BI9" s="486">
        <v>2.7794261240196301</v>
      </c>
      <c r="BJ9" s="486">
        <v>2.79252284616837</v>
      </c>
      <c r="BK9" s="486">
        <v>2.80204068249218</v>
      </c>
      <c r="BL9" s="486">
        <v>2.8122450644763202</v>
      </c>
      <c r="BM9" s="486">
        <v>2.8300584393122699</v>
      </c>
      <c r="BN9" s="486">
        <v>2.84208162724111</v>
      </c>
      <c r="BO9" s="486">
        <v>2.8551686160991401</v>
      </c>
      <c r="BP9" s="486">
        <v>2.8532778182259202</v>
      </c>
      <c r="BQ9" s="486">
        <v>2.8766732544002802</v>
      </c>
      <c r="BR9" s="486">
        <v>2.8982648495135899</v>
      </c>
      <c r="BS9" s="486">
        <v>2.9160216774221999</v>
      </c>
      <c r="BT9" s="486">
        <v>2.9654626403941302</v>
      </c>
      <c r="BU9" s="486">
        <v>3.0081548337632902</v>
      </c>
      <c r="BV9" s="486">
        <v>3.0630482422248799</v>
      </c>
      <c r="BW9" s="486">
        <v>3.1259030163817498</v>
      </c>
      <c r="BX9" s="486">
        <v>3.2014215237569101</v>
      </c>
      <c r="BY9" s="486">
        <v>3.2255363055134101</v>
      </c>
      <c r="BZ9" s="486">
        <v>3.2598916230874599</v>
      </c>
      <c r="CA9" s="486">
        <v>3.2891346677534301</v>
      </c>
      <c r="CB9" s="486">
        <v>3.30621025530152</v>
      </c>
      <c r="CC9" s="486">
        <v>3.3272304548242801</v>
      </c>
      <c r="CD9" s="486">
        <v>3.3506000676307002</v>
      </c>
      <c r="CE9" s="486">
        <v>3.3713855548821599</v>
      </c>
      <c r="CF9" s="486">
        <v>3.3883014039568402</v>
      </c>
      <c r="CG9" s="486">
        <v>3.4080858525713902</v>
      </c>
      <c r="CH9" s="486">
        <v>3.42941797508669</v>
      </c>
      <c r="CI9" s="486">
        <v>3.4464785567767202</v>
      </c>
      <c r="CJ9" s="486">
        <v>3.46378925221474</v>
      </c>
      <c r="CK9" s="486">
        <v>3.4809094361872699</v>
      </c>
      <c r="CL9" s="486">
        <v>3.4992140517661001</v>
      </c>
      <c r="CM9" s="486">
        <v>3.5178797103848898</v>
      </c>
      <c r="CN9" s="486">
        <v>3.53579934508278</v>
      </c>
      <c r="CO9" s="486">
        <v>3.5537903995520801</v>
      </c>
      <c r="CP9" s="486">
        <v>3.5722371267770701</v>
      </c>
      <c r="CQ9" s="486">
        <v>3.5919469703646798</v>
      </c>
      <c r="CR9" s="486">
        <v>3.6114642330203099</v>
      </c>
      <c r="CS9" s="486">
        <v>3.6300819400814999</v>
      </c>
      <c r="CT9" s="486">
        <v>3.6492439952051701</v>
      </c>
    </row>
    <row r="10" spans="1:98" x14ac:dyDescent="0.2">
      <c r="A10" s="479" t="s">
        <v>356</v>
      </c>
      <c r="B10" s="479" t="s">
        <v>357</v>
      </c>
      <c r="C10" s="486">
        <v>2.03516971038266</v>
      </c>
      <c r="D10" s="486">
        <v>2.0603243586248499</v>
      </c>
      <c r="E10" s="486">
        <v>2.0653694065802699</v>
      </c>
      <c r="F10" s="486">
        <v>2.0874807762832099</v>
      </c>
      <c r="G10" s="486">
        <v>2.1050400482010199</v>
      </c>
      <c r="H10" s="486">
        <v>2.1154192603458899</v>
      </c>
      <c r="I10" s="486">
        <v>2.1518068200870601</v>
      </c>
      <c r="J10" s="486">
        <v>2.1707783725541501</v>
      </c>
      <c r="K10" s="486">
        <v>2.18783691981761</v>
      </c>
      <c r="L10" s="486">
        <v>2.2132586941521701</v>
      </c>
      <c r="M10" s="486">
        <v>2.2359257447920902</v>
      </c>
      <c r="N10" s="486">
        <v>2.2211869184724802</v>
      </c>
      <c r="O10" s="486">
        <v>2.2326241842019399</v>
      </c>
      <c r="P10" s="486">
        <v>2.25901750728924</v>
      </c>
      <c r="Q10" s="486">
        <v>2.2765164106308</v>
      </c>
      <c r="R10" s="486">
        <v>2.30291395940545</v>
      </c>
      <c r="S10" s="486">
        <v>2.3203732479405201</v>
      </c>
      <c r="T10" s="486">
        <v>2.3642172164480799</v>
      </c>
      <c r="U10" s="486">
        <v>2.4053168355103001</v>
      </c>
      <c r="V10" s="486">
        <v>2.3519755124970101</v>
      </c>
      <c r="W10" s="486">
        <v>2.3408422306286298</v>
      </c>
      <c r="X10" s="486">
        <v>2.3474188487574099</v>
      </c>
      <c r="Y10" s="486">
        <v>2.36722788639723</v>
      </c>
      <c r="Z10" s="486">
        <v>2.38170796623861</v>
      </c>
      <c r="AA10" s="486">
        <v>2.37977560548517</v>
      </c>
      <c r="AB10" s="486">
        <v>2.3845469305921401</v>
      </c>
      <c r="AC10" s="486">
        <v>2.3990494738484398</v>
      </c>
      <c r="AD10" s="486">
        <v>2.4227910394257499</v>
      </c>
      <c r="AE10" s="486">
        <v>2.4330498565991299</v>
      </c>
      <c r="AF10" s="486">
        <v>2.4782592908991101</v>
      </c>
      <c r="AG10" s="486">
        <v>2.48958598393371</v>
      </c>
      <c r="AH10" s="486">
        <v>2.4982528033804701</v>
      </c>
      <c r="AI10" s="486">
        <v>2.5146494553159999</v>
      </c>
      <c r="AJ10" s="486">
        <v>2.52107076869803</v>
      </c>
      <c r="AK10" s="486">
        <v>2.5313114193711401</v>
      </c>
      <c r="AL10" s="486">
        <v>2.5519818070473299</v>
      </c>
      <c r="AM10" s="486">
        <v>2.5588970948066301</v>
      </c>
      <c r="AN10" s="486">
        <v>2.5563607318916199</v>
      </c>
      <c r="AO10" s="486">
        <v>2.5757018498037501</v>
      </c>
      <c r="AP10" s="486">
        <v>2.5903118852466198</v>
      </c>
      <c r="AQ10" s="486">
        <v>2.5984834377108701</v>
      </c>
      <c r="AR10" s="486">
        <v>2.6097667453760698</v>
      </c>
      <c r="AS10" s="486">
        <v>2.6162580136308198</v>
      </c>
      <c r="AT10" s="486">
        <v>2.6185435816407101</v>
      </c>
      <c r="AU10" s="486">
        <v>2.6130742036410601</v>
      </c>
      <c r="AV10" s="486">
        <v>2.6248654931503501</v>
      </c>
      <c r="AW10" s="486">
        <v>2.6210903132751202</v>
      </c>
      <c r="AX10" s="486">
        <v>2.62812001494735</v>
      </c>
      <c r="AY10" s="486">
        <v>2.6195672059792101</v>
      </c>
      <c r="AZ10" s="486">
        <v>2.6445845101286198</v>
      </c>
      <c r="BA10" s="486">
        <v>2.6645119184811499</v>
      </c>
      <c r="BB10" s="486">
        <v>2.6793127669589998</v>
      </c>
      <c r="BC10" s="486">
        <v>2.69196801581622</v>
      </c>
      <c r="BD10" s="486">
        <v>2.6963999173151398</v>
      </c>
      <c r="BE10" s="486">
        <v>2.70820199309592</v>
      </c>
      <c r="BF10" s="486">
        <v>2.7228199938442401</v>
      </c>
      <c r="BG10" s="486">
        <v>2.7581855200157999</v>
      </c>
      <c r="BH10" s="486">
        <v>2.7725868388914199</v>
      </c>
      <c r="BI10" s="486">
        <v>2.7794261240196301</v>
      </c>
      <c r="BJ10" s="486">
        <v>2.79252284616837</v>
      </c>
      <c r="BK10" s="486">
        <v>2.80204068249218</v>
      </c>
      <c r="BL10" s="486">
        <v>2.8122450644763202</v>
      </c>
      <c r="BM10" s="486">
        <v>2.8300584393122699</v>
      </c>
      <c r="BN10" s="486">
        <v>2.84208162724111</v>
      </c>
      <c r="BO10" s="486">
        <v>2.8551686160991401</v>
      </c>
      <c r="BP10" s="486">
        <v>2.8532778182259202</v>
      </c>
      <c r="BQ10" s="486">
        <v>2.8766732544002802</v>
      </c>
      <c r="BR10" s="486">
        <v>2.8982648495135899</v>
      </c>
      <c r="BS10" s="486">
        <v>2.9160216774221999</v>
      </c>
      <c r="BT10" s="486">
        <v>2.9654626403941302</v>
      </c>
      <c r="BU10" s="486">
        <v>3.0081548337632902</v>
      </c>
      <c r="BV10" s="486">
        <v>3.0630482422248799</v>
      </c>
      <c r="BW10" s="486">
        <v>3.1259030163817498</v>
      </c>
      <c r="BX10" s="486">
        <v>3.2014215237569101</v>
      </c>
      <c r="BY10" s="486">
        <v>3.2538360600876799</v>
      </c>
      <c r="BZ10" s="486">
        <v>3.3031965097870799</v>
      </c>
      <c r="CA10" s="486">
        <v>3.3480395194667398</v>
      </c>
      <c r="CB10" s="486">
        <v>3.3772072582577199</v>
      </c>
      <c r="CC10" s="486">
        <v>3.4094675504554299</v>
      </c>
      <c r="CD10" s="486">
        <v>3.4424749536492398</v>
      </c>
      <c r="CE10" s="486">
        <v>3.4743211894451802</v>
      </c>
      <c r="CF10" s="486">
        <v>3.5006039732964802</v>
      </c>
      <c r="CG10" s="486">
        <v>3.5303989876569202</v>
      </c>
      <c r="CH10" s="486">
        <v>3.5628674447020598</v>
      </c>
      <c r="CI10" s="486">
        <v>3.5914669049492498</v>
      </c>
      <c r="CJ10" s="486">
        <v>3.6209181772272898</v>
      </c>
      <c r="CK10" s="486">
        <v>3.6499561132707901</v>
      </c>
      <c r="CL10" s="486">
        <v>3.6803370088943401</v>
      </c>
      <c r="CM10" s="486">
        <v>3.7115944324369101</v>
      </c>
      <c r="CN10" s="486">
        <v>3.7424449232069499</v>
      </c>
      <c r="CO10" s="486">
        <v>3.7735168503534799</v>
      </c>
      <c r="CP10" s="486">
        <v>3.8051953825342602</v>
      </c>
      <c r="CQ10" s="486">
        <v>3.8381085422962502</v>
      </c>
      <c r="CR10" s="486">
        <v>3.8709313876845499</v>
      </c>
      <c r="CS10" s="486">
        <v>3.9029692393289599</v>
      </c>
      <c r="CT10" s="486">
        <v>3.9358493172804301</v>
      </c>
    </row>
    <row r="12" spans="1:98" x14ac:dyDescent="0.2"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87"/>
      <c r="Q12" s="487"/>
      <c r="R12" s="487"/>
      <c r="S12" s="487"/>
      <c r="T12" s="487"/>
      <c r="U12" s="487"/>
      <c r="V12" s="487"/>
      <c r="W12" s="487"/>
      <c r="X12" s="487"/>
      <c r="Y12" s="487"/>
      <c r="Z12" s="487"/>
      <c r="AA12" s="487"/>
      <c r="AB12" s="487"/>
      <c r="AC12" s="487"/>
      <c r="AD12" s="487"/>
      <c r="AE12" s="487"/>
      <c r="AF12" s="487"/>
      <c r="AG12" s="487"/>
      <c r="AH12" s="487"/>
      <c r="AI12" s="487"/>
      <c r="AJ12" s="487"/>
      <c r="AK12" s="487"/>
      <c r="AL12" s="487"/>
      <c r="AM12" s="487"/>
      <c r="AN12" s="487"/>
      <c r="AO12" s="487"/>
      <c r="AP12" s="487"/>
      <c r="AQ12" s="487"/>
      <c r="AR12" s="487"/>
      <c r="AS12" s="487"/>
      <c r="AT12" s="487"/>
    </row>
    <row r="13" spans="1:98" x14ac:dyDescent="0.2"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7"/>
      <c r="V13" s="487"/>
      <c r="W13" s="487"/>
      <c r="X13" s="487"/>
      <c r="Y13" s="487"/>
      <c r="Z13" s="487"/>
      <c r="AA13" s="487"/>
      <c r="AB13" s="487"/>
      <c r="AC13" s="487"/>
      <c r="AD13" s="487"/>
      <c r="AE13" s="487"/>
      <c r="AF13" s="487"/>
      <c r="AG13" s="487"/>
      <c r="AH13" s="487"/>
      <c r="AI13" s="487"/>
      <c r="AJ13" s="487"/>
      <c r="AK13" s="487"/>
      <c r="AL13" s="487"/>
      <c r="AM13" s="487"/>
      <c r="AN13" s="487"/>
      <c r="AO13" s="487"/>
      <c r="AP13" s="487"/>
      <c r="AQ13" s="487"/>
      <c r="AR13" s="487"/>
      <c r="AS13" s="487"/>
      <c r="AT13" s="487"/>
      <c r="BW13" s="488" t="s">
        <v>358</v>
      </c>
      <c r="BX13" s="489"/>
      <c r="BY13" s="489"/>
      <c r="BZ13" s="490" t="s">
        <v>359</v>
      </c>
      <c r="CA13" s="491"/>
      <c r="CB13" s="491"/>
      <c r="CC13" s="491"/>
      <c r="CD13" s="491"/>
      <c r="CE13" s="491"/>
      <c r="CF13" s="489"/>
      <c r="CG13" s="489"/>
      <c r="CH13" s="489"/>
    </row>
    <row r="14" spans="1:98" x14ac:dyDescent="0.2"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  <c r="Z14" s="486"/>
      <c r="AA14" s="486"/>
      <c r="AB14" s="486"/>
      <c r="AC14" s="486"/>
      <c r="AD14" s="486"/>
      <c r="AE14" s="486"/>
      <c r="AF14" s="486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BW14" s="492"/>
      <c r="BX14" s="493"/>
      <c r="BY14" s="493"/>
      <c r="BZ14" s="493"/>
      <c r="CA14" s="493"/>
      <c r="CB14" s="493"/>
      <c r="CC14" s="493"/>
      <c r="CD14" s="493"/>
      <c r="CE14" s="493"/>
      <c r="CF14" s="493"/>
      <c r="CG14" s="493"/>
      <c r="CH14" s="494"/>
    </row>
    <row r="15" spans="1:98" x14ac:dyDescent="0.2"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  <c r="W15" s="486"/>
      <c r="X15" s="486"/>
      <c r="Y15" s="486"/>
      <c r="Z15" s="486"/>
      <c r="AA15" s="486"/>
      <c r="AB15" s="486"/>
      <c r="AC15" s="486"/>
      <c r="AD15" s="486"/>
      <c r="AE15" s="486"/>
      <c r="AF15" s="486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BW15" s="495"/>
      <c r="BX15" s="496" t="s">
        <v>360</v>
      </c>
      <c r="BY15" s="497" t="s">
        <v>361</v>
      </c>
      <c r="BZ15" s="489"/>
      <c r="CA15" s="489"/>
      <c r="CB15" s="489"/>
      <c r="CC15" s="489"/>
      <c r="CD15" s="489"/>
      <c r="CE15" s="489"/>
      <c r="CF15" s="489"/>
      <c r="CG15" s="489"/>
      <c r="CH15" s="498"/>
    </row>
    <row r="16" spans="1:98" x14ac:dyDescent="0.2"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486"/>
      <c r="W16" s="486"/>
      <c r="X16" s="486"/>
      <c r="Y16" s="486"/>
      <c r="Z16" s="486"/>
      <c r="AA16" s="486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BW16" s="495"/>
      <c r="BX16" s="489"/>
      <c r="BY16" s="499" t="str">
        <f>CB7</f>
        <v>2023Q2</v>
      </c>
      <c r="BZ16" s="489"/>
      <c r="CA16" s="489"/>
      <c r="CB16" s="489"/>
      <c r="CC16" s="489"/>
      <c r="CD16" s="489"/>
      <c r="CE16" s="489"/>
      <c r="CF16" s="489"/>
      <c r="CG16" s="489"/>
      <c r="CH16" s="500" t="s">
        <v>362</v>
      </c>
    </row>
    <row r="17" spans="3:86" x14ac:dyDescent="0.2"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501"/>
      <c r="AH17" s="501"/>
      <c r="AI17" s="501"/>
      <c r="AJ17" s="501"/>
      <c r="AK17" s="501"/>
      <c r="AL17" s="501"/>
      <c r="AM17" s="501"/>
      <c r="AN17" s="501"/>
      <c r="AO17" s="501"/>
      <c r="AP17" s="501"/>
      <c r="BW17" s="495"/>
      <c r="BX17" s="489"/>
      <c r="BY17" s="502">
        <f>CB9</f>
        <v>3.30621025530152</v>
      </c>
      <c r="BZ17" s="489"/>
      <c r="CA17" s="489"/>
      <c r="CB17" s="489"/>
      <c r="CC17" s="489"/>
      <c r="CD17" s="489"/>
      <c r="CE17" s="489"/>
      <c r="CF17" s="489"/>
      <c r="CG17" s="489"/>
      <c r="CH17" s="503">
        <f>BY17</f>
        <v>3.30621025530152</v>
      </c>
    </row>
    <row r="18" spans="3:86" x14ac:dyDescent="0.2">
      <c r="BW18" s="495"/>
      <c r="BX18" s="489"/>
      <c r="BY18" s="489"/>
      <c r="BZ18" s="489"/>
      <c r="CA18" s="489"/>
      <c r="CB18" s="489"/>
      <c r="CC18" s="489"/>
      <c r="CD18" s="489"/>
      <c r="CE18" s="489"/>
      <c r="CF18" s="489"/>
      <c r="CG18" s="489"/>
      <c r="CH18" s="504"/>
    </row>
    <row r="19" spans="3:86" x14ac:dyDescent="0.2">
      <c r="BW19" s="618" t="s">
        <v>363</v>
      </c>
      <c r="BX19" s="619"/>
      <c r="BY19" s="619"/>
      <c r="BZ19" s="489" t="s">
        <v>364</v>
      </c>
      <c r="CA19" s="489"/>
      <c r="CB19" s="489"/>
      <c r="CC19" s="489"/>
      <c r="CD19" s="489"/>
      <c r="CE19" s="489"/>
      <c r="CF19" s="489"/>
      <c r="CG19" s="489"/>
      <c r="CH19" s="504"/>
    </row>
    <row r="20" spans="3:86" x14ac:dyDescent="0.2">
      <c r="BW20" s="505"/>
      <c r="BX20" s="496"/>
      <c r="BY20" s="506" t="str">
        <f>CC7</f>
        <v>2023Q3</v>
      </c>
      <c r="BZ20" s="506" t="str">
        <f t="shared" ref="BZ20:CF20" si="0">CD7</f>
        <v>2023Q4</v>
      </c>
      <c r="CA20" s="506" t="str">
        <f t="shared" si="0"/>
        <v>2024Q1</v>
      </c>
      <c r="CB20" s="506" t="str">
        <f t="shared" si="0"/>
        <v>2024Q2</v>
      </c>
      <c r="CC20" s="506" t="str">
        <f t="shared" si="0"/>
        <v>2024Q3</v>
      </c>
      <c r="CD20" s="506" t="str">
        <f t="shared" si="0"/>
        <v>2024Q4</v>
      </c>
      <c r="CE20" s="506" t="str">
        <f t="shared" si="0"/>
        <v>2025Q1</v>
      </c>
      <c r="CF20" s="506" t="str">
        <f t="shared" si="0"/>
        <v>2025Q2</v>
      </c>
      <c r="CG20" s="489"/>
      <c r="CH20" s="504"/>
    </row>
    <row r="21" spans="3:86" x14ac:dyDescent="0.2">
      <c r="BW21" s="495"/>
      <c r="BX21" s="489"/>
      <c r="BY21" s="502">
        <f>CC9</f>
        <v>3.3272304548242801</v>
      </c>
      <c r="BZ21" s="502">
        <f t="shared" ref="BZ21:CF21" si="1">CD9</f>
        <v>3.3506000676307002</v>
      </c>
      <c r="CA21" s="502">
        <f t="shared" si="1"/>
        <v>3.3713855548821599</v>
      </c>
      <c r="CB21" s="502">
        <f t="shared" si="1"/>
        <v>3.3883014039568402</v>
      </c>
      <c r="CC21" s="502">
        <f t="shared" si="1"/>
        <v>3.4080858525713902</v>
      </c>
      <c r="CD21" s="502">
        <f t="shared" si="1"/>
        <v>3.42941797508669</v>
      </c>
      <c r="CE21" s="502">
        <f t="shared" si="1"/>
        <v>3.4464785567767202</v>
      </c>
      <c r="CF21" s="502">
        <f t="shared" si="1"/>
        <v>3.46378925221474</v>
      </c>
      <c r="CG21" s="489"/>
      <c r="CH21" s="503">
        <f>AVERAGE(BY21:CF21)</f>
        <v>3.3981611397429399</v>
      </c>
    </row>
    <row r="22" spans="3:86" x14ac:dyDescent="0.2">
      <c r="BW22" s="495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504"/>
    </row>
    <row r="23" spans="3:86" x14ac:dyDescent="0.2">
      <c r="BW23" s="495"/>
      <c r="BX23" s="489"/>
      <c r="BY23" s="489"/>
      <c r="BZ23" s="489"/>
      <c r="CA23" s="489"/>
      <c r="CB23" s="489"/>
      <c r="CC23" s="489"/>
      <c r="CD23" s="489"/>
      <c r="CE23" s="489"/>
      <c r="CF23" s="489"/>
      <c r="CG23" s="507" t="s">
        <v>365</v>
      </c>
      <c r="CH23" s="508">
        <f>(CH21-CH17)/CH17</f>
        <v>2.7811565914169036E-2</v>
      </c>
    </row>
    <row r="24" spans="3:86" x14ac:dyDescent="0.2">
      <c r="BW24" s="509"/>
      <c r="BX24" s="510"/>
      <c r="BY24" s="510"/>
      <c r="BZ24" s="510"/>
      <c r="CA24" s="510"/>
      <c r="CB24" s="510"/>
      <c r="CC24" s="510"/>
      <c r="CD24" s="510"/>
      <c r="CE24" s="510"/>
      <c r="CF24" s="510"/>
      <c r="CG24" s="510"/>
      <c r="CH24" s="511"/>
    </row>
  </sheetData>
  <mergeCells count="2">
    <mergeCell ref="A1:B1"/>
    <mergeCell ref="BW19:BY19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M2021 BLS  SALARY CHART</vt:lpstr>
      <vt:lpstr>Outreach and Engagement</vt:lpstr>
      <vt:lpstr> Safe Haven 7-9, 10-12 beds</vt:lpstr>
      <vt:lpstr> Housing First - HOP </vt:lpstr>
      <vt:lpstr>Housing First - ATARP </vt:lpstr>
      <vt:lpstr> Program Staffing Sup</vt:lpstr>
      <vt:lpstr>FY22 Dual DX (donated)</vt:lpstr>
      <vt:lpstr>FY22 Dual DX (w-occupancy)</vt:lpstr>
      <vt:lpstr>CAF Fall 2022</vt:lpstr>
      <vt:lpstr>' Housing First - HOP '!Print_Area</vt:lpstr>
      <vt:lpstr>' Program Staffing Sup'!Print_Area</vt:lpstr>
      <vt:lpstr>' Safe Haven 7-9, 10-12 beds'!Print_Area</vt:lpstr>
      <vt:lpstr>'Housing First - ATARP '!Print_Area</vt:lpstr>
      <vt:lpstr>'M2021 BLS  SALARY CHART'!Print_Area</vt:lpstr>
      <vt:lpstr>'Outreach and Engagement'!Print_Area</vt:lpstr>
      <vt:lpstr>'CAF Fall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Harrison, Deborah (EHS)</cp:lastModifiedBy>
  <dcterms:created xsi:type="dcterms:W3CDTF">2023-03-28T15:32:45Z</dcterms:created>
  <dcterms:modified xsi:type="dcterms:W3CDTF">2023-04-27T18:53:05Z</dcterms:modified>
</cp:coreProperties>
</file>