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4" yWindow="72" windowWidth="19140" windowHeight="7416" tabRatio="902"/>
  </bookViews>
  <sheets>
    <sheet name="Chart BLS" sheetId="1" r:id="rId1"/>
    <sheet name="1. O&amp;M Model " sheetId="2" r:id="rId2"/>
    <sheet name="4. VR Assistant" sheetId="3" r:id="rId3"/>
    <sheet name="2. HCA" sheetId="4" r:id="rId4"/>
    <sheet name="3. ATIL" sheetId="5" r:id="rId5"/>
    <sheet name="5. DBCAN Model - 2405" sheetId="6" r:id="rId6"/>
    <sheet name="6. BI Community Outreach" sheetId="8" r:id="rId7"/>
    <sheet name="7. BI Site Based" sheetId="9" r:id="rId8"/>
    <sheet name="8. BI Direct Care Add-on" sheetId="10" r:id="rId9"/>
    <sheet name="CAF Spring 2021" sheetId="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lldata" localSheetId="9">#REF!</definedName>
    <definedName name="alldata" localSheetId="0">#REF!</definedName>
    <definedName name="alldata">#REF!</definedName>
    <definedName name="alled" localSheetId="9">#REF!</definedName>
    <definedName name="alled" localSheetId="0">#REF!</definedName>
    <definedName name="alled">#REF!</definedName>
    <definedName name="allstem" localSheetId="9">#REF!</definedName>
    <definedName name="allstem" localSheetId="0">#REF!</definedName>
    <definedName name="allstem">#REF!</definedName>
    <definedName name="asdfasd">'[3]Complete UFR List'!#REF!</definedName>
    <definedName name="asdfasdf" localSheetId="8">#REF!</definedName>
    <definedName name="asdfasdf" localSheetId="9">#REF!</definedName>
    <definedName name="asdfasdf">#REF!</definedName>
    <definedName name="autsupp2" localSheetId="9">#REF!</definedName>
    <definedName name="autsupp2">#REF!</definedName>
    <definedName name="Average" localSheetId="8">#REF!</definedName>
    <definedName name="Average" localSheetId="9">#REF!</definedName>
    <definedName name="Average">#REF!</definedName>
    <definedName name="CAF_NEW">[4]RawDataCalcs!$L$70:$DB$70</definedName>
    <definedName name="Cap" localSheetId="1">[5]RawDataCalcs!$L$13:$DB$13</definedName>
    <definedName name="Cap" localSheetId="2">[5]RawDataCalcs!$L$13:$DB$13</definedName>
    <definedName name="Cap" localSheetId="7">'[12]RawDataCalcs3386&amp;3401'!$L$66:$DB$66</definedName>
    <definedName name="Cap" localSheetId="9">[5]RawDataCalcs!$L$13:$DB$13</definedName>
    <definedName name="Cap">[6]RawDataCalcs!$L$13:$DB$13</definedName>
    <definedName name="Data" localSheetId="8">#REF!</definedName>
    <definedName name="Data" localSheetId="9">#REF!</definedName>
    <definedName name="Data">#REF!</definedName>
    <definedName name="Floor" localSheetId="1">[5]RawDataCalcs!$L$12:$DB$12</definedName>
    <definedName name="Floor" localSheetId="2">[5]RawDataCalcs!$L$12:$DB$12</definedName>
    <definedName name="Floor" localSheetId="7">'[12]RawDataCalcs3386&amp;3401'!$L$65:$DB$65</definedName>
    <definedName name="Floor" localSheetId="9">[5]RawDataCalcs!$L$12:$DB$12</definedName>
    <definedName name="Floor">[6]RawDataCalcs!$L$12:$DB$12</definedName>
    <definedName name="Funds">'[7]RawDataCalcs3386&amp;3401'!$L$68:$DB$68</definedName>
    <definedName name="gk" localSheetId="1">#REF!</definedName>
    <definedName name="gk" localSheetId="4">#REF!</definedName>
    <definedName name="gk" localSheetId="2">#REF!</definedName>
    <definedName name="gk" localSheetId="5">#REF!</definedName>
    <definedName name="gk" localSheetId="7">#REF!</definedName>
    <definedName name="gk" localSheetId="8">#REF!</definedName>
    <definedName name="gk" localSheetId="9">#REF!</definedName>
    <definedName name="gk">#REF!</definedName>
    <definedName name="hhh" localSheetId="8">#REF!</definedName>
    <definedName name="hhh" localSheetId="9">#REF!</definedName>
    <definedName name="hhh">#REF!</definedName>
    <definedName name="JailDAverage" localSheetId="8">#REF!</definedName>
    <definedName name="JailDAverage" localSheetId="9">#REF!</definedName>
    <definedName name="JailDAverage">#REF!</definedName>
    <definedName name="JailDCap">[8]ALLRawDataCalcs!$L$80:$DB$80</definedName>
    <definedName name="JailDFloor">[8]ALLRawDataCalcs!$L$79:$DB$79</definedName>
    <definedName name="JailDgk" localSheetId="8">#REF!</definedName>
    <definedName name="JailDgk" localSheetId="9">#REF!</definedName>
    <definedName name="JailDgk">#REF!</definedName>
    <definedName name="JailDMax" localSheetId="8">#REF!</definedName>
    <definedName name="JailDMax" localSheetId="9">#REF!</definedName>
    <definedName name="JailDMax">#REF!</definedName>
    <definedName name="JailDMedian" localSheetId="8">#REF!</definedName>
    <definedName name="JailDMedian" localSheetId="9">#REF!</definedName>
    <definedName name="JailDMedian">#REF!</definedName>
    <definedName name="jm">'[3]Complete UFR List'!#REF!</definedName>
    <definedName name="kls" localSheetId="8">#REF!</definedName>
    <definedName name="kls" localSheetId="9">#REF!</definedName>
    <definedName name="kls">#REF!</definedName>
    <definedName name="ListProviders">'[9]List of Programs'!$A$24:$A$29</definedName>
    <definedName name="Max" localSheetId="8">#REF!</definedName>
    <definedName name="Max" localSheetId="9">#REF!</definedName>
    <definedName name="Max">#REF!</definedName>
    <definedName name="Median" localSheetId="8">#REF!</definedName>
    <definedName name="Median" localSheetId="9">#REF!</definedName>
    <definedName name="Median">#REF!</definedName>
    <definedName name="Min" localSheetId="8">#REF!</definedName>
    <definedName name="Min" localSheetId="9">#REF!</definedName>
    <definedName name="Min">#REF!</definedName>
    <definedName name="MT" localSheetId="8">#REF!</definedName>
    <definedName name="MT" localSheetId="9">#REF!</definedName>
    <definedName name="MT">#REF!</definedName>
    <definedName name="new" localSheetId="8">#REF!</definedName>
    <definedName name="new" localSheetId="9">#REF!</definedName>
    <definedName name="new">#REF!</definedName>
    <definedName name="ok" localSheetId="8">#REF!</definedName>
    <definedName name="ok" localSheetId="9">#REF!</definedName>
    <definedName name="ok">#REF!</definedName>
    <definedName name="_xlnm.Print_Area" localSheetId="1">'1. O&amp;M Model '!$I$2:$V$38</definedName>
    <definedName name="_xlnm.Print_Area" localSheetId="3">'2. HCA'!$A$1:$G$17</definedName>
    <definedName name="_xlnm.Print_Area" localSheetId="4">'3. ATIL'!$I$2:$P$33</definedName>
    <definedName name="_xlnm.Print_Area" localSheetId="2">'4. VR Assistant'!$B$2:$J$25</definedName>
    <definedName name="_xlnm.Print_Area" localSheetId="5">'5. DBCAN Model - 2405'!$B$2:$M$31</definedName>
    <definedName name="_xlnm.Print_Area" localSheetId="6">'6. BI Community Outreach'!$B$1:$N$24</definedName>
    <definedName name="_xlnm.Print_Area" localSheetId="7">'7. BI Site Based'!$A$1:$L$31</definedName>
    <definedName name="_xlnm.Print_Area" localSheetId="8">'8. BI Direct Care Add-on'!$A$1:$M$25</definedName>
    <definedName name="_xlnm.Print_Area" localSheetId="0">'Chart BLS'!$B$1:$G$36</definedName>
    <definedName name="_xlnm.Print_Titles" localSheetId="9">'CAF Spring 2021'!$A:$A</definedName>
    <definedName name="Program_File" localSheetId="8">#REF!</definedName>
    <definedName name="Program_File" localSheetId="9">#REF!</definedName>
    <definedName name="Program_File">#REF!</definedName>
    <definedName name="Programs">'[9]List of Programs'!$B$3:$B$19</definedName>
    <definedName name="ProvFTE" localSheetId="8">'[13]FTE Data'!$A$3:$AW$56</definedName>
    <definedName name="ProvFTE">'[10]FTE Data'!$A$3:$AW$56</definedName>
    <definedName name="PurchasedBy" localSheetId="8">'[13]FTE Data'!$C$263:$AZ$657</definedName>
    <definedName name="PurchasedBy">'[10]FTE Data'!$C$263:$AZ$657</definedName>
    <definedName name="resmay2007" localSheetId="8">#REF!</definedName>
    <definedName name="resmay2007" localSheetId="9">#REF!</definedName>
    <definedName name="resmay2007">#REF!</definedName>
    <definedName name="sheet1" localSheetId="9">#REF!</definedName>
    <definedName name="sheet1">#REF!</definedName>
    <definedName name="Site_list" localSheetId="8">[13]Lists!$A$2:$A$53</definedName>
    <definedName name="Site_list">[10]Lists!$A$2:$A$53</definedName>
    <definedName name="Source" localSheetId="8">#REF!</definedName>
    <definedName name="Source" localSheetId="9">#REF!</definedName>
    <definedName name="Source">#REF!</definedName>
    <definedName name="Source_2" localSheetId="7">#REF!</definedName>
    <definedName name="Source_2" localSheetId="8">#REF!</definedName>
    <definedName name="Source_2" localSheetId="9">#REF!</definedName>
    <definedName name="Source_2">#REF!</definedName>
    <definedName name="SourcePathAndFileName" localSheetId="8">#REF!</definedName>
    <definedName name="SourcePathAndFileName" localSheetId="9">#REF!</definedName>
    <definedName name="SourcePathAndFileName">#REF!</definedName>
    <definedName name="Total_UFR" localSheetId="1">#REF!</definedName>
    <definedName name="Total_UFR" localSheetId="4">#REF!</definedName>
    <definedName name="Total_UFR" localSheetId="2">#REF!</definedName>
    <definedName name="Total_UFR" localSheetId="5">#REF!</definedName>
    <definedName name="Total_UFR" localSheetId="7">#REF!</definedName>
    <definedName name="Total_UFR" localSheetId="8">#REF!</definedName>
    <definedName name="Total_UFR" localSheetId="9">#REF!</definedName>
    <definedName name="Total_UFR">#REF!</definedName>
    <definedName name="Total_UFRs" localSheetId="8">#REF!</definedName>
    <definedName name="Total_UFRs" localSheetId="9">#REF!</definedName>
    <definedName name="Total_UFRs">#REF!</definedName>
    <definedName name="Total_UFRs_" localSheetId="8">#REF!</definedName>
    <definedName name="Total_UFRs_" localSheetId="9">#REF!</definedName>
    <definedName name="Total_UFRs_">#REF!</definedName>
    <definedName name="UFR" localSheetId="8">'[3]Complete UFR List'!#REF!</definedName>
    <definedName name="UFR" localSheetId="9">'[3]Complete UFR List'!#REF!</definedName>
    <definedName name="UFR">'[3]Complete UFR List'!#REF!</definedName>
    <definedName name="UFRS" localSheetId="8">'[3]Complete UFR List'!#REF!</definedName>
    <definedName name="UFRS">'[3]Complete UFR List'!#REF!</definedName>
    <definedName name="UPDATE">'[3]Complete UFR List'!#REF!</definedName>
  </definedNames>
  <calcPr calcId="145621"/>
</workbook>
</file>

<file path=xl/calcChain.xml><?xml version="1.0" encoding="utf-8"?>
<calcChain xmlns="http://schemas.openxmlformats.org/spreadsheetml/2006/main">
  <c r="B12" i="10" l="1"/>
  <c r="D22" i="10"/>
  <c r="D21" i="10"/>
  <c r="D23" i="10" s="1"/>
  <c r="D24" i="10" s="1"/>
  <c r="B13" i="10" s="1"/>
  <c r="B15" i="10"/>
  <c r="C12" i="10"/>
  <c r="B6" i="10"/>
  <c r="K21" i="9"/>
  <c r="D20" i="9"/>
  <c r="K17" i="9"/>
  <c r="D22" i="9" s="1"/>
  <c r="F17" i="9"/>
  <c r="K14" i="9"/>
  <c r="E18" i="9" s="1"/>
  <c r="F18" i="9" s="1"/>
  <c r="D14" i="9"/>
  <c r="K13" i="9"/>
  <c r="D13" i="9"/>
  <c r="B13" i="9"/>
  <c r="E12" i="9"/>
  <c r="D11" i="9"/>
  <c r="F11" i="9" s="1"/>
  <c r="B11" i="9"/>
  <c r="B10" i="9"/>
  <c r="K9" i="9"/>
  <c r="B9" i="9"/>
  <c r="K8" i="9"/>
  <c r="D10" i="9" s="1"/>
  <c r="F10" i="9" s="1"/>
  <c r="B8" i="9"/>
  <c r="K7" i="9"/>
  <c r="D9" i="9" s="1"/>
  <c r="F9" i="9" s="1"/>
  <c r="K6" i="9"/>
  <c r="D8" i="9" s="1"/>
  <c r="F8" i="9" s="1"/>
  <c r="F12" i="9" s="1"/>
  <c r="E5" i="9"/>
  <c r="F5" i="9" s="1"/>
  <c r="C20" i="8"/>
  <c r="C18" i="8"/>
  <c r="B18" i="8"/>
  <c r="M17" i="8"/>
  <c r="B16" i="8"/>
  <c r="M14" i="8"/>
  <c r="C16" i="8" s="1"/>
  <c r="E16" i="8" s="1"/>
  <c r="C13" i="8"/>
  <c r="B13" i="8"/>
  <c r="M12" i="8"/>
  <c r="C15" i="8" s="1"/>
  <c r="E15" i="8" s="1"/>
  <c r="L12" i="8"/>
  <c r="B15" i="8" s="1"/>
  <c r="C12" i="8"/>
  <c r="B12" i="8"/>
  <c r="D11" i="8"/>
  <c r="J10" i="8"/>
  <c r="B10" i="8"/>
  <c r="M9" i="8"/>
  <c r="C10" i="8" s="1"/>
  <c r="E10" i="8" s="1"/>
  <c r="C9" i="8"/>
  <c r="E9" i="8" s="1"/>
  <c r="M8" i="8"/>
  <c r="J8" i="8"/>
  <c r="B8" i="8"/>
  <c r="M7" i="8"/>
  <c r="C8" i="8" s="1"/>
  <c r="E8" i="8" s="1"/>
  <c r="J7" i="8"/>
  <c r="B7" i="8"/>
  <c r="M6" i="8"/>
  <c r="C7" i="8" s="1"/>
  <c r="E7" i="8" s="1"/>
  <c r="E11" i="8" s="1"/>
  <c r="J6" i="8"/>
  <c r="H6" i="8"/>
  <c r="H9" i="8" s="1"/>
  <c r="J9" i="8" s="1"/>
  <c r="J5" i="8"/>
  <c r="CF23" i="7"/>
  <c r="BW22" i="7"/>
  <c r="BW19" i="7"/>
  <c r="CF19" i="7" s="1"/>
  <c r="BW18" i="7"/>
  <c r="D23" i="6"/>
  <c r="C23" i="6"/>
  <c r="B23" i="6"/>
  <c r="C22" i="6"/>
  <c r="C21" i="6"/>
  <c r="I20" i="6"/>
  <c r="H18" i="6"/>
  <c r="C18" i="6"/>
  <c r="K17" i="6"/>
  <c r="H17" i="6"/>
  <c r="C17" i="6"/>
  <c r="H15" i="6"/>
  <c r="B15" i="6"/>
  <c r="B14" i="6"/>
  <c r="I13" i="6"/>
  <c r="B13" i="6"/>
  <c r="I12" i="6"/>
  <c r="H12" i="6"/>
  <c r="B12" i="6"/>
  <c r="B11" i="6"/>
  <c r="H10" i="6"/>
  <c r="H9" i="6"/>
  <c r="H8" i="6"/>
  <c r="J7" i="6"/>
  <c r="J11" i="6" s="1"/>
  <c r="H7" i="6"/>
  <c r="H6" i="6"/>
  <c r="K4" i="6"/>
  <c r="C19" i="6" s="1"/>
  <c r="K16" i="6" s="1"/>
  <c r="B24" i="5"/>
  <c r="K22" i="5"/>
  <c r="C22" i="5"/>
  <c r="A22" i="5"/>
  <c r="M20" i="5"/>
  <c r="B20" i="5"/>
  <c r="M19" i="5"/>
  <c r="B19" i="5"/>
  <c r="K16" i="5"/>
  <c r="K15" i="5"/>
  <c r="L14" i="5"/>
  <c r="J13" i="5"/>
  <c r="J12" i="5"/>
  <c r="J11" i="5"/>
  <c r="J7" i="5"/>
  <c r="J6" i="5"/>
  <c r="D6" i="4"/>
  <c r="K19" i="3"/>
  <c r="G15" i="3"/>
  <c r="C10" i="3"/>
  <c r="I13" i="3" s="1"/>
  <c r="G9" i="3"/>
  <c r="C9" i="3"/>
  <c r="I12" i="3" s="1"/>
  <c r="G8" i="3"/>
  <c r="C8" i="3"/>
  <c r="I11" i="3" s="1"/>
  <c r="I4" i="3"/>
  <c r="S33" i="2"/>
  <c r="S25" i="2"/>
  <c r="C22" i="2"/>
  <c r="C21" i="2"/>
  <c r="K22" i="2" s="1"/>
  <c r="I19" i="2"/>
  <c r="I18" i="2"/>
  <c r="I17" i="2"/>
  <c r="C17" i="2"/>
  <c r="B15" i="2"/>
  <c r="K14" i="2"/>
  <c r="B14" i="2"/>
  <c r="K13" i="2"/>
  <c r="I13" i="2"/>
  <c r="B13" i="2"/>
  <c r="B12" i="2"/>
  <c r="R11" i="2"/>
  <c r="R12" i="2" s="1"/>
  <c r="R14" i="2" s="1"/>
  <c r="M4" i="2" s="1"/>
  <c r="B11" i="2"/>
  <c r="S10" i="2"/>
  <c r="L10" i="2"/>
  <c r="L11" i="2" s="1"/>
  <c r="I10" i="2"/>
  <c r="S9" i="2"/>
  <c r="I9" i="2"/>
  <c r="I8" i="2"/>
  <c r="I7" i="2"/>
  <c r="I6" i="2"/>
  <c r="C30" i="1"/>
  <c r="D26" i="1"/>
  <c r="H25" i="1"/>
  <c r="C25" i="1"/>
  <c r="J25" i="1" s="1"/>
  <c r="D24" i="1"/>
  <c r="H23" i="1"/>
  <c r="C23" i="1"/>
  <c r="J23" i="1" s="1"/>
  <c r="D22" i="1"/>
  <c r="H21" i="1"/>
  <c r="C21" i="1"/>
  <c r="J21" i="1" s="1"/>
  <c r="D20" i="1"/>
  <c r="H19" i="1"/>
  <c r="C19" i="1"/>
  <c r="J19" i="1" s="1"/>
  <c r="C18" i="1"/>
  <c r="B5" i="5" s="1"/>
  <c r="K6" i="5" s="1"/>
  <c r="M6" i="5" s="1"/>
  <c r="C17" i="1"/>
  <c r="D16" i="1"/>
  <c r="H15" i="1"/>
  <c r="C15" i="1"/>
  <c r="J15" i="1" s="1"/>
  <c r="D14" i="1"/>
  <c r="H13" i="1"/>
  <c r="C13" i="1"/>
  <c r="J13" i="1" s="1"/>
  <c r="D12" i="1"/>
  <c r="C11" i="1"/>
  <c r="C12" i="1" s="1"/>
  <c r="E12" i="1" s="1"/>
  <c r="D10" i="1"/>
  <c r="H9" i="1"/>
  <c r="C9" i="1"/>
  <c r="J9" i="1" s="1"/>
  <c r="D8" i="1"/>
  <c r="H7" i="1"/>
  <c r="C7" i="1"/>
  <c r="J7" i="1" s="1"/>
  <c r="D6" i="1"/>
  <c r="H5" i="1"/>
  <c r="C5" i="1"/>
  <c r="J5" i="1" s="1"/>
  <c r="E12" i="8" l="1"/>
  <c r="J12" i="8"/>
  <c r="J13" i="8" s="1"/>
  <c r="J15" i="8" s="1"/>
  <c r="E5" i="8" s="1"/>
  <c r="E13" i="8"/>
  <c r="E14" i="8" s="1"/>
  <c r="E17" i="8" s="1"/>
  <c r="E18" i="8" s="1"/>
  <c r="E19" i="8" s="1"/>
  <c r="E20" i="8" s="1"/>
  <c r="E21" i="8" s="1"/>
  <c r="E22" i="8" s="1"/>
  <c r="E23" i="8" s="1"/>
  <c r="F13" i="9"/>
  <c r="F15" i="9" s="1"/>
  <c r="F19" i="9" s="1"/>
  <c r="F14" i="9"/>
  <c r="B8" i="10"/>
  <c r="B9" i="10" s="1"/>
  <c r="B10" i="10"/>
  <c r="K18" i="6"/>
  <c r="K15" i="6"/>
  <c r="CF25" i="7"/>
  <c r="C6" i="1"/>
  <c r="C8" i="1"/>
  <c r="C10" i="1"/>
  <c r="E10" i="1" s="1"/>
  <c r="C14" i="1"/>
  <c r="C16" i="1"/>
  <c r="E16" i="1" s="1"/>
  <c r="C20" i="1"/>
  <c r="E20" i="1" s="1"/>
  <c r="C22" i="1"/>
  <c r="E22" i="1" s="1"/>
  <c r="C24" i="1"/>
  <c r="E24" i="1" s="1"/>
  <c r="C26" i="1"/>
  <c r="E26" i="1" s="1"/>
  <c r="C6" i="2"/>
  <c r="K7" i="2" s="1"/>
  <c r="M7" i="2" s="1"/>
  <c r="C6" i="6"/>
  <c r="I7" i="6" s="1"/>
  <c r="K7" i="6" s="1"/>
  <c r="F20" i="9" l="1"/>
  <c r="F21" i="9"/>
  <c r="F22" i="9" s="1"/>
  <c r="F24" i="9" s="1"/>
  <c r="F25" i="9" s="1"/>
  <c r="F26" i="9" s="1"/>
  <c r="F27" i="9" s="1"/>
  <c r="B11" i="10"/>
  <c r="B9" i="5"/>
  <c r="K13" i="5" s="1"/>
  <c r="M13" i="5" s="1"/>
  <c r="C9" i="2"/>
  <c r="K10" i="2" s="1"/>
  <c r="M10" i="2" s="1"/>
  <c r="C28" i="1"/>
  <c r="C9" i="6"/>
  <c r="I10" i="6" s="1"/>
  <c r="K10" i="6" s="1"/>
  <c r="E6" i="1"/>
  <c r="B23" i="5"/>
  <c r="K25" i="5" s="1"/>
  <c r="C14" i="3"/>
  <c r="G18" i="3" s="1"/>
  <c r="C24" i="6"/>
  <c r="I23" i="6" s="1"/>
  <c r="C23" i="2"/>
  <c r="K25" i="2" s="1"/>
  <c r="M11" i="2"/>
  <c r="C8" i="2"/>
  <c r="K9" i="2" s="1"/>
  <c r="M9" i="2" s="1"/>
  <c r="B7" i="5"/>
  <c r="K11" i="5" s="1"/>
  <c r="M11" i="5" s="1"/>
  <c r="E14" i="1"/>
  <c r="C7" i="6"/>
  <c r="I8" i="6" s="1"/>
  <c r="K8" i="6" s="1"/>
  <c r="K11" i="6" s="1"/>
  <c r="B8" i="5"/>
  <c r="K12" i="5" s="1"/>
  <c r="M12" i="5" s="1"/>
  <c r="B6" i="5"/>
  <c r="K7" i="5" s="1"/>
  <c r="M7" i="5" s="1"/>
  <c r="C6" i="3"/>
  <c r="G6" i="3" s="1"/>
  <c r="I6" i="3" s="1"/>
  <c r="I7" i="3" s="1"/>
  <c r="E8" i="1"/>
  <c r="B14" i="10" l="1"/>
  <c r="K12" i="6"/>
  <c r="K14" i="6" s="1"/>
  <c r="K19" i="6" s="1"/>
  <c r="K13" i="6"/>
  <c r="M14" i="5"/>
  <c r="M14" i="2"/>
  <c r="M13" i="2"/>
  <c r="M15" i="2" s="1"/>
  <c r="I8" i="3"/>
  <c r="I9" i="3"/>
  <c r="I10" i="3" s="1"/>
  <c r="I14" i="3" s="1"/>
  <c r="I15" i="3" s="1"/>
  <c r="I16" i="3" s="1"/>
  <c r="I18" i="3" s="1"/>
  <c r="I19" i="3" s="1"/>
  <c r="K20" i="6" l="1"/>
  <c r="K21" i="6" s="1"/>
  <c r="K23" i="6" s="1"/>
  <c r="K24" i="6" s="1"/>
  <c r="M16" i="5"/>
  <c r="M15" i="5"/>
  <c r="M17" i="5" s="1"/>
  <c r="C18" i="2" l="1"/>
  <c r="L17" i="2" s="1"/>
  <c r="M17" i="2" s="1"/>
  <c r="C19" i="2"/>
  <c r="M18" i="2" s="1"/>
  <c r="C20" i="2" l="1"/>
  <c r="L19" i="2" s="1"/>
  <c r="M19" i="2" s="1"/>
  <c r="M21" i="2" s="1"/>
  <c r="M22" i="2" l="1"/>
  <c r="M23" i="2" s="1"/>
  <c r="M25" i="2" s="1"/>
  <c r="M26" i="2" s="1"/>
  <c r="M28" i="2" l="1"/>
  <c r="M27" i="2"/>
  <c r="S18" i="2"/>
  <c r="S35" i="2" l="1"/>
  <c r="S27" i="2"/>
  <c r="U18" i="2"/>
  <c r="S28" i="2" l="1"/>
  <c r="S19" i="2"/>
  <c r="U19" i="2" s="1"/>
  <c r="S20" i="2"/>
  <c r="U20" i="2" s="1"/>
  <c r="S36" i="2"/>
  <c r="M18" i="5" l="1"/>
  <c r="M21" i="5" s="1"/>
  <c r="B18" i="5"/>
  <c r="M22" i="5" l="1"/>
  <c r="M23" i="5" s="1"/>
  <c r="M25" i="5" s="1"/>
  <c r="M26" i="5" s="1"/>
</calcChain>
</file>

<file path=xl/comments1.xml><?xml version="1.0" encoding="utf-8"?>
<comments xmlns="http://schemas.openxmlformats.org/spreadsheetml/2006/main">
  <authors>
    <author>kara</author>
  </authors>
  <commentList>
    <comment ref="I4" authorId="0">
      <text>
        <r>
          <rPr>
            <b/>
            <sz val="9"/>
            <color indexed="81"/>
            <rFont val="Tahoma"/>
            <family val="2"/>
          </rPr>
          <t>kara:</t>
        </r>
        <r>
          <rPr>
            <sz val="9"/>
            <color indexed="81"/>
            <rFont val="Tahoma"/>
            <family val="2"/>
          </rPr>
          <t xml:space="preserve">
Per conversation on 3/1/17 with MCB, they chose to move the participants from 74 to 70 and apply caf to rate
</t>
        </r>
        <r>
          <rPr>
            <b/>
            <sz val="9"/>
            <color indexed="81"/>
            <rFont val="Tahoma"/>
            <family val="2"/>
          </rPr>
          <t>6/25/21 kara -</t>
        </r>
        <r>
          <rPr>
            <sz val="9"/>
            <color indexed="81"/>
            <rFont val="Tahoma"/>
            <family val="2"/>
          </rPr>
          <t xml:space="preserve">  updated per FY20 UFR which showed 12,132 units
that divided by 16 hours per person  divided by 12 months  = 63 participants rounded down for consistency</t>
        </r>
      </text>
    </comment>
  </commentList>
</comments>
</file>

<file path=xl/sharedStrings.xml><?xml version="1.0" encoding="utf-8"?>
<sst xmlns="http://schemas.openxmlformats.org/spreadsheetml/2006/main" count="621" uniqueCount="409">
  <si>
    <t>Source:</t>
  </si>
  <si>
    <t>2017/2018</t>
  </si>
  <si>
    <t>BLS / OES</t>
  </si>
  <si>
    <t>Position</t>
  </si>
  <si>
    <r>
      <t>Median</t>
    </r>
    <r>
      <rPr>
        <b/>
        <sz val="16"/>
        <color rgb="FFFF0000"/>
        <rFont val="Calibri"/>
        <family val="2"/>
        <scheme val="minor"/>
      </rPr>
      <t xml:space="preserve"> </t>
    </r>
  </si>
  <si>
    <t>Median</t>
  </si>
  <si>
    <t>Change</t>
  </si>
  <si>
    <t>Common model titles (not all inclusive)</t>
  </si>
  <si>
    <t>Minimum Education and/or certification/Training/Experience</t>
  </si>
  <si>
    <t>C.257 Average</t>
  </si>
  <si>
    <t>Hourly Difference b/w Avg &amp; C.257</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</si>
  <si>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</si>
  <si>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</si>
  <si>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</si>
  <si>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</si>
  <si>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</si>
  <si>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</si>
  <si>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</si>
  <si>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</si>
  <si>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</si>
  <si>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</si>
  <si>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</si>
  <si>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</si>
  <si>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</si>
  <si>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</si>
  <si>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N/A</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</si>
  <si>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</si>
  <si>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</si>
  <si>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</si>
  <si>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</si>
  <si>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</si>
  <si>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</si>
  <si>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</si>
  <si>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</si>
  <si>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</si>
  <si>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</si>
  <si>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</si>
  <si>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Program Management (hourly)</t>
  </si>
  <si>
    <t xml:space="preserve">Program manager, management, </t>
  </si>
  <si>
    <t>BA Level w/ 3+ years related work experience</t>
  </si>
  <si>
    <t>Program Management (annual)</t>
  </si>
  <si>
    <t xml:space="preserve"> program director</t>
  </si>
  <si>
    <t>Clinical Manager (hourly)</t>
  </si>
  <si>
    <t>Clinical Manager, Clinical Director</t>
  </si>
  <si>
    <t>Masters with Licensure in Related Discipline and supervising/managerial related experience</t>
  </si>
  <si>
    <t>Clinical Manager (annual)</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</si>
  <si>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</si>
  <si>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</si>
  <si>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</si>
  <si>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</si>
  <si>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</si>
  <si>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</si>
  <si>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</si>
  <si>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</si>
  <si>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</si>
  <si>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Support &amp; Direct Care Relief Staff are benched to Direct Care</t>
  </si>
  <si>
    <t>Overnight staff (asleep or awake) benchmarked to $14.63 / hr (avg CY22 &amp; CY23)</t>
  </si>
  <si>
    <t>CY21 min. wage = $13.50 and CY22 min. wage = $14.25 and CY23 = $15.00</t>
  </si>
  <si>
    <t xml:space="preserve">Tax and Fringe  =  </t>
  </si>
  <si>
    <t xml:space="preserve">Benchmarked to FY21 (proposed) Commonwealth (office of the Comptroller) T&amp;F rate, less </t>
  </si>
  <si>
    <t>Terminal leave, retirement and Paid Family Medical Leave tax (actual FY21 approved was 22.28% )
FY22 Proposed is 21.87% with same parameters as above</t>
  </si>
  <si>
    <t>PFMLA</t>
  </si>
  <si>
    <t>Admin Allocation</t>
  </si>
  <si>
    <t>C.257 Benchmark</t>
  </si>
  <si>
    <t>orientation &amp; mobility Services</t>
  </si>
  <si>
    <t>Master Data Look-up Table</t>
  </si>
  <si>
    <t>Productivity Standard - Average per COMS</t>
  </si>
  <si>
    <t>Total Yearly Available COMS Hours</t>
  </si>
  <si>
    <t>Number</t>
  </si>
  <si>
    <t>Unit</t>
  </si>
  <si>
    <t>Benchmark Salaries</t>
  </si>
  <si>
    <t>Source</t>
  </si>
  <si>
    <t>Capacity</t>
  </si>
  <si>
    <t>Total Hours</t>
  </si>
  <si>
    <t>40 hours</t>
  </si>
  <si>
    <t>52 Weeks</t>
  </si>
  <si>
    <t>Management</t>
  </si>
  <si>
    <t>Salary</t>
  </si>
  <si>
    <t>FTE</t>
  </si>
  <si>
    <t>Expense</t>
  </si>
  <si>
    <t>Vacation</t>
  </si>
  <si>
    <t>Day</t>
  </si>
  <si>
    <t xml:space="preserve">  Program Management</t>
  </si>
  <si>
    <t>BLS 2020 Benchmark</t>
  </si>
  <si>
    <t>Sick &amp; Personal</t>
  </si>
  <si>
    <t>Direct Care</t>
  </si>
  <si>
    <t>Training</t>
  </si>
  <si>
    <t xml:space="preserve">  Certified O&amp;M Specialist</t>
  </si>
  <si>
    <t>BLS 2020 Benchmark for Case Mgr)</t>
  </si>
  <si>
    <t>Holidays</t>
  </si>
  <si>
    <t xml:space="preserve">  Secretarial / Clerical</t>
  </si>
  <si>
    <t>Travel</t>
  </si>
  <si>
    <t>Hrs/Wk</t>
  </si>
  <si>
    <t>Benchmark FTEs</t>
  </si>
  <si>
    <t>Indirect Client Service</t>
  </si>
  <si>
    <t>Total Program Staff</t>
  </si>
  <si>
    <t>Subtotal Unproductive Hours</t>
  </si>
  <si>
    <t>FY15 Contract Data</t>
  </si>
  <si>
    <t>Total Yearly Available Hours Per COMS</t>
  </si>
  <si>
    <t>Certified O&amp;M Specialists (COMS)</t>
  </si>
  <si>
    <t>Tax and Fringe</t>
  </si>
  <si>
    <t xml:space="preserve">Total Available Client Hours </t>
  </si>
  <si>
    <t>Total Compensation</t>
  </si>
  <si>
    <t>Benchmark Expenses</t>
  </si>
  <si>
    <t>Taxes &amp; Fringe</t>
  </si>
  <si>
    <t>FY20 C.257 Benchmark</t>
  </si>
  <si>
    <t>TRANSPORTATION RATES</t>
  </si>
  <si>
    <t>Hourly</t>
  </si>
  <si>
    <t>Occupancy</t>
  </si>
  <si>
    <t>UFR FY20 Data per FTE</t>
  </si>
  <si>
    <t>DDS</t>
  </si>
  <si>
    <t xml:space="preserve">Level I - </t>
  </si>
  <si>
    <t>1-30 miles</t>
  </si>
  <si>
    <t>per 15 minutes</t>
  </si>
  <si>
    <t>Transportation</t>
  </si>
  <si>
    <t>UFR FY20 per FTE</t>
  </si>
  <si>
    <t xml:space="preserve">Level II - </t>
  </si>
  <si>
    <t>31-60 miles</t>
  </si>
  <si>
    <t>Program Expenses</t>
  </si>
  <si>
    <t>Level III -</t>
  </si>
  <si>
    <t>61+ miles</t>
  </si>
  <si>
    <t>Admin. Allocation</t>
  </si>
  <si>
    <t>MA EOHHS C.257 Benchmark</t>
  </si>
  <si>
    <t>Total Reimb excl M&amp;G</t>
  </si>
  <si>
    <t>PFMLA Trust Contribution</t>
  </si>
  <si>
    <t>Effective 7/1/19</t>
  </si>
  <si>
    <t>Level II      (31 - 60 miles)</t>
  </si>
  <si>
    <t>CAF Rate</t>
  </si>
  <si>
    <t>Base 2021Q2 -Prospective FY21 &amp; FY22</t>
  </si>
  <si>
    <t>TOTAL</t>
  </si>
  <si>
    <t>15 mile (50%of the difference in 29 miles)</t>
  </si>
  <si>
    <t>Prior CAF</t>
  </si>
  <si>
    <t>* .45 per mile</t>
  </si>
  <si>
    <t>CAF:</t>
  </si>
  <si>
    <t>*2 to find the rate for the hour</t>
  </si>
  <si>
    <t>Per hour</t>
  </si>
  <si>
    <t>RATE:</t>
  </si>
  <si>
    <t>25% to find 15 minute rate</t>
  </si>
  <si>
    <t>Per 15 min</t>
  </si>
  <si>
    <t>Utilization Rate:</t>
  </si>
  <si>
    <t>Level I rate  + 15 min rate for Level II (3.38)=</t>
  </si>
  <si>
    <t>per 15 min</t>
  </si>
  <si>
    <t>$25.60 * 4 units (15 minute unit)</t>
  </si>
  <si>
    <t>per hour</t>
  </si>
  <si>
    <t>Level III    (61 + miles)</t>
  </si>
  <si>
    <t>30 mile (50%of the difference in miles)</t>
  </si>
  <si>
    <t>Level I rate  + 15 min rate for Level II (6.75)=</t>
  </si>
  <si>
    <t>$28.97 * 4 units (15 minute unit)</t>
  </si>
  <si>
    <t>[1]</t>
  </si>
  <si>
    <t xml:space="preserve">VR Assistant Model Budget </t>
  </si>
  <si>
    <t>Master Look-Up Table</t>
  </si>
  <si>
    <t>Benchmarks</t>
  </si>
  <si>
    <t>VR Assistant</t>
  </si>
  <si>
    <t xml:space="preserve">VR Assistant </t>
  </si>
  <si>
    <t>Total Staff</t>
  </si>
  <si>
    <t>UFR FY20 data</t>
  </si>
  <si>
    <t>PFLMA Trust Contribution</t>
  </si>
  <si>
    <t>Travel / Misc Expenses</t>
  </si>
  <si>
    <t>Program Support</t>
  </si>
  <si>
    <t>TotalCompensation</t>
  </si>
  <si>
    <t>Admin. Alloc. (M &amp; G)</t>
  </si>
  <si>
    <t>Program Supplies &amp; materials</t>
  </si>
  <si>
    <t>CAF rate</t>
  </si>
  <si>
    <t>15 minutes</t>
  </si>
  <si>
    <t>Hourly RATE:</t>
  </si>
  <si>
    <t>HOMECARE ASST.</t>
  </si>
  <si>
    <t>Current Rates</t>
  </si>
  <si>
    <t>FY22 Rate Review</t>
  </si>
  <si>
    <t>Region</t>
  </si>
  <si>
    <t>PRIOR</t>
  </si>
  <si>
    <t xml:space="preserve">Proposed </t>
  </si>
  <si>
    <t>PROPOSED</t>
  </si>
  <si>
    <t>RATES</t>
  </si>
  <si>
    <t>FY22 CAF</t>
  </si>
  <si>
    <t>West</t>
  </si>
  <si>
    <t>Central</t>
  </si>
  <si>
    <t>Metro</t>
  </si>
  <si>
    <t>North</t>
  </si>
  <si>
    <t>South</t>
  </si>
  <si>
    <t>Productivity Standard - Average per DC FTE</t>
  </si>
  <si>
    <t>Total FTE Hours</t>
  </si>
  <si>
    <t>Client Hours Per Site</t>
  </si>
  <si>
    <t>Director</t>
  </si>
  <si>
    <t>Postion</t>
  </si>
  <si>
    <t xml:space="preserve"> FTEs</t>
  </si>
  <si>
    <t>Direct Client Interaction</t>
  </si>
  <si>
    <t>Assistive Technology Specialist</t>
  </si>
  <si>
    <t>BLS 2020 Benchmark MA level case mgr</t>
  </si>
  <si>
    <t>Equipment Tech/Specialist/Designer</t>
  </si>
  <si>
    <t xml:space="preserve">          Medical Titles from UFR:  Speech Pathologist, </t>
  </si>
  <si>
    <t>Support</t>
  </si>
  <si>
    <t xml:space="preserve">          DC Consultant, AAC Specialist, Audiologist, </t>
  </si>
  <si>
    <t xml:space="preserve">          Client Services Coordinator </t>
  </si>
  <si>
    <t>Straight average from Contract Data</t>
  </si>
  <si>
    <t>Clinical/Medical</t>
  </si>
  <si>
    <t>Total Yearly Available Hours Per DC FTE</t>
  </si>
  <si>
    <t>Average DC FTEs Per Office</t>
  </si>
  <si>
    <t>Equipment Tech/Equipment Specialist</t>
  </si>
  <si>
    <t>TOTAL PROGRAM STAFF</t>
  </si>
  <si>
    <t>Total Available Client Hours Per Site</t>
  </si>
  <si>
    <t>TOTAL COMPENSATION</t>
  </si>
  <si>
    <t>UFR 2020 Data</t>
  </si>
  <si>
    <t>Staff Training</t>
  </si>
  <si>
    <t>Original expense rebased with original CAF</t>
  </si>
  <si>
    <t>Staff Mileage</t>
  </si>
  <si>
    <t xml:space="preserve">Original expense rebased with original CAF </t>
  </si>
  <si>
    <t>TOTAL REIMB EXP EXCL M&amp;G</t>
  </si>
  <si>
    <t>Unit Rate Per Available Client Hour</t>
  </si>
  <si>
    <t>NOTES:</t>
  </si>
  <si>
    <r>
      <t xml:space="preserve"> - </t>
    </r>
    <r>
      <rPr>
        <b/>
        <i/>
        <sz val="10"/>
        <color theme="1"/>
        <rFont val="Calibri"/>
        <family val="2"/>
        <scheme val="minor"/>
      </rPr>
      <t xml:space="preserve">Direct Client Interaction </t>
    </r>
    <r>
      <rPr>
        <sz val="10"/>
        <color theme="1"/>
        <rFont val="Calibri"/>
        <family val="2"/>
      </rPr>
      <t>incorporates all Direct Care staff positions</t>
    </r>
  </si>
  <si>
    <r>
      <t xml:space="preserve"> - </t>
    </r>
    <r>
      <rPr>
        <b/>
        <i/>
        <sz val="10"/>
        <color theme="1"/>
        <rFont val="Calibri"/>
        <family val="2"/>
        <scheme val="minor"/>
      </rPr>
      <t xml:space="preserve">Productivity Standard </t>
    </r>
    <r>
      <rPr>
        <sz val="10"/>
        <color theme="1"/>
        <rFont val="Calibri"/>
        <family val="2"/>
      </rPr>
      <t>calculation based on combination of Direct Client Interaction, Assistive</t>
    </r>
  </si>
  <si>
    <t xml:space="preserve">          Technology Specialist, and Equipment Tech/Specialist/Designer</t>
  </si>
  <si>
    <t>Particpants:</t>
  </si>
  <si>
    <t>Total Hours:</t>
  </si>
  <si>
    <t>Mgmt supervision</t>
  </si>
  <si>
    <t xml:space="preserve">  Assistant Program Director</t>
  </si>
  <si>
    <t xml:space="preserve">  Program Staff</t>
  </si>
  <si>
    <t>Contract Data</t>
  </si>
  <si>
    <t>DC Consultant</t>
  </si>
  <si>
    <t>FY20 UFR per FTE</t>
  </si>
  <si>
    <t>DC Consultant (per hour)</t>
  </si>
  <si>
    <t>FY20 UFR Data (line 18E / total hrs)</t>
  </si>
  <si>
    <t>DC Consultant Training and Interperter services</t>
  </si>
  <si>
    <t>Purchaser Recommendation - 48 Consultants</t>
  </si>
  <si>
    <t>All other Program Supplies &amp; Materials</t>
  </si>
  <si>
    <t>FY20 UFR Data</t>
  </si>
  <si>
    <t>Massachusetts Economic Indicators</t>
  </si>
  <si>
    <t>IHS Markit, Spring 2021 Forecast</t>
  </si>
  <si>
    <t>Prepared by Michael Lynch, 781-301-9129</t>
  </si>
  <si>
    <t>FY20</t>
  </si>
  <si>
    <t>FY21</t>
  </si>
  <si>
    <t>FY22</t>
  </si>
  <si>
    <t>FY23</t>
  </si>
  <si>
    <t>FY13</t>
  </si>
  <si>
    <t>FY24</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</si>
  <si>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</si>
  <si>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</si>
  <si>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</si>
  <si>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</si>
  <si>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</si>
  <si>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</si>
  <si>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</si>
  <si>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</si>
  <si>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</si>
  <si>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</si>
  <si>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</si>
  <si>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</si>
  <si>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</si>
  <si>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</si>
  <si>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</si>
  <si>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</si>
  <si>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</si>
  <si>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</si>
  <si>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</si>
  <si>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</si>
  <si>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</si>
  <si>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</si>
  <si>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</si>
  <si>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</si>
  <si>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</si>
  <si>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</si>
  <si>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</si>
  <si>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</si>
  <si>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</si>
  <si>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</si>
  <si>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</si>
  <si>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</si>
  <si>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</si>
  <si>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</si>
  <si>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</si>
  <si>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</si>
  <si>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</si>
  <si>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</si>
  <si>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</si>
  <si>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</si>
  <si>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</si>
  <si>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</si>
  <si>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</si>
  <si>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</si>
  <si>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</si>
  <si>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</si>
  <si>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</si>
  <si>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</si>
  <si>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</si>
  <si>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</si>
  <si>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</si>
  <si>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</si>
  <si>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</si>
  <si>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</si>
  <si>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</si>
  <si>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</si>
  <si>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</si>
  <si>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</si>
  <si>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</si>
  <si>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</si>
  <si>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</si>
  <si>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</si>
  <si>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</si>
  <si>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</si>
  <si>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</si>
  <si>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</si>
  <si>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</si>
  <si>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</si>
  <si>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</si>
  <si>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</si>
  <si>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</si>
  <si>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</si>
  <si>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</si>
  <si>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</si>
  <si>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</si>
  <si>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</si>
  <si>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</si>
  <si>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</si>
  <si>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</si>
  <si>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</si>
  <si>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</si>
  <si>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</si>
  <si>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</si>
  <si>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</si>
  <si>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</si>
  <si>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</si>
  <si>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</si>
  <si>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</si>
  <si>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</si>
  <si>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</si>
  <si>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</si>
  <si>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</si>
  <si>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</si>
  <si>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</si>
  <si>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</si>
  <si>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</si>
  <si>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January 1, 2022</t>
  </si>
  <si>
    <t xml:space="preserve">Base period: </t>
  </si>
  <si>
    <t>FY22Q2</t>
  </si>
  <si>
    <t>Average</t>
  </si>
  <si>
    <t xml:space="preserve">Prospective rate period: </t>
  </si>
  <si>
    <t>1/1/22 - 12/30/23</t>
  </si>
  <si>
    <t>MRC Brain injury Centers - Effective January 2022</t>
  </si>
  <si>
    <t>BILLABLE UNITS</t>
  </si>
  <si>
    <t>Weeks</t>
  </si>
  <si>
    <t>Hours</t>
  </si>
  <si>
    <t>Total</t>
  </si>
  <si>
    <t>Community Outreach Master Data Lookup Table</t>
  </si>
  <si>
    <t>Service Unit - Per Hour</t>
  </si>
  <si>
    <t>Total Units</t>
  </si>
  <si>
    <t>Maximum Available DC Hours</t>
  </si>
  <si>
    <t>Benchmark Salary</t>
  </si>
  <si>
    <t>Non-direct service hours</t>
  </si>
  <si>
    <t xml:space="preserve">2020 BLS Benchmark </t>
  </si>
  <si>
    <t>Vacation/Sick/Personal</t>
  </si>
  <si>
    <t>Direct Care III</t>
  </si>
  <si>
    <t>Holidays (10 Days)</t>
  </si>
  <si>
    <t xml:space="preserve">Direct Care </t>
  </si>
  <si>
    <t>travel</t>
  </si>
  <si>
    <t>Clerical / Support</t>
  </si>
  <si>
    <t>Subtotal non-direct hours</t>
  </si>
  <si>
    <t>FY20 UFR Expense per FTE (DC Consultant, Staff Training, Staff Mileage, Meals, Vehicle expenses and Program supplies and Materials)</t>
  </si>
  <si>
    <t>Total Available Hours per DC FTE</t>
  </si>
  <si>
    <t>Total DC FTEs</t>
  </si>
  <si>
    <t>Occupancy (Office Space) per FTE</t>
  </si>
  <si>
    <t>2020 UFR data</t>
  </si>
  <si>
    <t>TOTAL PRODUCTIVE HOURS</t>
  </si>
  <si>
    <t>Base period FY2022 - Prospective period FY22 &amp; FY23</t>
  </si>
  <si>
    <t>CAF</t>
  </si>
  <si>
    <r>
      <rPr>
        <b/>
        <sz val="10"/>
        <color theme="1"/>
        <rFont val="Calibri"/>
        <family val="2"/>
        <scheme val="minor"/>
      </rPr>
      <t>Brain Injury Site-based Centers and Community Outreach Services:</t>
    </r>
    <r>
      <rPr>
        <sz val="10"/>
        <color theme="1"/>
        <rFont val="Calibri"/>
        <family val="2"/>
        <scheme val="minor"/>
      </rPr>
      <t xml:space="preserve">
Site and Community based programs that provide support and opportunities for people with brain injury to enrich their lives, develop personal skills and competencies, and participate in their communities.  Programs have an array of day supports promoting opportunities to acquire, improve or maintain skills and abilities needed for community participation, meaningful socialization and quality of life.  
</t>
    </r>
  </si>
  <si>
    <t>Total With CAF:</t>
  </si>
  <si>
    <t xml:space="preserve">Hourly Rate </t>
  </si>
  <si>
    <t>15 Minute Rate</t>
  </si>
  <si>
    <t>Brain Injury Site-based and Community  Services</t>
  </si>
  <si>
    <t xml:space="preserve">Site Based- Master Data Look-up Table  </t>
  </si>
  <si>
    <t xml:space="preserve"> Avg Daily Attendance:</t>
  </si>
  <si>
    <t>Days:</t>
  </si>
  <si>
    <t>Title</t>
  </si>
  <si>
    <t>Clerical / Support Staff</t>
  </si>
  <si>
    <t>Tax &amp; Fringe</t>
  </si>
  <si>
    <t>Occupancy (per FTE)</t>
  </si>
  <si>
    <t>Original Occupancy rebased with original CAF</t>
  </si>
  <si>
    <t>Other Expense (per DC FTE)</t>
  </si>
  <si>
    <t>Total Staffing Costs</t>
  </si>
  <si>
    <t>Administrative Allocation</t>
  </si>
  <si>
    <t>Unit Cost</t>
  </si>
  <si>
    <t xml:space="preserve">CAF </t>
  </si>
  <si>
    <t xml:space="preserve">Other Program Exp. </t>
  </si>
  <si>
    <t>Days in a Year</t>
  </si>
  <si>
    <t>Total Reimbursable Exp. Excl. Admin.</t>
  </si>
  <si>
    <t>Weekends</t>
  </si>
  <si>
    <t xml:space="preserve">Total </t>
  </si>
  <si>
    <r>
      <rPr>
        <b/>
        <sz val="9"/>
        <color theme="1"/>
        <rFont val="Calibri"/>
        <family val="2"/>
        <scheme val="minor"/>
      </rPr>
      <t>Brain Injury Site-based Centers and Community Outreach Services:</t>
    </r>
    <r>
      <rPr>
        <sz val="9"/>
        <color theme="1"/>
        <rFont val="Calibri"/>
        <family val="2"/>
        <scheme val="minor"/>
      </rPr>
      <t xml:space="preserve">
Site and Community based programs that provide support and opportunities for people with brain injury to enrich their lives, develop personal skills and competencies, and participate in their communities.  Programs have an array of day supports promoting opportunities to acquire, improve or maintain skills and abilities needed for community participation, meaningful socialization and quality of life.
</t>
    </r>
  </si>
  <si>
    <t>ANNUAL TOTAL</t>
  </si>
  <si>
    <t xml:space="preserve"> Rate - Per person per day</t>
  </si>
  <si>
    <t>Per person per hour (based on 5 hours)</t>
  </si>
  <si>
    <t>15 minute unit Rate per person</t>
  </si>
  <si>
    <t xml:space="preserve">  </t>
  </si>
  <si>
    <t>Total Tax &amp; Fringe</t>
  </si>
  <si>
    <t>Subtotal Compensation</t>
  </si>
  <si>
    <t>Billable Hours</t>
  </si>
  <si>
    <t>FY21 Hourly Rate</t>
  </si>
  <si>
    <t>FY21 15 Minute Rate</t>
  </si>
  <si>
    <t>Direct Care Productivity Chart</t>
  </si>
  <si>
    <t>Days</t>
  </si>
  <si>
    <t>Paid Time Off (PTO)</t>
  </si>
  <si>
    <t>Training (not OJT)</t>
  </si>
  <si>
    <t>Total Hours per FTE:</t>
  </si>
  <si>
    <t>Brain Injury Community Outreach Services</t>
  </si>
  <si>
    <t xml:space="preserve">C.257 Benchmark </t>
  </si>
  <si>
    <t>C.257 benchmark</t>
  </si>
  <si>
    <t>MCB O&amp;M  Model Budget - 101 CMR 422</t>
  </si>
  <si>
    <t xml:space="preserve">MRC Assistive Technology Independent Living  -  101 CMR 422 </t>
  </si>
  <si>
    <t xml:space="preserve">MCB DBCAN Model Budget - 101 CMR 422 </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</si>
</sst>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quot;$&quot;#,##0.00"/>
    <numFmt numFmtId="166" formatCode="&quot;$&quot;#,##0"/>
    <numFmt numFmtId="167" formatCode="\$#,##0"/>
    <numFmt numFmtId="168" formatCode="&quot;$&quot;#,##0.0000"/>
    <numFmt numFmtId="169" formatCode="_(&quot;$&quot;* #,##0_);_(&quot;$&quot;* \(#,##0\);_(&quot;$&quot;* &quot;-&quot;??_);_(@_)"/>
    <numFmt numFmtId="170" formatCode="\$#,##0.00"/>
    <numFmt numFmtId="171" formatCode="_(&quot;$&quot;* #,##0.000_);_(&quot;$&quot;* \(#,##0.000\);_(&quot;$&quot;* &quot;-&quot;??_);_(@_)"/>
    <numFmt numFmtId="172" formatCode="0.0000"/>
    <numFmt numFmtId="173" formatCode="_(&quot;$&quot;* #,##0.0000_);_(&quot;$&quot;* \(#,##0.0000\);_(&quot;$&quot;* &quot;-&quot;??_);_(@_)"/>
    <numFmt numFmtId="174" formatCode="0.000"/>
    <numFmt numFmtId="175" formatCode="0.0"/>
    <numFmt numFmtId="176" formatCode="#,##0.0"/>
    <numFmt numFmtId="177" formatCode="_(* #,##0_);_(* \(#,##0\);_(* &quot;-&quot;??_);_(@_)"/>
    <numFmt numFmtId="178" formatCode="_(* #,##0.0_);_(* \(#,##0.0\);_(* &quot;-&quot;??_);_(@_)"/>
    <numFmt numFmtId="179" formatCode="0.0%"/>
    <numFmt numFmtId="180" formatCode="_(&quot;$&quot;* #,##0.00_);_(&quot;$&quot;* \(#,##0.00\);_(&quot;$&quot;* &quot;-&quot;_);_(@_)"/>
    <numFmt numFmtId="181" formatCode="0.00000"/>
    <numFmt numFmtId="182" formatCode="&quot;$&quot;#,##0.000"/>
  </numFmts>
  <fonts count="111">
    <font>
      <sz val="11"/>
      <color theme="1"/>
      <name val="Calibri"/>
      <family val="2"/>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name val="Calibri"/>
      <family val="2"/>
      <scheme val="minor"/>
    </font>
    <font>
      <b/>
      <sz val="11"/>
      <name val="Calibri"/>
      <family val="2"/>
      <scheme val="minor"/>
    </font>
    <font>
      <b/>
      <sz val="16"/>
      <color rgb="FFFF0000"/>
      <name val="Calibri"/>
      <family val="2"/>
      <scheme val="minor"/>
    </font>
    <font>
      <b/>
      <sz val="16"/>
      <color theme="1"/>
      <name val="Calibri"/>
      <family val="2"/>
      <scheme val="minor"/>
    </font>
    <font>
      <sz val="16"/>
      <color theme="1"/>
      <name val="Calibri"/>
      <family val="2"/>
      <scheme val="minor"/>
    </font>
    <font>
      <sz val="10"/>
      <name val="MS Sans Serif"/>
      <family val="2"/>
    </font>
    <font>
      <sz val="14"/>
      <color theme="1"/>
      <name val="Calibri"/>
      <family val="2"/>
      <scheme val="minor"/>
    </font>
    <font>
      <sz val="11"/>
      <color theme="1"/>
      <name val="Calibri"/>
      <family val="2"/>
    </font>
    <font>
      <sz val="10"/>
      <color theme="1"/>
      <name val="Calibri"/>
      <family val="2"/>
    </font>
    <font>
      <b/>
      <sz val="10"/>
      <name val="Calibri"/>
      <family val="2"/>
    </font>
    <font>
      <sz val="10"/>
      <color indexed="8"/>
      <name val="Calibri"/>
      <family val="2"/>
    </font>
    <font>
      <b/>
      <sz val="10"/>
      <color indexed="8"/>
      <name val="Calibri"/>
      <family val="2"/>
    </font>
    <font>
      <b/>
      <sz val="10"/>
      <color theme="1"/>
      <name val="Calibri"/>
      <family val="2"/>
    </font>
    <font>
      <sz val="10"/>
      <color rgb="FF000000"/>
      <name val="Calibri"/>
      <family val="2"/>
    </font>
    <font>
      <sz val="10"/>
      <name val="Calibri"/>
      <family val="2"/>
    </font>
    <font>
      <sz val="10"/>
      <color indexed="17"/>
      <name val="Calibri"/>
      <family val="2"/>
    </font>
    <font>
      <sz val="10"/>
      <color indexed="30"/>
      <name val="Calibri"/>
      <family val="2"/>
    </font>
    <font>
      <sz val="11"/>
      <name val="Arial"/>
      <family val="2"/>
    </font>
    <font>
      <sz val="10"/>
      <color indexed="62"/>
      <name val="Calibri"/>
      <family val="2"/>
    </font>
    <font>
      <sz val="10"/>
      <color rgb="FFFF0000"/>
      <name val="Calibri"/>
      <family val="2"/>
    </font>
    <font>
      <sz val="10"/>
      <color theme="0" tint="-4.9989318521683403E-2"/>
      <name val="Calibri"/>
      <family val="2"/>
    </font>
    <font>
      <sz val="11"/>
      <color indexed="8"/>
      <name val="Calibri"/>
      <family val="2"/>
    </font>
    <font>
      <sz val="10"/>
      <color theme="1"/>
      <name val="Calibri"/>
      <family val="2"/>
      <scheme val="minor"/>
    </font>
    <font>
      <b/>
      <sz val="10"/>
      <color theme="1"/>
      <name val="Calibri"/>
      <family val="2"/>
      <scheme val="minor"/>
    </font>
    <font>
      <sz val="10"/>
      <name val="Calibri"/>
      <family val="2"/>
      <scheme val="minor"/>
    </font>
    <font>
      <sz val="9"/>
      <name val="Calibri"/>
      <family val="2"/>
    </font>
    <font>
      <sz val="9"/>
      <color indexed="8"/>
      <name val="Calibri"/>
      <family val="2"/>
    </font>
    <font>
      <sz val="10"/>
      <color theme="0" tint="-4.9989318521683403E-2"/>
      <name val="Calibri"/>
      <family val="2"/>
      <scheme val="minor"/>
    </font>
    <font>
      <b/>
      <sz val="12"/>
      <color theme="1"/>
      <name val="Calibri"/>
      <family val="2"/>
      <scheme val="minor"/>
    </font>
    <font>
      <b/>
      <sz val="14"/>
      <color theme="1"/>
      <name val="Calibri"/>
      <family val="2"/>
      <scheme val="minor"/>
    </font>
    <font>
      <i/>
      <sz val="10"/>
      <color theme="1"/>
      <name val="Calibri"/>
      <family val="2"/>
      <scheme val="minor"/>
    </font>
    <font>
      <b/>
      <sz val="10"/>
      <color theme="0"/>
      <name val="Calibri"/>
      <family val="2"/>
      <scheme val="minor"/>
    </font>
    <font>
      <b/>
      <sz val="10"/>
      <name val="Calibri"/>
      <family val="2"/>
      <scheme val="minor"/>
    </font>
    <font>
      <b/>
      <sz val="10"/>
      <color theme="0" tint="-4.9989318521683403E-2"/>
      <name val="Calibri"/>
      <family val="2"/>
      <scheme val="minor"/>
    </font>
    <font>
      <sz val="10"/>
      <color rgb="FF000000"/>
      <name val="Calibri"/>
      <family val="2"/>
      <scheme val="minor"/>
    </font>
    <font>
      <sz val="10"/>
      <color theme="3" tint="0.39997558519241921"/>
      <name val="Calibri"/>
      <family val="2"/>
      <scheme val="minor"/>
    </font>
    <font>
      <b/>
      <i/>
      <sz val="10"/>
      <color theme="1"/>
      <name val="Calibri"/>
      <family val="2"/>
      <scheme val="minor"/>
    </font>
    <font>
      <sz val="12"/>
      <color theme="1"/>
      <name val="Calibri"/>
      <family val="2"/>
    </font>
    <font>
      <b/>
      <sz val="10"/>
      <color indexed="12"/>
      <name val="Calibri"/>
      <family val="2"/>
    </font>
    <font>
      <b/>
      <u/>
      <sz val="10"/>
      <color indexed="8"/>
      <name val="Calibri"/>
      <family val="2"/>
    </font>
    <font>
      <sz val="10"/>
      <color theme="0"/>
      <name val="Calibri"/>
      <family val="2"/>
    </font>
    <font>
      <i/>
      <sz val="10"/>
      <color theme="0" tint="-4.9989318521683403E-2"/>
      <name val="Calibri"/>
      <family val="2"/>
    </font>
    <font>
      <b/>
      <sz val="12"/>
      <color theme="1"/>
      <name val="Calibri"/>
      <family val="2"/>
    </font>
    <font>
      <sz val="12"/>
      <color indexed="8"/>
      <name val="Calibri"/>
      <family val="2"/>
    </font>
    <font>
      <b/>
      <sz val="16"/>
      <color theme="1"/>
      <name val="Calibri"/>
      <family val="2"/>
    </font>
    <font>
      <b/>
      <sz val="9"/>
      <color indexed="81"/>
      <name val="Tahoma"/>
      <family val="2"/>
    </font>
    <font>
      <sz val="9"/>
      <color indexed="81"/>
      <name val="Tahoma"/>
      <family val="2"/>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color theme="1"/>
      <name val="Tahoma"/>
      <family val="2"/>
    </font>
    <font>
      <b/>
      <sz val="11"/>
      <color indexed="63"/>
      <name val="Calibri"/>
      <family val="2"/>
    </font>
    <font>
      <sz val="11"/>
      <color theme="1"/>
      <name val="Calibri"/>
      <family val="2"/>
      <charset val="129"/>
      <scheme val="minor"/>
    </font>
    <font>
      <b/>
      <sz val="18"/>
      <color indexed="56"/>
      <name val="Cambria"/>
      <family val="2"/>
    </font>
    <font>
      <b/>
      <sz val="11"/>
      <color indexed="8"/>
      <name val="Calibri"/>
      <family val="2"/>
    </font>
    <font>
      <sz val="11"/>
      <color indexed="10"/>
      <name val="Calibri"/>
      <family val="2"/>
    </font>
    <font>
      <b/>
      <sz val="8"/>
      <name val="Calibri"/>
      <family val="2"/>
      <scheme val="minor"/>
    </font>
    <font>
      <sz val="11"/>
      <name val="Calibri"/>
      <family val="2"/>
      <scheme val="minor"/>
    </font>
    <font>
      <b/>
      <sz val="8"/>
      <color indexed="8"/>
      <name val="Calibri"/>
      <family val="2"/>
      <scheme val="minor"/>
    </font>
    <font>
      <b/>
      <sz val="8"/>
      <color rgb="FF000000"/>
      <name val="Calibri"/>
      <family val="2"/>
      <scheme val="minor"/>
    </font>
    <font>
      <b/>
      <sz val="8"/>
      <color theme="1"/>
      <name val="Calibri"/>
      <family val="2"/>
      <scheme val="minor"/>
    </font>
    <font>
      <sz val="8"/>
      <name val="Calibri"/>
      <family val="2"/>
      <scheme val="minor"/>
    </font>
    <font>
      <sz val="8"/>
      <color indexed="17"/>
      <name val="Calibri"/>
      <family val="2"/>
      <scheme val="minor"/>
    </font>
    <font>
      <sz val="8"/>
      <color theme="1"/>
      <name val="Calibri"/>
      <family val="2"/>
      <scheme val="minor"/>
    </font>
    <font>
      <sz val="8"/>
      <color indexed="30"/>
      <name val="Calibri"/>
      <family val="2"/>
      <scheme val="minor"/>
    </font>
    <font>
      <sz val="8"/>
      <color indexed="8"/>
      <name val="Calibri"/>
      <family val="2"/>
      <scheme val="minor"/>
    </font>
    <font>
      <b/>
      <sz val="8"/>
      <name val="Arial"/>
      <family val="2"/>
    </font>
    <font>
      <sz val="8"/>
      <color rgb="FF0070C0"/>
      <name val="Calibri"/>
      <family val="2"/>
      <scheme val="minor"/>
    </font>
    <font>
      <sz val="9"/>
      <name val="Calibri"/>
      <family val="2"/>
      <scheme val="minor"/>
    </font>
    <font>
      <b/>
      <sz val="9"/>
      <name val="Calibri"/>
      <family val="2"/>
      <scheme val="minor"/>
    </font>
    <font>
      <u/>
      <sz val="9"/>
      <name val="Calibri"/>
      <family val="2"/>
      <scheme val="minor"/>
    </font>
    <font>
      <sz val="9"/>
      <color theme="1"/>
      <name val="Calibri"/>
      <family val="2"/>
      <scheme val="minor"/>
    </font>
    <font>
      <b/>
      <sz val="9"/>
      <color indexed="8"/>
      <name val="Calibri"/>
      <family val="2"/>
      <scheme val="minor"/>
    </font>
    <font>
      <b/>
      <sz val="9"/>
      <color theme="1"/>
      <name val="Calibri"/>
      <family val="2"/>
      <scheme val="minor"/>
    </font>
    <font>
      <b/>
      <sz val="9"/>
      <color rgb="FFFF0000"/>
      <name val="Calibri"/>
      <family val="2"/>
      <scheme val="minor"/>
    </font>
    <font>
      <sz val="9"/>
      <color rgb="FFFF0000"/>
      <name val="Calibri"/>
      <family val="2"/>
      <scheme val="minor"/>
    </font>
    <font>
      <sz val="9"/>
      <color theme="0" tint="-0.499984740745262"/>
      <name val="Calibri"/>
      <family val="2"/>
      <scheme val="minor"/>
    </font>
    <font>
      <b/>
      <sz val="14"/>
      <color rgb="FF7030A0"/>
      <name val="Calibri"/>
      <family val="2"/>
    </font>
    <font>
      <b/>
      <sz val="11"/>
      <color rgb="FF7030A0"/>
      <name val="Calibri"/>
      <family val="2"/>
    </font>
    <font>
      <i/>
      <sz val="9"/>
      <name val="Calibri"/>
      <family val="2"/>
    </font>
    <font>
      <sz val="9"/>
      <color theme="3" tint="0.39997558519241921"/>
      <name val="Calibri"/>
      <family val="2"/>
      <scheme val="minor"/>
    </font>
    <font>
      <sz val="11"/>
      <color rgb="FF9C0006"/>
      <name val="Calibri"/>
      <family val="2"/>
    </font>
    <font>
      <b/>
      <sz val="9"/>
      <color indexed="8"/>
      <name val="Calibri"/>
      <family val="2"/>
    </font>
    <font>
      <u/>
      <sz val="11"/>
      <color indexed="12"/>
      <name val="Calibri"/>
      <family val="2"/>
      <charset val="1"/>
    </font>
    <font>
      <sz val="8"/>
      <color theme="1"/>
      <name val="Arial"/>
      <family val="2"/>
    </font>
    <font>
      <sz val="10"/>
      <name val="Verdana"/>
      <family val="2"/>
    </font>
    <font>
      <b/>
      <sz val="12"/>
      <color indexed="30"/>
      <name val="Calibri"/>
      <family val="2"/>
    </font>
  </fonts>
  <fills count="38">
    <fill>
      <patternFill patternType="none"/>
    </fill>
    <fill>
      <patternFill patternType="gray125"/>
    </fill>
    <fill>
      <patternFill patternType="solid">
        <fgColor rgb="FFFFC7CE"/>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6"/>
        <bgColor indexed="64"/>
      </patternFill>
    </fill>
    <fill>
      <patternFill patternType="solid">
        <fgColor theme="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7" tint="0.39997558519241921"/>
        <bgColor indexed="64"/>
      </patternFill>
    </fill>
  </fills>
  <borders count="96">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medium">
        <color indexed="64"/>
      </left>
      <right/>
      <top style="thin">
        <color indexed="58"/>
      </top>
      <bottom style="thin">
        <color indexed="5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thin">
        <color theme="0" tint="-0.14999847407452621"/>
      </top>
      <bottom style="double">
        <color indexed="64"/>
      </bottom>
      <diagonal/>
    </border>
    <border>
      <left/>
      <right/>
      <top style="thin">
        <color theme="0" tint="-0.14999847407452621"/>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ashed">
        <color rgb="FFBFBFBF"/>
      </bottom>
      <diagonal/>
    </border>
    <border>
      <left/>
      <right/>
      <top style="medium">
        <color rgb="FF0096D7"/>
      </top>
      <bottom/>
      <diagonal/>
    </border>
    <border>
      <left/>
      <right/>
      <top/>
      <bottom style="thick">
        <color rgb="FF0096D7"/>
      </bottom>
      <diagonal/>
    </border>
    <border>
      <left/>
      <right/>
      <top/>
      <bottom style="thin">
        <color rgb="FFBFBFBF"/>
      </bottom>
      <diagonal/>
    </border>
  </borders>
  <cellStyleXfs count="344">
    <xf numFmtId="0" fontId="0" fillId="0" borderId="0"/>
    <xf numFmtId="9" fontId="1" fillId="0" borderId="0" applyFont="0" applyFill="0" applyBorder="0" applyAlignment="0" applyProtection="0"/>
    <xf numFmtId="0" fontId="2" fillId="0" borderId="0"/>
    <xf numFmtId="9" fontId="10"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9" fontId="22"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23" borderId="0" applyNumberFormat="0" applyBorder="0" applyAlignment="0" applyProtection="0"/>
    <xf numFmtId="0" fontId="61" fillId="24"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31" borderId="0" applyNumberFormat="0" applyBorder="0" applyAlignment="0" applyProtection="0"/>
    <xf numFmtId="0" fontId="62" fillId="15" borderId="0" applyNumberFormat="0" applyBorder="0" applyAlignment="0" applyProtection="0"/>
    <xf numFmtId="0" fontId="63" fillId="32" borderId="75" applyNumberFormat="0" applyAlignment="0" applyProtection="0"/>
    <xf numFmtId="0" fontId="63" fillId="32" borderId="75" applyNumberFormat="0" applyAlignment="0" applyProtection="0"/>
    <xf numFmtId="0" fontId="63" fillId="32" borderId="75" applyNumberFormat="0" applyAlignment="0" applyProtection="0"/>
    <xf numFmtId="0" fontId="64" fillId="33" borderId="76" applyNumberFormat="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2" fontId="5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2" fillId="0" borderId="0" applyFont="0" applyFill="0" applyBorder="0" applyAlignment="0" applyProtection="0"/>
    <xf numFmtId="44" fontId="52" fillId="0" borderId="0" applyFont="0" applyFill="0" applyBorder="0" applyAlignment="0" applyProtection="0"/>
    <xf numFmtId="44" fontId="1" fillId="0" borderId="0" applyFont="0" applyFill="0" applyBorder="0" applyAlignment="0" applyProtection="0"/>
    <xf numFmtId="44" fontId="5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5" fillId="0" borderId="0" applyNumberFormat="0" applyFill="0" applyBorder="0" applyAlignment="0" applyProtection="0"/>
    <xf numFmtId="0" fontId="66" fillId="16" borderId="0" applyNumberFormat="0" applyBorder="0" applyAlignment="0" applyProtection="0"/>
    <xf numFmtId="0" fontId="67" fillId="0" borderId="77" applyNumberFormat="0" applyFill="0" applyAlignment="0" applyProtection="0"/>
    <xf numFmtId="0" fontId="68" fillId="0" borderId="78" applyNumberFormat="0" applyFill="0" applyAlignment="0" applyProtection="0"/>
    <xf numFmtId="0" fontId="69" fillId="0" borderId="79" applyNumberFormat="0" applyFill="0" applyAlignment="0" applyProtection="0"/>
    <xf numFmtId="0" fontId="69" fillId="0" borderId="0" applyNumberFormat="0" applyFill="0" applyBorder="0" applyAlignment="0" applyProtection="0"/>
    <xf numFmtId="0" fontId="70" fillId="19" borderId="75" applyNumberFormat="0" applyAlignment="0" applyProtection="0"/>
    <xf numFmtId="0" fontId="70" fillId="19" borderId="75" applyNumberFormat="0" applyAlignment="0" applyProtection="0"/>
    <xf numFmtId="0" fontId="70" fillId="19" borderId="75" applyNumberFormat="0" applyAlignment="0" applyProtection="0"/>
    <xf numFmtId="0" fontId="71" fillId="0" borderId="80" applyNumberFormat="0" applyFill="0" applyAlignment="0" applyProtection="0"/>
    <xf numFmtId="0" fontId="72" fillId="34" borderId="0" applyNumberFormat="0" applyBorder="0" applyAlignment="0" applyProtection="0"/>
    <xf numFmtId="0" fontId="52" fillId="0" borderId="0"/>
    <xf numFmtId="0" fontId="73" fillId="0" borderId="0"/>
    <xf numFmtId="0" fontId="52" fillId="0" borderId="0"/>
    <xf numFmtId="0" fontId="52" fillId="0" borderId="0"/>
    <xf numFmtId="0" fontId="52" fillId="0" borderId="0"/>
    <xf numFmtId="0" fontId="52" fillId="0" borderId="0"/>
    <xf numFmtId="0" fontId="1" fillId="0" borderId="0"/>
    <xf numFmtId="0" fontId="52" fillId="0" borderId="0"/>
    <xf numFmtId="0" fontId="1" fillId="0" borderId="0"/>
    <xf numFmtId="0" fontId="1" fillId="0" borderId="0"/>
    <xf numFmtId="0" fontId="52" fillId="0" borderId="0"/>
    <xf numFmtId="0" fontId="52" fillId="0" borderId="0"/>
    <xf numFmtId="0" fontId="52" fillId="0" borderId="0"/>
    <xf numFmtId="0" fontId="52" fillId="0" borderId="0"/>
    <xf numFmtId="0" fontId="52"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74" fillId="0" borderId="0"/>
    <xf numFmtId="0" fontId="1" fillId="0" borderId="0"/>
    <xf numFmtId="0" fontId="1" fillId="0" borderId="0"/>
    <xf numFmtId="0" fontId="52" fillId="0" borderId="0"/>
    <xf numFmtId="0" fontId="1" fillId="0" borderId="0"/>
    <xf numFmtId="0" fontId="1" fillId="0" borderId="0"/>
    <xf numFmtId="0" fontId="52" fillId="0" borderId="0"/>
    <xf numFmtId="0" fontId="1" fillId="0" borderId="0"/>
    <xf numFmtId="0" fontId="5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1" fillId="0" borderId="0"/>
    <xf numFmtId="0" fontId="1" fillId="0" borderId="0"/>
    <xf numFmtId="0" fontId="1" fillId="0" borderId="0"/>
    <xf numFmtId="0" fontId="52" fillId="35" borderId="81" applyNumberFormat="0" applyFont="0" applyAlignment="0" applyProtection="0"/>
    <xf numFmtId="0" fontId="52" fillId="35" borderId="81" applyNumberFormat="0" applyFont="0" applyAlignment="0" applyProtection="0"/>
    <xf numFmtId="0" fontId="52" fillId="35" borderId="81" applyNumberFormat="0" applyFont="0" applyAlignment="0" applyProtection="0"/>
    <xf numFmtId="0" fontId="52" fillId="35" borderId="81" applyNumberFormat="0" applyFont="0" applyAlignment="0" applyProtection="0"/>
    <xf numFmtId="0" fontId="75" fillId="32" borderId="82" applyNumberFormat="0" applyAlignment="0" applyProtection="0"/>
    <xf numFmtId="0" fontId="75" fillId="32" borderId="82" applyNumberFormat="0" applyAlignment="0" applyProtection="0"/>
    <xf numFmtId="0" fontId="75" fillId="32" borderId="8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7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8" fontId="37" fillId="36" borderId="35" applyFont="0" applyFill="0" applyAlignment="0">
      <alignment horizontal="left" vertical="center" wrapText="1"/>
    </xf>
    <xf numFmtId="8" fontId="37" fillId="36" borderId="35" applyFont="0" applyFill="0" applyAlignment="0">
      <alignment horizontal="left" vertical="center" wrapText="1"/>
    </xf>
    <xf numFmtId="0" fontId="77" fillId="0" borderId="0" applyNumberFormat="0" applyFill="0" applyBorder="0" applyAlignment="0" applyProtection="0"/>
    <xf numFmtId="0" fontId="78" fillId="0" borderId="83" applyNumberFormat="0" applyFill="0" applyAlignment="0" applyProtection="0"/>
    <xf numFmtId="0" fontId="78" fillId="0" borderId="83" applyNumberFormat="0" applyFill="0" applyAlignment="0" applyProtection="0"/>
    <xf numFmtId="0" fontId="78" fillId="0" borderId="83" applyNumberFormat="0" applyFill="0" applyAlignment="0" applyProtection="0"/>
    <xf numFmtId="0" fontId="79" fillId="0" borderId="0" applyNumberFormat="0" applyFill="0" applyBorder="0" applyAlignment="0" applyProtection="0"/>
    <xf numFmtId="0" fontId="22" fillId="0" borderId="0"/>
    <xf numFmtId="0" fontId="74" fillId="0" borderId="0"/>
    <xf numFmtId="43" fontId="1" fillId="0" borderId="0" applyFont="0" applyFill="0" applyBorder="0" applyAlignment="0" applyProtection="0"/>
    <xf numFmtId="9"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9" fontId="1" fillId="0" borderId="0" applyFont="0" applyFill="0" applyBorder="0" applyAlignment="0" applyProtection="0"/>
    <xf numFmtId="0" fontId="1" fillId="0" borderId="0"/>
    <xf numFmtId="0" fontId="105" fillId="2" borderId="0" applyNumberFormat="0" applyBorder="0" applyAlignment="0" applyProtection="0"/>
    <xf numFmtId="0" fontId="31" fillId="0" borderId="92" applyNumberFormat="0" applyFont="0" applyProtection="0">
      <alignment wrapText="1"/>
    </xf>
    <xf numFmtId="41" fontId="5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31" fillId="0" borderId="0" applyNumberFormat="0" applyFill="0" applyBorder="0" applyAlignment="0" applyProtection="0"/>
    <xf numFmtId="0" fontId="31" fillId="0" borderId="93" applyNumberFormat="0" applyProtection="0">
      <alignment wrapText="1"/>
    </xf>
    <xf numFmtId="0" fontId="106" fillId="0" borderId="94" applyNumberFormat="0" applyProtection="0">
      <alignment wrapText="1"/>
    </xf>
    <xf numFmtId="0" fontId="67" fillId="0" borderId="77" applyNumberFormat="0" applyFill="0" applyAlignment="0" applyProtection="0"/>
    <xf numFmtId="0" fontId="67" fillId="0" borderId="77" applyNumberFormat="0" applyFill="0" applyAlignment="0" applyProtection="0"/>
    <xf numFmtId="0" fontId="68" fillId="0" borderId="78" applyNumberFormat="0" applyFill="0" applyAlignment="0" applyProtection="0"/>
    <xf numFmtId="0" fontId="68" fillId="0" borderId="78" applyNumberFormat="0" applyFill="0" applyAlignment="0" applyProtection="0"/>
    <xf numFmtId="0" fontId="69" fillId="0" borderId="79" applyNumberFormat="0" applyFill="0" applyAlignment="0" applyProtection="0"/>
    <xf numFmtId="0" fontId="69" fillId="0" borderId="79"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107" fillId="0" borderId="0" applyNumberFormat="0" applyFill="0" applyBorder="0" applyAlignment="0" applyProtection="0"/>
    <xf numFmtId="0" fontId="71" fillId="0" borderId="80" applyNumberFormat="0" applyFill="0" applyAlignment="0" applyProtection="0"/>
    <xf numFmtId="0" fontId="71" fillId="0" borderId="80" applyNumberFormat="0" applyFill="0" applyAlignment="0" applyProtection="0"/>
    <xf numFmtId="0" fontId="1" fillId="0" borderId="0"/>
    <xf numFmtId="0" fontId="1" fillId="0" borderId="0"/>
    <xf numFmtId="0" fontId="1" fillId="0" borderId="0"/>
    <xf numFmtId="0" fontId="1" fillId="0" borderId="0"/>
    <xf numFmtId="0" fontId="52" fillId="0" borderId="0"/>
    <xf numFmtId="0" fontId="52" fillId="0" borderId="0"/>
    <xf numFmtId="0" fontId="108" fillId="0" borderId="0"/>
    <xf numFmtId="0" fontId="22" fillId="0" borderId="0"/>
    <xf numFmtId="0" fontId="1" fillId="0" borderId="0"/>
    <xf numFmtId="0" fontId="1" fillId="0" borderId="0"/>
    <xf numFmtId="0" fontId="12" fillId="0" borderId="0"/>
    <xf numFmtId="0" fontId="26" fillId="0" borderId="0"/>
    <xf numFmtId="0" fontId="12" fillId="0" borderId="0"/>
    <xf numFmtId="0" fontId="26" fillId="0" borderId="0"/>
    <xf numFmtId="0" fontId="109" fillId="0" borderId="0"/>
    <xf numFmtId="0" fontId="52" fillId="0" borderId="0"/>
    <xf numFmtId="0" fontId="1" fillId="0" borderId="0"/>
    <xf numFmtId="0" fontId="1" fillId="0" borderId="0"/>
    <xf numFmtId="0" fontId="1" fillId="0" borderId="0"/>
    <xf numFmtId="0" fontId="7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5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06" fillId="0" borderId="95" applyNumberFormat="0" applyProtection="0">
      <alignment wrapText="1"/>
    </xf>
    <xf numFmtId="9" fontId="1"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10"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0" fontId="110" fillId="0" borderId="0" applyNumberFormat="0" applyProtection="0">
      <alignment horizontal="left"/>
    </xf>
    <xf numFmtId="0" fontId="77" fillId="0" borderId="0" applyNumberFormat="0" applyFill="0" applyBorder="0" applyAlignment="0" applyProtection="0"/>
    <xf numFmtId="0" fontId="77"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1069">
    <xf numFmtId="0" fontId="0" fillId="0" borderId="0" xfId="0"/>
    <xf numFmtId="0" fontId="0" fillId="0" borderId="0" xfId="2" applyFont="1"/>
    <xf numFmtId="0" fontId="5" fillId="0" borderId="0" xfId="2" applyFont="1" applyAlignment="1">
      <alignment horizontal="center"/>
    </xf>
    <xf numFmtId="0" fontId="6" fillId="0" borderId="0" xfId="2" applyFont="1" applyAlignment="1">
      <alignment horizontal="center"/>
    </xf>
    <xf numFmtId="0" fontId="2" fillId="0" borderId="0" xfId="2"/>
    <xf numFmtId="0" fontId="2" fillId="0" borderId="0" xfId="2" applyAlignment="1">
      <alignment wrapText="1"/>
    </xf>
    <xf numFmtId="0" fontId="8" fillId="0" borderId="0" xfId="2" applyFont="1" applyAlignment="1">
      <alignment horizontal="center"/>
    </xf>
    <xf numFmtId="0" fontId="4" fillId="0" borderId="0" xfId="2" applyFont="1" applyAlignment="1">
      <alignment horizontal="center"/>
    </xf>
    <xf numFmtId="164" fontId="8" fillId="0" borderId="0" xfId="2" applyNumberFormat="1" applyFont="1" applyAlignment="1">
      <alignment horizontal="left" vertical="top"/>
    </xf>
    <xf numFmtId="0" fontId="9" fillId="0" borderId="0" xfId="2" applyFont="1"/>
    <xf numFmtId="0" fontId="9" fillId="0" borderId="0" xfId="2" applyFont="1" applyAlignment="1">
      <alignment wrapText="1"/>
    </xf>
    <xf numFmtId="0" fontId="8" fillId="0" borderId="0" xfId="2" applyFont="1"/>
    <xf numFmtId="9" fontId="8" fillId="0" borderId="0" xfId="2" applyNumberFormat="1" applyFont="1" applyAlignment="1">
      <alignment horizontal="center" wrapText="1"/>
    </xf>
    <xf numFmtId="9" fontId="8" fillId="0" borderId="0" xfId="2" applyNumberFormat="1" applyFont="1" applyAlignment="1">
      <alignment horizontal="center"/>
    </xf>
    <xf numFmtId="0" fontId="8" fillId="0" borderId="0" xfId="2" applyFont="1" applyAlignment="1">
      <alignment horizontal="left" wrapText="1"/>
    </xf>
    <xf numFmtId="0" fontId="9" fillId="0" borderId="1" xfId="2" applyFont="1" applyBorder="1"/>
    <xf numFmtId="165" fontId="9" fillId="0" borderId="2" xfId="2" applyNumberFormat="1" applyFont="1" applyBorder="1" applyAlignment="1">
      <alignment horizontal="center"/>
    </xf>
    <xf numFmtId="9" fontId="9" fillId="0" borderId="2" xfId="3" applyFont="1" applyBorder="1" applyAlignment="1">
      <alignment horizontal="center"/>
    </xf>
    <xf numFmtId="0" fontId="9" fillId="0" borderId="3" xfId="2" applyFont="1" applyBorder="1" applyAlignment="1">
      <alignment horizontal="left" vertical="top" wrapText="1"/>
    </xf>
    <xf numFmtId="0" fontId="9" fillId="0" borderId="4" xfId="2" applyFont="1" applyBorder="1" applyAlignment="1">
      <alignment horizontal="left" vertical="center" wrapText="1"/>
    </xf>
    <xf numFmtId="165" fontId="2" fillId="0" borderId="5" xfId="2" applyNumberFormat="1" applyBorder="1"/>
    <xf numFmtId="165" fontId="2" fillId="0" borderId="0" xfId="2" applyNumberFormat="1"/>
    <xf numFmtId="0" fontId="9" fillId="0" borderId="6" xfId="2" applyFont="1" applyBorder="1"/>
    <xf numFmtId="166" fontId="9" fillId="0" borderId="7" xfId="2" applyNumberFormat="1" applyFont="1" applyBorder="1" applyAlignment="1">
      <alignment horizontal="center"/>
    </xf>
    <xf numFmtId="9" fontId="9" fillId="0" borderId="8" xfId="3" applyFont="1" applyBorder="1" applyAlignment="1">
      <alignment horizontal="center"/>
    </xf>
    <xf numFmtId="0" fontId="9" fillId="0" borderId="7" xfId="2" applyFont="1" applyBorder="1" applyAlignment="1">
      <alignment horizontal="left" vertical="top" wrapText="1"/>
    </xf>
    <xf numFmtId="0" fontId="9" fillId="0" borderId="9" xfId="2" applyFont="1" applyBorder="1" applyAlignment="1">
      <alignment horizontal="left" vertical="center" wrapText="1"/>
    </xf>
    <xf numFmtId="166" fontId="2" fillId="0" borderId="10" xfId="2" applyNumberFormat="1" applyBorder="1"/>
    <xf numFmtId="0" fontId="9" fillId="0" borderId="3" xfId="2" applyFont="1" applyBorder="1"/>
    <xf numFmtId="0" fontId="9" fillId="0" borderId="11" xfId="2" applyFont="1" applyBorder="1"/>
    <xf numFmtId="166" fontId="9" fillId="0" borderId="0" xfId="2" applyNumberFormat="1" applyFont="1" applyAlignment="1">
      <alignment horizontal="center"/>
    </xf>
    <xf numFmtId="9" fontId="9" fillId="0" borderId="12" xfId="3" applyFont="1" applyBorder="1" applyAlignment="1">
      <alignment horizontal="center"/>
    </xf>
    <xf numFmtId="0" fontId="9" fillId="0" borderId="13" xfId="2" applyFont="1" applyBorder="1" applyAlignment="1">
      <alignment horizontal="left" vertical="center" wrapText="1"/>
    </xf>
    <xf numFmtId="165" fontId="3" fillId="0" borderId="0" xfId="2" applyNumberFormat="1" applyFont="1"/>
    <xf numFmtId="0" fontId="9" fillId="0" borderId="7" xfId="2" applyFont="1" applyBorder="1"/>
    <xf numFmtId="165" fontId="2" fillId="0" borderId="5" xfId="2" applyNumberFormat="1" applyBorder="1" applyAlignment="1">
      <alignment horizontal="right" vertical="center"/>
    </xf>
    <xf numFmtId="165" fontId="2" fillId="0" borderId="10" xfId="2" applyNumberFormat="1" applyBorder="1" applyAlignment="1">
      <alignment horizontal="right" vertical="center"/>
    </xf>
    <xf numFmtId="0" fontId="9" fillId="0" borderId="1" xfId="2" applyFont="1" applyBorder="1" applyAlignment="1">
      <alignment wrapText="1"/>
    </xf>
    <xf numFmtId="0" fontId="9" fillId="0" borderId="6" xfId="2" applyFont="1" applyBorder="1" applyAlignment="1">
      <alignment wrapText="1"/>
    </xf>
    <xf numFmtId="0" fontId="9" fillId="0" borderId="3" xfId="2" applyFont="1" applyBorder="1" applyAlignment="1">
      <alignment vertical="top" wrapText="1"/>
    </xf>
    <xf numFmtId="0" fontId="9" fillId="0" borderId="7" xfId="2" applyFont="1" applyBorder="1" applyAlignment="1">
      <alignment vertical="top" wrapText="1"/>
    </xf>
    <xf numFmtId="165" fontId="2" fillId="0" borderId="14" xfId="2" applyNumberFormat="1" applyBorder="1"/>
    <xf numFmtId="0" fontId="11" fillId="0" borderId="0" xfId="2" applyFont="1" applyAlignment="1">
      <alignment horizontal="right" wrapText="1"/>
    </xf>
    <xf numFmtId="166" fontId="11" fillId="0" borderId="0" xfId="2" applyNumberFormat="1" applyFont="1"/>
    <xf numFmtId="0" fontId="11" fillId="0" borderId="0" xfId="2" applyFont="1"/>
    <xf numFmtId="0" fontId="11" fillId="0" borderId="0" xfId="2" applyFont="1" applyAlignment="1">
      <alignment wrapText="1"/>
    </xf>
    <xf numFmtId="165" fontId="11" fillId="0" borderId="0" xfId="2" applyNumberFormat="1" applyFont="1"/>
    <xf numFmtId="0" fontId="11" fillId="0" borderId="0" xfId="2" applyFont="1" applyAlignment="1">
      <alignment horizontal="right"/>
    </xf>
    <xf numFmtId="10" fontId="11" fillId="0" borderId="0" xfId="4" applyNumberFormat="1" applyFont="1"/>
    <xf numFmtId="9" fontId="11" fillId="0" borderId="0" xfId="4" applyFont="1"/>
    <xf numFmtId="0" fontId="13" fillId="0" borderId="0" xfId="0" applyFont="1"/>
    <xf numFmtId="0" fontId="13" fillId="0" borderId="0" xfId="0" applyFont="1" applyAlignment="1">
      <alignment horizontal="center"/>
    </xf>
    <xf numFmtId="0" fontId="13" fillId="0" borderId="0" xfId="0" applyFont="1" applyFill="1"/>
    <xf numFmtId="167" fontId="14" fillId="0" borderId="0" xfId="0" applyNumberFormat="1" applyFont="1" applyFill="1" applyBorder="1" applyAlignment="1">
      <alignment horizontal="center"/>
    </xf>
    <xf numFmtId="0" fontId="15" fillId="0" borderId="0" xfId="0" applyFont="1" applyFill="1" applyBorder="1"/>
    <xf numFmtId="0" fontId="16" fillId="0" borderId="15"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0"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wrapText="1"/>
    </xf>
    <xf numFmtId="0" fontId="14" fillId="3" borderId="18" xfId="0" applyFont="1" applyFill="1" applyBorder="1" applyAlignment="1">
      <alignment horizontal="center" vertical="center" wrapText="1"/>
    </xf>
    <xf numFmtId="0" fontId="14" fillId="3" borderId="18" xfId="0" applyFont="1" applyFill="1" applyBorder="1" applyAlignment="1">
      <alignment horizontal="center" vertical="center"/>
    </xf>
    <xf numFmtId="0" fontId="14" fillId="0" borderId="0" xfId="0" applyFont="1" applyFill="1" applyBorder="1" applyAlignment="1">
      <alignment horizontal="center" vertical="center"/>
    </xf>
    <xf numFmtId="167" fontId="16" fillId="0" borderId="19" xfId="0" applyNumberFormat="1" applyFont="1" applyFill="1" applyBorder="1" applyAlignment="1">
      <alignment horizontal="center"/>
    </xf>
    <xf numFmtId="167" fontId="16" fillId="0" borderId="20" xfId="0" applyNumberFormat="1" applyFont="1" applyFill="1" applyBorder="1" applyAlignment="1">
      <alignment horizontal="center"/>
    </xf>
    <xf numFmtId="0" fontId="16" fillId="0" borderId="21" xfId="0" applyFont="1" applyFill="1" applyBorder="1" applyAlignment="1">
      <alignment horizontal="center"/>
    </xf>
    <xf numFmtId="0" fontId="16" fillId="0" borderId="2" xfId="0" applyFont="1" applyFill="1" applyBorder="1" applyAlignment="1">
      <alignment horizontal="center"/>
    </xf>
    <xf numFmtId="0" fontId="16" fillId="0" borderId="22" xfId="0" applyFont="1" applyFill="1" applyBorder="1" applyAlignment="1">
      <alignment horizontal="center"/>
    </xf>
    <xf numFmtId="0" fontId="16" fillId="0" borderId="0" xfId="0" applyFont="1" applyFill="1" applyBorder="1" applyAlignment="1">
      <alignment horizontal="center"/>
    </xf>
    <xf numFmtId="0" fontId="16" fillId="0" borderId="1" xfId="0" applyFont="1" applyBorder="1" applyAlignment="1"/>
    <xf numFmtId="0" fontId="16" fillId="0" borderId="3" xfId="0" applyFont="1" applyBorder="1" applyAlignment="1"/>
    <xf numFmtId="0" fontId="16" fillId="0" borderId="0" xfId="0" applyFont="1" applyBorder="1" applyAlignment="1">
      <alignment horizontal="center"/>
    </xf>
    <xf numFmtId="3" fontId="16" fillId="0" borderId="13" xfId="0" applyNumberFormat="1" applyFont="1" applyFill="1" applyBorder="1" applyAlignment="1">
      <alignment horizontal="center" vertical="center"/>
    </xf>
    <xf numFmtId="3" fontId="16" fillId="0" borderId="0" xfId="0" applyNumberFormat="1" applyFont="1" applyFill="1" applyBorder="1" applyAlignment="1">
      <alignment horizontal="center" vertical="center"/>
    </xf>
    <xf numFmtId="3" fontId="17" fillId="0" borderId="15" xfId="0" applyNumberFormat="1" applyFont="1" applyBorder="1" applyAlignment="1">
      <alignment wrapText="1"/>
    </xf>
    <xf numFmtId="3" fontId="17" fillId="0" borderId="7" xfId="0" applyNumberFormat="1" applyFont="1" applyBorder="1" applyAlignment="1">
      <alignment wrapText="1"/>
    </xf>
    <xf numFmtId="3" fontId="17" fillId="0" borderId="23" xfId="0" applyNumberFormat="1" applyFont="1" applyBorder="1" applyAlignment="1">
      <alignment horizontal="center"/>
    </xf>
    <xf numFmtId="0" fontId="13" fillId="0" borderId="24" xfId="0" applyFont="1" applyBorder="1" applyAlignment="1">
      <alignment horizontal="center"/>
    </xf>
    <xf numFmtId="0" fontId="13" fillId="0" borderId="23" xfId="0" applyFont="1" applyBorder="1" applyAlignment="1">
      <alignment horizontal="center"/>
    </xf>
    <xf numFmtId="0" fontId="13" fillId="0" borderId="0" xfId="0" applyFont="1" applyFill="1" applyBorder="1" applyAlignment="1">
      <alignment horizontal="center"/>
    </xf>
    <xf numFmtId="0" fontId="16" fillId="0" borderId="11" xfId="0" applyFont="1" applyFill="1" applyBorder="1"/>
    <xf numFmtId="10" fontId="14" fillId="0" borderId="25" xfId="1" applyNumberFormat="1" applyFont="1" applyFill="1" applyBorder="1" applyAlignment="1">
      <alignment horizontal="center"/>
    </xf>
    <xf numFmtId="0" fontId="15" fillId="0" borderId="26" xfId="0" applyFont="1" applyFill="1" applyBorder="1"/>
    <xf numFmtId="0" fontId="15" fillId="0" borderId="13" xfId="0" applyFont="1" applyFill="1" applyBorder="1"/>
    <xf numFmtId="0" fontId="16" fillId="0" borderId="27" xfId="0" applyFont="1" applyBorder="1"/>
    <xf numFmtId="0" fontId="16" fillId="0" borderId="28" xfId="0" applyFont="1" applyBorder="1"/>
    <xf numFmtId="0" fontId="16" fillId="0" borderId="28" xfId="0" applyFont="1" applyBorder="1" applyAlignment="1">
      <alignment horizontal="center"/>
    </xf>
    <xf numFmtId="0" fontId="16" fillId="0" borderId="29" xfId="0" applyFont="1" applyBorder="1" applyAlignment="1">
      <alignment horizontal="center"/>
    </xf>
    <xf numFmtId="0" fontId="13" fillId="0" borderId="27" xfId="0" applyFont="1" applyBorder="1" applyAlignment="1">
      <alignment wrapText="1"/>
    </xf>
    <xf numFmtId="0" fontId="13" fillId="0" borderId="0" xfId="0" applyFont="1" applyBorder="1" applyAlignment="1">
      <alignment wrapText="1"/>
    </xf>
    <xf numFmtId="3" fontId="13" fillId="4" borderId="30" xfId="0" applyNumberFormat="1" applyFont="1" applyFill="1" applyBorder="1" applyAlignment="1">
      <alignment horizontal="center"/>
    </xf>
    <xf numFmtId="0" fontId="18" fillId="0" borderId="31" xfId="0" applyFont="1" applyBorder="1" applyAlignment="1">
      <alignment horizontal="center" vertical="center"/>
    </xf>
    <xf numFmtId="0" fontId="13" fillId="0" borderId="30" xfId="0" applyFont="1" applyBorder="1" applyAlignment="1">
      <alignment horizontal="center"/>
    </xf>
    <xf numFmtId="167" fontId="19" fillId="0" borderId="11" xfId="0" applyNumberFormat="1" applyFont="1" applyFill="1" applyBorder="1"/>
    <xf numFmtId="167" fontId="19" fillId="0" borderId="32" xfId="0" applyNumberFormat="1" applyFont="1" applyFill="1" applyBorder="1" applyAlignment="1">
      <alignment horizontal="center"/>
    </xf>
    <xf numFmtId="167" fontId="14" fillId="0" borderId="11" xfId="0" applyNumberFormat="1" applyFont="1" applyBorder="1" applyAlignment="1"/>
    <xf numFmtId="167" fontId="14" fillId="0" borderId="0" xfId="0" applyNumberFormat="1" applyFont="1" applyBorder="1" applyAlignment="1"/>
    <xf numFmtId="0" fontId="16" fillId="0" borderId="13" xfId="0" applyFont="1" applyBorder="1" applyAlignment="1">
      <alignment horizontal="center"/>
    </xf>
    <xf numFmtId="0" fontId="13" fillId="0" borderId="33" xfId="0" applyFont="1" applyBorder="1" applyAlignment="1">
      <alignment vertical="center" wrapText="1"/>
    </xf>
    <xf numFmtId="0" fontId="13" fillId="0" borderId="34" xfId="0" applyFont="1" applyBorder="1" applyAlignment="1">
      <alignment vertical="center" wrapText="1"/>
    </xf>
    <xf numFmtId="3" fontId="13" fillId="4" borderId="35" xfId="0" applyNumberFormat="1" applyFont="1" applyFill="1" applyBorder="1" applyAlignment="1">
      <alignment horizontal="center" vertical="center"/>
    </xf>
    <xf numFmtId="0" fontId="18" fillId="0" borderId="36" xfId="0" applyFont="1" applyBorder="1" applyAlignment="1">
      <alignment horizontal="center" vertical="center"/>
    </xf>
    <xf numFmtId="0" fontId="13" fillId="0" borderId="35" xfId="0" applyFont="1" applyBorder="1" applyAlignment="1">
      <alignment horizontal="center" vertical="center"/>
    </xf>
    <xf numFmtId="0" fontId="13" fillId="0" borderId="0" xfId="0" applyFont="1" applyFill="1" applyBorder="1" applyAlignment="1">
      <alignment horizontal="center" vertical="center"/>
    </xf>
    <xf numFmtId="167" fontId="14" fillId="0" borderId="11" xfId="0" applyNumberFormat="1" applyFont="1" applyFill="1" applyBorder="1"/>
    <xf numFmtId="0" fontId="15" fillId="0" borderId="0" xfId="0" applyFont="1"/>
    <xf numFmtId="167" fontId="19" fillId="0" borderId="11" xfId="0" applyNumberFormat="1" applyFont="1" applyBorder="1" applyAlignment="1"/>
    <xf numFmtId="167" fontId="19" fillId="0" borderId="0" xfId="0" applyNumberFormat="1" applyFont="1" applyBorder="1" applyAlignment="1"/>
    <xf numFmtId="42" fontId="20" fillId="0" borderId="0" xfId="0" applyNumberFormat="1" applyFont="1" applyBorder="1"/>
    <xf numFmtId="4" fontId="21" fillId="0" borderId="0" xfId="0" applyNumberFormat="1" applyFont="1" applyBorder="1" applyAlignment="1">
      <alignment horizontal="center"/>
    </xf>
    <xf numFmtId="42" fontId="15" fillId="0" borderId="13" xfId="0" applyNumberFormat="1" applyFont="1" applyBorder="1"/>
    <xf numFmtId="42" fontId="15" fillId="0" borderId="0" xfId="0" applyNumberFormat="1" applyFont="1" applyFill="1" applyBorder="1"/>
    <xf numFmtId="0" fontId="13" fillId="0" borderId="33" xfId="0" applyFont="1" applyBorder="1" applyAlignment="1">
      <alignment wrapText="1"/>
    </xf>
    <xf numFmtId="0" fontId="13" fillId="0" borderId="34" xfId="0" applyFont="1" applyBorder="1" applyAlignment="1">
      <alignment wrapText="1"/>
    </xf>
    <xf numFmtId="3" fontId="13" fillId="4" borderId="35" xfId="0" applyNumberFormat="1" applyFont="1" applyFill="1" applyBorder="1" applyAlignment="1">
      <alignment horizontal="center"/>
    </xf>
    <xf numFmtId="0" fontId="13" fillId="0" borderId="35" xfId="0" applyFont="1" applyBorder="1" applyAlignment="1">
      <alignment horizontal="center"/>
    </xf>
    <xf numFmtId="167" fontId="19" fillId="0" borderId="27" xfId="0" applyNumberFormat="1" applyFont="1" applyFill="1" applyBorder="1"/>
    <xf numFmtId="167" fontId="19" fillId="0" borderId="37" xfId="0" applyNumberFormat="1" applyFont="1" applyFill="1" applyBorder="1" applyAlignment="1">
      <alignment horizontal="center"/>
    </xf>
    <xf numFmtId="0" fontId="15" fillId="0" borderId="38" xfId="0" applyFont="1" applyFill="1" applyBorder="1"/>
    <xf numFmtId="0" fontId="15" fillId="0" borderId="28" xfId="0" applyFont="1" applyFill="1" applyBorder="1"/>
    <xf numFmtId="0" fontId="15" fillId="0" borderId="29" xfId="0" applyFont="1" applyFill="1" applyBorder="1"/>
    <xf numFmtId="0" fontId="13" fillId="4" borderId="33" xfId="5" applyFont="1" applyFill="1" applyBorder="1"/>
    <xf numFmtId="0" fontId="13" fillId="4" borderId="34" xfId="5" applyFont="1" applyFill="1" applyBorder="1"/>
    <xf numFmtId="4" fontId="13" fillId="4" borderId="36" xfId="0" applyNumberFormat="1" applyFont="1" applyFill="1" applyBorder="1" applyAlignment="1">
      <alignment horizontal="center"/>
    </xf>
    <xf numFmtId="0" fontId="14" fillId="0" borderId="11" xfId="0" applyFont="1" applyFill="1" applyBorder="1" applyAlignment="1">
      <alignment horizontal="center"/>
    </xf>
    <xf numFmtId="0" fontId="14" fillId="0" borderId="32" xfId="0" applyFont="1" applyFill="1" applyBorder="1" applyAlignment="1">
      <alignment horizontal="center"/>
    </xf>
    <xf numFmtId="0" fontId="18" fillId="4" borderId="39" xfId="5" applyFont="1" applyFill="1" applyBorder="1" applyAlignment="1">
      <alignment vertical="center" wrapText="1"/>
    </xf>
    <xf numFmtId="0" fontId="18" fillId="4" borderId="8" xfId="5" applyFont="1" applyFill="1" applyBorder="1" applyAlignment="1">
      <alignment vertical="center" wrapText="1"/>
    </xf>
    <xf numFmtId="3" fontId="13" fillId="4" borderId="40" xfId="0" applyNumberFormat="1" applyFont="1" applyFill="1" applyBorder="1" applyAlignment="1">
      <alignment horizontal="center"/>
    </xf>
    <xf numFmtId="4" fontId="13" fillId="4" borderId="41" xfId="0" applyNumberFormat="1" applyFont="1" applyFill="1" applyBorder="1" applyAlignment="1">
      <alignment horizontal="center"/>
    </xf>
    <xf numFmtId="0" fontId="13" fillId="0" borderId="42" xfId="0" applyFont="1" applyBorder="1" applyAlignment="1">
      <alignment horizontal="center"/>
    </xf>
    <xf numFmtId="0" fontId="14" fillId="0" borderId="32" xfId="0" quotePrefix="1" applyFont="1" applyFill="1" applyBorder="1" applyAlignment="1">
      <alignment horizontal="center"/>
    </xf>
    <xf numFmtId="0" fontId="16" fillId="0" borderId="33" xfId="0" applyFont="1" applyBorder="1"/>
    <xf numFmtId="0" fontId="16" fillId="0" borderId="34" xfId="0" applyFont="1" applyBorder="1"/>
    <xf numFmtId="4" fontId="16" fillId="0" borderId="34" xfId="0" applyNumberFormat="1" applyFont="1" applyBorder="1" applyAlignment="1">
      <alignment horizontal="center"/>
    </xf>
    <xf numFmtId="42" fontId="16" fillId="0" borderId="43" xfId="0" applyNumberFormat="1" applyFont="1" applyBorder="1"/>
    <xf numFmtId="0" fontId="17" fillId="0" borderId="15" xfId="0" applyFont="1" applyBorder="1" applyAlignment="1">
      <alignment wrapText="1"/>
    </xf>
    <xf numFmtId="0" fontId="17" fillId="0" borderId="7" xfId="0" applyFont="1" applyBorder="1" applyAlignment="1">
      <alignment wrapText="1"/>
    </xf>
    <xf numFmtId="0" fontId="13" fillId="0" borderId="0" xfId="0" applyFont="1" applyBorder="1"/>
    <xf numFmtId="0" fontId="13" fillId="0" borderId="0" xfId="0" applyFont="1" applyFill="1" applyBorder="1"/>
    <xf numFmtId="2" fontId="19" fillId="0" borderId="32" xfId="0" applyNumberFormat="1" applyFont="1" applyFill="1" applyBorder="1" applyAlignment="1">
      <alignment horizontal="center"/>
    </xf>
    <xf numFmtId="0" fontId="16" fillId="0" borderId="11" xfId="0" applyFont="1" applyBorder="1"/>
    <xf numFmtId="0" fontId="15" fillId="0" borderId="0" xfId="0" applyFont="1" applyBorder="1"/>
    <xf numFmtId="0" fontId="15" fillId="0" borderId="0" xfId="0" applyFont="1" applyBorder="1" applyAlignment="1">
      <alignment horizontal="center"/>
    </xf>
    <xf numFmtId="0" fontId="15" fillId="0" borderId="13" xfId="0" applyFont="1" applyBorder="1"/>
    <xf numFmtId="42" fontId="16" fillId="0" borderId="0" xfId="0" applyNumberFormat="1" applyFont="1" applyFill="1" applyBorder="1"/>
    <xf numFmtId="0" fontId="17" fillId="0" borderId="27" xfId="0" applyFont="1" applyBorder="1" applyAlignment="1">
      <alignment wrapText="1"/>
    </xf>
    <xf numFmtId="0" fontId="17" fillId="0" borderId="0" xfId="0" applyFont="1" applyBorder="1" applyAlignment="1">
      <alignment wrapText="1"/>
    </xf>
    <xf numFmtId="3" fontId="17" fillId="0" borderId="30" xfId="0" applyNumberFormat="1" applyFont="1" applyBorder="1" applyAlignment="1">
      <alignment horizontal="center"/>
    </xf>
    <xf numFmtId="168" fontId="13" fillId="0" borderId="0" xfId="0" applyNumberFormat="1" applyFont="1" applyFill="1" applyBorder="1"/>
    <xf numFmtId="0" fontId="15" fillId="0" borderId="11" xfId="0" applyFont="1" applyBorder="1"/>
    <xf numFmtId="0" fontId="16" fillId="0" borderId="0" xfId="0" applyFont="1" applyBorder="1"/>
    <xf numFmtId="10" fontId="16" fillId="0" borderId="0" xfId="0" applyNumberFormat="1" applyFont="1" applyBorder="1"/>
    <xf numFmtId="169" fontId="15" fillId="0" borderId="13" xfId="0" applyNumberFormat="1" applyFont="1" applyBorder="1"/>
    <xf numFmtId="0" fontId="13" fillId="0" borderId="11" xfId="0" applyFont="1" applyFill="1" applyBorder="1" applyAlignment="1">
      <alignment wrapText="1"/>
    </xf>
    <xf numFmtId="0" fontId="13" fillId="0" borderId="8" xfId="0" applyFont="1" applyFill="1" applyBorder="1" applyAlignment="1">
      <alignment wrapText="1"/>
    </xf>
    <xf numFmtId="4" fontId="13" fillId="0" borderId="44" xfId="0" applyNumberFormat="1" applyFont="1" applyBorder="1" applyAlignment="1">
      <alignment horizontal="center"/>
    </xf>
    <xf numFmtId="10" fontId="20" fillId="0" borderId="0" xfId="0" applyNumberFormat="1" applyFont="1" applyBorder="1"/>
    <xf numFmtId="2" fontId="19" fillId="0" borderId="37" xfId="0" applyNumberFormat="1" applyFont="1" applyFill="1" applyBorder="1" applyAlignment="1">
      <alignment horizontal="center"/>
    </xf>
    <xf numFmtId="44" fontId="16" fillId="0" borderId="34" xfId="0" applyNumberFormat="1" applyFont="1" applyBorder="1" applyAlignment="1">
      <alignment horizontal="center"/>
    </xf>
    <xf numFmtId="42" fontId="16" fillId="0" borderId="43" xfId="0" applyNumberFormat="1" applyFont="1" applyFill="1" applyBorder="1"/>
    <xf numFmtId="3" fontId="17" fillId="0" borderId="0" xfId="0" applyNumberFormat="1" applyFont="1" applyBorder="1" applyAlignment="1">
      <alignment horizontal="center"/>
    </xf>
    <xf numFmtId="0" fontId="16" fillId="0" borderId="11" xfId="0" applyFont="1" applyFill="1" applyBorder="1" applyAlignment="1">
      <alignment horizontal="center"/>
    </xf>
    <xf numFmtId="0" fontId="14" fillId="0" borderId="26" xfId="0" applyFont="1" applyFill="1" applyBorder="1" applyAlignment="1">
      <alignment horizontal="center"/>
    </xf>
    <xf numFmtId="0" fontId="15" fillId="0" borderId="45" xfId="0" applyFont="1" applyFill="1" applyBorder="1"/>
    <xf numFmtId="0" fontId="19" fillId="0" borderId="11" xfId="0" applyFont="1" applyFill="1" applyBorder="1"/>
    <xf numFmtId="10" fontId="19" fillId="0" borderId="26" xfId="0" applyNumberFormat="1" applyFont="1" applyFill="1" applyBorder="1" applyAlignment="1">
      <alignment horizontal="center"/>
    </xf>
    <xf numFmtId="49" fontId="18" fillId="0" borderId="32" xfId="6" applyNumberFormat="1" applyFont="1" applyBorder="1"/>
    <xf numFmtId="169" fontId="15" fillId="0" borderId="0" xfId="0" applyNumberFormat="1" applyFont="1" applyBorder="1" applyAlignment="1">
      <alignment horizontal="center"/>
    </xf>
    <xf numFmtId="0" fontId="17" fillId="0" borderId="1" xfId="0" applyFont="1" applyBorder="1"/>
    <xf numFmtId="0" fontId="17" fillId="0" borderId="3" xfId="0" applyFont="1" applyBorder="1"/>
    <xf numFmtId="0" fontId="13" fillId="0" borderId="3" xfId="0" applyFont="1" applyBorder="1"/>
    <xf numFmtId="0" fontId="17" fillId="0" borderId="18" xfId="0" applyFont="1" applyFill="1" applyBorder="1" applyAlignment="1">
      <alignment horizontal="center"/>
    </xf>
    <xf numFmtId="0" fontId="15" fillId="0" borderId="11" xfId="5" applyFont="1" applyFill="1" applyBorder="1"/>
    <xf numFmtId="167" fontId="19" fillId="0" borderId="26" xfId="0" applyNumberFormat="1" applyFont="1" applyFill="1" applyBorder="1" applyAlignment="1">
      <alignment horizontal="center"/>
    </xf>
    <xf numFmtId="0" fontId="15" fillId="0" borderId="0" xfId="0" applyFont="1" applyBorder="1" applyAlignment="1">
      <alignment horizontal="right"/>
    </xf>
    <xf numFmtId="9" fontId="15" fillId="0" borderId="0" xfId="0" applyNumberFormat="1" applyFont="1" applyBorder="1" applyAlignment="1">
      <alignment horizontal="right"/>
    </xf>
    <xf numFmtId="169" fontId="15" fillId="0" borderId="0" xfId="0" applyNumberFormat="1" applyFont="1" applyFill="1" applyBorder="1"/>
    <xf numFmtId="0" fontId="16" fillId="0" borderId="33" xfId="0" applyFont="1" applyBorder="1" applyAlignment="1">
      <alignment horizontal="left"/>
    </xf>
    <xf numFmtId="0" fontId="16" fillId="0" borderId="46" xfId="0" applyFont="1" applyBorder="1" applyAlignment="1">
      <alignment horizontal="left"/>
    </xf>
    <xf numFmtId="166" fontId="16" fillId="0" borderId="47" xfId="0" applyNumberFormat="1" applyFont="1" applyBorder="1"/>
    <xf numFmtId="165" fontId="16" fillId="0" borderId="47" xfId="0" applyNumberFormat="1" applyFont="1" applyBorder="1" applyAlignment="1">
      <alignment horizontal="center"/>
    </xf>
    <xf numFmtId="0" fontId="16" fillId="0" borderId="47" xfId="0" applyFont="1" applyBorder="1"/>
    <xf numFmtId="165" fontId="16" fillId="5" borderId="30" xfId="0" applyNumberFormat="1" applyFont="1" applyFill="1" applyBorder="1" applyAlignment="1">
      <alignment horizontal="center"/>
    </xf>
    <xf numFmtId="165" fontId="13" fillId="0" borderId="0" xfId="0" applyNumberFormat="1" applyFont="1"/>
    <xf numFmtId="0" fontId="16" fillId="0" borderId="33" xfId="0" applyFont="1" applyFill="1" applyBorder="1" applyAlignment="1">
      <alignment horizontal="left"/>
    </xf>
    <xf numFmtId="0" fontId="16" fillId="0" borderId="46" xfId="0" applyFont="1" applyFill="1" applyBorder="1" applyAlignment="1">
      <alignment horizontal="left"/>
    </xf>
    <xf numFmtId="166" fontId="16" fillId="0" borderId="47" xfId="0" applyNumberFormat="1" applyFont="1" applyFill="1" applyBorder="1"/>
    <xf numFmtId="165" fontId="16" fillId="0" borderId="47" xfId="0" applyNumberFormat="1" applyFont="1" applyFill="1" applyBorder="1" applyAlignment="1">
      <alignment horizontal="center"/>
    </xf>
    <xf numFmtId="0" fontId="16" fillId="0" borderId="47" xfId="0" applyFont="1" applyFill="1" applyBorder="1"/>
    <xf numFmtId="165" fontId="16" fillId="5" borderId="35" xfId="0" applyNumberFormat="1" applyFont="1" applyFill="1" applyBorder="1" applyAlignment="1">
      <alignment horizontal="center"/>
    </xf>
    <xf numFmtId="0" fontId="16" fillId="0" borderId="48" xfId="0" applyFont="1" applyFill="1" applyBorder="1" applyAlignment="1">
      <alignment horizontal="left"/>
    </xf>
    <xf numFmtId="0" fontId="16" fillId="0" borderId="49" xfId="0" applyFont="1" applyFill="1" applyBorder="1" applyAlignment="1">
      <alignment horizontal="left"/>
    </xf>
    <xf numFmtId="0" fontId="16" fillId="0" borderId="50" xfId="0" applyFont="1" applyFill="1" applyBorder="1"/>
    <xf numFmtId="165" fontId="16" fillId="0" borderId="50" xfId="0" applyNumberFormat="1" applyFont="1" applyFill="1" applyBorder="1" applyAlignment="1">
      <alignment horizontal="center"/>
    </xf>
    <xf numFmtId="165" fontId="16" fillId="5" borderId="42" xfId="0" applyNumberFormat="1" applyFont="1" applyFill="1" applyBorder="1" applyAlignment="1">
      <alignment horizontal="center"/>
    </xf>
    <xf numFmtId="49" fontId="18" fillId="0" borderId="26" xfId="6" applyNumberFormat="1" applyFont="1" applyBorder="1"/>
    <xf numFmtId="0" fontId="16" fillId="0" borderId="34" xfId="0" applyFont="1" applyBorder="1" applyAlignment="1">
      <alignment horizontal="center"/>
    </xf>
    <xf numFmtId="0" fontId="19" fillId="0" borderId="27" xfId="0" applyFont="1" applyFill="1" applyBorder="1"/>
    <xf numFmtId="10" fontId="19" fillId="0" borderId="38" xfId="0" applyNumberFormat="1" applyFont="1" applyFill="1" applyBorder="1" applyAlignment="1">
      <alignment horizontal="center"/>
    </xf>
    <xf numFmtId="0" fontId="19" fillId="0" borderId="38" xfId="0" applyFont="1" applyFill="1" applyBorder="1"/>
    <xf numFmtId="0" fontId="19" fillId="0" borderId="28" xfId="0" applyFont="1" applyFill="1" applyBorder="1"/>
    <xf numFmtId="0" fontId="19" fillId="0" borderId="51" xfId="0" applyFont="1" applyBorder="1"/>
    <xf numFmtId="0" fontId="19" fillId="0" borderId="52" xfId="0" applyFont="1" applyBorder="1"/>
    <xf numFmtId="10" fontId="19" fillId="0" borderId="52" xfId="0" applyNumberFormat="1" applyFont="1" applyBorder="1"/>
    <xf numFmtId="0" fontId="19" fillId="0" borderId="52" xfId="0" applyFont="1" applyBorder="1" applyAlignment="1">
      <alignment horizontal="center"/>
    </xf>
    <xf numFmtId="42" fontId="19" fillId="0" borderId="53" xfId="0" applyNumberFormat="1" applyFont="1" applyBorder="1"/>
    <xf numFmtId="0" fontId="16" fillId="0" borderId="0" xfId="0" applyFont="1" applyFill="1"/>
    <xf numFmtId="166" fontId="15" fillId="0" borderId="0" xfId="0" applyNumberFormat="1" applyFont="1" applyFill="1"/>
    <xf numFmtId="165" fontId="15" fillId="0" borderId="0" xfId="0" applyNumberFormat="1" applyFont="1" applyFill="1" applyAlignment="1">
      <alignment horizontal="center"/>
    </xf>
    <xf numFmtId="0" fontId="15" fillId="0" borderId="0" xfId="0" applyFont="1" applyFill="1"/>
    <xf numFmtId="0" fontId="19" fillId="0" borderId="48" xfId="0" applyFont="1" applyFill="1" applyBorder="1"/>
    <xf numFmtId="10" fontId="23" fillId="0" borderId="50" xfId="7" applyNumberFormat="1" applyFont="1" applyFill="1" applyBorder="1" applyAlignment="1">
      <alignment horizontal="center"/>
    </xf>
    <xf numFmtId="0" fontId="15" fillId="0" borderId="54" xfId="0" applyFont="1" applyFill="1" applyBorder="1"/>
    <xf numFmtId="0" fontId="15" fillId="0" borderId="8" xfId="0" applyFont="1" applyFill="1" applyBorder="1"/>
    <xf numFmtId="0" fontId="15" fillId="0" borderId="55" xfId="0" applyFont="1" applyFill="1" applyBorder="1"/>
    <xf numFmtId="0" fontId="16" fillId="0" borderId="56" xfId="0" applyFont="1" applyBorder="1"/>
    <xf numFmtId="0" fontId="16" fillId="0" borderId="57" xfId="0" applyFont="1" applyBorder="1"/>
    <xf numFmtId="0" fontId="15" fillId="0" borderId="57" xfId="0" applyFont="1" applyBorder="1"/>
    <xf numFmtId="0" fontId="15" fillId="0" borderId="57" xfId="0" applyFont="1" applyBorder="1" applyAlignment="1">
      <alignment horizontal="center"/>
    </xf>
    <xf numFmtId="42" fontId="16" fillId="0" borderId="58" xfId="0" applyNumberFormat="1" applyFont="1" applyBorder="1"/>
    <xf numFmtId="169" fontId="24" fillId="0" borderId="0" xfId="0" applyNumberFormat="1" applyFont="1" applyFill="1" applyBorder="1"/>
    <xf numFmtId="0" fontId="15" fillId="0" borderId="19" xfId="0" applyFont="1" applyFill="1" applyBorder="1" applyAlignment="1"/>
    <xf numFmtId="0" fontId="15" fillId="0" borderId="2" xfId="0" applyFont="1" applyFill="1" applyBorder="1" applyAlignment="1"/>
    <xf numFmtId="0" fontId="15" fillId="0" borderId="2" xfId="0" applyFont="1" applyFill="1" applyBorder="1" applyAlignment="1">
      <alignment horizontal="center"/>
    </xf>
    <xf numFmtId="0" fontId="15" fillId="0" borderId="22" xfId="0" applyFont="1" applyFill="1" applyBorder="1" applyAlignment="1"/>
    <xf numFmtId="10" fontId="25" fillId="0" borderId="0" xfId="7" applyNumberFormat="1" applyFont="1" applyFill="1" applyBorder="1" applyAlignment="1">
      <alignment horizontal="center"/>
    </xf>
    <xf numFmtId="0" fontId="25" fillId="0" borderId="0" xfId="0" applyFont="1" applyFill="1" applyBorder="1"/>
    <xf numFmtId="166" fontId="15" fillId="0" borderId="33" xfId="0" applyNumberFormat="1" applyFont="1" applyFill="1" applyBorder="1" applyAlignment="1"/>
    <xf numFmtId="166" fontId="15" fillId="0" borderId="34" xfId="0" applyNumberFormat="1" applyFont="1" applyFill="1" applyBorder="1" applyAlignment="1"/>
    <xf numFmtId="166" fontId="15" fillId="0" borderId="34" xfId="0" applyNumberFormat="1" applyFont="1" applyFill="1" applyBorder="1" applyAlignment="1">
      <alignment horizontal="center"/>
    </xf>
    <xf numFmtId="166" fontId="15" fillId="0" borderId="43" xfId="0" applyNumberFormat="1" applyFont="1" applyFill="1" applyBorder="1" applyAlignment="1"/>
    <xf numFmtId="0" fontId="19" fillId="0" borderId="0" xfId="0" applyFont="1" applyFill="1"/>
    <xf numFmtId="10" fontId="25" fillId="0" borderId="0" xfId="1" applyNumberFormat="1" applyFont="1" applyFill="1" applyAlignment="1">
      <alignment horizontal="center"/>
    </xf>
    <xf numFmtId="0" fontId="25" fillId="0" borderId="0" xfId="0" applyFont="1" applyFill="1"/>
    <xf numFmtId="10" fontId="21" fillId="0" borderId="0" xfId="0" applyNumberFormat="1" applyFont="1" applyBorder="1"/>
    <xf numFmtId="169" fontId="15" fillId="0" borderId="13" xfId="8" applyNumberFormat="1" applyFont="1" applyBorder="1"/>
    <xf numFmtId="165" fontId="13" fillId="0" borderId="47" xfId="0" applyNumberFormat="1" applyFont="1" applyFill="1" applyBorder="1" applyAlignment="1">
      <alignment horizontal="center"/>
    </xf>
    <xf numFmtId="0" fontId="13" fillId="0" borderId="35" xfId="0" applyFont="1" applyFill="1" applyBorder="1"/>
    <xf numFmtId="10" fontId="25" fillId="0" borderId="0" xfId="0" applyNumberFormat="1" applyFont="1" applyFill="1" applyAlignment="1">
      <alignment horizontal="center"/>
    </xf>
    <xf numFmtId="0" fontId="15" fillId="0" borderId="27" xfId="0" applyFont="1" applyBorder="1"/>
    <xf numFmtId="0" fontId="15" fillId="0" borderId="28" xfId="0" applyFont="1" applyBorder="1"/>
    <xf numFmtId="9" fontId="15" fillId="0" borderId="28" xfId="0" applyNumberFormat="1" applyFont="1" applyBorder="1"/>
    <xf numFmtId="44" fontId="15" fillId="0" borderId="28" xfId="8" applyFont="1" applyBorder="1" applyAlignment="1">
      <alignment horizontal="center"/>
    </xf>
    <xf numFmtId="44" fontId="16" fillId="5" borderId="29" xfId="8" applyFont="1" applyFill="1" applyBorder="1"/>
    <xf numFmtId="170" fontId="19" fillId="0" borderId="39" xfId="0" applyNumberFormat="1" applyFont="1" applyBorder="1" applyAlignment="1"/>
    <xf numFmtId="170" fontId="19" fillId="0" borderId="12" xfId="0" applyNumberFormat="1" applyFont="1" applyBorder="1" applyAlignment="1"/>
    <xf numFmtId="9" fontId="19" fillId="0" borderId="12" xfId="0" applyNumberFormat="1" applyFont="1" applyFill="1" applyBorder="1" applyAlignment="1"/>
    <xf numFmtId="44" fontId="19" fillId="0" borderId="12" xfId="8" applyFont="1" applyFill="1" applyBorder="1" applyAlignment="1">
      <alignment horizontal="center"/>
    </xf>
    <xf numFmtId="44" fontId="19" fillId="0" borderId="59" xfId="8" applyFont="1" applyFill="1" applyBorder="1" applyAlignment="1"/>
    <xf numFmtId="170" fontId="19" fillId="0" borderId="6" xfId="0" applyNumberFormat="1" applyFont="1" applyBorder="1" applyAlignment="1"/>
    <xf numFmtId="170" fontId="19" fillId="0" borderId="7" xfId="0" applyNumberFormat="1" applyFont="1" applyBorder="1" applyAlignment="1"/>
    <xf numFmtId="9" fontId="19" fillId="0" borderId="7" xfId="0" applyNumberFormat="1" applyFont="1" applyBorder="1" applyAlignment="1"/>
    <xf numFmtId="44" fontId="19" fillId="0" borderId="7" xfId="8" applyFont="1" applyBorder="1" applyAlignment="1">
      <alignment horizontal="center"/>
    </xf>
    <xf numFmtId="44" fontId="19" fillId="0" borderId="9" xfId="8" applyFont="1" applyBorder="1" applyAlignment="1"/>
    <xf numFmtId="169" fontId="15" fillId="0" borderId="0" xfId="8" applyNumberFormat="1" applyFont="1" applyFill="1" applyBorder="1"/>
    <xf numFmtId="166" fontId="15" fillId="0" borderId="48" xfId="0" applyNumberFormat="1" applyFont="1" applyFill="1" applyBorder="1" applyAlignment="1"/>
    <xf numFmtId="166" fontId="15" fillId="0" borderId="8" xfId="0" applyNumberFormat="1" applyFont="1" applyFill="1" applyBorder="1" applyAlignment="1"/>
    <xf numFmtId="165" fontId="13" fillId="0" borderId="50" xfId="0" applyNumberFormat="1" applyFont="1" applyFill="1" applyBorder="1" applyAlignment="1">
      <alignment horizontal="center"/>
    </xf>
    <xf numFmtId="0" fontId="13" fillId="0" borderId="42" xfId="0" applyFont="1" applyFill="1" applyBorder="1"/>
    <xf numFmtId="0" fontId="13" fillId="0" borderId="0" xfId="0" applyFont="1" applyFill="1" applyAlignment="1">
      <alignment horizontal="center"/>
    </xf>
    <xf numFmtId="10" fontId="13" fillId="0" borderId="0" xfId="1" applyNumberFormat="1" applyFont="1"/>
    <xf numFmtId="44" fontId="16" fillId="0" borderId="0" xfId="8" applyFont="1" applyFill="1" applyBorder="1"/>
    <xf numFmtId="44" fontId="19" fillId="0" borderId="0" xfId="8" applyFont="1" applyFill="1" applyBorder="1" applyAlignment="1"/>
    <xf numFmtId="165" fontId="15" fillId="0" borderId="0" xfId="0" applyNumberFormat="1" applyFont="1"/>
    <xf numFmtId="44" fontId="13" fillId="0" borderId="0" xfId="0" applyNumberFormat="1" applyFont="1"/>
    <xf numFmtId="0" fontId="17" fillId="0" borderId="0" xfId="0" applyFont="1"/>
    <xf numFmtId="0" fontId="27" fillId="0" borderId="0" xfId="0" applyFont="1"/>
    <xf numFmtId="0" fontId="27" fillId="0" borderId="0" xfId="0" applyFont="1" applyFill="1"/>
    <xf numFmtId="0" fontId="27" fillId="6" borderId="15" xfId="0" applyFont="1" applyFill="1" applyBorder="1" applyAlignment="1">
      <alignment horizontal="center"/>
    </xf>
    <xf numFmtId="0" fontId="27" fillId="6" borderId="16" xfId="0" applyFont="1" applyFill="1" applyBorder="1" applyAlignment="1">
      <alignment horizontal="center"/>
    </xf>
    <xf numFmtId="0" fontId="27" fillId="6" borderId="17" xfId="0" applyFont="1" applyFill="1" applyBorder="1" applyAlignment="1">
      <alignment horizontal="center"/>
    </xf>
    <xf numFmtId="0" fontId="28" fillId="0" borderId="15" xfId="0" applyFont="1" applyFill="1" applyBorder="1" applyAlignment="1">
      <alignment horizontal="center"/>
    </xf>
    <xf numFmtId="0" fontId="28" fillId="0" borderId="16" xfId="0" applyFont="1" applyFill="1" applyBorder="1" applyAlignment="1">
      <alignment horizontal="center"/>
    </xf>
    <xf numFmtId="0" fontId="28" fillId="0" borderId="17" xfId="0" applyFont="1" applyFill="1" applyBorder="1" applyAlignment="1">
      <alignment horizontal="center"/>
    </xf>
    <xf numFmtId="0" fontId="27" fillId="0" borderId="19" xfId="0" applyFont="1" applyBorder="1"/>
    <xf numFmtId="0" fontId="27" fillId="0" borderId="2" xfId="0" applyFont="1" applyBorder="1"/>
    <xf numFmtId="3" fontId="27" fillId="0" borderId="22" xfId="0" applyNumberFormat="1" applyFont="1" applyBorder="1"/>
    <xf numFmtId="0" fontId="28" fillId="0" borderId="18" xfId="0" applyFont="1" applyFill="1" applyBorder="1" applyAlignment="1">
      <alignment horizontal="center"/>
    </xf>
    <xf numFmtId="0" fontId="27" fillId="0" borderId="27" xfId="0" applyFont="1" applyBorder="1"/>
    <xf numFmtId="0" fontId="27" fillId="0" borderId="28" xfId="0" applyFont="1" applyBorder="1"/>
    <xf numFmtId="0" fontId="27" fillId="0" borderId="28" xfId="0" applyFont="1" applyBorder="1" applyAlignment="1">
      <alignment horizontal="center"/>
    </xf>
    <xf numFmtId="0" fontId="27" fillId="0" borderId="29" xfId="0" applyFont="1" applyBorder="1"/>
    <xf numFmtId="0" fontId="27" fillId="0" borderId="11" xfId="0" applyFont="1" applyFill="1" applyBorder="1"/>
    <xf numFmtId="169" fontId="27" fillId="0" borderId="60" xfId="9" applyNumberFormat="1" applyFont="1" applyFill="1" applyBorder="1"/>
    <xf numFmtId="0" fontId="27" fillId="0" borderId="11" xfId="0" applyFont="1" applyBorder="1"/>
    <xf numFmtId="169" fontId="27" fillId="0" borderId="0" xfId="0" applyNumberFormat="1" applyFont="1" applyBorder="1"/>
    <xf numFmtId="2" fontId="27" fillId="0" borderId="0" xfId="0" applyNumberFormat="1" applyFont="1" applyBorder="1" applyAlignment="1">
      <alignment horizontal="center"/>
    </xf>
    <xf numFmtId="169" fontId="27" fillId="0" borderId="43" xfId="0" applyNumberFormat="1" applyFont="1" applyBorder="1"/>
    <xf numFmtId="10" fontId="27" fillId="0" borderId="32" xfId="10" applyNumberFormat="1" applyFont="1" applyFill="1" applyBorder="1"/>
    <xf numFmtId="49" fontId="18" fillId="0" borderId="13" xfId="6" applyNumberFormat="1" applyFont="1" applyBorder="1"/>
    <xf numFmtId="0" fontId="27" fillId="0" borderId="6" xfId="0" applyFont="1" applyBorder="1"/>
    <xf numFmtId="0" fontId="27" fillId="0" borderId="7" xfId="0" applyFont="1" applyBorder="1"/>
    <xf numFmtId="169" fontId="27" fillId="0" borderId="9" xfId="0" applyNumberFormat="1" applyFont="1" applyBorder="1"/>
    <xf numFmtId="169" fontId="27" fillId="0" borderId="32" xfId="9" applyNumberFormat="1" applyFont="1" applyFill="1" applyBorder="1"/>
    <xf numFmtId="0" fontId="27" fillId="0" borderId="13" xfId="0" applyFont="1" applyFill="1" applyBorder="1"/>
    <xf numFmtId="0" fontId="29" fillId="0" borderId="11" xfId="0" applyFont="1" applyBorder="1"/>
    <xf numFmtId="10" fontId="27" fillId="0" borderId="3" xfId="0" applyNumberFormat="1" applyFont="1" applyBorder="1"/>
    <xf numFmtId="0" fontId="27" fillId="0" borderId="3" xfId="0" applyFont="1" applyBorder="1"/>
    <xf numFmtId="169" fontId="27" fillId="0" borderId="4" xfId="0" applyNumberFormat="1" applyFont="1" applyBorder="1"/>
    <xf numFmtId="0" fontId="27" fillId="0" borderId="51" xfId="0" applyFont="1" applyBorder="1"/>
    <xf numFmtId="10" fontId="27" fillId="0" borderId="52" xfId="1" applyNumberFormat="1" applyFont="1" applyBorder="1"/>
    <xf numFmtId="0" fontId="27" fillId="0" borderId="52" xfId="0" applyFont="1" applyBorder="1"/>
    <xf numFmtId="169" fontId="27" fillId="0" borderId="53" xfId="0" applyNumberFormat="1" applyFont="1" applyBorder="1"/>
    <xf numFmtId="10" fontId="19" fillId="0" borderId="32" xfId="1" applyNumberFormat="1" applyFont="1" applyFill="1" applyBorder="1" applyAlignment="1">
      <alignment horizontal="right"/>
    </xf>
    <xf numFmtId="0" fontId="27" fillId="0" borderId="0" xfId="0" applyFont="1" applyBorder="1"/>
    <xf numFmtId="169" fontId="27" fillId="0" borderId="13" xfId="0" applyNumberFormat="1" applyFont="1" applyBorder="1"/>
    <xf numFmtId="0" fontId="30" fillId="0" borderId="11" xfId="0" applyFont="1" applyFill="1" applyBorder="1"/>
    <xf numFmtId="10" fontId="27" fillId="0" borderId="32" xfId="1" applyNumberFormat="1" applyFont="1" applyFill="1" applyBorder="1"/>
    <xf numFmtId="0" fontId="19" fillId="0" borderId="13" xfId="0" applyFont="1" applyFill="1" applyBorder="1"/>
    <xf numFmtId="9" fontId="27" fillId="0" borderId="0" xfId="1" applyFont="1" applyBorder="1"/>
    <xf numFmtId="0" fontId="27" fillId="0" borderId="6" xfId="0" applyFont="1" applyFill="1" applyBorder="1"/>
    <xf numFmtId="10" fontId="27" fillId="0" borderId="61" xfId="10" applyNumberFormat="1" applyFont="1" applyFill="1" applyBorder="1"/>
    <xf numFmtId="49" fontId="18" fillId="0" borderId="9" xfId="6" applyNumberFormat="1" applyFont="1" applyBorder="1"/>
    <xf numFmtId="10" fontId="27" fillId="0" borderId="7" xfId="10" applyNumberFormat="1" applyFont="1" applyFill="1" applyBorder="1"/>
    <xf numFmtId="0" fontId="31" fillId="0" borderId="42" xfId="0" applyFont="1" applyFill="1" applyBorder="1"/>
    <xf numFmtId="0" fontId="27" fillId="0" borderId="33" xfId="0" applyFont="1" applyBorder="1"/>
    <xf numFmtId="10" fontId="27" fillId="0" borderId="34" xfId="0" applyNumberFormat="1" applyFont="1" applyBorder="1"/>
    <xf numFmtId="0" fontId="27" fillId="0" borderId="34" xfId="0" applyFont="1" applyBorder="1"/>
    <xf numFmtId="0" fontId="27" fillId="0" borderId="15" xfId="0" applyFont="1" applyBorder="1"/>
    <xf numFmtId="0" fontId="27" fillId="0" borderId="16" xfId="0" applyFont="1" applyBorder="1"/>
    <xf numFmtId="169" fontId="27" fillId="0" borderId="17" xfId="0" applyNumberFormat="1" applyFont="1" applyBorder="1"/>
    <xf numFmtId="10" fontId="27" fillId="0" borderId="0" xfId="0" applyNumberFormat="1" applyFont="1" applyBorder="1"/>
    <xf numFmtId="0" fontId="32" fillId="0" borderId="0" xfId="0" applyFont="1"/>
    <xf numFmtId="44" fontId="27" fillId="5" borderId="17" xfId="0" applyNumberFormat="1" applyFont="1" applyFill="1" applyBorder="1"/>
    <xf numFmtId="44" fontId="32" fillId="0" borderId="0" xfId="0" applyNumberFormat="1" applyFont="1"/>
    <xf numFmtId="44" fontId="27" fillId="0" borderId="0" xfId="0" applyNumberFormat="1" applyFont="1"/>
    <xf numFmtId="44" fontId="27" fillId="0" borderId="0" xfId="0" applyNumberFormat="1" applyFont="1" applyFill="1" applyBorder="1"/>
    <xf numFmtId="171" fontId="27" fillId="0" borderId="0" xfId="0" applyNumberFormat="1" applyFont="1"/>
    <xf numFmtId="10" fontId="27" fillId="0" borderId="0" xfId="1" applyNumberFormat="1" applyFont="1"/>
    <xf numFmtId="2" fontId="27" fillId="0" borderId="0" xfId="0" applyNumberFormat="1" applyFont="1"/>
    <xf numFmtId="0" fontId="28" fillId="0" borderId="0" xfId="11" applyFont="1" applyFill="1" applyBorder="1"/>
    <xf numFmtId="0" fontId="27" fillId="0" borderId="7" xfId="11" applyFont="1" applyBorder="1" applyAlignment="1">
      <alignment horizontal="center"/>
    </xf>
    <xf numFmtId="0" fontId="27" fillId="0" borderId="0" xfId="11" applyFont="1"/>
    <xf numFmtId="0" fontId="27" fillId="0" borderId="0" xfId="11" applyFont="1" applyAlignment="1">
      <alignment horizontal="center"/>
    </xf>
    <xf numFmtId="0" fontId="33" fillId="0" borderId="15" xfId="11" applyFont="1" applyFill="1" applyBorder="1" applyAlignment="1">
      <alignment horizontal="center" vertical="center"/>
    </xf>
    <xf numFmtId="0" fontId="33" fillId="0" borderId="17" xfId="11" applyFont="1" applyFill="1" applyBorder="1" applyAlignment="1">
      <alignment horizontal="center" vertical="center"/>
    </xf>
    <xf numFmtId="0" fontId="33" fillId="0" borderId="15" xfId="11" applyFont="1" applyBorder="1" applyAlignment="1">
      <alignment horizontal="center"/>
    </xf>
    <xf numFmtId="0" fontId="33" fillId="0" borderId="17" xfId="11" applyFont="1" applyBorder="1" applyAlignment="1">
      <alignment horizontal="center"/>
    </xf>
    <xf numFmtId="0" fontId="27" fillId="0" borderId="0" xfId="11" applyFont="1" applyFill="1" applyBorder="1" applyAlignment="1">
      <alignment horizontal="center"/>
    </xf>
    <xf numFmtId="0" fontId="28" fillId="0" borderId="62" xfId="11" applyFont="1" applyFill="1" applyBorder="1" applyAlignment="1">
      <alignment horizontal="center" vertical="center"/>
    </xf>
    <xf numFmtId="0" fontId="28" fillId="4" borderId="63" xfId="11" applyFont="1" applyFill="1" applyBorder="1" applyAlignment="1">
      <alignment horizontal="center"/>
    </xf>
    <xf numFmtId="0" fontId="28" fillId="4" borderId="64" xfId="11" applyFont="1" applyFill="1" applyBorder="1" applyAlignment="1">
      <alignment horizontal="center"/>
    </xf>
    <xf numFmtId="0" fontId="28" fillId="4" borderId="5" xfId="11" applyFont="1" applyFill="1" applyBorder="1" applyAlignment="1">
      <alignment horizontal="center"/>
    </xf>
    <xf numFmtId="10" fontId="27" fillId="0" borderId="0" xfId="1" applyNumberFormat="1" applyFont="1" applyFill="1" applyBorder="1"/>
    <xf numFmtId="0" fontId="28" fillId="0" borderId="11" xfId="11" applyFont="1" applyFill="1" applyBorder="1" applyAlignment="1">
      <alignment horizontal="center" vertical="center"/>
    </xf>
    <xf numFmtId="0" fontId="28" fillId="4" borderId="26" xfId="11" applyFont="1" applyFill="1" applyBorder="1" applyAlignment="1">
      <alignment horizontal="center"/>
    </xf>
    <xf numFmtId="0" fontId="28" fillId="4" borderId="44" xfId="11" applyFont="1" applyFill="1" applyBorder="1" applyAlignment="1">
      <alignment horizontal="center"/>
    </xf>
    <xf numFmtId="0" fontId="28" fillId="4" borderId="14" xfId="11" applyFont="1" applyFill="1" applyBorder="1" applyAlignment="1">
      <alignment horizontal="center"/>
    </xf>
    <xf numFmtId="0" fontId="28" fillId="0" borderId="65" xfId="11" applyFont="1" applyFill="1" applyBorder="1" applyAlignment="1">
      <alignment horizontal="center" vertical="center"/>
    </xf>
    <xf numFmtId="0" fontId="27" fillId="0" borderId="66" xfId="11" applyFont="1" applyBorder="1"/>
    <xf numFmtId="10" fontId="28" fillId="0" borderId="67" xfId="1" applyNumberFormat="1" applyFont="1" applyFill="1" applyBorder="1" applyAlignment="1">
      <alignment horizontal="center"/>
    </xf>
    <xf numFmtId="0" fontId="28" fillId="4" borderId="10" xfId="11" applyFont="1" applyFill="1" applyBorder="1" applyAlignment="1">
      <alignment horizontal="center"/>
    </xf>
    <xf numFmtId="0" fontId="27" fillId="0" borderId="31" xfId="11" applyFont="1" applyFill="1" applyBorder="1" applyAlignment="1">
      <alignment horizontal="center"/>
    </xf>
    <xf numFmtId="165" fontId="27" fillId="0" borderId="38" xfId="11" applyNumberFormat="1" applyFont="1" applyFill="1" applyBorder="1" applyAlignment="1">
      <alignment horizontal="center"/>
    </xf>
    <xf numFmtId="168" fontId="27" fillId="0" borderId="38" xfId="11" applyNumberFormat="1" applyFont="1" applyBorder="1" applyAlignment="1">
      <alignment horizontal="center"/>
    </xf>
    <xf numFmtId="165" fontId="28" fillId="5" borderId="5" xfId="11" applyNumberFormat="1" applyFont="1" applyFill="1" applyBorder="1" applyAlignment="1">
      <alignment horizontal="center"/>
    </xf>
    <xf numFmtId="0" fontId="27" fillId="0" borderId="36" xfId="11" applyFont="1" applyFill="1" applyBorder="1" applyAlignment="1">
      <alignment horizontal="center"/>
    </xf>
    <xf numFmtId="165" fontId="28" fillId="5" borderId="14" xfId="11" applyNumberFormat="1" applyFont="1" applyFill="1" applyBorder="1" applyAlignment="1">
      <alignment horizontal="center"/>
    </xf>
    <xf numFmtId="0" fontId="27" fillId="0" borderId="41" xfId="11" applyFont="1" applyFill="1" applyBorder="1" applyAlignment="1">
      <alignment horizontal="center"/>
    </xf>
    <xf numFmtId="165" fontId="27" fillId="0" borderId="54" xfId="11" applyNumberFormat="1" applyFont="1" applyFill="1" applyBorder="1" applyAlignment="1">
      <alignment horizontal="center"/>
    </xf>
    <xf numFmtId="168" fontId="27" fillId="0" borderId="54" xfId="11" applyNumberFormat="1" applyFont="1" applyBorder="1" applyAlignment="1">
      <alignment horizontal="center"/>
    </xf>
    <xf numFmtId="165" fontId="28" fillId="5" borderId="10" xfId="11" applyNumberFormat="1" applyFont="1" applyFill="1" applyBorder="1" applyAlignment="1">
      <alignment horizontal="center"/>
    </xf>
    <xf numFmtId="0" fontId="27" fillId="0" borderId="0" xfId="11" applyFont="1" applyFill="1"/>
    <xf numFmtId="0" fontId="27" fillId="0" borderId="0" xfId="11" applyFont="1" applyFill="1" applyAlignment="1">
      <alignment horizontal="center"/>
    </xf>
    <xf numFmtId="10" fontId="34" fillId="0" borderId="0" xfId="1" applyNumberFormat="1" applyFont="1" applyFill="1" applyBorder="1" applyAlignment="1">
      <alignment horizontal="center"/>
    </xf>
    <xf numFmtId="0" fontId="27" fillId="0" borderId="0" xfId="11" applyFont="1" applyFill="1" applyBorder="1" applyAlignment="1">
      <alignment horizontal="right"/>
    </xf>
    <xf numFmtId="10" fontId="27" fillId="0" borderId="0" xfId="11" applyNumberFormat="1" applyFont="1" applyFill="1" applyBorder="1"/>
    <xf numFmtId="165" fontId="27" fillId="0" borderId="0" xfId="11" applyNumberFormat="1" applyFont="1" applyFill="1" applyBorder="1" applyAlignment="1">
      <alignment horizontal="center"/>
    </xf>
    <xf numFmtId="0" fontId="27" fillId="0" borderId="0" xfId="11" applyFont="1" applyFill="1" applyBorder="1"/>
    <xf numFmtId="169" fontId="27" fillId="0" borderId="0" xfId="12" applyNumberFormat="1" applyFont="1"/>
    <xf numFmtId="0" fontId="27" fillId="0" borderId="0" xfId="11" applyFont="1" applyBorder="1"/>
    <xf numFmtId="14" fontId="35" fillId="0" borderId="0" xfId="11" applyNumberFormat="1" applyFont="1" applyAlignment="1">
      <alignment horizontal="left"/>
    </xf>
    <xf numFmtId="0" fontId="36" fillId="0" borderId="15" xfId="11" applyFont="1" applyFill="1" applyBorder="1" applyAlignment="1">
      <alignment horizontal="center" vertical="center"/>
    </xf>
    <xf numFmtId="0" fontId="36" fillId="0" borderId="16" xfId="11" applyFont="1" applyFill="1" applyBorder="1" applyAlignment="1">
      <alignment horizontal="center" vertical="center"/>
    </xf>
    <xf numFmtId="0" fontId="36" fillId="0" borderId="17" xfId="11" applyFont="1" applyFill="1" applyBorder="1" applyAlignment="1">
      <alignment horizontal="center" vertical="center"/>
    </xf>
    <xf numFmtId="0" fontId="28" fillId="0" borderId="0" xfId="11" applyFont="1"/>
    <xf numFmtId="0" fontId="37" fillId="0" borderId="0" xfId="11" applyFont="1"/>
    <xf numFmtId="0" fontId="36" fillId="7" borderId="15" xfId="11" applyFont="1" applyFill="1" applyBorder="1" applyAlignment="1">
      <alignment horizontal="center" vertical="center"/>
    </xf>
    <xf numFmtId="0" fontId="36" fillId="7" borderId="16" xfId="11" applyFont="1" applyFill="1" applyBorder="1" applyAlignment="1">
      <alignment horizontal="center" vertical="center"/>
    </xf>
    <xf numFmtId="0" fontId="36" fillId="7" borderId="17" xfId="11" applyFont="1" applyFill="1" applyBorder="1" applyAlignment="1">
      <alignment horizontal="center" vertical="center"/>
    </xf>
    <xf numFmtId="0" fontId="36" fillId="7" borderId="24" xfId="11" applyFont="1" applyFill="1" applyBorder="1" applyAlignment="1">
      <alignment horizontal="center" vertical="center" wrapText="1"/>
    </xf>
    <xf numFmtId="0" fontId="38" fillId="7" borderId="68" xfId="11" applyFont="1" applyFill="1" applyBorder="1" applyAlignment="1">
      <alignment horizontal="center" vertical="center" wrapText="1"/>
    </xf>
    <xf numFmtId="0" fontId="36" fillId="7" borderId="18" xfId="11" applyFont="1" applyFill="1" applyBorder="1" applyAlignment="1">
      <alignment horizontal="center" vertical="center" wrapText="1"/>
    </xf>
    <xf numFmtId="0" fontId="36" fillId="7" borderId="18" xfId="11" applyFont="1" applyFill="1" applyBorder="1" applyAlignment="1">
      <alignment horizontal="center" vertical="center"/>
    </xf>
    <xf numFmtId="0" fontId="37" fillId="0" borderId="27" xfId="11" applyFont="1" applyFill="1" applyBorder="1" applyAlignment="1">
      <alignment horizontal="center" vertical="center"/>
    </xf>
    <xf numFmtId="0" fontId="37" fillId="0" borderId="69" xfId="11" applyFont="1" applyFill="1" applyBorder="1" applyAlignment="1">
      <alignment horizontal="center" vertical="center"/>
    </xf>
    <xf numFmtId="0" fontId="37" fillId="0" borderId="38" xfId="11" applyFont="1" applyFill="1" applyBorder="1" applyAlignment="1">
      <alignment horizontal="center" vertical="center"/>
    </xf>
    <xf numFmtId="0" fontId="37" fillId="0" borderId="28" xfId="11" applyFont="1" applyFill="1" applyBorder="1" applyAlignment="1">
      <alignment horizontal="center" vertical="center"/>
    </xf>
    <xf numFmtId="0" fontId="37" fillId="0" borderId="29" xfId="11" applyFont="1" applyFill="1" applyBorder="1" applyAlignment="1">
      <alignment horizontal="center" vertical="center"/>
    </xf>
    <xf numFmtId="0" fontId="28" fillId="0" borderId="1" xfId="11" applyFont="1" applyBorder="1" applyAlignment="1"/>
    <xf numFmtId="0" fontId="28" fillId="0" borderId="3" xfId="11" applyFont="1" applyBorder="1" applyAlignment="1"/>
    <xf numFmtId="0" fontId="28" fillId="0" borderId="1" xfId="11" applyFont="1" applyBorder="1" applyAlignment="1">
      <alignment horizontal="right"/>
    </xf>
    <xf numFmtId="37" fontId="28" fillId="0" borderId="4" xfId="11" applyNumberFormat="1" applyFont="1" applyBorder="1" applyAlignment="1">
      <alignment horizontal="center"/>
    </xf>
    <xf numFmtId="3" fontId="28" fillId="0" borderId="24" xfId="11" applyNumberFormat="1" applyFont="1" applyBorder="1" applyAlignment="1">
      <alignment wrapText="1"/>
    </xf>
    <xf numFmtId="3" fontId="28" fillId="0" borderId="23" xfId="11" applyNumberFormat="1" applyFont="1" applyBorder="1" applyAlignment="1">
      <alignment horizontal="center"/>
    </xf>
    <xf numFmtId="0" fontId="28" fillId="0" borderId="24" xfId="11" applyFont="1" applyBorder="1" applyAlignment="1">
      <alignment horizontal="center"/>
    </xf>
    <xf numFmtId="0" fontId="28" fillId="0" borderId="23" xfId="11" applyFont="1" applyBorder="1" applyAlignment="1">
      <alignment horizontal="center"/>
    </xf>
    <xf numFmtId="167" fontId="29" fillId="0" borderId="11" xfId="11" applyNumberFormat="1" applyFont="1" applyFill="1" applyBorder="1" applyAlignment="1">
      <alignment horizontal="left"/>
    </xf>
    <xf numFmtId="167" fontId="29" fillId="0" borderId="25" xfId="11" applyNumberFormat="1" applyFont="1" applyFill="1" applyBorder="1" applyAlignment="1">
      <alignment horizontal="center"/>
    </xf>
    <xf numFmtId="49" fontId="27" fillId="0" borderId="26" xfId="11" applyNumberFormat="1" applyFont="1" applyFill="1" applyBorder="1" applyAlignment="1"/>
    <xf numFmtId="49" fontId="27" fillId="0" borderId="0" xfId="11" applyNumberFormat="1" applyFont="1" applyFill="1" applyBorder="1" applyAlignment="1"/>
    <xf numFmtId="49" fontId="27" fillId="0" borderId="13" xfId="11" applyNumberFormat="1" applyFont="1" applyFill="1" applyBorder="1" applyAlignment="1"/>
    <xf numFmtId="10" fontId="13" fillId="0" borderId="0" xfId="1" applyNumberFormat="1" applyFont="1" applyBorder="1"/>
    <xf numFmtId="0" fontId="37" fillId="0" borderId="33" xfId="11" applyFont="1" applyFill="1" applyBorder="1" applyAlignment="1">
      <alignment horizontal="center" vertical="center"/>
    </xf>
    <xf numFmtId="0" fontId="37" fillId="0" borderId="34" xfId="11" applyFont="1" applyFill="1" applyBorder="1" applyAlignment="1">
      <alignment horizontal="center" vertical="center"/>
    </xf>
    <xf numFmtId="0" fontId="37" fillId="0" borderId="43" xfId="11" applyFont="1" applyFill="1" applyBorder="1" applyAlignment="1">
      <alignment horizontal="center" vertical="center"/>
    </xf>
    <xf numFmtId="0" fontId="27" fillId="0" borderId="31" xfId="11" applyFont="1" applyBorder="1" applyAlignment="1">
      <alignment wrapText="1"/>
    </xf>
    <xf numFmtId="3" fontId="27" fillId="4" borderId="30" xfId="11" applyNumberFormat="1" applyFont="1" applyFill="1" applyBorder="1" applyAlignment="1">
      <alignment horizontal="center"/>
    </xf>
    <xf numFmtId="0" fontId="39" fillId="0" borderId="31" xfId="11" applyFont="1" applyBorder="1" applyAlignment="1">
      <alignment horizontal="center" vertical="center"/>
    </xf>
    <xf numFmtId="0" fontId="27" fillId="0" borderId="30" xfId="11" applyFont="1" applyBorder="1" applyAlignment="1">
      <alignment horizontal="center"/>
    </xf>
    <xf numFmtId="167" fontId="29" fillId="0" borderId="32" xfId="11" applyNumberFormat="1" applyFont="1" applyFill="1" applyBorder="1" applyAlignment="1">
      <alignment horizontal="center"/>
    </xf>
    <xf numFmtId="0" fontId="27" fillId="0" borderId="0" xfId="11" applyFont="1" applyAlignment="1">
      <alignment vertical="center"/>
    </xf>
    <xf numFmtId="167" fontId="28" fillId="0" borderId="11" xfId="11" applyNumberFormat="1" applyFont="1" applyFill="1" applyBorder="1"/>
    <xf numFmtId="169" fontId="13" fillId="0" borderId="0" xfId="12" applyNumberFormat="1" applyFont="1" applyBorder="1"/>
    <xf numFmtId="39" fontId="27" fillId="0" borderId="0" xfId="11" applyNumberFormat="1" applyFont="1" applyFill="1" applyBorder="1"/>
    <xf numFmtId="169" fontId="13" fillId="0" borderId="13" xfId="12" applyNumberFormat="1" applyFont="1" applyFill="1" applyBorder="1"/>
    <xf numFmtId="0" fontId="27" fillId="0" borderId="36" xfId="11" applyFont="1" applyBorder="1" applyAlignment="1">
      <alignment vertical="center" wrapText="1"/>
    </xf>
    <xf numFmtId="3" fontId="27" fillId="4" borderId="35" xfId="11" applyNumberFormat="1" applyFont="1" applyFill="1" applyBorder="1" applyAlignment="1">
      <alignment horizontal="center" vertical="center"/>
    </xf>
    <xf numFmtId="0" fontId="39" fillId="0" borderId="36" xfId="11" applyFont="1" applyBorder="1" applyAlignment="1">
      <alignment horizontal="center" vertical="center"/>
    </xf>
    <xf numFmtId="0" fontId="27" fillId="0" borderId="35" xfId="11" applyFont="1" applyBorder="1" applyAlignment="1">
      <alignment horizontal="center" vertical="center"/>
    </xf>
    <xf numFmtId="9" fontId="13" fillId="0" borderId="0" xfId="1" applyNumberFormat="1" applyFont="1" applyBorder="1"/>
    <xf numFmtId="169" fontId="13" fillId="0" borderId="13" xfId="12" applyNumberFormat="1" applyFont="1" applyBorder="1"/>
    <xf numFmtId="0" fontId="27" fillId="0" borderId="36" xfId="11" applyFont="1" applyBorder="1" applyAlignment="1">
      <alignment wrapText="1"/>
    </xf>
    <xf numFmtId="3" fontId="27" fillId="4" borderId="35" xfId="11" applyNumberFormat="1" applyFont="1" applyFill="1" applyBorder="1" applyAlignment="1">
      <alignment horizontal="center"/>
    </xf>
    <xf numFmtId="0" fontId="27" fillId="0" borderId="35" xfId="11" applyFont="1" applyBorder="1" applyAlignment="1">
      <alignment horizontal="center"/>
    </xf>
    <xf numFmtId="0" fontId="27" fillId="0" borderId="11" xfId="11" applyFont="1" applyBorder="1" applyAlignment="1"/>
    <xf numFmtId="167" fontId="29" fillId="0" borderId="27" xfId="11" applyNumberFormat="1" applyFont="1" applyFill="1" applyBorder="1" applyAlignment="1">
      <alignment horizontal="left"/>
    </xf>
    <xf numFmtId="167" fontId="29" fillId="0" borderId="37" xfId="11" applyNumberFormat="1" applyFont="1" applyFill="1" applyBorder="1" applyAlignment="1">
      <alignment horizontal="center"/>
    </xf>
    <xf numFmtId="49" fontId="27" fillId="0" borderId="28" xfId="11" applyNumberFormat="1" applyFont="1" applyFill="1" applyBorder="1" applyAlignment="1"/>
    <xf numFmtId="49" fontId="27" fillId="0" borderId="29" xfId="11" applyNumberFormat="1" applyFont="1" applyFill="1" applyBorder="1" applyAlignment="1"/>
    <xf numFmtId="0" fontId="27" fillId="0" borderId="11" xfId="11" applyFont="1" applyBorder="1" applyAlignment="1">
      <alignment horizontal="left"/>
    </xf>
    <xf numFmtId="0" fontId="13" fillId="4" borderId="36" xfId="13" applyFont="1" applyFill="1" applyBorder="1"/>
    <xf numFmtId="4" fontId="27" fillId="4" borderId="36" xfId="11" applyNumberFormat="1" applyFont="1" applyFill="1" applyBorder="1" applyAlignment="1">
      <alignment horizontal="center"/>
    </xf>
    <xf numFmtId="167" fontId="37" fillId="0" borderId="33" xfId="11" applyNumberFormat="1" applyFont="1" applyFill="1" applyBorder="1" applyAlignment="1">
      <alignment horizontal="center"/>
    </xf>
    <xf numFmtId="167" fontId="37" fillId="0" borderId="46" xfId="11" applyNumberFormat="1" applyFont="1" applyFill="1" applyBorder="1" applyAlignment="1">
      <alignment horizontal="center"/>
    </xf>
    <xf numFmtId="49" fontId="27" fillId="0" borderId="70" xfId="11" applyNumberFormat="1" applyFont="1" applyFill="1" applyBorder="1" applyAlignment="1"/>
    <xf numFmtId="49" fontId="27" fillId="0" borderId="34" xfId="11" applyNumberFormat="1" applyFont="1" applyFill="1" applyBorder="1" applyAlignment="1"/>
    <xf numFmtId="49" fontId="27" fillId="0" borderId="43" xfId="11" applyNumberFormat="1" applyFont="1" applyFill="1" applyBorder="1" applyAlignment="1"/>
    <xf numFmtId="0" fontId="27" fillId="0" borderId="11" xfId="11" applyFont="1" applyBorder="1" applyAlignment="1">
      <alignment horizontal="left" wrapText="1"/>
    </xf>
    <xf numFmtId="0" fontId="39" fillId="4" borderId="71" xfId="13" applyFont="1" applyFill="1" applyBorder="1" applyAlignment="1">
      <alignment vertical="center" wrapText="1"/>
    </xf>
    <xf numFmtId="3" fontId="27" fillId="4" borderId="40" xfId="11" applyNumberFormat="1" applyFont="1" applyFill="1" applyBorder="1" applyAlignment="1">
      <alignment horizontal="center"/>
    </xf>
    <xf numFmtId="4" fontId="27" fillId="4" borderId="41" xfId="11" applyNumberFormat="1" applyFont="1" applyFill="1" applyBorder="1" applyAlignment="1">
      <alignment horizontal="center"/>
    </xf>
    <xf numFmtId="0" fontId="27" fillId="0" borderId="42" xfId="11" applyFont="1" applyBorder="1" applyAlignment="1">
      <alignment horizontal="center"/>
    </xf>
    <xf numFmtId="2" fontId="29" fillId="0" borderId="32" xfId="11" applyNumberFormat="1" applyFont="1" applyFill="1" applyBorder="1" applyAlignment="1">
      <alignment horizontal="center"/>
    </xf>
    <xf numFmtId="167" fontId="28" fillId="0" borderId="11" xfId="11" applyNumberFormat="1" applyFont="1" applyBorder="1"/>
    <xf numFmtId="0" fontId="28" fillId="0" borderId="24" xfId="11" applyFont="1" applyBorder="1" applyAlignment="1">
      <alignment wrapText="1"/>
    </xf>
    <xf numFmtId="0" fontId="28" fillId="0" borderId="31" xfId="11" applyFont="1" applyBorder="1" applyAlignment="1">
      <alignment wrapText="1"/>
    </xf>
    <xf numFmtId="3" fontId="28" fillId="0" borderId="30" xfId="11" applyNumberFormat="1" applyFont="1" applyBorder="1" applyAlignment="1">
      <alignment horizontal="center"/>
    </xf>
    <xf numFmtId="169" fontId="13" fillId="0" borderId="0" xfId="12" applyNumberFormat="1" applyFont="1" applyFill="1" applyBorder="1"/>
    <xf numFmtId="0" fontId="27" fillId="0" borderId="72" xfId="11" applyFont="1" applyFill="1" applyBorder="1" applyAlignment="1">
      <alignment wrapText="1"/>
    </xf>
    <xf numFmtId="4" fontId="27" fillId="0" borderId="44" xfId="11" applyNumberFormat="1" applyFont="1" applyBorder="1" applyAlignment="1">
      <alignment horizontal="center"/>
    </xf>
    <xf numFmtId="0" fontId="28" fillId="0" borderId="33" xfId="11" applyFont="1" applyBorder="1"/>
    <xf numFmtId="37" fontId="28" fillId="0" borderId="34" xfId="11" applyNumberFormat="1" applyFont="1" applyBorder="1"/>
    <xf numFmtId="39" fontId="28" fillId="0" borderId="34" xfId="11" applyNumberFormat="1" applyFont="1" applyBorder="1"/>
    <xf numFmtId="169" fontId="28" fillId="0" borderId="43" xfId="12" applyNumberFormat="1" applyFont="1" applyBorder="1"/>
    <xf numFmtId="2" fontId="29" fillId="0" borderId="37" xfId="11" applyNumberFormat="1" applyFont="1" applyFill="1" applyBorder="1" applyAlignment="1">
      <alignment horizontal="center"/>
    </xf>
    <xf numFmtId="49" fontId="27" fillId="0" borderId="38" xfId="11" applyNumberFormat="1" applyFont="1" applyFill="1" applyBorder="1" applyAlignment="1"/>
    <xf numFmtId="0" fontId="27" fillId="0" borderId="11" xfId="11" applyFont="1" applyBorder="1"/>
    <xf numFmtId="10" fontId="27" fillId="0" borderId="0" xfId="1" applyNumberFormat="1" applyFont="1" applyBorder="1"/>
    <xf numFmtId="39" fontId="28" fillId="0" borderId="0" xfId="11" applyNumberFormat="1" applyFont="1" applyBorder="1"/>
    <xf numFmtId="0" fontId="37" fillId="0" borderId="33" xfId="11" applyFont="1" applyFill="1" applyBorder="1" applyAlignment="1">
      <alignment horizontal="center"/>
    </xf>
    <xf numFmtId="0" fontId="37" fillId="0" borderId="46" xfId="11" applyFont="1" applyFill="1" applyBorder="1" applyAlignment="1">
      <alignment horizontal="center"/>
    </xf>
    <xf numFmtId="0" fontId="27" fillId="0" borderId="34" xfId="11" applyFont="1" applyFill="1" applyBorder="1" applyAlignment="1">
      <alignment horizontal="left"/>
    </xf>
    <xf numFmtId="0" fontId="27" fillId="0" borderId="43" xfId="11" applyFont="1" applyFill="1" applyBorder="1" applyAlignment="1">
      <alignment horizontal="left"/>
    </xf>
    <xf numFmtId="0" fontId="27" fillId="0" borderId="56" xfId="11" applyFont="1" applyBorder="1"/>
    <xf numFmtId="10" fontId="27" fillId="0" borderId="57" xfId="11" applyNumberFormat="1" applyFont="1" applyBorder="1"/>
    <xf numFmtId="37" fontId="27" fillId="0" borderId="57" xfId="11" applyNumberFormat="1" applyFont="1" applyBorder="1"/>
    <xf numFmtId="169" fontId="13" fillId="0" borderId="58" xfId="12" applyNumberFormat="1" applyFont="1" applyBorder="1"/>
    <xf numFmtId="0" fontId="29" fillId="0" borderId="11" xfId="11" applyFont="1" applyFill="1" applyBorder="1" applyAlignment="1">
      <alignment horizontal="left"/>
    </xf>
    <xf numFmtId="10" fontId="29" fillId="0" borderId="32" xfId="11" applyNumberFormat="1" applyFont="1" applyFill="1" applyBorder="1" applyAlignment="1">
      <alignment horizontal="center" vertical="center"/>
    </xf>
    <xf numFmtId="0" fontId="27" fillId="0" borderId="0" xfId="11" applyFont="1" applyFill="1" applyBorder="1" applyAlignment="1">
      <alignment horizontal="left"/>
    </xf>
    <xf numFmtId="0" fontId="27" fillId="0" borderId="13" xfId="11" applyFont="1" applyFill="1" applyBorder="1" applyAlignment="1">
      <alignment horizontal="left"/>
    </xf>
    <xf numFmtId="0" fontId="28" fillId="0" borderId="56" xfId="11" applyFont="1" applyBorder="1"/>
    <xf numFmtId="37" fontId="28" fillId="0" borderId="57" xfId="11" applyNumberFormat="1" applyFont="1" applyBorder="1"/>
    <xf numFmtId="169" fontId="28" fillId="0" borderId="58" xfId="12" applyNumberFormat="1" applyFont="1" applyBorder="1"/>
    <xf numFmtId="37" fontId="27" fillId="0" borderId="0" xfId="11" applyNumberFormat="1" applyFont="1" applyBorder="1"/>
    <xf numFmtId="0" fontId="29" fillId="0" borderId="11" xfId="11" applyFont="1" applyFill="1" applyBorder="1"/>
    <xf numFmtId="0" fontId="29" fillId="0" borderId="27" xfId="11" applyFont="1" applyFill="1" applyBorder="1"/>
    <xf numFmtId="10" fontId="29" fillId="0" borderId="37" xfId="11" applyNumberFormat="1" applyFont="1" applyFill="1" applyBorder="1" applyAlignment="1">
      <alignment horizontal="center" vertical="center"/>
    </xf>
    <xf numFmtId="0" fontId="27" fillId="0" borderId="28" xfId="11" applyFont="1" applyFill="1" applyBorder="1" applyAlignment="1">
      <alignment horizontal="left"/>
    </xf>
    <xf numFmtId="0" fontId="27" fillId="0" borderId="29" xfId="11" applyFont="1" applyFill="1" applyBorder="1" applyAlignment="1">
      <alignment horizontal="left"/>
    </xf>
    <xf numFmtId="172" fontId="27" fillId="0" borderId="0" xfId="11" applyNumberFormat="1" applyFont="1"/>
    <xf numFmtId="0" fontId="29" fillId="0" borderId="70" xfId="11" applyFont="1" applyFill="1" applyBorder="1" applyAlignment="1">
      <alignment horizontal="left"/>
    </xf>
    <xf numFmtId="0" fontId="29" fillId="0" borderId="9" xfId="11" applyFont="1" applyFill="1" applyBorder="1" applyAlignment="1">
      <alignment horizontal="left"/>
    </xf>
    <xf numFmtId="0" fontId="32" fillId="0" borderId="48" xfId="11" applyFont="1" applyFill="1" applyBorder="1"/>
    <xf numFmtId="10" fontId="32" fillId="0" borderId="50" xfId="7" applyNumberFormat="1" applyFont="1" applyFill="1" applyBorder="1" applyAlignment="1">
      <alignment horizontal="center"/>
    </xf>
    <xf numFmtId="0" fontId="29" fillId="0" borderId="7" xfId="11" applyFont="1" applyFill="1" applyBorder="1" applyAlignment="1">
      <alignment horizontal="left"/>
    </xf>
    <xf numFmtId="0" fontId="27" fillId="0" borderId="9" xfId="11" applyFont="1" applyFill="1" applyBorder="1" applyAlignment="1">
      <alignment horizontal="left"/>
    </xf>
    <xf numFmtId="0" fontId="32" fillId="0" borderId="0" xfId="11" applyFont="1" applyFill="1" applyBorder="1"/>
    <xf numFmtId="10" fontId="32" fillId="0" borderId="0" xfId="1" applyNumberFormat="1" applyFont="1" applyFill="1" applyBorder="1" applyAlignment="1">
      <alignment horizontal="center"/>
    </xf>
    <xf numFmtId="0" fontId="28" fillId="0" borderId="11" xfId="11" applyFont="1" applyBorder="1"/>
    <xf numFmtId="0" fontId="28" fillId="0" borderId="0" xfId="11" applyFont="1" applyBorder="1"/>
    <xf numFmtId="169" fontId="28" fillId="0" borderId="13" xfId="12" applyNumberFormat="1" applyFont="1" applyBorder="1"/>
    <xf numFmtId="0" fontId="32" fillId="0" borderId="0" xfId="11" applyFont="1" applyFill="1"/>
    <xf numFmtId="10" fontId="32" fillId="0" borderId="0" xfId="11" applyNumberFormat="1" applyFont="1" applyFill="1" applyAlignment="1">
      <alignment horizontal="center"/>
    </xf>
    <xf numFmtId="0" fontId="28" fillId="0" borderId="48" xfId="11" applyFont="1" applyBorder="1"/>
    <xf numFmtId="0" fontId="28" fillId="0" borderId="8" xfId="11" applyFont="1" applyBorder="1"/>
    <xf numFmtId="39" fontId="28" fillId="0" borderId="8" xfId="11" applyNumberFormat="1" applyFont="1" applyBorder="1"/>
    <xf numFmtId="44" fontId="28" fillId="5" borderId="55" xfId="12" applyFont="1" applyFill="1" applyBorder="1"/>
    <xf numFmtId="173" fontId="27" fillId="0" borderId="0" xfId="11" applyNumberFormat="1" applyFont="1"/>
    <xf numFmtId="0" fontId="36" fillId="0" borderId="0" xfId="11" applyFont="1" applyFill="1" applyBorder="1" applyAlignment="1">
      <alignment horizontal="center" vertical="center"/>
    </xf>
    <xf numFmtId="44" fontId="27" fillId="0" borderId="0" xfId="12" applyFont="1"/>
    <xf numFmtId="0" fontId="28" fillId="0" borderId="0" xfId="11" applyFont="1" applyFill="1" applyBorder="1" applyAlignment="1">
      <alignment horizontal="center"/>
    </xf>
    <xf numFmtId="0" fontId="28" fillId="0" borderId="45" xfId="11" applyFont="1" applyFill="1" applyBorder="1"/>
    <xf numFmtId="10" fontId="40" fillId="0" borderId="12" xfId="7" applyNumberFormat="1" applyFont="1" applyFill="1" applyBorder="1" applyAlignment="1">
      <alignment horizontal="right"/>
    </xf>
    <xf numFmtId="0" fontId="27" fillId="0" borderId="12" xfId="11" applyFont="1" applyFill="1" applyBorder="1" applyAlignment="1">
      <alignment horizontal="left"/>
    </xf>
    <xf numFmtId="0" fontId="27" fillId="0" borderId="73" xfId="11" applyFont="1" applyFill="1" applyBorder="1" applyAlignment="1">
      <alignment horizontal="left"/>
    </xf>
    <xf numFmtId="0" fontId="27" fillId="0" borderId="26" xfId="11" applyFont="1" applyFill="1" applyBorder="1"/>
    <xf numFmtId="0" fontId="27" fillId="0" borderId="74" xfId="11" applyFont="1" applyFill="1" applyBorder="1"/>
    <xf numFmtId="0" fontId="27" fillId="0" borderId="0" xfId="11" applyFont="1" applyFill="1" applyBorder="1" applyAlignment="1">
      <alignment horizontal="center" vertical="center"/>
    </xf>
    <xf numFmtId="0" fontId="27" fillId="0" borderId="38" xfId="11" applyFont="1" applyFill="1" applyBorder="1"/>
    <xf numFmtId="0" fontId="27" fillId="0" borderId="28" xfId="11" applyFont="1" applyFill="1" applyBorder="1"/>
    <xf numFmtId="0" fontId="27" fillId="0" borderId="69" xfId="11" applyFont="1" applyFill="1" applyBorder="1"/>
    <xf numFmtId="0" fontId="28" fillId="0" borderId="0" xfId="11" applyFont="1" applyFill="1" applyAlignment="1">
      <alignment horizontal="right"/>
    </xf>
    <xf numFmtId="44" fontId="13" fillId="0" borderId="0" xfId="0" applyNumberFormat="1" applyFont="1" applyFill="1"/>
    <xf numFmtId="0" fontId="42" fillId="0" borderId="0" xfId="0" applyFont="1"/>
    <xf numFmtId="0" fontId="19" fillId="0" borderId="0" xfId="0" applyFont="1" applyFill="1" applyBorder="1"/>
    <xf numFmtId="0" fontId="19" fillId="0" borderId="0" xfId="0" applyFont="1" applyFill="1" applyBorder="1" applyAlignment="1">
      <alignment horizontal="center"/>
    </xf>
    <xf numFmtId="1" fontId="43" fillId="0" borderId="0" xfId="0" applyNumberFormat="1" applyFont="1" applyFill="1" applyBorder="1" applyAlignment="1">
      <alignment horizontal="right"/>
    </xf>
    <xf numFmtId="0" fontId="16" fillId="8" borderId="15" xfId="0" applyFont="1" applyFill="1" applyBorder="1" applyAlignment="1">
      <alignment horizontal="center" vertical="center"/>
    </xf>
    <xf numFmtId="0" fontId="16" fillId="8" borderId="16" xfId="0" applyFont="1" applyFill="1" applyBorder="1" applyAlignment="1">
      <alignment horizontal="center" vertical="center"/>
    </xf>
    <xf numFmtId="0" fontId="16" fillId="8" borderId="17" xfId="0" applyFont="1" applyFill="1" applyBorder="1" applyAlignment="1">
      <alignment horizontal="center" vertical="center"/>
    </xf>
    <xf numFmtId="167" fontId="16" fillId="0" borderId="19" xfId="0" applyNumberFormat="1" applyFont="1" applyFill="1" applyBorder="1" applyAlignment="1">
      <alignment horizontal="center"/>
    </xf>
    <xf numFmtId="167" fontId="16" fillId="0" borderId="2" xfId="0" applyNumberFormat="1" applyFont="1" applyFill="1" applyBorder="1" applyAlignment="1">
      <alignment horizontal="center"/>
    </xf>
    <xf numFmtId="167" fontId="16" fillId="0" borderId="21" xfId="0" applyNumberFormat="1" applyFont="1" applyFill="1" applyBorder="1" applyAlignment="1">
      <alignment horizontal="center"/>
    </xf>
    <xf numFmtId="167" fontId="16" fillId="0" borderId="2" xfId="0" applyNumberFormat="1" applyFont="1" applyFill="1" applyBorder="1" applyAlignment="1">
      <alignment horizontal="center"/>
    </xf>
    <xf numFmtId="167" fontId="16" fillId="0" borderId="22" xfId="0" applyNumberFormat="1" applyFont="1" applyFill="1" applyBorder="1" applyAlignment="1">
      <alignment horizontal="center"/>
    </xf>
    <xf numFmtId="0" fontId="16" fillId="0" borderId="1" xfId="0" applyFont="1" applyBorder="1"/>
    <xf numFmtId="0" fontId="16" fillId="0" borderId="3" xfId="0" applyFont="1" applyBorder="1" applyAlignment="1">
      <alignment horizontal="center"/>
    </xf>
    <xf numFmtId="0" fontId="16" fillId="0" borderId="3" xfId="0" applyFont="1" applyFill="1" applyBorder="1" applyAlignment="1">
      <alignment horizontal="center"/>
    </xf>
    <xf numFmtId="3" fontId="16" fillId="0" borderId="4" xfId="0" applyNumberFormat="1" applyFont="1" applyFill="1" applyBorder="1" applyAlignment="1">
      <alignment horizontal="center"/>
    </xf>
    <xf numFmtId="0" fontId="14" fillId="0" borderId="11" xfId="0" applyFont="1" applyFill="1" applyBorder="1"/>
    <xf numFmtId="167" fontId="14" fillId="0" borderId="32" xfId="0" applyNumberFormat="1" applyFont="1" applyFill="1" applyBorder="1" applyAlignment="1">
      <alignment horizontal="center"/>
    </xf>
    <xf numFmtId="167" fontId="16" fillId="0" borderId="0" xfId="0" applyNumberFormat="1" applyFont="1" applyFill="1" applyBorder="1" applyAlignment="1">
      <alignment horizontal="center"/>
    </xf>
    <xf numFmtId="167" fontId="16" fillId="0" borderId="13" xfId="0" applyNumberFormat="1" applyFont="1" applyFill="1" applyBorder="1" applyAlignment="1">
      <alignment horizontal="center"/>
    </xf>
    <xf numFmtId="167" fontId="19" fillId="0" borderId="0" xfId="0" applyNumberFormat="1" applyFont="1" applyFill="1" applyBorder="1"/>
    <xf numFmtId="167" fontId="19" fillId="0" borderId="13" xfId="0" applyNumberFormat="1" applyFont="1" applyFill="1" applyBorder="1"/>
    <xf numFmtId="42" fontId="19" fillId="0" borderId="0" xfId="0" applyNumberFormat="1" applyFont="1" applyBorder="1"/>
    <xf numFmtId="4" fontId="19" fillId="0" borderId="0" xfId="0" applyNumberFormat="1" applyFont="1" applyBorder="1" applyAlignment="1">
      <alignment horizontal="center"/>
    </xf>
    <xf numFmtId="42" fontId="19" fillId="0" borderId="13" xfId="0" applyNumberFormat="1" applyFont="1" applyBorder="1"/>
    <xf numFmtId="167" fontId="19" fillId="0" borderId="28" xfId="0" applyNumberFormat="1" applyFont="1" applyFill="1" applyBorder="1"/>
    <xf numFmtId="167" fontId="19" fillId="0" borderId="29" xfId="0" applyNumberFormat="1" applyFont="1" applyFill="1" applyBorder="1"/>
    <xf numFmtId="0" fontId="14" fillId="0" borderId="33" xfId="0" applyFont="1" applyFill="1" applyBorder="1" applyAlignment="1">
      <alignment horizontal="center"/>
    </xf>
    <xf numFmtId="0" fontId="14" fillId="0" borderId="46" xfId="0" applyFont="1" applyFill="1" applyBorder="1" applyAlignment="1">
      <alignment horizontal="center"/>
    </xf>
    <xf numFmtId="0" fontId="14" fillId="0" borderId="34" xfId="0" quotePrefix="1" applyNumberFormat="1" applyFont="1" applyFill="1" applyBorder="1" applyAlignment="1">
      <alignment horizontal="center"/>
    </xf>
    <xf numFmtId="0" fontId="14" fillId="0" borderId="43" xfId="0" quotePrefix="1" applyNumberFormat="1" applyFont="1" applyFill="1" applyBorder="1" applyAlignment="1">
      <alignment horizontal="center"/>
    </xf>
    <xf numFmtId="0" fontId="14" fillId="0" borderId="0" xfId="0" quotePrefix="1" applyNumberFormat="1" applyFont="1" applyFill="1" applyBorder="1" applyAlignment="1">
      <alignment horizontal="center"/>
    </xf>
    <xf numFmtId="0" fontId="14" fillId="0" borderId="13" xfId="0" quotePrefix="1" applyNumberFormat="1" applyFont="1" applyFill="1" applyBorder="1" applyAlignment="1">
      <alignment horizontal="center"/>
    </xf>
    <xf numFmtId="0" fontId="14" fillId="0" borderId="34" xfId="0" applyFont="1" applyBorder="1"/>
    <xf numFmtId="4" fontId="14" fillId="0" borderId="34" xfId="0" applyNumberFormat="1" applyFont="1" applyBorder="1" applyAlignment="1">
      <alignment horizontal="center"/>
    </xf>
    <xf numFmtId="42" fontId="14" fillId="0" borderId="43" xfId="0" applyNumberFormat="1" applyFont="1" applyBorder="1"/>
    <xf numFmtId="10" fontId="19" fillId="0" borderId="0" xfId="0" applyNumberFormat="1" applyFont="1" applyBorder="1"/>
    <xf numFmtId="0" fontId="14" fillId="0" borderId="0" xfId="0" applyFont="1" applyBorder="1" applyAlignment="1">
      <alignment horizontal="center"/>
    </xf>
    <xf numFmtId="169" fontId="19" fillId="0" borderId="13" xfId="0" applyNumberFormat="1" applyFont="1" applyBorder="1"/>
    <xf numFmtId="0" fontId="19" fillId="0" borderId="0" xfId="0" applyFont="1" applyBorder="1" applyAlignment="1">
      <alignment horizontal="center"/>
    </xf>
    <xf numFmtId="2" fontId="19" fillId="0" borderId="26" xfId="0" applyNumberFormat="1" applyFont="1" applyFill="1" applyBorder="1" applyAlignment="1">
      <alignment horizontal="center"/>
    </xf>
    <xf numFmtId="2" fontId="19" fillId="0" borderId="0" xfId="0" applyNumberFormat="1" applyFont="1" applyFill="1" applyBorder="1" applyAlignment="1">
      <alignment horizontal="center"/>
    </xf>
    <xf numFmtId="2" fontId="19" fillId="0" borderId="13" xfId="0" applyNumberFormat="1" applyFont="1" applyFill="1" applyBorder="1" applyAlignment="1">
      <alignment horizontal="center"/>
    </xf>
    <xf numFmtId="44" fontId="14" fillId="0" borderId="34" xfId="0" applyNumberFormat="1" applyFont="1" applyBorder="1" applyAlignment="1">
      <alignment horizontal="center"/>
    </xf>
    <xf numFmtId="42" fontId="14" fillId="0" borderId="43" xfId="0" applyNumberFormat="1" applyFont="1" applyFill="1" applyBorder="1"/>
    <xf numFmtId="167" fontId="19" fillId="0" borderId="38" xfId="0" applyNumberFormat="1" applyFont="1" applyFill="1" applyBorder="1"/>
    <xf numFmtId="0" fontId="19" fillId="0" borderId="0" xfId="0" applyFont="1" applyBorder="1"/>
    <xf numFmtId="44" fontId="19" fillId="0" borderId="0" xfId="0" applyNumberFormat="1" applyFont="1" applyBorder="1" applyAlignment="1">
      <alignment horizontal="center"/>
    </xf>
    <xf numFmtId="0" fontId="16" fillId="0" borderId="33" xfId="0" applyFont="1" applyFill="1" applyBorder="1" applyAlignment="1">
      <alignment horizontal="center"/>
    </xf>
    <xf numFmtId="0" fontId="16" fillId="0" borderId="46" xfId="0" applyFont="1" applyFill="1" applyBorder="1" applyAlignment="1">
      <alignment horizontal="center"/>
    </xf>
    <xf numFmtId="0" fontId="44" fillId="0" borderId="34" xfId="0" applyFont="1" applyFill="1" applyBorder="1" applyAlignment="1">
      <alignment horizontal="center"/>
    </xf>
    <xf numFmtId="0" fontId="44" fillId="0" borderId="43" xfId="0" applyFont="1" applyFill="1" applyBorder="1" applyAlignment="1">
      <alignment horizontal="center"/>
    </xf>
    <xf numFmtId="10" fontId="19" fillId="0" borderId="25" xfId="0" applyNumberFormat="1" applyFont="1" applyFill="1" applyBorder="1" applyAlignment="1">
      <alignment horizontal="center"/>
    </xf>
    <xf numFmtId="10" fontId="19" fillId="0" borderId="0" xfId="0" applyNumberFormat="1" applyFont="1" applyFill="1" applyBorder="1"/>
    <xf numFmtId="10" fontId="19" fillId="0" borderId="13" xfId="0" applyNumberFormat="1" applyFont="1" applyFill="1" applyBorder="1"/>
    <xf numFmtId="0" fontId="15" fillId="0" borderId="11" xfId="5" applyFont="1" applyBorder="1"/>
    <xf numFmtId="1" fontId="19" fillId="0" borderId="0" xfId="0" applyNumberFormat="1" applyFont="1" applyFill="1" applyBorder="1"/>
    <xf numFmtId="1" fontId="19" fillId="0" borderId="13" xfId="0" applyNumberFormat="1" applyFont="1" applyFill="1" applyBorder="1"/>
    <xf numFmtId="170" fontId="19" fillId="0" borderId="32" xfId="0" applyNumberFormat="1" applyFont="1" applyFill="1" applyBorder="1" applyAlignment="1">
      <alignment horizontal="center"/>
    </xf>
    <xf numFmtId="0" fontId="14" fillId="0" borderId="34" xfId="0" applyFont="1" applyBorder="1" applyAlignment="1">
      <alignment horizontal="center"/>
    </xf>
    <xf numFmtId="10" fontId="19" fillId="0" borderId="32" xfId="0" applyNumberFormat="1" applyFont="1" applyFill="1" applyBorder="1" applyAlignment="1">
      <alignment horizontal="center"/>
    </xf>
    <xf numFmtId="169" fontId="16" fillId="0" borderId="13" xfId="8" applyNumberFormat="1" applyFont="1" applyBorder="1"/>
    <xf numFmtId="0" fontId="19" fillId="0" borderId="11" xfId="5" applyFont="1" applyFill="1" applyBorder="1"/>
    <xf numFmtId="10" fontId="19" fillId="0" borderId="37" xfId="0" applyNumberFormat="1" applyFont="1" applyFill="1" applyBorder="1" applyAlignment="1">
      <alignment horizontal="center"/>
    </xf>
    <xf numFmtId="1" fontId="19" fillId="0" borderId="38" xfId="0" applyNumberFormat="1" applyFont="1" applyFill="1" applyBorder="1"/>
    <xf numFmtId="1" fontId="19" fillId="0" borderId="28" xfId="0" applyNumberFormat="1" applyFont="1" applyFill="1" applyBorder="1"/>
    <xf numFmtId="1" fontId="19" fillId="0" borderId="29" xfId="0" applyNumberFormat="1" applyFont="1" applyFill="1" applyBorder="1"/>
    <xf numFmtId="0" fontId="15" fillId="0" borderId="15" xfId="0" applyFont="1" applyBorder="1"/>
    <xf numFmtId="0" fontId="15" fillId="0" borderId="16" xfId="0" applyFont="1" applyBorder="1"/>
    <xf numFmtId="44" fontId="15" fillId="0" borderId="16" xfId="8" applyFont="1" applyBorder="1" applyAlignment="1">
      <alignment horizontal="center"/>
    </xf>
    <xf numFmtId="44" fontId="16" fillId="5" borderId="17" xfId="8" applyFont="1" applyFill="1" applyBorder="1"/>
    <xf numFmtId="0" fontId="45" fillId="0" borderId="48" xfId="0" applyFont="1" applyFill="1" applyBorder="1"/>
    <xf numFmtId="10" fontId="45" fillId="0" borderId="61" xfId="7" applyNumberFormat="1" applyFont="1" applyFill="1" applyBorder="1" applyAlignment="1">
      <alignment horizontal="center"/>
    </xf>
    <xf numFmtId="0" fontId="19" fillId="0" borderId="54" xfId="0" applyFont="1" applyFill="1" applyBorder="1"/>
    <xf numFmtId="10" fontId="19" fillId="0" borderId="7" xfId="0" applyNumberFormat="1" applyFont="1" applyFill="1" applyBorder="1"/>
    <xf numFmtId="10" fontId="19" fillId="0" borderId="9" xfId="0" applyNumberFormat="1" applyFont="1" applyFill="1" applyBorder="1"/>
    <xf numFmtId="0" fontId="17" fillId="0" borderId="0" xfId="0" applyFont="1" applyBorder="1" applyAlignment="1">
      <alignment horizontal="center"/>
    </xf>
    <xf numFmtId="6" fontId="17" fillId="0" borderId="0" xfId="0" applyNumberFormat="1" applyFont="1" applyBorder="1" applyAlignment="1">
      <alignment horizontal="center"/>
    </xf>
    <xf numFmtId="44" fontId="13" fillId="0" borderId="0" xfId="0" applyNumberFormat="1" applyFont="1" applyAlignment="1">
      <alignment horizontal="center"/>
    </xf>
    <xf numFmtId="0" fontId="46" fillId="0" borderId="0" xfId="0" applyFont="1" applyFill="1"/>
    <xf numFmtId="10" fontId="46" fillId="0" borderId="0" xfId="1" applyNumberFormat="1" applyFont="1" applyFill="1" applyAlignment="1">
      <alignment horizontal="center"/>
    </xf>
    <xf numFmtId="0" fontId="47" fillId="0" borderId="0" xfId="0" applyFont="1" applyBorder="1" applyAlignment="1">
      <alignment horizontal="center"/>
    </xf>
    <xf numFmtId="3" fontId="47" fillId="0" borderId="0" xfId="0" applyNumberFormat="1" applyFont="1" applyBorder="1" applyAlignment="1">
      <alignment horizontal="center"/>
    </xf>
    <xf numFmtId="0" fontId="42" fillId="0" borderId="0" xfId="0" applyFont="1" applyAlignment="1">
      <alignment horizontal="center"/>
    </xf>
    <xf numFmtId="169" fontId="47" fillId="0" borderId="0" xfId="0" applyNumberFormat="1" applyFont="1" applyBorder="1" applyAlignment="1">
      <alignment horizontal="center"/>
    </xf>
    <xf numFmtId="4" fontId="47" fillId="0" borderId="0" xfId="1" applyNumberFormat="1" applyFont="1" applyBorder="1" applyAlignment="1">
      <alignment horizontal="center"/>
    </xf>
    <xf numFmtId="0" fontId="47" fillId="0" borderId="0" xfId="0" applyFont="1" applyAlignment="1">
      <alignment horizontal="left"/>
    </xf>
    <xf numFmtId="0" fontId="42" fillId="0" borderId="0" xfId="0" applyFont="1" applyFill="1"/>
    <xf numFmtId="0" fontId="42" fillId="0" borderId="0" xfId="0" applyFont="1" applyFill="1" applyAlignment="1">
      <alignment horizontal="center"/>
    </xf>
    <xf numFmtId="0" fontId="48" fillId="0" borderId="0" xfId="0" applyFont="1"/>
    <xf numFmtId="0" fontId="42" fillId="0" borderId="0" xfId="0" applyFont="1" applyBorder="1"/>
    <xf numFmtId="0" fontId="42" fillId="0" borderId="0" xfId="0" applyFont="1" applyBorder="1" applyAlignment="1">
      <alignment horizontal="center"/>
    </xf>
    <xf numFmtId="0" fontId="48" fillId="0" borderId="0" xfId="0" applyFont="1" applyBorder="1"/>
    <xf numFmtId="0" fontId="48" fillId="0" borderId="0" xfId="0" applyFont="1" applyFill="1" applyBorder="1"/>
    <xf numFmtId="0" fontId="47" fillId="0" borderId="0" xfId="0" applyFont="1" applyBorder="1" applyAlignment="1">
      <alignment horizontal="right"/>
    </xf>
    <xf numFmtId="6" fontId="47" fillId="0" borderId="0" xfId="0" applyNumberFormat="1" applyFont="1" applyBorder="1" applyAlignment="1">
      <alignment horizontal="center"/>
    </xf>
    <xf numFmtId="6" fontId="47" fillId="0" borderId="0" xfId="0" applyNumberFormat="1" applyFont="1" applyFill="1" applyBorder="1" applyAlignment="1">
      <alignment horizontal="center"/>
    </xf>
    <xf numFmtId="10" fontId="47" fillId="0" borderId="0" xfId="1" applyNumberFormat="1" applyFont="1" applyBorder="1" applyAlignment="1">
      <alignment horizontal="center"/>
    </xf>
    <xf numFmtId="38" fontId="47" fillId="0" borderId="0" xfId="0" applyNumberFormat="1" applyFont="1" applyBorder="1" applyAlignment="1">
      <alignment horizontal="center"/>
    </xf>
    <xf numFmtId="0" fontId="49" fillId="0" borderId="0" xfId="0" applyFont="1"/>
    <xf numFmtId="0" fontId="53" fillId="9" borderId="3" xfId="14" applyFont="1" applyFill="1" applyBorder="1"/>
    <xf numFmtId="0" fontId="54" fillId="9" borderId="4" xfId="14" applyFont="1" applyFill="1" applyBorder="1"/>
    <xf numFmtId="0" fontId="52" fillId="0" borderId="0" xfId="14"/>
    <xf numFmtId="0" fontId="54" fillId="9" borderId="0" xfId="14" applyFont="1" applyFill="1"/>
    <xf numFmtId="0" fontId="55" fillId="9" borderId="13" xfId="14" applyFont="1" applyFill="1" applyBorder="1"/>
    <xf numFmtId="0" fontId="56" fillId="9" borderId="7" xfId="14" applyFont="1" applyFill="1" applyBorder="1"/>
    <xf numFmtId="0" fontId="55" fillId="9" borderId="9" xfId="14" applyFont="1" applyFill="1" applyBorder="1"/>
    <xf numFmtId="0" fontId="55" fillId="0" borderId="0" xfId="14" applyFont="1"/>
    <xf numFmtId="0" fontId="57" fillId="10" borderId="0" xfId="15" applyFont="1" applyFill="1"/>
    <xf numFmtId="0" fontId="57" fillId="11" borderId="0" xfId="15" applyFont="1" applyFill="1"/>
    <xf numFmtId="0" fontId="57" fillId="6" borderId="0" xfId="15" applyFont="1" applyFill="1"/>
    <xf numFmtId="0" fontId="52" fillId="12" borderId="0" xfId="16" applyFill="1"/>
    <xf numFmtId="0" fontId="52" fillId="13" borderId="0" xfId="16" applyFill="1"/>
    <xf numFmtId="14" fontId="55" fillId="0" borderId="0" xfId="14" applyNumberFormat="1" applyFont="1"/>
    <xf numFmtId="174" fontId="52" fillId="0" borderId="0" xfId="14" applyNumberFormat="1"/>
    <xf numFmtId="2" fontId="52" fillId="0" borderId="0" xfId="14" applyNumberFormat="1"/>
    <xf numFmtId="0" fontId="52" fillId="0" borderId="0" xfId="16"/>
    <xf numFmtId="175" fontId="52" fillId="0" borderId="0" xfId="14" applyNumberFormat="1"/>
    <xf numFmtId="0" fontId="55" fillId="0" borderId="0" xfId="17" applyFont="1"/>
    <xf numFmtId="0" fontId="52" fillId="0" borderId="0" xfId="17"/>
    <xf numFmtId="0" fontId="58" fillId="0" borderId="0" xfId="17" applyFont="1"/>
    <xf numFmtId="0" fontId="59" fillId="0" borderId="0" xfId="17" applyFont="1"/>
    <xf numFmtId="0" fontId="52" fillId="0" borderId="45" xfId="17" applyBorder="1"/>
    <xf numFmtId="0" fontId="52" fillId="0" borderId="12" xfId="17" applyBorder="1"/>
    <xf numFmtId="0" fontId="52" fillId="0" borderId="73" xfId="17" applyBorder="1"/>
    <xf numFmtId="0" fontId="52" fillId="0" borderId="26" xfId="17" applyBorder="1"/>
    <xf numFmtId="0" fontId="52" fillId="0" borderId="0" xfId="17" applyAlignment="1">
      <alignment horizontal="right"/>
    </xf>
    <xf numFmtId="0" fontId="52" fillId="0" borderId="74" xfId="17" applyBorder="1"/>
    <xf numFmtId="0" fontId="55" fillId="0" borderId="0" xfId="18" applyFont="1"/>
    <xf numFmtId="0" fontId="60" fillId="0" borderId="74" xfId="17" applyFont="1" applyBorder="1" applyAlignment="1">
      <alignment horizontal="center"/>
    </xf>
    <xf numFmtId="14" fontId="52" fillId="0" borderId="0" xfId="14" applyNumberFormat="1"/>
    <xf numFmtId="174" fontId="52" fillId="0" borderId="0" xfId="18" applyNumberFormat="1"/>
    <xf numFmtId="174" fontId="52" fillId="0" borderId="74" xfId="17" applyNumberFormat="1" applyBorder="1" applyAlignment="1">
      <alignment horizontal="center"/>
    </xf>
    <xf numFmtId="0" fontId="52" fillId="0" borderId="74" xfId="17" applyBorder="1" applyAlignment="1">
      <alignment horizontal="center"/>
    </xf>
    <xf numFmtId="0" fontId="55" fillId="5" borderId="0" xfId="17" applyFont="1" applyFill="1" applyAlignment="1">
      <alignment horizontal="right"/>
    </xf>
    <xf numFmtId="10" fontId="55" fillId="5" borderId="74" xfId="19" applyNumberFormat="1" applyFont="1" applyFill="1" applyBorder="1" applyAlignment="1">
      <alignment horizontal="center"/>
    </xf>
    <xf numFmtId="0" fontId="52" fillId="0" borderId="38" xfId="17" applyBorder="1"/>
    <xf numFmtId="0" fontId="52" fillId="0" borderId="28" xfId="17" applyBorder="1"/>
    <xf numFmtId="0" fontId="52" fillId="0" borderId="69" xfId="17" applyBorder="1"/>
    <xf numFmtId="0" fontId="37" fillId="0" borderId="0" xfId="211" applyFont="1" applyFill="1"/>
    <xf numFmtId="0" fontId="1" fillId="0" borderId="0" xfId="6"/>
    <xf numFmtId="0" fontId="80" fillId="37" borderId="15" xfId="212" applyFont="1" applyFill="1" applyBorder="1" applyAlignment="1">
      <alignment horizontal="center" vertical="center"/>
    </xf>
    <xf numFmtId="0" fontId="80" fillId="37" borderId="16" xfId="212" applyFont="1" applyFill="1" applyBorder="1" applyAlignment="1">
      <alignment horizontal="center" vertical="center"/>
    </xf>
    <xf numFmtId="0" fontId="80" fillId="37" borderId="17" xfId="212" applyFont="1" applyFill="1" applyBorder="1" applyAlignment="1">
      <alignment horizontal="center" vertical="center"/>
    </xf>
    <xf numFmtId="0" fontId="81" fillId="0" borderId="0" xfId="6" applyFont="1"/>
    <xf numFmtId="0" fontId="80" fillId="37" borderId="19" xfId="11" applyFont="1" applyFill="1" applyBorder="1" applyAlignment="1">
      <alignment horizontal="left" vertical="center"/>
    </xf>
    <xf numFmtId="0" fontId="80" fillId="37" borderId="84" xfId="11" applyFont="1" applyFill="1" applyBorder="1" applyAlignment="1">
      <alignment horizontal="right" vertical="center"/>
    </xf>
    <xf numFmtId="2" fontId="80" fillId="37" borderId="4" xfId="11" applyNumberFormat="1" applyFont="1" applyFill="1" applyBorder="1" applyAlignment="1">
      <alignment horizontal="right" vertical="center"/>
    </xf>
    <xf numFmtId="167" fontId="80" fillId="37" borderId="15" xfId="156" applyNumberFormat="1" applyFont="1" applyFill="1" applyBorder="1" applyAlignment="1">
      <alignment horizontal="center" vertical="center"/>
    </xf>
    <xf numFmtId="167" fontId="80" fillId="37" borderId="16" xfId="156" applyNumberFormat="1" applyFont="1" applyFill="1" applyBorder="1" applyAlignment="1">
      <alignment horizontal="center" vertical="center"/>
    </xf>
    <xf numFmtId="167" fontId="80" fillId="37" borderId="4" xfId="156" applyNumberFormat="1" applyFont="1" applyFill="1" applyBorder="1" applyAlignment="1">
      <alignment horizontal="center" vertical="center"/>
    </xf>
    <xf numFmtId="0" fontId="82" fillId="4" borderId="19" xfId="212" applyFont="1" applyFill="1" applyBorder="1" applyAlignment="1">
      <alignment vertical="center"/>
    </xf>
    <xf numFmtId="0" fontId="82" fillId="4" borderId="2" xfId="212" applyFont="1" applyFill="1" applyBorder="1" applyAlignment="1">
      <alignment horizontal="right" vertical="center"/>
    </xf>
    <xf numFmtId="3" fontId="82" fillId="4" borderId="22" xfId="212" applyNumberFormat="1" applyFont="1" applyFill="1" applyBorder="1" applyAlignment="1">
      <alignment horizontal="center" vertical="center"/>
    </xf>
    <xf numFmtId="0" fontId="80" fillId="4" borderId="39" xfId="11" applyFont="1" applyFill="1" applyBorder="1" applyAlignment="1">
      <alignment horizontal="left" vertical="center"/>
    </xf>
    <xf numFmtId="3" fontId="80" fillId="4" borderId="25" xfId="11" applyNumberFormat="1" applyFont="1" applyFill="1" applyBorder="1" applyAlignment="1">
      <alignment vertical="center"/>
    </xf>
    <xf numFmtId="3" fontId="80" fillId="4" borderId="40" xfId="11" applyNumberFormat="1" applyFont="1" applyFill="1" applyBorder="1" applyAlignment="1">
      <alignment vertical="center"/>
    </xf>
    <xf numFmtId="167" fontId="83" fillId="4" borderId="21" xfId="156" applyNumberFormat="1" applyFont="1" applyFill="1" applyBorder="1" applyAlignment="1">
      <alignment horizontal="center" vertical="center"/>
    </xf>
    <xf numFmtId="167" fontId="83" fillId="4" borderId="2" xfId="156" applyNumberFormat="1" applyFont="1" applyFill="1" applyBorder="1" applyAlignment="1">
      <alignment horizontal="center" vertical="center"/>
    </xf>
    <xf numFmtId="0" fontId="84" fillId="4" borderId="47" xfId="156" applyFont="1" applyFill="1" applyBorder="1" applyAlignment="1">
      <alignment horizontal="center" vertical="center"/>
    </xf>
    <xf numFmtId="0" fontId="82" fillId="4" borderId="27" xfId="212" applyFont="1" applyFill="1" applyBorder="1" applyAlignment="1">
      <alignment vertical="center"/>
    </xf>
    <xf numFmtId="0" fontId="82" fillId="4" borderId="28" xfId="212" applyFont="1" applyFill="1" applyBorder="1" applyAlignment="1">
      <alignment horizontal="right" vertical="center"/>
    </xf>
    <xf numFmtId="0" fontId="82" fillId="4" borderId="29" xfId="212" applyFont="1" applyFill="1" applyBorder="1" applyAlignment="1">
      <alignment horizontal="right" vertical="center"/>
    </xf>
    <xf numFmtId="0" fontId="85" fillId="4" borderId="39" xfId="11" applyFont="1" applyFill="1" applyBorder="1" applyAlignment="1">
      <alignment horizontal="left" vertical="center"/>
    </xf>
    <xf numFmtId="3" fontId="85" fillId="4" borderId="25" xfId="11" applyNumberFormat="1" applyFont="1" applyFill="1" applyBorder="1" applyAlignment="1">
      <alignment vertical="center"/>
    </xf>
    <xf numFmtId="3" fontId="85" fillId="4" borderId="59" xfId="11" applyNumberFormat="1" applyFont="1" applyFill="1" applyBorder="1" applyAlignment="1">
      <alignment vertical="center"/>
    </xf>
    <xf numFmtId="0" fontId="85" fillId="4" borderId="70" xfId="156" applyFont="1" applyFill="1" applyBorder="1" applyAlignment="1">
      <alignment vertical="center"/>
    </xf>
    <xf numFmtId="5" fontId="86" fillId="4" borderId="34" xfId="156" applyNumberFormat="1" applyFont="1" applyFill="1" applyBorder="1" applyAlignment="1">
      <alignment vertical="center"/>
    </xf>
    <xf numFmtId="0" fontId="87" fillId="4" borderId="47" xfId="6" applyFont="1" applyFill="1" applyBorder="1"/>
    <xf numFmtId="0" fontId="85" fillId="4" borderId="11" xfId="156" applyFont="1" applyFill="1" applyBorder="1" applyAlignment="1">
      <alignment vertical="center"/>
    </xf>
    <xf numFmtId="5" fontId="86" fillId="4" borderId="0" xfId="212" applyNumberFormat="1" applyFont="1" applyFill="1" applyBorder="1" applyAlignment="1">
      <alignment vertical="center"/>
    </xf>
    <xf numFmtId="4" fontId="88" fillId="4" borderId="0" xfId="212" applyNumberFormat="1" applyFont="1" applyFill="1" applyBorder="1" applyAlignment="1">
      <alignment vertical="center"/>
    </xf>
    <xf numFmtId="42" fontId="89" fillId="4" borderId="13" xfId="212" applyNumberFormat="1" applyFont="1" applyFill="1" applyBorder="1" applyAlignment="1">
      <alignment vertical="center"/>
    </xf>
    <xf numFmtId="0" fontId="85" fillId="4" borderId="11" xfId="11" applyFont="1" applyFill="1" applyBorder="1" applyAlignment="1">
      <alignment horizontal="left" vertical="center"/>
    </xf>
    <xf numFmtId="176" fontId="85" fillId="4" borderId="32" xfId="11" applyNumberFormat="1" applyFont="1" applyFill="1" applyBorder="1" applyAlignment="1">
      <alignment vertical="center"/>
    </xf>
    <xf numFmtId="3" fontId="85" fillId="4" borderId="32" xfId="11" applyNumberFormat="1" applyFont="1" applyFill="1" applyBorder="1" applyAlignment="1">
      <alignment vertical="center"/>
    </xf>
    <xf numFmtId="3" fontId="85" fillId="4" borderId="13" xfId="11" applyNumberFormat="1" applyFont="1" applyFill="1" applyBorder="1" applyAlignment="1">
      <alignment vertical="center"/>
    </xf>
    <xf numFmtId="0" fontId="85" fillId="4" borderId="38" xfId="156" applyFont="1" applyFill="1" applyBorder="1" applyAlignment="1">
      <alignment vertical="center"/>
    </xf>
    <xf numFmtId="5" fontId="86" fillId="4" borderId="28" xfId="156" applyNumberFormat="1" applyFont="1" applyFill="1" applyBorder="1" applyAlignment="1">
      <alignment vertical="center"/>
    </xf>
    <xf numFmtId="0" fontId="85" fillId="4" borderId="11" xfId="11" applyFont="1" applyFill="1" applyBorder="1" applyAlignment="1">
      <alignment horizontal="left" vertical="center" wrapText="1"/>
    </xf>
    <xf numFmtId="0" fontId="85" fillId="4" borderId="27" xfId="11" applyFont="1" applyFill="1" applyBorder="1" applyAlignment="1">
      <alignment horizontal="left" vertical="center"/>
    </xf>
    <xf numFmtId="176" fontId="85" fillId="0" borderId="37" xfId="11" applyNumberFormat="1" applyFont="1" applyFill="1" applyBorder="1" applyAlignment="1">
      <alignment vertical="center"/>
    </xf>
    <xf numFmtId="3" fontId="85" fillId="0" borderId="37" xfId="11" applyNumberFormat="1" applyFont="1" applyFill="1" applyBorder="1" applyAlignment="1">
      <alignment vertical="center"/>
    </xf>
    <xf numFmtId="3" fontId="85" fillId="0" borderId="30" xfId="11" applyNumberFormat="1" applyFont="1" applyFill="1" applyBorder="1" applyAlignment="1">
      <alignment vertical="center"/>
    </xf>
    <xf numFmtId="0" fontId="80" fillId="4" borderId="45" xfId="156" applyFont="1" applyFill="1" applyBorder="1" applyAlignment="1">
      <alignment horizontal="center" vertical="center"/>
    </xf>
    <xf numFmtId="0" fontId="80" fillId="4" borderId="12" xfId="156" applyFont="1" applyFill="1" applyBorder="1" applyAlignment="1">
      <alignment horizontal="center" vertical="center"/>
    </xf>
    <xf numFmtId="0" fontId="87" fillId="4" borderId="47" xfId="156" applyFont="1" applyFill="1" applyBorder="1" applyAlignment="1">
      <alignment horizontal="left" vertical="center"/>
    </xf>
    <xf numFmtId="0" fontId="82" fillId="4" borderId="33" xfId="212" applyFont="1" applyFill="1" applyBorder="1" applyAlignment="1">
      <alignment vertical="center"/>
    </xf>
    <xf numFmtId="0" fontId="82" fillId="4" borderId="34" xfId="212" applyFont="1" applyFill="1" applyBorder="1" applyAlignment="1">
      <alignment vertical="center"/>
    </xf>
    <xf numFmtId="4" fontId="82" fillId="4" borderId="34" xfId="212" applyNumberFormat="1" applyFont="1" applyFill="1" applyBorder="1" applyAlignment="1">
      <alignment vertical="center"/>
    </xf>
    <xf numFmtId="42" fontId="82" fillId="4" borderId="43" xfId="212" applyNumberFormat="1" applyFont="1" applyFill="1" applyBorder="1" applyAlignment="1">
      <alignment vertical="center"/>
    </xf>
    <xf numFmtId="3" fontId="85" fillId="0" borderId="0" xfId="11" applyNumberFormat="1" applyFont="1" applyFill="1" applyBorder="1" applyAlignment="1">
      <alignment vertical="center"/>
    </xf>
    <xf numFmtId="3" fontId="85" fillId="0" borderId="13" xfId="11" applyNumberFormat="1" applyFont="1" applyFill="1" applyBorder="1" applyAlignment="1">
      <alignment vertical="center"/>
    </xf>
    <xf numFmtId="10" fontId="86" fillId="4" borderId="28" xfId="195" applyNumberFormat="1" applyFont="1" applyFill="1" applyBorder="1" applyAlignment="1">
      <alignment vertical="center"/>
    </xf>
    <xf numFmtId="5" fontId="90" fillId="0" borderId="0" xfId="138" applyNumberFormat="1" applyFont="1" applyFill="1" applyBorder="1"/>
    <xf numFmtId="175" fontId="89" fillId="4" borderId="11" xfId="212" applyNumberFormat="1" applyFont="1" applyFill="1" applyBorder="1" applyAlignment="1">
      <alignment vertical="center"/>
    </xf>
    <xf numFmtId="10" fontId="89" fillId="4" borderId="0" xfId="212" applyNumberFormat="1" applyFont="1" applyFill="1" applyBorder="1" applyAlignment="1">
      <alignment vertical="center"/>
    </xf>
    <xf numFmtId="0" fontId="82" fillId="4" borderId="0" xfId="212" applyFont="1" applyFill="1" applyBorder="1" applyAlignment="1">
      <alignment vertical="center"/>
    </xf>
    <xf numFmtId="169" fontId="89" fillId="4" borderId="13" xfId="212" applyNumberFormat="1" applyFont="1" applyFill="1" applyBorder="1" applyAlignment="1">
      <alignment vertical="center"/>
    </xf>
    <xf numFmtId="0" fontId="80" fillId="4" borderId="11" xfId="11" applyFont="1" applyFill="1" applyBorder="1" applyAlignment="1">
      <alignment horizontal="left" vertical="center"/>
    </xf>
    <xf numFmtId="3" fontId="80" fillId="4" borderId="0" xfId="11" applyNumberFormat="1" applyFont="1" applyFill="1" applyBorder="1" applyAlignment="1">
      <alignment vertical="center"/>
    </xf>
    <xf numFmtId="3" fontId="80" fillId="4" borderId="13" xfId="11" applyNumberFormat="1" applyFont="1" applyFill="1" applyBorder="1" applyAlignment="1">
      <alignment vertical="center"/>
    </xf>
    <xf numFmtId="0" fontId="85" fillId="0" borderId="26" xfId="156" applyFont="1" applyFill="1" applyBorder="1" applyAlignment="1">
      <alignment vertical="center"/>
    </xf>
    <xf numFmtId="166" fontId="86" fillId="4" borderId="73" xfId="195" applyNumberFormat="1" applyFont="1" applyFill="1" applyBorder="1" applyAlignment="1">
      <alignment vertical="center"/>
    </xf>
    <xf numFmtId="0" fontId="87" fillId="4" borderId="25" xfId="156" applyFont="1" applyFill="1" applyBorder="1" applyAlignment="1">
      <alignment horizontal="left" vertical="center" wrapText="1"/>
    </xf>
    <xf numFmtId="166" fontId="86" fillId="4" borderId="28" xfId="195" applyNumberFormat="1" applyFont="1" applyFill="1" applyBorder="1" applyAlignment="1">
      <alignment horizontal="right" vertical="center"/>
    </xf>
    <xf numFmtId="0" fontId="89" fillId="4" borderId="11" xfId="212" applyFont="1" applyFill="1" applyBorder="1" applyAlignment="1">
      <alignment vertical="center"/>
    </xf>
    <xf numFmtId="10" fontId="86" fillId="4" borderId="0" xfId="212" applyNumberFormat="1" applyFont="1" applyFill="1" applyBorder="1" applyAlignment="1">
      <alignment vertical="center"/>
    </xf>
    <xf numFmtId="0" fontId="89" fillId="4" borderId="0" xfId="212" applyFont="1" applyFill="1" applyBorder="1" applyAlignment="1">
      <alignment vertical="center"/>
    </xf>
    <xf numFmtId="0" fontId="80" fillId="4" borderId="27" xfId="11" applyFont="1" applyFill="1" applyBorder="1" applyAlignment="1">
      <alignment horizontal="left" vertical="center"/>
    </xf>
    <xf numFmtId="3" fontId="85" fillId="4" borderId="28" xfId="11" applyNumberFormat="1" applyFont="1" applyFill="1" applyBorder="1" applyAlignment="1">
      <alignment vertical="center"/>
    </xf>
    <xf numFmtId="3" fontId="85" fillId="4" borderId="29" xfId="11" applyNumberFormat="1" applyFont="1" applyFill="1" applyBorder="1" applyAlignment="1">
      <alignment vertical="center"/>
    </xf>
    <xf numFmtId="0" fontId="89" fillId="0" borderId="38" xfId="212" applyFont="1" applyFill="1" applyBorder="1" applyAlignment="1">
      <alignment vertical="center"/>
    </xf>
    <xf numFmtId="166" fontId="86" fillId="4" borderId="69" xfId="195" applyNumberFormat="1" applyFont="1" applyFill="1" applyBorder="1" applyAlignment="1">
      <alignment vertical="center"/>
    </xf>
    <xf numFmtId="0" fontId="87" fillId="4" borderId="37" xfId="156" applyFont="1" applyFill="1" applyBorder="1" applyAlignment="1">
      <alignment horizontal="left" vertical="center" wrapText="1"/>
    </xf>
    <xf numFmtId="0" fontId="82" fillId="4" borderId="51" xfId="212" applyFont="1" applyFill="1" applyBorder="1" applyAlignment="1">
      <alignment vertical="center"/>
    </xf>
    <xf numFmtId="0" fontId="82" fillId="4" borderId="52" xfId="212" applyFont="1" applyFill="1" applyBorder="1" applyAlignment="1">
      <alignment vertical="center"/>
    </xf>
    <xf numFmtId="44" fontId="82" fillId="4" borderId="52" xfId="212" applyNumberFormat="1" applyFont="1" applyFill="1" applyBorder="1" applyAlignment="1">
      <alignment vertical="center"/>
    </xf>
    <xf numFmtId="42" fontId="82" fillId="4" borderId="53" xfId="212" applyNumberFormat="1" applyFont="1" applyFill="1" applyBorder="1" applyAlignment="1">
      <alignment vertical="center"/>
    </xf>
    <xf numFmtId="4" fontId="80" fillId="4" borderId="0" xfId="213" applyNumberFormat="1" applyFont="1" applyFill="1" applyBorder="1" applyAlignment="1">
      <alignment vertical="center"/>
    </xf>
    <xf numFmtId="4" fontId="80" fillId="4" borderId="13" xfId="213" applyNumberFormat="1" applyFont="1" applyFill="1" applyBorder="1" applyAlignment="1">
      <alignment vertical="center"/>
    </xf>
    <xf numFmtId="175" fontId="85" fillId="0" borderId="38" xfId="11" applyNumberFormat="1" applyFont="1" applyFill="1" applyBorder="1" applyAlignment="1">
      <alignment vertical="center"/>
    </xf>
    <xf numFmtId="0" fontId="87" fillId="0" borderId="0" xfId="6" applyFont="1"/>
    <xf numFmtId="166" fontId="86" fillId="4" borderId="0" xfId="212" applyNumberFormat="1" applyFont="1" applyFill="1" applyBorder="1" applyAlignment="1">
      <alignment horizontal="center" vertical="center"/>
    </xf>
    <xf numFmtId="44" fontId="82" fillId="4" borderId="0" xfId="212" applyNumberFormat="1" applyFont="1" applyFill="1" applyBorder="1" applyAlignment="1">
      <alignment vertical="center"/>
    </xf>
    <xf numFmtId="169" fontId="89" fillId="4" borderId="13" xfId="72" applyNumberFormat="1" applyFont="1" applyFill="1" applyBorder="1" applyAlignment="1">
      <alignment vertical="center"/>
    </xf>
    <xf numFmtId="0" fontId="80" fillId="4" borderId="15" xfId="11" applyFont="1" applyFill="1" applyBorder="1" applyAlignment="1">
      <alignment horizontal="left" vertical="center"/>
    </xf>
    <xf numFmtId="43" fontId="80" fillId="4" borderId="16" xfId="11" applyNumberFormat="1" applyFont="1" applyFill="1" applyBorder="1" applyAlignment="1">
      <alignment vertical="center"/>
    </xf>
    <xf numFmtId="2" fontId="80" fillId="4" borderId="16" xfId="11" applyNumberFormat="1" applyFont="1" applyFill="1" applyBorder="1" applyAlignment="1">
      <alignment vertical="center"/>
    </xf>
    <xf numFmtId="3" fontId="80" fillId="4" borderId="17" xfId="11" applyNumberFormat="1" applyFont="1" applyFill="1" applyBorder="1" applyAlignment="1">
      <alignment vertical="center"/>
    </xf>
    <xf numFmtId="10" fontId="86" fillId="4" borderId="28" xfId="1" applyNumberFormat="1" applyFont="1" applyFill="1" applyBorder="1" applyAlignment="1">
      <alignment horizontal="right" vertical="center"/>
    </xf>
    <xf numFmtId="0" fontId="85" fillId="0" borderId="47" xfId="6" applyFont="1" applyBorder="1"/>
    <xf numFmtId="169" fontId="89" fillId="4" borderId="29" xfId="72" applyNumberFormat="1" applyFont="1" applyFill="1" applyBorder="1" applyAlignment="1">
      <alignment vertical="center"/>
    </xf>
    <xf numFmtId="0" fontId="85" fillId="4" borderId="26" xfId="156" applyFont="1" applyFill="1" applyBorder="1" applyAlignment="1">
      <alignment vertical="center"/>
    </xf>
    <xf numFmtId="10" fontId="86" fillId="4" borderId="0" xfId="195" applyNumberFormat="1" applyFont="1" applyFill="1" applyBorder="1" applyAlignment="1">
      <alignment vertical="center"/>
    </xf>
    <xf numFmtId="0" fontId="85" fillId="4" borderId="47" xfId="6" applyFont="1" applyFill="1" applyBorder="1"/>
    <xf numFmtId="0" fontId="85" fillId="0" borderId="70" xfId="156" applyFont="1" applyFill="1" applyBorder="1" applyAlignment="1">
      <alignment vertical="center"/>
    </xf>
    <xf numFmtId="10" fontId="85" fillId="0" borderId="34" xfId="214" applyNumberFormat="1" applyFont="1" applyFill="1" applyBorder="1" applyAlignment="1">
      <alignment vertical="center"/>
    </xf>
    <xf numFmtId="0" fontId="85" fillId="0" borderId="47" xfId="156" applyFont="1" applyFill="1" applyBorder="1" applyAlignment="1">
      <alignment horizontal="left" vertical="center" wrapText="1"/>
    </xf>
    <xf numFmtId="0" fontId="85" fillId="0" borderId="0" xfId="156" applyFont="1" applyFill="1" applyBorder="1" applyAlignment="1">
      <alignment vertical="center"/>
    </xf>
    <xf numFmtId="10" fontId="85" fillId="0" borderId="0" xfId="214" applyNumberFormat="1" applyFont="1" applyFill="1" applyBorder="1" applyAlignment="1">
      <alignment vertical="center"/>
    </xf>
    <xf numFmtId="0" fontId="85" fillId="0" borderId="0" xfId="156" applyFont="1" applyFill="1" applyBorder="1" applyAlignment="1">
      <alignment horizontal="left" vertical="center" wrapText="1"/>
    </xf>
    <xf numFmtId="0" fontId="82" fillId="4" borderId="56" xfId="212" applyFont="1" applyFill="1" applyBorder="1" applyAlignment="1">
      <alignment vertical="center"/>
    </xf>
    <xf numFmtId="0" fontId="89" fillId="4" borderId="57" xfId="212" applyFont="1" applyFill="1" applyBorder="1" applyAlignment="1">
      <alignment vertical="center"/>
    </xf>
    <xf numFmtId="42" fontId="82" fillId="4" borderId="58" xfId="212" applyNumberFormat="1" applyFont="1" applyFill="1" applyBorder="1" applyAlignment="1">
      <alignment vertical="center"/>
    </xf>
    <xf numFmtId="0" fontId="1" fillId="0" borderId="0" xfId="6" applyAlignment="1">
      <alignment vertical="center"/>
    </xf>
    <xf numFmtId="0" fontId="82" fillId="4" borderId="11" xfId="212" applyFont="1" applyFill="1" applyBorder="1" applyAlignment="1">
      <alignment vertical="center"/>
    </xf>
    <xf numFmtId="42" fontId="82" fillId="4" borderId="13" xfId="212" applyNumberFormat="1" applyFont="1" applyFill="1" applyBorder="1" applyAlignment="1">
      <alignment vertical="center"/>
    </xf>
    <xf numFmtId="0" fontId="27" fillId="0" borderId="1" xfId="6" applyFont="1" applyBorder="1" applyAlignment="1">
      <alignment horizontal="left" vertical="center" wrapText="1"/>
    </xf>
    <xf numFmtId="0" fontId="27" fillId="0" borderId="3" xfId="6" applyFont="1" applyBorder="1" applyAlignment="1">
      <alignment horizontal="left" vertical="center" wrapText="1"/>
    </xf>
    <xf numFmtId="0" fontId="27" fillId="0" borderId="4" xfId="6" applyFont="1" applyBorder="1" applyAlignment="1">
      <alignment horizontal="left" vertical="center" wrapText="1"/>
    </xf>
    <xf numFmtId="10" fontId="91" fillId="4" borderId="0" xfId="212" applyNumberFormat="1" applyFont="1" applyFill="1" applyBorder="1" applyAlignment="1">
      <alignment vertical="center"/>
    </xf>
    <xf numFmtId="169" fontId="82" fillId="4" borderId="13" xfId="212" applyNumberFormat="1" applyFont="1" applyFill="1" applyBorder="1" applyAlignment="1">
      <alignment horizontal="right" vertical="center"/>
    </xf>
    <xf numFmtId="0" fontId="27" fillId="0" borderId="11" xfId="6" applyFont="1" applyBorder="1" applyAlignment="1">
      <alignment horizontal="left" vertical="center" wrapText="1"/>
    </xf>
    <xf numFmtId="0" fontId="27" fillId="0" borderId="0" xfId="6" applyFont="1" applyBorder="1" applyAlignment="1">
      <alignment horizontal="left" vertical="center" wrapText="1"/>
    </xf>
    <xf numFmtId="0" fontId="27" fillId="0" borderId="13" xfId="6" applyFont="1" applyBorder="1" applyAlignment="1">
      <alignment horizontal="left" vertical="center" wrapText="1"/>
    </xf>
    <xf numFmtId="0" fontId="89" fillId="4" borderId="15" xfId="212" applyFont="1" applyFill="1" applyBorder="1" applyAlignment="1">
      <alignment vertical="center"/>
    </xf>
    <xf numFmtId="10" fontId="85" fillId="4" borderId="16" xfId="11" applyNumberFormat="1" applyFont="1" applyFill="1" applyBorder="1" applyAlignment="1">
      <alignment vertical="center"/>
    </xf>
    <xf numFmtId="0" fontId="85" fillId="4" borderId="16" xfId="11" applyFont="1" applyFill="1" applyBorder="1" applyAlignment="1">
      <alignment vertical="center"/>
    </xf>
    <xf numFmtId="44" fontId="92" fillId="0" borderId="17" xfId="72" applyFont="1" applyFill="1" applyBorder="1" applyAlignment="1">
      <alignment horizontal="center" vertical="center"/>
    </xf>
    <xf numFmtId="0" fontId="82" fillId="4" borderId="6" xfId="212" applyFont="1" applyFill="1" applyBorder="1" applyAlignment="1">
      <alignment vertical="center"/>
    </xf>
    <xf numFmtId="10" fontId="85" fillId="4" borderId="7" xfId="11" applyNumberFormat="1" applyFont="1" applyFill="1" applyBorder="1" applyAlignment="1">
      <alignment vertical="center"/>
    </xf>
    <xf numFmtId="0" fontId="85" fillId="4" borderId="7" xfId="11" applyFont="1" applyFill="1" applyBorder="1" applyAlignment="1">
      <alignment vertical="center"/>
    </xf>
    <xf numFmtId="44" fontId="93" fillId="5" borderId="10" xfId="72" applyFont="1" applyFill="1" applyBorder="1" applyAlignment="1">
      <alignment horizontal="center" vertical="center"/>
    </xf>
    <xf numFmtId="8" fontId="87" fillId="0" borderId="0" xfId="6" applyNumberFormat="1" applyFont="1"/>
    <xf numFmtId="10" fontId="87" fillId="0" borderId="0" xfId="1" applyNumberFormat="1" applyFont="1"/>
    <xf numFmtId="0" fontId="27" fillId="0" borderId="6" xfId="6" applyFont="1" applyBorder="1" applyAlignment="1">
      <alignment horizontal="left" vertical="center" wrapText="1"/>
    </xf>
    <xf numFmtId="0" fontId="27" fillId="0" borderId="7" xfId="6" applyFont="1" applyBorder="1" applyAlignment="1">
      <alignment horizontal="left" vertical="center" wrapText="1"/>
    </xf>
    <xf numFmtId="0" fontId="27" fillId="0" borderId="9" xfId="6" applyFont="1" applyBorder="1" applyAlignment="1">
      <alignment horizontal="left" vertical="center" wrapText="1"/>
    </xf>
    <xf numFmtId="44" fontId="1" fillId="0" borderId="0" xfId="6" applyNumberFormat="1"/>
    <xf numFmtId="0" fontId="1" fillId="0" borderId="0" xfId="6" applyAlignment="1">
      <alignment vertical="center" wrapText="1"/>
    </xf>
    <xf numFmtId="44" fontId="0" fillId="0" borderId="0" xfId="72" applyFont="1"/>
    <xf numFmtId="174" fontId="1" fillId="0" borderId="0" xfId="6" applyNumberFormat="1"/>
    <xf numFmtId="0" fontId="93" fillId="0" borderId="0" xfId="211" applyFont="1" applyFill="1"/>
    <xf numFmtId="42" fontId="92" fillId="0" borderId="0" xfId="211" applyNumberFormat="1" applyFont="1" applyFill="1"/>
    <xf numFmtId="0" fontId="92" fillId="0" borderId="0" xfId="211" applyFont="1" applyFill="1"/>
    <xf numFmtId="0" fontId="92" fillId="0" borderId="0" xfId="211" applyFont="1"/>
    <xf numFmtId="0" fontId="94" fillId="0" borderId="0" xfId="211" applyFont="1" applyFill="1" applyAlignment="1">
      <alignment vertical="center"/>
    </xf>
    <xf numFmtId="0" fontId="94" fillId="0" borderId="0" xfId="211" applyFont="1" applyFill="1" applyBorder="1" applyAlignment="1">
      <alignment vertical="center"/>
    </xf>
    <xf numFmtId="167" fontId="93" fillId="0" borderId="0" xfId="211" applyNumberFormat="1" applyFont="1" applyFill="1" applyBorder="1" applyAlignment="1"/>
    <xf numFmtId="0" fontId="93" fillId="6" borderId="15" xfId="138" applyFont="1" applyFill="1" applyBorder="1" applyAlignment="1">
      <alignment horizontal="center"/>
    </xf>
    <xf numFmtId="0" fontId="93" fillId="6" borderId="16" xfId="138" applyFont="1" applyFill="1" applyBorder="1" applyAlignment="1">
      <alignment horizontal="center"/>
    </xf>
    <xf numFmtId="0" fontId="93" fillId="6" borderId="17" xfId="138" applyFont="1" applyFill="1" applyBorder="1" applyAlignment="1">
      <alignment horizontal="center"/>
    </xf>
    <xf numFmtId="0" fontId="93" fillId="0" borderId="0" xfId="138" applyFont="1" applyFill="1" applyBorder="1" applyAlignment="1">
      <alignment horizontal="center"/>
    </xf>
    <xf numFmtId="167" fontId="93" fillId="6" borderId="15" xfId="135" applyNumberFormat="1" applyFont="1" applyFill="1" applyBorder="1" applyAlignment="1">
      <alignment horizontal="center" vertical="center"/>
    </xf>
    <xf numFmtId="167" fontId="93" fillId="6" borderId="16" xfId="135" applyNumberFormat="1" applyFont="1" applyFill="1" applyBorder="1" applyAlignment="1">
      <alignment horizontal="center" vertical="center"/>
    </xf>
    <xf numFmtId="167" fontId="93" fillId="6" borderId="17" xfId="135" applyNumberFormat="1" applyFont="1" applyFill="1" applyBorder="1" applyAlignment="1">
      <alignment horizontal="center" vertical="center"/>
    </xf>
    <xf numFmtId="0" fontId="92" fillId="0" borderId="15" xfId="211" applyFont="1" applyFill="1" applyBorder="1" applyAlignment="1">
      <alignment horizontal="right"/>
    </xf>
    <xf numFmtId="1" fontId="92" fillId="0" borderId="16" xfId="211" applyNumberFormat="1" applyFont="1" applyFill="1" applyBorder="1"/>
    <xf numFmtId="0" fontId="92" fillId="0" borderId="16" xfId="211" applyFont="1" applyFill="1" applyBorder="1" applyAlignment="1">
      <alignment horizontal="right"/>
    </xf>
    <xf numFmtId="177" fontId="92" fillId="0" borderId="16" xfId="215" applyNumberFormat="1" applyFont="1" applyFill="1" applyBorder="1"/>
    <xf numFmtId="177" fontId="92" fillId="0" borderId="17" xfId="215" applyNumberFormat="1" applyFont="1" applyFill="1" applyBorder="1"/>
    <xf numFmtId="0" fontId="92" fillId="0" borderId="0" xfId="211" applyFont="1" applyFill="1" applyBorder="1"/>
    <xf numFmtId="43" fontId="92" fillId="0" borderId="0" xfId="50" applyNumberFormat="1" applyFont="1" applyFill="1" applyBorder="1"/>
    <xf numFmtId="167" fontId="93" fillId="0" borderId="1" xfId="135" applyNumberFormat="1" applyFont="1" applyFill="1" applyBorder="1" applyAlignment="1">
      <alignment horizontal="center"/>
    </xf>
    <xf numFmtId="167" fontId="93" fillId="0" borderId="3" xfId="135" applyNumberFormat="1" applyFont="1" applyFill="1" applyBorder="1" applyAlignment="1">
      <alignment horizontal="center"/>
    </xf>
    <xf numFmtId="167" fontId="93" fillId="0" borderId="64" xfId="135" applyNumberFormat="1" applyFont="1" applyFill="1" applyBorder="1" applyAlignment="1">
      <alignment horizontal="center"/>
    </xf>
    <xf numFmtId="167" fontId="92" fillId="0" borderId="11" xfId="211" applyNumberFormat="1" applyFont="1" applyFill="1" applyBorder="1"/>
    <xf numFmtId="167" fontId="92" fillId="0" borderId="0" xfId="211" applyNumberFormat="1" applyFont="1" applyFill="1" applyBorder="1"/>
    <xf numFmtId="167" fontId="92" fillId="0" borderId="0" xfId="211" applyNumberFormat="1" applyFont="1" applyFill="1" applyBorder="1" applyAlignment="1">
      <alignment horizontal="right"/>
    </xf>
    <xf numFmtId="177" fontId="92" fillId="0" borderId="0" xfId="50" applyNumberFormat="1" applyFont="1" applyFill="1" applyBorder="1"/>
    <xf numFmtId="42" fontId="93" fillId="0" borderId="13" xfId="211" applyNumberFormat="1" applyFont="1" applyFill="1" applyBorder="1" applyAlignment="1"/>
    <xf numFmtId="42" fontId="93" fillId="0" borderId="0" xfId="138" applyNumberFormat="1" applyFont="1" applyFill="1" applyBorder="1" applyAlignment="1"/>
    <xf numFmtId="167" fontId="92" fillId="0" borderId="1" xfId="211" applyNumberFormat="1" applyFont="1" applyFill="1" applyBorder="1"/>
    <xf numFmtId="6" fontId="92" fillId="0" borderId="3" xfId="135" applyNumberFormat="1" applyFont="1" applyFill="1" applyBorder="1" applyAlignment="1">
      <alignment horizontal="center"/>
    </xf>
    <xf numFmtId="0" fontId="95" fillId="4" borderId="47" xfId="6" applyFont="1" applyFill="1" applyBorder="1"/>
    <xf numFmtId="42" fontId="96" fillId="0" borderId="0" xfId="138" applyNumberFormat="1" applyFont="1" applyFill="1" applyBorder="1" applyAlignment="1"/>
    <xf numFmtId="0" fontId="93" fillId="0" borderId="11" xfId="211" applyFont="1" applyFill="1" applyBorder="1"/>
    <xf numFmtId="0" fontId="93" fillId="0" borderId="0" xfId="211" applyFont="1" applyFill="1" applyBorder="1" applyAlignment="1">
      <alignment horizontal="center"/>
    </xf>
    <xf numFmtId="167" fontId="93" fillId="0" borderId="0" xfId="211" applyNumberFormat="1" applyFont="1" applyFill="1" applyBorder="1" applyAlignment="1">
      <alignment horizontal="center"/>
    </xf>
    <xf numFmtId="42" fontId="93" fillId="0" borderId="13" xfId="211" applyNumberFormat="1" applyFont="1" applyFill="1" applyBorder="1" applyAlignment="1">
      <alignment horizontal="center"/>
    </xf>
    <xf numFmtId="42" fontId="93" fillId="0" borderId="0" xfId="138" applyNumberFormat="1" applyFont="1" applyFill="1" applyBorder="1" applyAlignment="1">
      <alignment horizontal="center"/>
    </xf>
    <xf numFmtId="6" fontId="92" fillId="0" borderId="0" xfId="135" applyNumberFormat="1" applyFont="1" applyFill="1" applyBorder="1" applyAlignment="1">
      <alignment horizontal="center"/>
    </xf>
    <xf numFmtId="178" fontId="92" fillId="0" borderId="0" xfId="215" applyNumberFormat="1" applyFont="1" applyFill="1" applyBorder="1" applyAlignment="1">
      <alignment horizontal="right"/>
    </xf>
    <xf numFmtId="175" fontId="92" fillId="0" borderId="0" xfId="211" applyNumberFormat="1" applyFont="1" applyFill="1" applyBorder="1" applyAlignment="1">
      <alignment horizontal="right"/>
    </xf>
    <xf numFmtId="42" fontId="92" fillId="0" borderId="13" xfId="216" applyNumberFormat="1" applyFont="1" applyFill="1" applyBorder="1"/>
    <xf numFmtId="42" fontId="92" fillId="0" borderId="0" xfId="81" applyNumberFormat="1" applyFont="1" applyFill="1" applyBorder="1"/>
    <xf numFmtId="175" fontId="92" fillId="0" borderId="11" xfId="211" applyNumberFormat="1" applyFont="1" applyFill="1" applyBorder="1"/>
    <xf numFmtId="42" fontId="93" fillId="0" borderId="0" xfId="81" applyNumberFormat="1" applyFont="1" applyFill="1" applyBorder="1" applyAlignment="1">
      <alignment horizontal="center"/>
    </xf>
    <xf numFmtId="42" fontId="92" fillId="0" borderId="0" xfId="81" applyNumberFormat="1" applyFont="1" applyFill="1" applyBorder="1" applyAlignment="1">
      <alignment horizontal="center"/>
    </xf>
    <xf numFmtId="42" fontId="92" fillId="0" borderId="0" xfId="138" applyNumberFormat="1" applyFont="1" applyFill="1" applyBorder="1"/>
    <xf numFmtId="42" fontId="92" fillId="0" borderId="13" xfId="216" applyNumberFormat="1" applyFont="1" applyFill="1" applyBorder="1" applyAlignment="1">
      <alignment horizontal="center"/>
    </xf>
    <xf numFmtId="167" fontId="93" fillId="0" borderId="15" xfId="135" applyNumberFormat="1" applyFont="1" applyFill="1" applyBorder="1" applyAlignment="1">
      <alignment horizontal="center"/>
    </xf>
    <xf numFmtId="167" fontId="93" fillId="0" borderId="16" xfId="135" applyNumberFormat="1" applyFont="1" applyFill="1" applyBorder="1" applyAlignment="1">
      <alignment horizontal="center"/>
    </xf>
    <xf numFmtId="167" fontId="93" fillId="0" borderId="18" xfId="135" applyNumberFormat="1" applyFont="1" applyFill="1" applyBorder="1" applyAlignment="1">
      <alignment horizontal="center"/>
    </xf>
    <xf numFmtId="2" fontId="92" fillId="0" borderId="0" xfId="211" applyNumberFormat="1" applyFont="1" applyFill="1" applyBorder="1" applyAlignment="1">
      <alignment horizontal="right"/>
    </xf>
    <xf numFmtId="167" fontId="92" fillId="0" borderId="11" xfId="135" applyNumberFormat="1" applyFont="1" applyFill="1" applyBorder="1"/>
    <xf numFmtId="167" fontId="93" fillId="0" borderId="0" xfId="135" applyNumberFormat="1" applyFont="1" applyFill="1" applyBorder="1" applyAlignment="1">
      <alignment horizontal="center"/>
    </xf>
    <xf numFmtId="167" fontId="92" fillId="0" borderId="14" xfId="135" applyNumberFormat="1" applyFont="1" applyFill="1" applyBorder="1"/>
    <xf numFmtId="0" fontId="93" fillId="0" borderId="85" xfId="211" applyFont="1" applyFill="1" applyBorder="1" applyAlignment="1"/>
    <xf numFmtId="167" fontId="93" fillId="0" borderId="34" xfId="211" applyNumberFormat="1" applyFont="1" applyFill="1" applyBorder="1"/>
    <xf numFmtId="178" fontId="93" fillId="0" borderId="34" xfId="215" applyNumberFormat="1" applyFont="1" applyFill="1" applyBorder="1" applyAlignment="1">
      <alignment horizontal="right"/>
    </xf>
    <xf numFmtId="42" fontId="93" fillId="0" borderId="43" xfId="216" applyNumberFormat="1" applyFont="1" applyFill="1" applyBorder="1" applyAlignment="1">
      <alignment horizontal="center"/>
    </xf>
    <xf numFmtId="10" fontId="92" fillId="0" borderId="0" xfId="217" applyNumberFormat="1" applyFont="1" applyFill="1" applyBorder="1" applyAlignment="1"/>
    <xf numFmtId="10" fontId="92" fillId="0" borderId="0" xfId="211" applyNumberFormat="1" applyFont="1" applyFill="1" applyBorder="1" applyAlignment="1">
      <alignment horizontal="center"/>
    </xf>
    <xf numFmtId="0" fontId="93" fillId="0" borderId="0" xfId="211" applyFont="1" applyFill="1" applyBorder="1"/>
    <xf numFmtId="42" fontId="92" fillId="0" borderId="13" xfId="211" applyNumberFormat="1" applyFont="1" applyFill="1" applyBorder="1"/>
    <xf numFmtId="0" fontId="92" fillId="0" borderId="11" xfId="135" applyFont="1" applyFill="1" applyBorder="1"/>
    <xf numFmtId="169" fontId="92" fillId="0" borderId="86" xfId="135" applyNumberFormat="1" applyFont="1" applyFill="1" applyBorder="1" applyAlignment="1">
      <alignment wrapText="1"/>
    </xf>
    <xf numFmtId="5" fontId="93" fillId="0" borderId="0" xfId="138" applyNumberFormat="1" applyFont="1" applyFill="1" applyBorder="1"/>
    <xf numFmtId="0" fontId="92" fillId="0" borderId="11" xfId="211" applyFont="1" applyFill="1" applyBorder="1"/>
    <xf numFmtId="9" fontId="92" fillId="0" borderId="0" xfId="211" applyNumberFormat="1" applyFont="1" applyFill="1" applyBorder="1" applyAlignment="1">
      <alignment horizontal="left"/>
    </xf>
    <xf numFmtId="167" fontId="92" fillId="0" borderId="14" xfId="135" applyNumberFormat="1" applyFont="1" applyFill="1" applyBorder="1" applyAlignment="1">
      <alignment wrapText="1"/>
    </xf>
    <xf numFmtId="169" fontId="92" fillId="0" borderId="0" xfId="81" applyNumberFormat="1" applyFont="1" applyFill="1" applyBorder="1"/>
    <xf numFmtId="10" fontId="93" fillId="0" borderId="34" xfId="211" applyNumberFormat="1" applyFont="1" applyFill="1" applyBorder="1" applyAlignment="1">
      <alignment horizontal="center"/>
    </xf>
    <xf numFmtId="42" fontId="92" fillId="0" borderId="0" xfId="216" applyNumberFormat="1" applyFont="1" applyFill="1" applyBorder="1"/>
    <xf numFmtId="44" fontId="92" fillId="0" borderId="0" xfId="211" applyNumberFormat="1" applyFont="1" applyFill="1"/>
    <xf numFmtId="0" fontId="92" fillId="4" borderId="47" xfId="6" applyFont="1" applyFill="1" applyBorder="1"/>
    <xf numFmtId="165" fontId="93" fillId="0" borderId="0" xfId="138" applyNumberFormat="1" applyFont="1" applyFill="1" applyBorder="1"/>
    <xf numFmtId="10" fontId="92" fillId="0" borderId="0" xfId="214" applyNumberFormat="1" applyFont="1" applyFill="1" applyBorder="1" applyAlignment="1"/>
    <xf numFmtId="0" fontId="92" fillId="0" borderId="47" xfId="6" applyFont="1" applyBorder="1"/>
    <xf numFmtId="6" fontId="92" fillId="0" borderId="0" xfId="211" applyNumberFormat="1" applyFont="1" applyFill="1" applyBorder="1"/>
    <xf numFmtId="6" fontId="92" fillId="0" borderId="13" xfId="216" applyNumberFormat="1" applyFont="1" applyFill="1" applyBorder="1"/>
    <xf numFmtId="167" fontId="92" fillId="0" borderId="6" xfId="135" applyNumberFormat="1" applyFont="1" applyFill="1" applyBorder="1"/>
    <xf numFmtId="10" fontId="92" fillId="0" borderId="7" xfId="217" applyNumberFormat="1" applyFont="1" applyFill="1" applyBorder="1" applyAlignment="1"/>
    <xf numFmtId="0" fontId="92" fillId="0" borderId="47" xfId="156" applyFont="1" applyFill="1" applyBorder="1" applyAlignment="1">
      <alignment horizontal="left" vertical="center" wrapText="1"/>
    </xf>
    <xf numFmtId="0" fontId="92" fillId="0" borderId="1" xfId="211" applyFont="1" applyBorder="1"/>
    <xf numFmtId="0" fontId="92" fillId="0" borderId="3" xfId="211" applyFont="1" applyBorder="1"/>
    <xf numFmtId="0" fontId="92" fillId="0" borderId="4" xfId="211" applyFont="1" applyBorder="1"/>
    <xf numFmtId="0" fontId="93" fillId="0" borderId="33" xfId="211" applyFont="1" applyFill="1" applyBorder="1"/>
    <xf numFmtId="0" fontId="93" fillId="0" borderId="34" xfId="211" applyFont="1" applyFill="1" applyBorder="1"/>
    <xf numFmtId="10" fontId="92" fillId="0" borderId="34" xfId="211" applyNumberFormat="1" applyFont="1" applyFill="1" applyBorder="1" applyAlignment="1">
      <alignment horizontal="center"/>
    </xf>
    <xf numFmtId="0" fontId="92" fillId="0" borderId="34" xfId="211" applyFont="1" applyFill="1" applyBorder="1"/>
    <xf numFmtId="42" fontId="92" fillId="0" borderId="43" xfId="216" applyNumberFormat="1" applyFont="1" applyFill="1" applyBorder="1"/>
    <xf numFmtId="0" fontId="92" fillId="0" borderId="11" xfId="211" applyFont="1" applyBorder="1"/>
    <xf numFmtId="0" fontId="92" fillId="0" borderId="0" xfId="211" applyFont="1" applyBorder="1"/>
    <xf numFmtId="0" fontId="92" fillId="0" borderId="13" xfId="211" applyFont="1" applyBorder="1"/>
    <xf numFmtId="44" fontId="92" fillId="0" borderId="0" xfId="81" applyFont="1" applyFill="1" applyBorder="1"/>
    <xf numFmtId="0" fontId="92" fillId="0" borderId="57" xfId="211" applyFont="1" applyBorder="1"/>
    <xf numFmtId="0" fontId="93" fillId="0" borderId="51" xfId="211" applyFont="1" applyFill="1" applyBorder="1"/>
    <xf numFmtId="0" fontId="92" fillId="0" borderId="52" xfId="211" applyFont="1" applyFill="1" applyBorder="1"/>
    <xf numFmtId="0" fontId="92" fillId="0" borderId="52" xfId="211" applyFont="1" applyFill="1" applyBorder="1" applyAlignment="1">
      <alignment horizontal="center"/>
    </xf>
    <xf numFmtId="42" fontId="93" fillId="0" borderId="53" xfId="211" applyNumberFormat="1" applyFont="1" applyFill="1" applyBorder="1"/>
    <xf numFmtId="0" fontId="92" fillId="0" borderId="6" xfId="211" applyFont="1" applyBorder="1"/>
    <xf numFmtId="0" fontId="92" fillId="0" borderId="7" xfId="211" applyFont="1" applyBorder="1"/>
    <xf numFmtId="0" fontId="92" fillId="0" borderId="9" xfId="211" applyFont="1" applyBorder="1"/>
    <xf numFmtId="0" fontId="93" fillId="0" borderId="0" xfId="211" applyFont="1"/>
    <xf numFmtId="0" fontId="93" fillId="0" borderId="6" xfId="211" applyFont="1" applyFill="1" applyBorder="1"/>
    <xf numFmtId="0" fontId="93" fillId="0" borderId="7" xfId="211" applyFont="1" applyFill="1" applyBorder="1"/>
    <xf numFmtId="10" fontId="92" fillId="0" borderId="7" xfId="214" applyNumberFormat="1" applyFont="1" applyFill="1" applyBorder="1" applyAlignment="1">
      <alignment horizontal="center"/>
    </xf>
    <xf numFmtId="10" fontId="93" fillId="0" borderId="7" xfId="214" applyNumberFormat="1" applyFont="1" applyFill="1" applyBorder="1"/>
    <xf numFmtId="42" fontId="93" fillId="0" borderId="9" xfId="211" applyNumberFormat="1" applyFont="1" applyFill="1" applyBorder="1"/>
    <xf numFmtId="167" fontId="92" fillId="0" borderId="87" xfId="135" applyNumberFormat="1" applyFont="1" applyFill="1" applyBorder="1" applyAlignment="1">
      <alignment wrapText="1"/>
    </xf>
    <xf numFmtId="179" fontId="92" fillId="0" borderId="88" xfId="135" applyNumberFormat="1" applyFont="1" applyFill="1" applyBorder="1"/>
    <xf numFmtId="10" fontId="92" fillId="0" borderId="89" xfId="214" applyNumberFormat="1" applyFont="1" applyFill="1" applyBorder="1" applyAlignment="1">
      <alignment horizontal="center"/>
    </xf>
    <xf numFmtId="8" fontId="92" fillId="0" borderId="89" xfId="135" applyNumberFormat="1" applyFont="1" applyFill="1" applyBorder="1" applyAlignment="1">
      <alignment horizontal="right" wrapText="1"/>
    </xf>
    <xf numFmtId="42" fontId="93" fillId="0" borderId="58" xfId="211" applyNumberFormat="1" applyFont="1" applyFill="1" applyBorder="1"/>
    <xf numFmtId="0" fontId="95" fillId="0" borderId="1" xfId="6" applyFont="1" applyBorder="1" applyAlignment="1">
      <alignment horizontal="left" vertical="center" wrapText="1"/>
    </xf>
    <xf numFmtId="0" fontId="95" fillId="0" borderId="3" xfId="6" applyFont="1" applyBorder="1" applyAlignment="1">
      <alignment horizontal="left" vertical="center" wrapText="1"/>
    </xf>
    <xf numFmtId="0" fontId="95" fillId="0" borderId="4" xfId="6" applyFont="1" applyBorder="1" applyAlignment="1">
      <alignment horizontal="left" vertical="center" wrapText="1"/>
    </xf>
    <xf numFmtId="0" fontId="92" fillId="0" borderId="0" xfId="211" applyFont="1" applyFill="1" applyBorder="1" applyAlignment="1">
      <alignment horizontal="center"/>
    </xf>
    <xf numFmtId="42" fontId="93" fillId="0" borderId="13" xfId="211" applyNumberFormat="1" applyFont="1" applyFill="1" applyBorder="1"/>
    <xf numFmtId="0" fontId="95" fillId="0" borderId="11" xfId="6" applyFont="1" applyBorder="1" applyAlignment="1">
      <alignment horizontal="left" vertical="center" wrapText="1"/>
    </xf>
    <xf numFmtId="0" fontId="95" fillId="0" borderId="0" xfId="6" applyFont="1" applyBorder="1" applyAlignment="1">
      <alignment horizontal="left" vertical="center" wrapText="1"/>
    </xf>
    <xf numFmtId="0" fontId="95" fillId="0" borderId="13" xfId="6" applyFont="1" applyBorder="1" applyAlignment="1">
      <alignment horizontal="left" vertical="center" wrapText="1"/>
    </xf>
    <xf numFmtId="44" fontId="92" fillId="0" borderId="13" xfId="216" applyFont="1" applyFill="1" applyBorder="1"/>
    <xf numFmtId="0" fontId="92" fillId="0" borderId="7" xfId="211" applyFont="1" applyFill="1" applyBorder="1"/>
    <xf numFmtId="180" fontId="93" fillId="5" borderId="9" xfId="211" applyNumberFormat="1" applyFont="1" applyFill="1" applyBorder="1"/>
    <xf numFmtId="42" fontId="92" fillId="0" borderId="0" xfId="211" applyNumberFormat="1" applyFont="1"/>
    <xf numFmtId="10" fontId="92" fillId="0" borderId="0" xfId="1" applyNumberFormat="1" applyFont="1" applyFill="1" applyBorder="1"/>
    <xf numFmtId="0" fontId="95" fillId="0" borderId="6" xfId="6" applyFont="1" applyBorder="1" applyAlignment="1">
      <alignment horizontal="left" vertical="center" wrapText="1"/>
    </xf>
    <xf numFmtId="0" fontId="95" fillId="0" borderId="7" xfId="6" applyFont="1" applyBorder="1" applyAlignment="1">
      <alignment horizontal="left" vertical="center" wrapText="1"/>
    </xf>
    <xf numFmtId="0" fontId="95" fillId="0" borderId="9" xfId="6" applyFont="1" applyBorder="1" applyAlignment="1">
      <alignment horizontal="left" vertical="center" wrapText="1"/>
    </xf>
    <xf numFmtId="10" fontId="93" fillId="0" borderId="0" xfId="214" applyNumberFormat="1" applyFont="1" applyFill="1" applyBorder="1"/>
    <xf numFmtId="0" fontId="95" fillId="0" borderId="0" xfId="6" applyFont="1" applyAlignment="1">
      <alignment vertical="center" wrapText="1"/>
    </xf>
    <xf numFmtId="42" fontId="92" fillId="0" borderId="0" xfId="211" applyNumberFormat="1" applyFont="1" applyFill="1" applyBorder="1"/>
    <xf numFmtId="44" fontId="92" fillId="0" borderId="0" xfId="211" applyNumberFormat="1" applyFont="1"/>
    <xf numFmtId="0" fontId="93" fillId="0" borderId="0" xfId="211" applyFont="1" applyFill="1" applyBorder="1" applyAlignment="1">
      <alignment horizontal="center"/>
    </xf>
    <xf numFmtId="0" fontId="92" fillId="0" borderId="0" xfId="211" applyFont="1" applyFill="1" applyBorder="1" applyAlignment="1">
      <alignment horizontal="right"/>
    </xf>
    <xf numFmtId="177" fontId="92" fillId="0" borderId="0" xfId="215" applyNumberFormat="1" applyFont="1" applyFill="1" applyBorder="1"/>
    <xf numFmtId="42" fontId="93" fillId="0" borderId="0" xfId="211" applyNumberFormat="1" applyFont="1" applyFill="1" applyBorder="1" applyAlignment="1"/>
    <xf numFmtId="42" fontId="93" fillId="0" borderId="0" xfId="211" applyNumberFormat="1" applyFont="1" applyFill="1" applyBorder="1" applyAlignment="1">
      <alignment horizontal="center"/>
    </xf>
    <xf numFmtId="175" fontId="92" fillId="0" borderId="0" xfId="211" applyNumberFormat="1" applyFont="1" applyFill="1" applyBorder="1"/>
    <xf numFmtId="42" fontId="92" fillId="0" borderId="0" xfId="216" applyNumberFormat="1" applyFont="1" applyFill="1" applyBorder="1" applyAlignment="1">
      <alignment horizontal="center"/>
    </xf>
    <xf numFmtId="44" fontId="93" fillId="0" borderId="0" xfId="81" applyNumberFormat="1" applyFont="1" applyFill="1" applyBorder="1" applyAlignment="1">
      <alignment horizontal="center"/>
    </xf>
    <xf numFmtId="0" fontId="93" fillId="0" borderId="0" xfId="211" applyFont="1" applyFill="1" applyBorder="1" applyAlignment="1"/>
    <xf numFmtId="167" fontId="93" fillId="0" borderId="0" xfId="211" applyNumberFormat="1" applyFont="1" applyFill="1" applyBorder="1"/>
    <xf numFmtId="178" fontId="93" fillId="0" borderId="0" xfId="215" applyNumberFormat="1" applyFont="1" applyFill="1" applyBorder="1"/>
    <xf numFmtId="42" fontId="93" fillId="0" borderId="0" xfId="216" applyNumberFormat="1" applyFont="1" applyFill="1" applyBorder="1" applyAlignment="1">
      <alignment horizontal="center"/>
    </xf>
    <xf numFmtId="9" fontId="92" fillId="0" borderId="0" xfId="211" applyNumberFormat="1" applyFont="1" applyFill="1" applyBorder="1"/>
    <xf numFmtId="0" fontId="98" fillId="0" borderId="0" xfId="138" applyFont="1" applyFill="1" applyBorder="1" applyAlignment="1">
      <alignment horizontal="center"/>
    </xf>
    <xf numFmtId="10" fontId="93" fillId="0" borderId="0" xfId="211" applyNumberFormat="1" applyFont="1" applyFill="1" applyBorder="1" applyAlignment="1">
      <alignment horizontal="center"/>
    </xf>
    <xf numFmtId="7" fontId="92" fillId="0" borderId="0" xfId="211" applyNumberFormat="1" applyFont="1"/>
    <xf numFmtId="8" fontId="92" fillId="0" borderId="0" xfId="211" applyNumberFormat="1" applyFont="1" applyFill="1" applyBorder="1"/>
    <xf numFmtId="165" fontId="93" fillId="0" borderId="0" xfId="211" applyNumberFormat="1" applyFont="1"/>
    <xf numFmtId="167" fontId="99" fillId="0" borderId="0" xfId="211" applyNumberFormat="1" applyFont="1" applyFill="1" applyBorder="1"/>
    <xf numFmtId="0" fontId="99" fillId="0" borderId="0" xfId="211" applyFont="1" applyFill="1" applyBorder="1"/>
    <xf numFmtId="10" fontId="99" fillId="0" borderId="0" xfId="211" applyNumberFormat="1" applyFont="1" applyFill="1" applyBorder="1" applyAlignment="1">
      <alignment horizontal="center"/>
    </xf>
    <xf numFmtId="42" fontId="99" fillId="0" borderId="0" xfId="216" applyNumberFormat="1" applyFont="1" applyFill="1" applyBorder="1"/>
    <xf numFmtId="42" fontId="93" fillId="0" borderId="0" xfId="211" applyNumberFormat="1" applyFont="1" applyFill="1" applyBorder="1"/>
    <xf numFmtId="0" fontId="96" fillId="0" borderId="0" xfId="211" applyFont="1" applyFill="1" applyBorder="1"/>
    <xf numFmtId="1" fontId="99" fillId="0" borderId="0" xfId="211" applyNumberFormat="1" applyFont="1" applyFill="1" applyBorder="1"/>
    <xf numFmtId="177" fontId="99" fillId="0" borderId="0" xfId="215" applyNumberFormat="1" applyFont="1" applyFill="1" applyBorder="1"/>
    <xf numFmtId="43" fontId="92" fillId="0" borderId="0" xfId="215" applyNumberFormat="1" applyFont="1" applyFill="1" applyBorder="1"/>
    <xf numFmtId="44" fontId="92" fillId="0" borderId="0" xfId="216" applyFont="1" applyFill="1" applyBorder="1"/>
    <xf numFmtId="42" fontId="96" fillId="0" borderId="0" xfId="211" applyNumberFormat="1" applyFont="1" applyFill="1" applyBorder="1" applyAlignment="1"/>
    <xf numFmtId="10" fontId="92" fillId="0" borderId="0" xfId="214" applyNumberFormat="1" applyFont="1" applyFill="1" applyBorder="1" applyAlignment="1">
      <alignment horizontal="center"/>
    </xf>
    <xf numFmtId="167" fontId="99" fillId="0" borderId="0" xfId="135" applyNumberFormat="1" applyFont="1" applyFill="1" applyBorder="1" applyAlignment="1">
      <alignment wrapText="1"/>
    </xf>
    <xf numFmtId="179" fontId="99" fillId="0" borderId="0" xfId="135" applyNumberFormat="1" applyFont="1" applyFill="1" applyBorder="1"/>
    <xf numFmtId="10" fontId="99" fillId="0" borderId="0" xfId="214" applyNumberFormat="1" applyFont="1" applyFill="1" applyBorder="1" applyAlignment="1">
      <alignment horizontal="center"/>
    </xf>
    <xf numFmtId="8" fontId="99" fillId="0" borderId="0" xfId="135" applyNumberFormat="1" applyFont="1" applyFill="1" applyBorder="1" applyAlignment="1">
      <alignment horizontal="right" wrapText="1"/>
    </xf>
    <xf numFmtId="42" fontId="98" fillId="0" borderId="0" xfId="211" applyNumberFormat="1" applyFont="1" applyFill="1" applyBorder="1"/>
    <xf numFmtId="167" fontId="96" fillId="0" borderId="0" xfId="211" applyNumberFormat="1" applyFont="1" applyFill="1" applyBorder="1" applyAlignment="1">
      <alignment horizontal="center"/>
    </xf>
    <xf numFmtId="175" fontId="99" fillId="0" borderId="0" xfId="211" applyNumberFormat="1" applyFont="1" applyFill="1" applyBorder="1" applyAlignment="1">
      <alignment horizontal="right"/>
    </xf>
    <xf numFmtId="178" fontId="98" fillId="0" borderId="0" xfId="215" applyNumberFormat="1" applyFont="1" applyFill="1" applyBorder="1" applyAlignment="1">
      <alignment horizontal="right"/>
    </xf>
    <xf numFmtId="0" fontId="96" fillId="0" borderId="0" xfId="211" applyFont="1" applyFill="1" applyBorder="1" applyAlignment="1">
      <alignment horizontal="center"/>
    </xf>
    <xf numFmtId="180" fontId="93" fillId="0" borderId="0" xfId="211" applyNumberFormat="1" applyFont="1" applyFill="1" applyBorder="1"/>
    <xf numFmtId="180" fontId="92" fillId="0" borderId="0" xfId="211" applyNumberFormat="1" applyFont="1" applyFill="1" applyBorder="1"/>
    <xf numFmtId="42" fontId="100" fillId="0" borderId="0" xfId="211" applyNumberFormat="1" applyFont="1" applyFill="1" applyBorder="1" applyAlignment="1">
      <alignment vertical="top" wrapText="1"/>
    </xf>
    <xf numFmtId="180" fontId="100" fillId="0" borderId="0" xfId="211" applyNumberFormat="1" applyFont="1" applyFill="1" applyBorder="1" applyAlignment="1">
      <alignment vertical="top" wrapText="1"/>
    </xf>
    <xf numFmtId="44" fontId="92" fillId="0" borderId="0" xfId="211" applyNumberFormat="1" applyFont="1" applyFill="1" applyBorder="1"/>
    <xf numFmtId="42" fontId="92" fillId="0" borderId="0" xfId="211" applyNumberFormat="1" applyFont="1" applyFill="1" applyBorder="1" applyAlignment="1">
      <alignment horizontal="right"/>
    </xf>
    <xf numFmtId="0" fontId="1" fillId="0" borderId="0" xfId="6" applyAlignment="1">
      <alignment horizontal="center"/>
    </xf>
    <xf numFmtId="0" fontId="1" fillId="0" borderId="0" xfId="6" applyAlignment="1">
      <alignment horizontal="center" wrapText="1"/>
    </xf>
    <xf numFmtId="0" fontId="101" fillId="0" borderId="1" xfId="6" applyFont="1" applyBorder="1"/>
    <xf numFmtId="0" fontId="102" fillId="0" borderId="3" xfId="6" applyFont="1" applyBorder="1" applyAlignment="1">
      <alignment horizontal="center"/>
    </xf>
    <xf numFmtId="0" fontId="102" fillId="0" borderId="3" xfId="6" applyFont="1" applyBorder="1" applyAlignment="1">
      <alignment horizontal="center" wrapText="1"/>
    </xf>
    <xf numFmtId="0" fontId="102" fillId="0" borderId="3" xfId="6" applyFont="1" applyBorder="1"/>
    <xf numFmtId="0" fontId="102" fillId="0" borderId="4" xfId="6" applyFont="1" applyBorder="1"/>
    <xf numFmtId="0" fontId="101" fillId="0" borderId="11" xfId="6" applyFont="1" applyBorder="1"/>
    <xf numFmtId="0" fontId="102" fillId="0" borderId="0" xfId="6" applyFont="1" applyBorder="1" applyAlignment="1">
      <alignment horizontal="left"/>
    </xf>
    <xf numFmtId="0" fontId="102" fillId="0" borderId="13" xfId="6" applyFont="1" applyBorder="1" applyAlignment="1">
      <alignment horizontal="left"/>
    </xf>
    <xf numFmtId="14" fontId="103" fillId="0" borderId="0" xfId="6" applyNumberFormat="1" applyFont="1" applyFill="1" applyBorder="1" applyAlignment="1">
      <alignment horizontal="left"/>
    </xf>
    <xf numFmtId="0" fontId="102" fillId="0" borderId="13" xfId="6" applyFont="1" applyBorder="1"/>
    <xf numFmtId="0" fontId="81" fillId="0" borderId="11" xfId="6" applyFont="1" applyBorder="1"/>
    <xf numFmtId="0" fontId="6" fillId="0" borderId="5" xfId="6" applyFont="1" applyFill="1" applyBorder="1" applyAlignment="1">
      <alignment horizontal="center"/>
    </xf>
    <xf numFmtId="0" fontId="6" fillId="0" borderId="1" xfId="6" applyFont="1" applyBorder="1" applyAlignment="1">
      <alignment horizontal="center"/>
    </xf>
    <xf numFmtId="0" fontId="81" fillId="0" borderId="4" xfId="6" applyFont="1" applyBorder="1" applyAlignment="1"/>
    <xf numFmtId="0" fontId="81" fillId="0" borderId="19" xfId="6" applyFont="1" applyBorder="1" applyAlignment="1">
      <alignment horizontal="right"/>
    </xf>
    <xf numFmtId="166" fontId="81" fillId="0" borderId="90" xfId="6" applyNumberFormat="1" applyFont="1" applyBorder="1" applyAlignment="1">
      <alignment horizontal="center"/>
    </xf>
    <xf numFmtId="0" fontId="81" fillId="0" borderId="84" xfId="6" applyFont="1" applyBorder="1" applyAlignment="1"/>
    <xf numFmtId="0" fontId="81" fillId="0" borderId="91" xfId="6" applyFont="1" applyBorder="1" applyAlignment="1"/>
    <xf numFmtId="0" fontId="81" fillId="0" borderId="33" xfId="6" applyFont="1" applyBorder="1" applyAlignment="1">
      <alignment horizontal="right"/>
    </xf>
    <xf numFmtId="10" fontId="1" fillId="0" borderId="36" xfId="6" applyNumberFormat="1" applyFont="1" applyBorder="1" applyAlignment="1">
      <alignment horizontal="center"/>
    </xf>
    <xf numFmtId="0" fontId="81" fillId="0" borderId="47" xfId="6" applyFont="1" applyBorder="1" applyAlignment="1"/>
    <xf numFmtId="0" fontId="81" fillId="0" borderId="35" xfId="6" applyFont="1" applyBorder="1" applyAlignment="1"/>
    <xf numFmtId="166" fontId="1" fillId="0" borderId="36" xfId="6" applyNumberFormat="1" applyFont="1" applyBorder="1" applyAlignment="1">
      <alignment horizontal="center"/>
    </xf>
    <xf numFmtId="10" fontId="1" fillId="0" borderId="0" xfId="6" applyNumberFormat="1"/>
    <xf numFmtId="0" fontId="81" fillId="0" borderId="33" xfId="6" applyFont="1" applyFill="1" applyBorder="1" applyAlignment="1">
      <alignment horizontal="right"/>
    </xf>
    <xf numFmtId="5" fontId="1" fillId="0" borderId="36" xfId="72" applyNumberFormat="1" applyFont="1" applyFill="1" applyBorder="1" applyAlignment="1">
      <alignment horizontal="center"/>
    </xf>
    <xf numFmtId="10" fontId="81" fillId="0" borderId="47" xfId="6" applyNumberFormat="1" applyFont="1" applyBorder="1" applyAlignment="1">
      <alignment horizontal="center"/>
    </xf>
    <xf numFmtId="0" fontId="81" fillId="0" borderId="35" xfId="6" applyFont="1" applyBorder="1"/>
    <xf numFmtId="0" fontId="81" fillId="0" borderId="35" xfId="156" applyFont="1" applyFill="1" applyBorder="1" applyAlignment="1">
      <alignment horizontal="left" vertical="center" wrapText="1"/>
    </xf>
    <xf numFmtId="37" fontId="1" fillId="0" borderId="36" xfId="50" applyNumberFormat="1" applyFont="1" applyBorder="1" applyAlignment="1">
      <alignment horizontal="center"/>
    </xf>
    <xf numFmtId="0" fontId="81" fillId="0" borderId="35" xfId="6" applyFont="1" applyBorder="1" applyAlignment="1"/>
    <xf numFmtId="165" fontId="81" fillId="0" borderId="36" xfId="6" applyNumberFormat="1" applyFont="1" applyFill="1" applyBorder="1" applyAlignment="1">
      <alignment horizontal="center"/>
    </xf>
    <xf numFmtId="0" fontId="81" fillId="0" borderId="47" xfId="6" applyFont="1" applyFill="1" applyBorder="1" applyAlignment="1"/>
    <xf numFmtId="0" fontId="81" fillId="0" borderId="35" xfId="6" applyFont="1" applyFill="1" applyBorder="1" applyAlignment="1"/>
    <xf numFmtId="0" fontId="1" fillId="0" borderId="0" xfId="6" applyFill="1"/>
    <xf numFmtId="0" fontId="6" fillId="0" borderId="48" xfId="6" applyFont="1" applyFill="1" applyBorder="1" applyAlignment="1">
      <alignment horizontal="right"/>
    </xf>
    <xf numFmtId="7" fontId="6" fillId="5" borderId="41" xfId="72" applyNumberFormat="1" applyFont="1" applyFill="1" applyBorder="1" applyAlignment="1">
      <alignment horizontal="center"/>
    </xf>
    <xf numFmtId="0" fontId="81" fillId="0" borderId="50" xfId="6" applyFont="1" applyFill="1" applyBorder="1" applyAlignment="1"/>
    <xf numFmtId="0" fontId="81" fillId="0" borderId="42" xfId="6" applyFont="1" applyBorder="1" applyAlignment="1"/>
    <xf numFmtId="0" fontId="1" fillId="0" borderId="11" xfId="6" applyBorder="1"/>
    <xf numFmtId="0" fontId="1" fillId="0" borderId="0" xfId="6" applyBorder="1" applyAlignment="1">
      <alignment horizontal="center"/>
    </xf>
    <xf numFmtId="10" fontId="0" fillId="0" borderId="0" xfId="1" applyNumberFormat="1" applyFont="1" applyBorder="1" applyAlignment="1">
      <alignment horizontal="center" wrapText="1"/>
    </xf>
    <xf numFmtId="0" fontId="1" fillId="0" borderId="0" xfId="6" applyBorder="1"/>
    <xf numFmtId="0" fontId="1" fillId="0" borderId="13" xfId="6" applyBorder="1"/>
    <xf numFmtId="181" fontId="1" fillId="0" borderId="0" xfId="6" applyNumberFormat="1"/>
    <xf numFmtId="0" fontId="1" fillId="0" borderId="0" xfId="6" applyAlignment="1">
      <alignment wrapText="1"/>
    </xf>
    <xf numFmtId="0" fontId="81" fillId="0" borderId="0" xfId="6" applyFont="1" applyFill="1"/>
    <xf numFmtId="0" fontId="1" fillId="0" borderId="0" xfId="6" applyFill="1" applyAlignment="1">
      <alignment horizontal="center"/>
    </xf>
    <xf numFmtId="0" fontId="1" fillId="0" borderId="0" xfId="6" applyFill="1" applyAlignment="1">
      <alignment horizontal="center" wrapText="1"/>
    </xf>
    <xf numFmtId="0" fontId="1" fillId="0" borderId="0" xfId="6" applyFill="1" applyBorder="1"/>
    <xf numFmtId="0" fontId="1" fillId="0" borderId="0" xfId="6" applyFill="1" applyBorder="1" applyAlignment="1">
      <alignment horizontal="center"/>
    </xf>
    <xf numFmtId="0" fontId="93" fillId="0" borderId="1" xfId="218" applyFont="1" applyFill="1" applyBorder="1"/>
    <xf numFmtId="0" fontId="93" fillId="0" borderId="3" xfId="218" applyFont="1" applyFill="1" applyBorder="1"/>
    <xf numFmtId="0" fontId="93" fillId="0" borderId="3" xfId="218" applyFont="1" applyFill="1" applyBorder="1" applyAlignment="1">
      <alignment horizontal="center"/>
    </xf>
    <xf numFmtId="167" fontId="93" fillId="0" borderId="4" xfId="218" applyNumberFormat="1" applyFont="1" applyFill="1" applyBorder="1" applyAlignment="1">
      <alignment horizontal="center"/>
    </xf>
    <xf numFmtId="167" fontId="93" fillId="0" borderId="0" xfId="218" applyNumberFormat="1" applyFont="1" applyFill="1" applyBorder="1" applyAlignment="1">
      <alignment horizontal="center"/>
    </xf>
    <xf numFmtId="0" fontId="93" fillId="0" borderId="0" xfId="218" applyFont="1" applyFill="1" applyBorder="1"/>
    <xf numFmtId="0" fontId="93" fillId="0" borderId="0" xfId="218" applyFont="1" applyFill="1" applyBorder="1" applyAlignment="1">
      <alignment horizontal="center"/>
    </xf>
    <xf numFmtId="0" fontId="92" fillId="0" borderId="11" xfId="218" applyFont="1" applyFill="1" applyBorder="1"/>
    <xf numFmtId="0" fontId="92" fillId="0" borderId="0" xfId="218" applyFont="1" applyFill="1" applyBorder="1" applyAlignment="1">
      <alignment horizontal="right"/>
    </xf>
    <xf numFmtId="0" fontId="92" fillId="0" borderId="0" xfId="218" applyFont="1" applyFill="1" applyBorder="1" applyAlignment="1">
      <alignment horizontal="center"/>
    </xf>
    <xf numFmtId="0" fontId="92" fillId="0" borderId="13" xfId="218" applyFont="1" applyFill="1" applyBorder="1" applyAlignment="1">
      <alignment horizontal="center"/>
    </xf>
    <xf numFmtId="0" fontId="95" fillId="0" borderId="0" xfId="6" applyFont="1"/>
    <xf numFmtId="0" fontId="92" fillId="0" borderId="0" xfId="218" applyFont="1" applyFill="1" applyBorder="1"/>
    <xf numFmtId="0" fontId="104" fillId="0" borderId="0" xfId="218" applyFont="1" applyFill="1" applyBorder="1" applyAlignment="1">
      <alignment horizontal="center"/>
    </xf>
    <xf numFmtId="0" fontId="92" fillId="0" borderId="27" xfId="218" applyFont="1" applyFill="1" applyBorder="1"/>
    <xf numFmtId="0" fontId="92" fillId="0" borderId="28" xfId="218" applyFont="1" applyFill="1" applyBorder="1" applyAlignment="1">
      <alignment horizontal="right"/>
    </xf>
    <xf numFmtId="1" fontId="92" fillId="0" borderId="28" xfId="218" applyNumberFormat="1" applyFont="1" applyFill="1" applyBorder="1" applyAlignment="1">
      <alignment horizontal="center"/>
    </xf>
    <xf numFmtId="1" fontId="92" fillId="0" borderId="29" xfId="218" applyNumberFormat="1" applyFont="1" applyFill="1" applyBorder="1" applyAlignment="1">
      <alignment horizontal="center"/>
    </xf>
    <xf numFmtId="1" fontId="92" fillId="0" borderId="0" xfId="218" applyNumberFormat="1" applyFont="1" applyFill="1" applyBorder="1" applyAlignment="1">
      <alignment horizontal="center"/>
    </xf>
    <xf numFmtId="0" fontId="95" fillId="0" borderId="0" xfId="6" applyFont="1" applyAlignment="1">
      <alignment horizontal="left"/>
    </xf>
    <xf numFmtId="0" fontId="92" fillId="0" borderId="0" xfId="218" applyFont="1" applyFill="1" applyBorder="1" applyAlignment="1">
      <alignment horizontal="left"/>
    </xf>
    <xf numFmtId="0" fontId="85" fillId="0" borderId="0" xfId="218" applyFont="1" applyFill="1" applyBorder="1" applyAlignment="1">
      <alignment horizontal="right"/>
    </xf>
    <xf numFmtId="1" fontId="104" fillId="0" borderId="0" xfId="218" applyNumberFormat="1" applyFont="1" applyFill="1" applyBorder="1" applyAlignment="1">
      <alignment horizontal="center"/>
    </xf>
    <xf numFmtId="1" fontId="92" fillId="0" borderId="13" xfId="218" applyNumberFormat="1" applyFont="1" applyFill="1" applyBorder="1" applyAlignment="1">
      <alignment horizontal="center"/>
    </xf>
    <xf numFmtId="0" fontId="92" fillId="0" borderId="6" xfId="218" applyFont="1" applyFill="1" applyBorder="1"/>
    <xf numFmtId="0" fontId="92" fillId="0" borderId="7" xfId="218" applyFont="1" applyFill="1" applyBorder="1"/>
    <xf numFmtId="0" fontId="92" fillId="0" borderId="7" xfId="218" applyFont="1" applyFill="1" applyBorder="1" applyAlignment="1">
      <alignment horizontal="right"/>
    </xf>
    <xf numFmtId="1" fontId="92" fillId="0" borderId="9" xfId="218" applyNumberFormat="1" applyFont="1" applyFill="1" applyBorder="1" applyAlignment="1">
      <alignment horizontal="center"/>
    </xf>
    <xf numFmtId="165" fontId="1" fillId="0" borderId="0" xfId="6" applyNumberFormat="1" applyFill="1" applyBorder="1" applyAlignment="1">
      <alignment horizontal="center"/>
    </xf>
    <xf numFmtId="182" fontId="1" fillId="0" borderId="0" xfId="6" applyNumberFormat="1" applyFill="1" applyBorder="1" applyAlignment="1">
      <alignment horizontal="center"/>
    </xf>
    <xf numFmtId="165" fontId="1" fillId="0" borderId="0" xfId="6" applyNumberFormat="1" applyFill="1" applyAlignment="1">
      <alignment horizontal="center"/>
    </xf>
    <xf numFmtId="182" fontId="1" fillId="0" borderId="0" xfId="6" applyNumberFormat="1" applyFill="1" applyAlignment="1">
      <alignment horizontal="center"/>
    </xf>
    <xf numFmtId="168" fontId="1" fillId="0" borderId="0" xfId="6" applyNumberFormat="1" applyFill="1" applyAlignment="1">
      <alignment horizontal="center"/>
    </xf>
    <xf numFmtId="17" fontId="7" fillId="0" borderId="0" xfId="2" applyNumberFormat="1" applyFont="1" applyAlignment="1">
      <alignment horizontal="center"/>
    </xf>
    <xf numFmtId="0" fontId="9" fillId="0" borderId="11" xfId="2" applyFont="1" applyFill="1" applyBorder="1"/>
    <xf numFmtId="165" fontId="9" fillId="0" borderId="0" xfId="2" applyNumberFormat="1" applyFont="1" applyFill="1" applyAlignment="1">
      <alignment horizontal="center"/>
    </xf>
    <xf numFmtId="166" fontId="9" fillId="0" borderId="0" xfId="2" applyNumberFormat="1" applyFont="1" applyFill="1" applyAlignment="1">
      <alignment horizontal="center"/>
    </xf>
    <xf numFmtId="9" fontId="9" fillId="0" borderId="0" xfId="3" applyFont="1" applyFill="1" applyBorder="1" applyAlignment="1">
      <alignment horizontal="center"/>
    </xf>
    <xf numFmtId="0" fontId="9" fillId="0" borderId="0" xfId="2" applyFont="1" applyFill="1"/>
    <xf numFmtId="0" fontId="9" fillId="0" borderId="13" xfId="2" applyFont="1" applyFill="1" applyBorder="1" applyAlignment="1">
      <alignment horizontal="left" vertical="center" wrapText="1"/>
    </xf>
    <xf numFmtId="166" fontId="2" fillId="0" borderId="14" xfId="2" applyNumberFormat="1" applyFill="1" applyBorder="1"/>
    <xf numFmtId="0" fontId="2" fillId="0" borderId="0" xfId="2" applyFill="1"/>
    <xf numFmtId="165" fontId="2" fillId="0" borderId="0" xfId="2" applyNumberFormat="1" applyFill="1"/>
  </cellXfs>
  <cellStyles count="344">
    <cellStyle name="20% - Accent1 2" xfId="20"/>
    <cellStyle name="20% - Accent2 2" xfId="21"/>
    <cellStyle name="20% - Accent3 2" xfId="22"/>
    <cellStyle name="20% - Accent4 2" xfId="23"/>
    <cellStyle name="20% - Accent5 2" xfId="24"/>
    <cellStyle name="20% - Accent6 2" xfId="25"/>
    <cellStyle name="40% - Accent1 2" xfId="26"/>
    <cellStyle name="40% - Accent2 2" xfId="27"/>
    <cellStyle name="40% - Accent3 2" xfId="28"/>
    <cellStyle name="40% - Accent4 2" xfId="29"/>
    <cellStyle name="40% - Accent5 2" xfId="30"/>
    <cellStyle name="40% - Accent6 2" xfId="31"/>
    <cellStyle name="60% - Accent1 2" xfId="32"/>
    <cellStyle name="60% - Accent2 2" xfId="33"/>
    <cellStyle name="60% - Accent3 2" xfId="34"/>
    <cellStyle name="60% - Accent4 2" xfId="35"/>
    <cellStyle name="60% - Accent5 2" xfId="36"/>
    <cellStyle name="60% - Accent6 2" xfId="37"/>
    <cellStyle name="Accent1 2" xfId="38"/>
    <cellStyle name="Accent2 2" xfId="39"/>
    <cellStyle name="Accent3 2" xfId="40"/>
    <cellStyle name="Accent4 2" xfId="41"/>
    <cellStyle name="Accent5 2" xfId="42"/>
    <cellStyle name="Accent6 2" xfId="43"/>
    <cellStyle name="Bad 2" xfId="44"/>
    <cellStyle name="Bad 3" xfId="219"/>
    <cellStyle name="Body: normal cell" xfId="220"/>
    <cellStyle name="Calculation 2" xfId="45"/>
    <cellStyle name="Calculation 2 2" xfId="46"/>
    <cellStyle name="Calculation 2 3" xfId="47"/>
    <cellStyle name="Check Cell 2" xfId="48"/>
    <cellStyle name="Comma [0] 2" xfId="221"/>
    <cellStyle name="Comma 10" xfId="222"/>
    <cellStyle name="Comma 11" xfId="223"/>
    <cellStyle name="Comma 12" xfId="224"/>
    <cellStyle name="Comma 2" xfId="49"/>
    <cellStyle name="Comma 2 2" xfId="50"/>
    <cellStyle name="Comma 2 2 2" xfId="51"/>
    <cellStyle name="Comma 2 2 3" xfId="52"/>
    <cellStyle name="Comma 2 2 4" xfId="53"/>
    <cellStyle name="Comma 2 3" xfId="225"/>
    <cellStyle name="Comma 3" xfId="54"/>
    <cellStyle name="Comma 3 2" xfId="55"/>
    <cellStyle name="Comma 3 3" xfId="56"/>
    <cellStyle name="Comma 3 4" xfId="213"/>
    <cellStyle name="Comma 4" xfId="57"/>
    <cellStyle name="Comma 4 2" xfId="58"/>
    <cellStyle name="Comma 4 3" xfId="59"/>
    <cellStyle name="Comma 4 4" xfId="60"/>
    <cellStyle name="Comma 5" xfId="61"/>
    <cellStyle name="Comma 5 2" xfId="226"/>
    <cellStyle name="Comma 5 3" xfId="227"/>
    <cellStyle name="Comma 6" xfId="62"/>
    <cellStyle name="Comma 6 2" xfId="63"/>
    <cellStyle name="Comma 7" xfId="64"/>
    <cellStyle name="Comma 7 2" xfId="65"/>
    <cellStyle name="Comma 7 2 2" xfId="66"/>
    <cellStyle name="Comma 7 2 3" xfId="67"/>
    <cellStyle name="Comma 7 3" xfId="68"/>
    <cellStyle name="Comma 7 4" xfId="69"/>
    <cellStyle name="Comma 8" xfId="70"/>
    <cellStyle name="Comma 9" xfId="215"/>
    <cellStyle name="Currency [0] 2" xfId="71"/>
    <cellStyle name="Currency 10" xfId="72"/>
    <cellStyle name="Currency 11" xfId="73"/>
    <cellStyle name="Currency 12" xfId="74"/>
    <cellStyle name="Currency 13" xfId="75"/>
    <cellStyle name="Currency 14" xfId="76"/>
    <cellStyle name="Currency 15" xfId="77"/>
    <cellStyle name="Currency 16" xfId="228"/>
    <cellStyle name="Currency 17" xfId="229"/>
    <cellStyle name="Currency 18" xfId="230"/>
    <cellStyle name="Currency 19" xfId="231"/>
    <cellStyle name="Currency 2" xfId="78"/>
    <cellStyle name="Currency 2 2" xfId="79"/>
    <cellStyle name="Currency 2 2 2" xfId="232"/>
    <cellStyle name="Currency 2 2 2 2" xfId="233"/>
    <cellStyle name="Currency 2 2 2 3" xfId="234"/>
    <cellStyle name="Currency 2 3" xfId="80"/>
    <cellStyle name="Currency 2 4" xfId="81"/>
    <cellStyle name="Currency 2 4 2" xfId="82"/>
    <cellStyle name="Currency 2 4 3" xfId="83"/>
    <cellStyle name="Currency 2 4 4" xfId="84"/>
    <cellStyle name="Currency 2 5" xfId="216"/>
    <cellStyle name="Currency 20" xfId="235"/>
    <cellStyle name="Currency 21" xfId="236"/>
    <cellStyle name="Currency 22" xfId="237"/>
    <cellStyle name="Currency 23" xfId="238"/>
    <cellStyle name="Currency 24" xfId="239"/>
    <cellStyle name="Currency 25" xfId="240"/>
    <cellStyle name="Currency 26" xfId="241"/>
    <cellStyle name="Currency 27" xfId="242"/>
    <cellStyle name="Currency 28" xfId="243"/>
    <cellStyle name="Currency 29" xfId="244"/>
    <cellStyle name="Currency 3" xfId="85"/>
    <cellStyle name="Currency 3 2" xfId="86"/>
    <cellStyle name="Currency 3 3" xfId="87"/>
    <cellStyle name="Currency 3 4" xfId="245"/>
    <cellStyle name="Currency 3 5" xfId="246"/>
    <cellStyle name="Currency 30" xfId="247"/>
    <cellStyle name="Currency 31" xfId="248"/>
    <cellStyle name="Currency 32" xfId="249"/>
    <cellStyle name="Currency 33" xfId="250"/>
    <cellStyle name="Currency 34" xfId="251"/>
    <cellStyle name="Currency 35" xfId="252"/>
    <cellStyle name="Currency 36" xfId="253"/>
    <cellStyle name="Currency 37" xfId="254"/>
    <cellStyle name="Currency 38" xfId="255"/>
    <cellStyle name="Currency 39" xfId="256"/>
    <cellStyle name="Currency 4" xfId="8"/>
    <cellStyle name="Currency 4 2" xfId="88"/>
    <cellStyle name="Currency 4 2 2" xfId="89"/>
    <cellStyle name="Currency 4 2 2 2" xfId="257"/>
    <cellStyle name="Currency 4 2 2 3" xfId="258"/>
    <cellStyle name="Currency 4 2 3" xfId="259"/>
    <cellStyle name="Currency 4 3" xfId="90"/>
    <cellStyle name="Currency 4 3 2" xfId="260"/>
    <cellStyle name="Currency 4 3 3" xfId="261"/>
    <cellStyle name="Currency 4 4" xfId="12"/>
    <cellStyle name="Currency 4 4 2" xfId="91"/>
    <cellStyle name="Currency 4 4 3" xfId="92"/>
    <cellStyle name="Currency 4 5" xfId="262"/>
    <cellStyle name="Currency 40" xfId="263"/>
    <cellStyle name="Currency 41" xfId="264"/>
    <cellStyle name="Currency 42" xfId="265"/>
    <cellStyle name="Currency 43" xfId="266"/>
    <cellStyle name="Currency 44" xfId="267"/>
    <cellStyle name="Currency 45" xfId="268"/>
    <cellStyle name="Currency 46" xfId="269"/>
    <cellStyle name="Currency 5" xfId="93"/>
    <cellStyle name="Currency 5 2" xfId="94"/>
    <cellStyle name="Currency 5 2 2" xfId="270"/>
    <cellStyle name="Currency 5 3" xfId="95"/>
    <cellStyle name="Currency 5 3 2" xfId="96"/>
    <cellStyle name="Currency 5 3 3" xfId="97"/>
    <cellStyle name="Currency 5 4" xfId="98"/>
    <cellStyle name="Currency 5 5" xfId="99"/>
    <cellStyle name="Currency 5 6" xfId="271"/>
    <cellStyle name="Currency 6" xfId="100"/>
    <cellStyle name="Currency 6 2" xfId="101"/>
    <cellStyle name="Currency 6 2 2" xfId="102"/>
    <cellStyle name="Currency 6 2 3" xfId="103"/>
    <cellStyle name="Currency 6 3" xfId="104"/>
    <cellStyle name="Currency 6 4" xfId="105"/>
    <cellStyle name="Currency 7" xfId="9"/>
    <cellStyle name="Currency 7 2" xfId="106"/>
    <cellStyle name="Currency 7 3" xfId="107"/>
    <cellStyle name="Currency 8" xfId="108"/>
    <cellStyle name="Currency 8 2" xfId="272"/>
    <cellStyle name="Currency 9" xfId="109"/>
    <cellStyle name="Currency 9 2" xfId="110"/>
    <cellStyle name="Currency 9 3" xfId="111"/>
    <cellStyle name="Explanatory Text 2" xfId="112"/>
    <cellStyle name="Explanatory Text 2 2" xfId="273"/>
    <cellStyle name="Explanatory Text 2 3" xfId="274"/>
    <cellStyle name="Font: Calibri, 9pt regular" xfId="275"/>
    <cellStyle name="Footnotes: top row" xfId="276"/>
    <cellStyle name="Good 2" xfId="113"/>
    <cellStyle name="Header: bottom row" xfId="277"/>
    <cellStyle name="Heading 1 2" xfId="114"/>
    <cellStyle name="Heading 1 2 2" xfId="278"/>
    <cellStyle name="Heading 1 2 3" xfId="279"/>
    <cellStyle name="Heading 2 2" xfId="115"/>
    <cellStyle name="Heading 2 2 2" xfId="280"/>
    <cellStyle name="Heading 2 2 3" xfId="281"/>
    <cellStyle name="Heading 3 2" xfId="116"/>
    <cellStyle name="Heading 3 2 2" xfId="282"/>
    <cellStyle name="Heading 3 2 3" xfId="283"/>
    <cellStyle name="Heading 4 2" xfId="117"/>
    <cellStyle name="Heading 4 2 2" xfId="284"/>
    <cellStyle name="Heading 4 2 3" xfId="285"/>
    <cellStyle name="Hyperlink 2" xfId="286"/>
    <cellStyle name="Input 2" xfId="118"/>
    <cellStyle name="Input 2 2" xfId="119"/>
    <cellStyle name="Input 2 3" xfId="120"/>
    <cellStyle name="Linked Cell 2" xfId="121"/>
    <cellStyle name="Linked Cell 2 2" xfId="287"/>
    <cellStyle name="Linked Cell 2 3" xfId="288"/>
    <cellStyle name="Neutral 2" xfId="122"/>
    <cellStyle name="Normal" xfId="0" builtinId="0"/>
    <cellStyle name="Normal 10" xfId="123"/>
    <cellStyle name="Normal 10 2" xfId="6"/>
    <cellStyle name="Normal 10 2 2" xfId="14"/>
    <cellStyle name="Normal 10 3" xfId="289"/>
    <cellStyle name="Normal 10 3 2" xfId="290"/>
    <cellStyle name="Normal 10 3 3" xfId="16"/>
    <cellStyle name="Normal 11" xfId="124"/>
    <cellStyle name="Normal 11 2" xfId="291"/>
    <cellStyle name="Normal 11 2 2" xfId="292"/>
    <cellStyle name="Normal 12" xfId="125"/>
    <cellStyle name="Normal 12 2" xfId="126"/>
    <cellStyle name="Normal 13" xfId="127"/>
    <cellStyle name="Normal 13 2" xfId="293"/>
    <cellStyle name="Normal 14" xfId="128"/>
    <cellStyle name="Normal 14 2" xfId="294"/>
    <cellStyle name="Normal 15" xfId="129"/>
    <cellStyle name="Normal 15 2" xfId="130"/>
    <cellStyle name="Normal 15 3" xfId="131"/>
    <cellStyle name="Normal 15 4" xfId="132"/>
    <cellStyle name="Normal 16" xfId="295"/>
    <cellStyle name="Normal 17" xfId="211"/>
    <cellStyle name="Normal 17 2" xfId="296"/>
    <cellStyle name="Normal 18" xfId="297"/>
    <cellStyle name="Normal 19" xfId="298"/>
    <cellStyle name="Normal 2" xfId="133"/>
    <cellStyle name="Normal 2 2" xfId="134"/>
    <cellStyle name="Normal 2 2 2" xfId="135"/>
    <cellStyle name="Normal 2 2 3" xfId="299"/>
    <cellStyle name="Normal 2 3" xfId="136"/>
    <cellStyle name="Normal 2 3 2" xfId="300"/>
    <cellStyle name="Normal 2 3 3" xfId="137"/>
    <cellStyle name="Normal 2 3 3 2" xfId="18"/>
    <cellStyle name="Normal 2 4" xfId="138"/>
    <cellStyle name="Normal 2 4 2" xfId="139"/>
    <cellStyle name="Normal 2 4 3" xfId="140"/>
    <cellStyle name="Normal 2 4 4" xfId="141"/>
    <cellStyle name="Normal 2 5" xfId="301"/>
    <cellStyle name="Normal 2 5 2" xfId="302"/>
    <cellStyle name="Normal 2 6" xfId="303"/>
    <cellStyle name="Normal 20" xfId="304"/>
    <cellStyle name="Normal 21" xfId="305"/>
    <cellStyle name="Normal 22" xfId="306"/>
    <cellStyle name="Normal 23" xfId="307"/>
    <cellStyle name="Normal 3" xfId="11"/>
    <cellStyle name="Normal 3 2" xfId="142"/>
    <cellStyle name="Normal 3 2 2" xfId="143"/>
    <cellStyle name="Normal 3 2 3" xfId="144"/>
    <cellStyle name="Normal 3 2 4" xfId="212"/>
    <cellStyle name="Normal 3 3" xfId="145"/>
    <cellStyle name="Normal 3 3 2" xfId="146"/>
    <cellStyle name="Normal 3 3 3" xfId="147"/>
    <cellStyle name="Normal 3 4" xfId="148"/>
    <cellStyle name="Normal 3 4 2" xfId="308"/>
    <cellStyle name="Normal 3 5" xfId="149"/>
    <cellStyle name="Normal 3 6" xfId="150"/>
    <cellStyle name="Normal 3 7" xfId="151"/>
    <cellStyle name="Normal 3 9" xfId="309"/>
    <cellStyle name="Normal 4" xfId="5"/>
    <cellStyle name="Normal 4 2" xfId="152"/>
    <cellStyle name="Normal 4 2 2" xfId="17"/>
    <cellStyle name="Normal 4 2 2 2" xfId="310"/>
    <cellStyle name="Normal 4 2 3" xfId="311"/>
    <cellStyle name="Normal 4 2 3 2" xfId="312"/>
    <cellStyle name="Normal 4 3" xfId="13"/>
    <cellStyle name="Normal 4 3 2" xfId="313"/>
    <cellStyle name="Normal 4 3 3" xfId="314"/>
    <cellStyle name="Normal 4 4" xfId="153"/>
    <cellStyle name="Normal 4 5" xfId="154"/>
    <cellStyle name="Normal 5" xfId="155"/>
    <cellStyle name="Normal 5 2" xfId="2"/>
    <cellStyle name="Normal 5 2 2" xfId="315"/>
    <cellStyle name="Normal 5 3" xfId="316"/>
    <cellStyle name="Normal 6" xfId="156"/>
    <cellStyle name="Normal 6 2" xfId="157"/>
    <cellStyle name="Normal 6 2 2" xfId="15"/>
    <cellStyle name="Normal 6 2 2 2" xfId="317"/>
    <cellStyle name="Normal 6 2 3" xfId="318"/>
    <cellStyle name="Normal 6 2 4" xfId="319"/>
    <cellStyle name="Normal 6 3" xfId="158"/>
    <cellStyle name="Normal 6 4" xfId="159"/>
    <cellStyle name="Normal 6 5" xfId="160"/>
    <cellStyle name="Normal 7" xfId="161"/>
    <cellStyle name="Normal 7 2" xfId="162"/>
    <cellStyle name="Normal 7 2 2" xfId="163"/>
    <cellStyle name="Normal 7 2 3" xfId="164"/>
    <cellStyle name="Normal 7 3" xfId="165"/>
    <cellStyle name="Normal 7 4" xfId="166"/>
    <cellStyle name="Normal 8" xfId="167"/>
    <cellStyle name="Normal 8 2" xfId="168"/>
    <cellStyle name="Normal 8 2 2" xfId="218"/>
    <cellStyle name="Normal 8 3" xfId="320"/>
    <cellStyle name="Normal 8 4" xfId="321"/>
    <cellStyle name="Normal 8 5" xfId="322"/>
    <cellStyle name="Normal 9" xfId="169"/>
    <cellStyle name="Normal 9 2" xfId="170"/>
    <cellStyle name="Normal 9 2 2" xfId="323"/>
    <cellStyle name="Normal 9 2 3" xfId="324"/>
    <cellStyle name="Normal 9 3" xfId="171"/>
    <cellStyle name="Note 2" xfId="172"/>
    <cellStyle name="Note 2 2" xfId="173"/>
    <cellStyle name="Note 2 3" xfId="174"/>
    <cellStyle name="Note 2 4" xfId="175"/>
    <cellStyle name="Output 2" xfId="176"/>
    <cellStyle name="Output 2 2" xfId="177"/>
    <cellStyle name="Output 2 3" xfId="178"/>
    <cellStyle name="Parent row" xfId="325"/>
    <cellStyle name="Percent" xfId="1" builtinId="5"/>
    <cellStyle name="Percent 10" xfId="4"/>
    <cellStyle name="Percent 10 2" xfId="326"/>
    <cellStyle name="Percent 11" xfId="179"/>
    <cellStyle name="Percent 12" xfId="180"/>
    <cellStyle name="Percent 2" xfId="181"/>
    <cellStyle name="Percent 2 2" xfId="182"/>
    <cellStyle name="Percent 2 2 2" xfId="183"/>
    <cellStyle name="Percent 2 2 2 2" xfId="327"/>
    <cellStyle name="Percent 2 2 3" xfId="328"/>
    <cellStyle name="Percent 2 2 3 2" xfId="19"/>
    <cellStyle name="Percent 2 3" xfId="184"/>
    <cellStyle name="Percent 2 4" xfId="3"/>
    <cellStyle name="Percent 2 4 2" xfId="329"/>
    <cellStyle name="Percent 2 5" xfId="217"/>
    <cellStyle name="Percent 3" xfId="7"/>
    <cellStyle name="Percent 3 2" xfId="185"/>
    <cellStyle name="Percent 3 2 2" xfId="214"/>
    <cellStyle name="Percent 3 2 3" xfId="330"/>
    <cellStyle name="Percent 3 3" xfId="331"/>
    <cellStyle name="Percent 4" xfId="186"/>
    <cellStyle name="Percent 4 2" xfId="187"/>
    <cellStyle name="Percent 4 2 2" xfId="188"/>
    <cellStyle name="Percent 4 2 3" xfId="189"/>
    <cellStyle name="Percent 4 3" xfId="332"/>
    <cellStyle name="Percent 5" xfId="190"/>
    <cellStyle name="Percent 5 2" xfId="191"/>
    <cellStyle name="Percent 5 2 2" xfId="333"/>
    <cellStyle name="Percent 5 3" xfId="192"/>
    <cellStyle name="Percent 5 4" xfId="193"/>
    <cellStyle name="Percent 5 5" xfId="334"/>
    <cellStyle name="Percent 6" xfId="194"/>
    <cellStyle name="Percent 6 2" xfId="195"/>
    <cellStyle name="Percent 6 2 2" xfId="196"/>
    <cellStyle name="Percent 6 2 3" xfId="197"/>
    <cellStyle name="Percent 6 3" xfId="198"/>
    <cellStyle name="Percent 6 4" xfId="335"/>
    <cellStyle name="Percent 7" xfId="10"/>
    <cellStyle name="Percent 7 2" xfId="199"/>
    <cellStyle name="Percent 7 3" xfId="200"/>
    <cellStyle name="Percent 7 4" xfId="336"/>
    <cellStyle name="Percent 8" xfId="201"/>
    <cellStyle name="Percent 8 2" xfId="337"/>
    <cellStyle name="Percent 8 3" xfId="338"/>
    <cellStyle name="Percent 9" xfId="202"/>
    <cellStyle name="Percent 9 2" xfId="203"/>
    <cellStyle name="Style 1" xfId="204"/>
    <cellStyle name="Style 2" xfId="205"/>
    <cellStyle name="Table title" xfId="339"/>
    <cellStyle name="Title 2" xfId="206"/>
    <cellStyle name="Title 2 2" xfId="340"/>
    <cellStyle name="Title 2 3" xfId="341"/>
    <cellStyle name="Total 2" xfId="207"/>
    <cellStyle name="Total 2 2" xfId="208"/>
    <cellStyle name="Total 2 3" xfId="209"/>
    <cellStyle name="Warning Text 2" xfId="210"/>
    <cellStyle name="Warning Text 2 2" xfId="342"/>
    <cellStyle name="Warning Text 2 3" xfId="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ohmann\AppData\Local\Microsoft\Windows\INetCache\Content.Outlook\NB01ZPGO\6.%20BLS%20Analysis%20May2020%20for%20Jan%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File_Services\Common\Administrative%20Services-POS%20Policy%20Office\Rate%20Setting\Rate%20Projects\General%20Programs%20-%20MCB%20&amp;%20MRC-CMR%20422\2022%20Rate%20Review\3.%20Proposal,%20Hearing%20&amp;%20Signoff\Website\Brain%20Injury%20Ctrs%208.2.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X/Data%20&amp;%20Reporting%20Tools/STARR%20Utilization/STARR%20Utilization%20Tool%20FY10%20Ju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FP-BOS-081\File_Services\Common\Administrative%20Services-POS%20Policy%20Office\Rate%20Setting\Rate%20Projects\General%20Programs%20-%20MCB%20&amp;%20MRC-CMR%20422\2022%20Rate%20Review\3.%20Proposal,%20Hearing%20&amp;%20Signoff\Website\Gen%20Prog%208.3.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W_Pricing\POS\Year%203%20Projects\Year%203%20Plan\Service%20Classes\Youth%20Intermediate%20Term%20Stabilization\3470%20DPH%20BSAS%20Youth%20Residential\YITS-DPH\YITS_DPH_Yr%203%20review_FY2010-2011_General%20Analysi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_M2020_dl"/>
      <sheetName val="Field Descriptions"/>
      <sheetName val="UpdateTime"/>
      <sheetName val="Filler"/>
      <sheetName val="Sheet1"/>
      <sheetName val="Management (2)"/>
      <sheetName val="Chart"/>
      <sheetName val="DC  CNA  DC III"/>
      <sheetName val="Case Social Worker.Manager"/>
      <sheetName val="Clinical"/>
      <sheetName val="Nursing"/>
      <sheetName val="Management"/>
    </sheetNames>
    <sheetDataSet>
      <sheetData sheetId="0" refreshError="1"/>
      <sheetData sheetId="1" refreshError="1"/>
      <sheetData sheetId="2" refreshError="1"/>
      <sheetData sheetId="3" refreshError="1"/>
      <sheetData sheetId="4" refreshError="1"/>
      <sheetData sheetId="5" refreshError="1"/>
      <sheetData sheetId="6"/>
      <sheetData sheetId="7">
        <row r="7">
          <cell r="G7">
            <v>16.791999999999998</v>
          </cell>
        </row>
        <row r="11">
          <cell r="G11">
            <v>17.260000000000002</v>
          </cell>
        </row>
        <row r="20">
          <cell r="G20">
            <v>21.736000000000001</v>
          </cell>
        </row>
      </sheetData>
      <sheetData sheetId="8">
        <row r="4">
          <cell r="G4">
            <v>21.814999999999998</v>
          </cell>
        </row>
        <row r="10">
          <cell r="G10">
            <v>26.16</v>
          </cell>
        </row>
      </sheetData>
      <sheetData sheetId="9">
        <row r="5">
          <cell r="G5">
            <v>30.59</v>
          </cell>
        </row>
        <row r="9">
          <cell r="G9">
            <v>40.57</v>
          </cell>
        </row>
      </sheetData>
      <sheetData sheetId="10">
        <row r="2">
          <cell r="G2">
            <v>28.8</v>
          </cell>
        </row>
        <row r="6">
          <cell r="G6">
            <v>43.41</v>
          </cell>
        </row>
        <row r="11">
          <cell r="G11">
            <v>59.6</v>
          </cell>
        </row>
      </sheetData>
      <sheetData sheetId="11">
        <row r="2">
          <cell r="G2">
            <v>33.46153846153846</v>
          </cell>
          <cell r="H2">
            <v>69600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BLS"/>
      <sheetName val="Community Outreach Current"/>
      <sheetName val="Community Outreach- 2265"/>
      <sheetName val="Site Based Current"/>
      <sheetName val="Site Based- 2266 "/>
      <sheetName val="Fiscal Impact FY18"/>
      <sheetName val="CAF 2019 Fall"/>
      <sheetName val="Direct Care Add-on Current"/>
      <sheetName val="Direct Care Add-on- 2267"/>
      <sheetName val="2020 UFR 2266"/>
      <sheetName val="Combined UFRs 2020"/>
      <sheetName val="Fiscal Impact FY19"/>
      <sheetName val="Fiscal Impact fy21"/>
      <sheetName val="CAF Spring 2021"/>
    </sheetNames>
    <sheetDataSet>
      <sheetData sheetId="0">
        <row r="6">
          <cell r="C6">
            <v>34927.359999999993</v>
          </cell>
        </row>
        <row r="8">
          <cell r="C8">
            <v>45210.880000000005</v>
          </cell>
        </row>
        <row r="18">
          <cell r="C18">
            <v>69600</v>
          </cell>
        </row>
      </sheetData>
      <sheetData sheetId="1"/>
      <sheetData sheetId="2"/>
      <sheetData sheetId="3"/>
      <sheetData sheetId="4"/>
      <sheetData sheetId="5"/>
      <sheetData sheetId="6"/>
      <sheetData sheetId="7"/>
      <sheetData sheetId="8"/>
      <sheetData sheetId="9"/>
      <sheetData sheetId="10">
        <row r="84">
          <cell r="D84">
            <v>5736.7323415233896</v>
          </cell>
          <cell r="AP84">
            <v>7189.3654109032514</v>
          </cell>
        </row>
      </sheetData>
      <sheetData sheetId="11"/>
      <sheetData sheetId="12"/>
      <sheetData sheetId="13">
        <row r="25">
          <cell r="CF25">
            <v>1.0633805350099574E-2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L FY16"/>
      <sheetName val="ATIL FY15 FI"/>
      <sheetName val="Fall 2018"/>
      <sheetName val="Fiscal Impact(FY19)"/>
      <sheetName val="Chart BLS"/>
      <sheetName val="Chart for Reg Current"/>
      <sheetName val="Fiscal Impact - wip"/>
      <sheetName val="1. O&amp;M Model Budge current"/>
      <sheetName val="1. O&amp;M Model - 2121"/>
      <sheetName val="Below the line 2121"/>
      <sheetName val="1a. VR Assistant Current"/>
      <sheetName val="1a. VR Assistant- 3253"/>
      <sheetName val="Below the line 3253"/>
      <sheetName val="2. HCA-Post PH Current"/>
      <sheetName val="2. HCA-2220"/>
      <sheetName val="3. ATILSingleSiteModel Current"/>
      <sheetName val="Below the line 2220"/>
      <sheetName val="3. ATILSingleSiteModel- 2218"/>
      <sheetName val="Below the line 2218"/>
      <sheetName val="3. ATIL UFR 2020"/>
      <sheetName val="4. Mobile Eye Model Budget Curr"/>
      <sheetName val="4. Mobile Eye Model - 2406 "/>
      <sheetName val="5. DBCAN Model Budget Current"/>
      <sheetName val="5. DBCAN Model - 2405"/>
      <sheetName val="Below the line 2405"/>
      <sheetName val="FY18 Spend"/>
      <sheetName val="Spring2017 CAF"/>
      <sheetName val="Salary Compare"/>
      <sheetName val="Activity Codes"/>
      <sheetName val="Spring 2019 CAF"/>
      <sheetName val="2020 UFR 2405"/>
      <sheetName val="CMR 422 Master Lookup"/>
      <sheetName val="CAF Spring 2021"/>
      <sheetName val="CMR 422 Master Lookup Current"/>
    </sheetNames>
    <sheetDataSet>
      <sheetData sheetId="0" refreshError="1"/>
      <sheetData sheetId="1" refreshError="1"/>
      <sheetData sheetId="2">
        <row r="26">
          <cell r="BQ26">
            <v>2.5376928471248276E-2</v>
          </cell>
        </row>
      </sheetData>
      <sheetData sheetId="3" refreshError="1"/>
      <sheetData sheetId="4"/>
      <sheetData sheetId="5" refreshError="1"/>
      <sheetData sheetId="6" refreshError="1"/>
      <sheetData sheetId="7">
        <row r="12">
          <cell r="S12">
            <v>1257.5</v>
          </cell>
        </row>
        <row r="24">
          <cell r="B24" t="str">
            <v>PFMLA Trust Contribution</v>
          </cell>
          <cell r="D24" t="str">
            <v>Effective 7/1/19</v>
          </cell>
        </row>
      </sheetData>
      <sheetData sheetId="8"/>
      <sheetData sheetId="9">
        <row r="5">
          <cell r="E5">
            <v>2663.3888048411495</v>
          </cell>
          <cell r="Q5">
            <v>4691.6792738275335</v>
          </cell>
          <cell r="AK5">
            <v>1189.7125567322239</v>
          </cell>
          <cell r="AO5">
            <v>336.7624810892587</v>
          </cell>
        </row>
      </sheetData>
      <sheetData sheetId="10" refreshError="1"/>
      <sheetData sheetId="11"/>
      <sheetData sheetId="12">
        <row r="12">
          <cell r="E12">
            <v>6030.592485549133</v>
          </cell>
          <cell r="Q12">
            <v>2660.2080924855491</v>
          </cell>
          <cell r="AK12">
            <v>512.64739884393066</v>
          </cell>
        </row>
      </sheetData>
      <sheetData sheetId="13" refreshError="1"/>
      <sheetData sheetId="14"/>
      <sheetData sheetId="15" refreshError="1"/>
      <sheetData sheetId="16" refreshError="1"/>
      <sheetData sheetId="17"/>
      <sheetData sheetId="18" refreshError="1"/>
      <sheetData sheetId="19">
        <row r="5">
          <cell r="E5">
            <v>2881.9809523809522</v>
          </cell>
        </row>
      </sheetData>
      <sheetData sheetId="20" refreshError="1"/>
      <sheetData sheetId="21" refreshError="1"/>
      <sheetData sheetId="22" refreshError="1"/>
      <sheetData sheetId="23"/>
      <sheetData sheetId="24">
        <row r="12">
          <cell r="AJ12">
            <v>3171</v>
          </cell>
        </row>
      </sheetData>
      <sheetData sheetId="25" refreshError="1"/>
      <sheetData sheetId="26" refreshError="1"/>
      <sheetData sheetId="27" refreshError="1"/>
      <sheetData sheetId="28" refreshError="1"/>
      <sheetData sheetId="29" refreshError="1"/>
      <sheetData sheetId="30" refreshError="1"/>
      <sheetData sheetId="31">
        <row r="3">
          <cell r="G3">
            <v>0.224</v>
          </cell>
        </row>
        <row r="4">
          <cell r="G4">
            <v>0.12</v>
          </cell>
        </row>
        <row r="5">
          <cell r="G5">
            <v>3.7000000000000002E-3</v>
          </cell>
        </row>
        <row r="6">
          <cell r="G6">
            <v>1.0633805350099574E-2</v>
          </cell>
        </row>
        <row r="32">
          <cell r="C32">
            <v>2881.9809523809522</v>
          </cell>
        </row>
        <row r="33">
          <cell r="C33">
            <v>197.76966722593266</v>
          </cell>
        </row>
        <row r="34">
          <cell r="C34">
            <v>9385.8384863561496</v>
          </cell>
        </row>
      </sheetData>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tabSelected="1" zoomScale="60" zoomScaleNormal="60" workbookViewId="0">
      <selection activeCell="P27" sqref="P27"/>
    </sheetView>
  </sheetViews>
  <sheetFormatPr defaultColWidth="8.77734375" defaultRowHeight="14.4"/>
  <cols>
    <col min="1" max="1" width="5.5546875" style="4" customWidth="1"/>
    <col min="2" max="2" width="58" style="4" customWidth="1"/>
    <col min="3" max="3" width="24.21875" style="4" customWidth="1"/>
    <col min="4" max="5" width="14.77734375" style="4" hidden="1" customWidth="1"/>
    <col min="6" max="6" width="57.21875" style="4" customWidth="1"/>
    <col min="7" max="7" width="62.21875" style="5" customWidth="1"/>
    <col min="8" max="8" width="14.77734375" style="4" hidden="1" customWidth="1"/>
    <col min="9" max="9" width="0" style="4" hidden="1" customWidth="1"/>
    <col min="10" max="10" width="11" style="4" hidden="1" customWidth="1"/>
    <col min="11" max="11" width="0" style="4" hidden="1" customWidth="1"/>
    <col min="12" max="16384" width="8.77734375" style="4"/>
  </cols>
  <sheetData>
    <row r="1" spans="2:10" ht="21">
      <c r="B1" s="1"/>
      <c r="C1" s="2" t="s">
        <v>0</v>
      </c>
      <c r="D1" s="2" t="s">
        <v>0</v>
      </c>
      <c r="E1" s="3"/>
    </row>
    <row r="2" spans="2:10" ht="21">
      <c r="C2" s="1059">
        <v>43952</v>
      </c>
      <c r="D2" s="6" t="s">
        <v>1</v>
      </c>
      <c r="E2" s="7"/>
    </row>
    <row r="3" spans="2:10" ht="21">
      <c r="B3" s="8"/>
      <c r="C3" s="6" t="s">
        <v>2</v>
      </c>
      <c r="D3" s="6" t="s">
        <v>2</v>
      </c>
      <c r="E3" s="6"/>
      <c r="F3" s="9"/>
      <c r="G3" s="10"/>
    </row>
    <row r="4" spans="2:10" ht="19.350000000000001" customHeight="1" thickBot="1">
      <c r="B4" s="11" t="s">
        <v>3</v>
      </c>
      <c r="C4" s="12" t="s">
        <v>4</v>
      </c>
      <c r="D4" s="13" t="s">
        <v>5</v>
      </c>
      <c r="E4" s="13" t="s">
        <v>6</v>
      </c>
      <c r="F4" s="11" t="s">
        <v>7</v>
      </c>
      <c r="G4" s="14" t="s">
        <v>8</v>
      </c>
      <c r="H4" s="7" t="s">
        <v>9</v>
      </c>
      <c r="J4" s="4" t="s">
        <v>10</v>
      </c>
    </row>
    <row r="5" spans="2:10" ht="31.35" customHeight="1">
      <c r="B5" s="15" t="s">
        <v>11</v>
      </c>
      <c r="C5" s="16">
        <f>'[1]DC  CNA  DC III'!G7</f>
        <v>16.791999999999998</v>
      </c>
      <c r="D5" s="16">
        <v>15.48</v>
      </c>
      <c r="E5" s="17"/>
      <c r="F5" s="18" t="s">
        <v>12</v>
      </c>
      <c r="G5" s="19" t="s">
        <v>13</v>
      </c>
      <c r="H5" s="20">
        <f>H6/2080</f>
        <v>15.480288461538462</v>
      </c>
      <c r="J5" s="21">
        <f>C5-H5</f>
        <v>1.3117115384615357</v>
      </c>
    </row>
    <row r="6" spans="2:10" ht="31.35" customHeight="1" thickBot="1">
      <c r="B6" s="22" t="s">
        <v>14</v>
      </c>
      <c r="C6" s="23">
        <f>C5*2080</f>
        <v>34927.359999999993</v>
      </c>
      <c r="D6" s="23">
        <f>D5*2080</f>
        <v>32198.400000000001</v>
      </c>
      <c r="E6" s="24">
        <f>(C6-D6)/D6</f>
        <v>8.4754521963824034E-2</v>
      </c>
      <c r="F6" s="25"/>
      <c r="G6" s="26"/>
      <c r="H6" s="27">
        <v>32199</v>
      </c>
      <c r="J6" s="21"/>
    </row>
    <row r="7" spans="2:10" ht="21">
      <c r="B7" s="15" t="s">
        <v>15</v>
      </c>
      <c r="C7" s="16">
        <f>'[1]DC  CNA  DC III'!G20</f>
        <v>21.736000000000001</v>
      </c>
      <c r="D7" s="16">
        <v>19.96</v>
      </c>
      <c r="E7" s="17"/>
      <c r="F7" s="28" t="s">
        <v>16</v>
      </c>
      <c r="G7" s="19" t="s">
        <v>17</v>
      </c>
      <c r="H7" s="20">
        <f>H8/2080</f>
        <v>18.400480769230768</v>
      </c>
      <c r="J7" s="21">
        <f>C7-H7</f>
        <v>3.3355192307692327</v>
      </c>
    </row>
    <row r="8" spans="2:10" ht="21.6" thickBot="1">
      <c r="B8" s="29" t="s">
        <v>18</v>
      </c>
      <c r="C8" s="30">
        <f>C7*2080</f>
        <v>45210.880000000005</v>
      </c>
      <c r="D8" s="30">
        <f>D7*2080</f>
        <v>41516.800000000003</v>
      </c>
      <c r="E8" s="31">
        <f>(C8-D8)/D8</f>
        <v>8.8977955911823683E-2</v>
      </c>
      <c r="F8" s="9"/>
      <c r="G8" s="32"/>
      <c r="H8" s="27">
        <v>38273</v>
      </c>
      <c r="J8" s="21"/>
    </row>
    <row r="9" spans="2:10" ht="21">
      <c r="B9" s="15" t="s">
        <v>19</v>
      </c>
      <c r="C9" s="16">
        <f>'[1]DC  CNA  DC III'!G11</f>
        <v>17.260000000000002</v>
      </c>
      <c r="D9" s="16">
        <v>15.53</v>
      </c>
      <c r="E9" s="17"/>
      <c r="F9" s="28"/>
      <c r="G9" s="19" t="s">
        <v>20</v>
      </c>
      <c r="H9" s="20">
        <f>H10/2080</f>
        <v>20.43028846153846</v>
      </c>
      <c r="J9" s="33">
        <f>C9-H9</f>
        <v>-3.1702884615384583</v>
      </c>
    </row>
    <row r="10" spans="2:10" ht="21.6" thickBot="1">
      <c r="B10" s="22" t="s">
        <v>21</v>
      </c>
      <c r="C10" s="23">
        <f>C9*2080</f>
        <v>35900.800000000003</v>
      </c>
      <c r="D10" s="23">
        <f>D9*2080</f>
        <v>32302.399999999998</v>
      </c>
      <c r="E10" s="24">
        <f>(C10-D10)/D10</f>
        <v>0.11139729555698664</v>
      </c>
      <c r="F10" s="34"/>
      <c r="G10" s="26"/>
      <c r="H10" s="27">
        <v>42495</v>
      </c>
      <c r="J10" s="21"/>
    </row>
    <row r="11" spans="2:10" ht="21">
      <c r="B11" s="15" t="s">
        <v>22</v>
      </c>
      <c r="C11" s="16">
        <f>'[1]Case Social Worker.Manager'!G4</f>
        <v>21.814999999999998</v>
      </c>
      <c r="D11" s="16">
        <v>21.14</v>
      </c>
      <c r="E11" s="17"/>
      <c r="F11" s="28" t="s">
        <v>23</v>
      </c>
      <c r="G11" s="19" t="s">
        <v>24</v>
      </c>
      <c r="H11" s="35" t="s">
        <v>25</v>
      </c>
      <c r="J11" s="21"/>
    </row>
    <row r="12" spans="2:10" ht="21.6" thickBot="1">
      <c r="B12" s="29" t="s">
        <v>26</v>
      </c>
      <c r="C12" s="30">
        <f>C11*2080</f>
        <v>45375.199999999997</v>
      </c>
      <c r="D12" s="30">
        <f>D11*2080</f>
        <v>43971.200000000004</v>
      </c>
      <c r="E12" s="31">
        <f>(C12-D12)/D12</f>
        <v>3.192999053926189E-2</v>
      </c>
      <c r="F12" s="9" t="s">
        <v>27</v>
      </c>
      <c r="G12" s="32"/>
      <c r="H12" s="36"/>
      <c r="J12" s="21"/>
    </row>
    <row r="13" spans="2:10" ht="42">
      <c r="B13" s="37" t="s">
        <v>28</v>
      </c>
      <c r="C13" s="16">
        <f>'[1]Case Social Worker.Manager'!G10</f>
        <v>26.16</v>
      </c>
      <c r="D13" s="16">
        <v>25.32</v>
      </c>
      <c r="E13" s="17"/>
      <c r="F13" s="28" t="s">
        <v>29</v>
      </c>
      <c r="G13" s="19" t="s">
        <v>30</v>
      </c>
      <c r="H13" s="20">
        <f>H14/2080</f>
        <v>19.703365384615385</v>
      </c>
      <c r="J13" s="21">
        <f>C13-H13</f>
        <v>6.4566346153846155</v>
      </c>
    </row>
    <row r="14" spans="2:10" ht="42.6" thickBot="1">
      <c r="B14" s="38" t="s">
        <v>31</v>
      </c>
      <c r="C14" s="23">
        <f>C13*2080</f>
        <v>54412.800000000003</v>
      </c>
      <c r="D14" s="23">
        <f>D13*2080</f>
        <v>52665.599999999999</v>
      </c>
      <c r="E14" s="24">
        <f>(C14-D14)/D14</f>
        <v>3.3175355450237053E-2</v>
      </c>
      <c r="F14" s="34" t="s">
        <v>32</v>
      </c>
      <c r="G14" s="26"/>
      <c r="H14" s="27">
        <v>40983</v>
      </c>
      <c r="J14" s="21"/>
    </row>
    <row r="15" spans="2:10" ht="21">
      <c r="B15" s="15" t="s">
        <v>33</v>
      </c>
      <c r="C15" s="16">
        <f>[1]Clinical!G5</f>
        <v>30.59</v>
      </c>
      <c r="D15" s="16">
        <v>29.29</v>
      </c>
      <c r="E15" s="17"/>
      <c r="F15" s="28" t="s">
        <v>34</v>
      </c>
      <c r="G15" s="19" t="s">
        <v>35</v>
      </c>
      <c r="H15" s="20">
        <f>H16/2080</f>
        <v>27.190865384615385</v>
      </c>
      <c r="J15" s="21">
        <f>C15-H15</f>
        <v>3.3991346153846145</v>
      </c>
    </row>
    <row r="16" spans="2:10" ht="21.6" thickBot="1">
      <c r="B16" s="22" t="s">
        <v>36</v>
      </c>
      <c r="C16" s="23">
        <f>C15*2080</f>
        <v>63627.199999999997</v>
      </c>
      <c r="D16" s="23">
        <f>D15*2080</f>
        <v>60923.199999999997</v>
      </c>
      <c r="E16" s="24">
        <f>(C16-D16)/D16</f>
        <v>4.4383748719699558E-2</v>
      </c>
      <c r="F16" s="34"/>
      <c r="G16" s="26"/>
      <c r="H16" s="27">
        <v>56557</v>
      </c>
      <c r="J16" s="21"/>
    </row>
    <row r="17" spans="2:10" s="1067" customFormat="1" ht="21">
      <c r="B17" s="1060" t="s">
        <v>37</v>
      </c>
      <c r="C17" s="1061">
        <f>[1]Management!G2</f>
        <v>33.46153846153846</v>
      </c>
      <c r="D17" s="1062" t="s">
        <v>25</v>
      </c>
      <c r="E17" s="1063"/>
      <c r="F17" s="1064" t="s">
        <v>38</v>
      </c>
      <c r="G17" s="1065" t="s">
        <v>39</v>
      </c>
      <c r="H17" s="1066"/>
      <c r="J17" s="1068"/>
    </row>
    <row r="18" spans="2:10" s="1067" customFormat="1" ht="21.6" thickBot="1">
      <c r="B18" s="1060" t="s">
        <v>40</v>
      </c>
      <c r="C18" s="1062">
        <f>[1]Management!H2</f>
        <v>69600</v>
      </c>
      <c r="D18" s="1062" t="s">
        <v>25</v>
      </c>
      <c r="E18" s="1063"/>
      <c r="F18" s="1064" t="s">
        <v>41</v>
      </c>
      <c r="G18" s="1065"/>
      <c r="H18" s="1066"/>
      <c r="J18" s="1068"/>
    </row>
    <row r="19" spans="2:10" ht="21">
      <c r="B19" s="15" t="s">
        <v>42</v>
      </c>
      <c r="C19" s="16">
        <f>[1]Clinical!G9</f>
        <v>40.57</v>
      </c>
      <c r="D19" s="16">
        <v>40.06</v>
      </c>
      <c r="E19" s="17"/>
      <c r="F19" s="39" t="s">
        <v>43</v>
      </c>
      <c r="G19" s="19" t="s">
        <v>44</v>
      </c>
      <c r="H19" s="20">
        <f>H20/2080</f>
        <v>33.217788461538461</v>
      </c>
      <c r="J19" s="21">
        <f>C19-H19</f>
        <v>7.352211538461539</v>
      </c>
    </row>
    <row r="20" spans="2:10" ht="21.6" thickBot="1">
      <c r="B20" s="22" t="s">
        <v>45</v>
      </c>
      <c r="C20" s="23">
        <f>C19*2080</f>
        <v>84385.600000000006</v>
      </c>
      <c r="D20" s="23">
        <f>D19*2080</f>
        <v>83324.800000000003</v>
      </c>
      <c r="E20" s="24">
        <f>(C20-D20)/D20</f>
        <v>1.2730903644533234E-2</v>
      </c>
      <c r="F20" s="40"/>
      <c r="G20" s="26"/>
      <c r="H20" s="27">
        <v>69093</v>
      </c>
      <c r="J20" s="21"/>
    </row>
    <row r="21" spans="2:10" ht="21">
      <c r="B21" s="15" t="s">
        <v>46</v>
      </c>
      <c r="C21" s="16">
        <f>[1]Nursing!G2</f>
        <v>28.8</v>
      </c>
      <c r="D21" s="16">
        <v>27.62</v>
      </c>
      <c r="E21" s="17"/>
      <c r="F21" s="28"/>
      <c r="G21" s="19" t="s">
        <v>47</v>
      </c>
      <c r="H21" s="20">
        <f>H22/2080</f>
        <v>25.143750000000001</v>
      </c>
      <c r="J21" s="21">
        <f>C21-H21</f>
        <v>3.65625</v>
      </c>
    </row>
    <row r="22" spans="2:10" ht="21.6" thickBot="1">
      <c r="B22" s="22" t="s">
        <v>48</v>
      </c>
      <c r="C22" s="23">
        <f>C21*2080</f>
        <v>59904</v>
      </c>
      <c r="D22" s="23">
        <f>D21*2080</f>
        <v>57449.599999999999</v>
      </c>
      <c r="E22" s="24">
        <f>(C22-D22)/D22</f>
        <v>4.2722664735698794E-2</v>
      </c>
      <c r="F22" s="34"/>
      <c r="G22" s="26"/>
      <c r="H22" s="27">
        <v>52299</v>
      </c>
      <c r="J22" s="21"/>
    </row>
    <row r="23" spans="2:10" ht="21">
      <c r="B23" s="15" t="s">
        <v>49</v>
      </c>
      <c r="C23" s="16">
        <f>[1]Nursing!G6</f>
        <v>43.41</v>
      </c>
      <c r="D23" s="16">
        <v>41.76</v>
      </c>
      <c r="E23" s="17"/>
      <c r="F23" s="28"/>
      <c r="G23" s="19" t="s">
        <v>50</v>
      </c>
      <c r="H23" s="41">
        <f>H24/2080</f>
        <v>33.460576923076921</v>
      </c>
      <c r="J23" s="21">
        <f>C23-H23</f>
        <v>9.9494230769230754</v>
      </c>
    </row>
    <row r="24" spans="2:10" ht="21.6" thickBot="1">
      <c r="B24" s="22" t="s">
        <v>51</v>
      </c>
      <c r="C24" s="23">
        <f>C23*2080</f>
        <v>90292.799999999988</v>
      </c>
      <c r="D24" s="23">
        <f>D23*2080</f>
        <v>86860.800000000003</v>
      </c>
      <c r="E24" s="24">
        <f>(C24-D24)/D24</f>
        <v>3.9511494252873397E-2</v>
      </c>
      <c r="F24" s="34"/>
      <c r="G24" s="26"/>
      <c r="H24" s="27">
        <v>69598</v>
      </c>
      <c r="J24" s="21"/>
    </row>
    <row r="25" spans="2:10" ht="21">
      <c r="B25" s="15" t="s">
        <v>52</v>
      </c>
      <c r="C25" s="16">
        <f>[1]Nursing!G11</f>
        <v>59.6</v>
      </c>
      <c r="D25" s="16">
        <v>57.41</v>
      </c>
      <c r="E25" s="17"/>
      <c r="F25" s="28"/>
      <c r="G25" s="19" t="s">
        <v>53</v>
      </c>
      <c r="H25" s="20">
        <f>H26/2080</f>
        <v>48.354326923076925</v>
      </c>
      <c r="J25" s="21">
        <f>C25-H25</f>
        <v>11.245673076923076</v>
      </c>
    </row>
    <row r="26" spans="2:10" ht="21.6" thickBot="1">
      <c r="B26" s="22" t="s">
        <v>54</v>
      </c>
      <c r="C26" s="23">
        <f>C25*2080</f>
        <v>123968</v>
      </c>
      <c r="D26" s="23">
        <f>D25*2080</f>
        <v>119412.79999999999</v>
      </c>
      <c r="E26" s="24">
        <f>(C26-D26)/D26</f>
        <v>3.8146664344191006E-2</v>
      </c>
      <c r="F26" s="34"/>
      <c r="G26" s="26"/>
      <c r="H26" s="27">
        <v>100577</v>
      </c>
      <c r="J26" s="21"/>
    </row>
    <row r="27" spans="2:10" ht="21">
      <c r="B27" s="9"/>
      <c r="C27" s="9"/>
      <c r="D27" s="9"/>
      <c r="E27" s="9"/>
      <c r="F27" s="9"/>
      <c r="G27" s="10"/>
    </row>
    <row r="28" spans="2:10" ht="36">
      <c r="B28" s="42" t="s">
        <v>55</v>
      </c>
      <c r="C28" s="43">
        <f>C6</f>
        <v>34927.359999999993</v>
      </c>
      <c r="D28" s="44"/>
      <c r="E28" s="44"/>
      <c r="F28" s="44"/>
      <c r="G28" s="45"/>
    </row>
    <row r="29" spans="2:10" ht="18">
      <c r="B29" s="44"/>
      <c r="C29" s="44"/>
      <c r="D29" s="44"/>
      <c r="E29" s="44"/>
      <c r="F29" s="44"/>
      <c r="G29" s="45"/>
    </row>
    <row r="30" spans="2:10" ht="36" hidden="1">
      <c r="B30" s="42" t="s">
        <v>56</v>
      </c>
      <c r="C30" s="46">
        <f>AVERAGE(14.25,15)</f>
        <v>14.625</v>
      </c>
      <c r="D30" s="44"/>
      <c r="E30" s="44"/>
      <c r="F30" s="44" t="s">
        <v>57</v>
      </c>
      <c r="G30" s="45"/>
    </row>
    <row r="31" spans="2:10" ht="18">
      <c r="B31" s="44"/>
      <c r="C31" s="44"/>
      <c r="D31" s="44"/>
      <c r="E31" s="44"/>
      <c r="F31" s="44"/>
      <c r="G31" s="45"/>
    </row>
    <row r="32" spans="2:10" ht="18">
      <c r="B32" s="47" t="s">
        <v>58</v>
      </c>
      <c r="C32" s="48">
        <v>0.224</v>
      </c>
      <c r="D32" s="44"/>
      <c r="E32" s="44"/>
      <c r="F32" s="44" t="s">
        <v>59</v>
      </c>
      <c r="G32" s="45"/>
    </row>
    <row r="33" spans="2:7" ht="72">
      <c r="B33" s="47"/>
      <c r="C33" s="44"/>
      <c r="D33" s="44"/>
      <c r="E33" s="44"/>
      <c r="F33" s="45" t="s">
        <v>60</v>
      </c>
      <c r="G33" s="45"/>
    </row>
    <row r="34" spans="2:7" ht="18">
      <c r="B34" s="47" t="s">
        <v>61</v>
      </c>
      <c r="C34" s="48">
        <v>3.7000000000000002E-3</v>
      </c>
      <c r="D34" s="44"/>
      <c r="E34" s="44"/>
      <c r="F34" s="44"/>
      <c r="G34" s="45"/>
    </row>
    <row r="35" spans="2:7" ht="18">
      <c r="B35" s="44"/>
      <c r="C35" s="44"/>
      <c r="D35" s="44"/>
      <c r="E35" s="44"/>
      <c r="F35" s="44"/>
      <c r="G35" s="45"/>
    </row>
    <row r="36" spans="2:7" ht="18">
      <c r="B36" s="47" t="s">
        <v>62</v>
      </c>
      <c r="C36" s="49">
        <v>0.12</v>
      </c>
      <c r="D36" s="44"/>
      <c r="E36" s="44"/>
      <c r="F36" s="44" t="s">
        <v>63</v>
      </c>
      <c r="G36" s="45"/>
    </row>
  </sheetData>
  <mergeCells count="13">
    <mergeCell ref="G25:G26"/>
    <mergeCell ref="G13:G14"/>
    <mergeCell ref="G15:G16"/>
    <mergeCell ref="F19:F20"/>
    <mergeCell ref="G19:G20"/>
    <mergeCell ref="G21:G22"/>
    <mergeCell ref="G23:G24"/>
    <mergeCell ref="F5:F6"/>
    <mergeCell ref="G5:G6"/>
    <mergeCell ref="G7:G8"/>
    <mergeCell ref="G9:G10"/>
    <mergeCell ref="G11:G12"/>
    <mergeCell ref="H11:H12"/>
  </mergeCells>
  <pageMargins left="0.25" right="0.25" top="0.25" bottom="0.25" header="0.05" footer="0.05"/>
  <pageSetup scale="57" fitToHeight="0" orientation="landscape" cellComments="asDisplayed" r:id="rId1"/>
  <ignoredErrors>
    <ignoredError sqref="C7:C2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26"/>
  <sheetViews>
    <sheetView topLeftCell="BL4" workbookViewId="0">
      <selection activeCell="B14" sqref="B14"/>
    </sheetView>
  </sheetViews>
  <sheetFormatPr defaultRowHeight="13.2"/>
  <cols>
    <col min="1" max="1" width="38.44140625" style="623" customWidth="1"/>
    <col min="2" max="2" width="12.77734375" style="628" customWidth="1"/>
    <col min="3" max="67" width="7.77734375" style="623" customWidth="1"/>
    <col min="68" max="68" width="9.77734375" style="623" customWidth="1"/>
    <col min="69" max="82" width="7.77734375" style="623" customWidth="1"/>
    <col min="83" max="256" width="8.88671875" style="623"/>
    <col min="257" max="257" width="38.44140625" style="623" customWidth="1"/>
    <col min="258" max="258" width="12.77734375" style="623" customWidth="1"/>
    <col min="259" max="323" width="7.77734375" style="623" customWidth="1"/>
    <col min="324" max="324" width="9.77734375" style="623" customWidth="1"/>
    <col min="325" max="338" width="7.77734375" style="623" customWidth="1"/>
    <col min="339" max="512" width="8.88671875" style="623"/>
    <col min="513" max="513" width="38.44140625" style="623" customWidth="1"/>
    <col min="514" max="514" width="12.77734375" style="623" customWidth="1"/>
    <col min="515" max="579" width="7.77734375" style="623" customWidth="1"/>
    <col min="580" max="580" width="9.77734375" style="623" customWidth="1"/>
    <col min="581" max="594" width="7.77734375" style="623" customWidth="1"/>
    <col min="595" max="768" width="8.88671875" style="623"/>
    <col min="769" max="769" width="38.44140625" style="623" customWidth="1"/>
    <col min="770" max="770" width="12.77734375" style="623" customWidth="1"/>
    <col min="771" max="835" width="7.77734375" style="623" customWidth="1"/>
    <col min="836" max="836" width="9.77734375" style="623" customWidth="1"/>
    <col min="837" max="850" width="7.77734375" style="623" customWidth="1"/>
    <col min="851" max="1024" width="8.88671875" style="623"/>
    <col min="1025" max="1025" width="38.44140625" style="623" customWidth="1"/>
    <col min="1026" max="1026" width="12.77734375" style="623" customWidth="1"/>
    <col min="1027" max="1091" width="7.77734375" style="623" customWidth="1"/>
    <col min="1092" max="1092" width="9.77734375" style="623" customWidth="1"/>
    <col min="1093" max="1106" width="7.77734375" style="623" customWidth="1"/>
    <col min="1107" max="1280" width="8.88671875" style="623"/>
    <col min="1281" max="1281" width="38.44140625" style="623" customWidth="1"/>
    <col min="1282" max="1282" width="12.77734375" style="623" customWidth="1"/>
    <col min="1283" max="1347" width="7.77734375" style="623" customWidth="1"/>
    <col min="1348" max="1348" width="9.77734375" style="623" customWidth="1"/>
    <col min="1349" max="1362" width="7.77734375" style="623" customWidth="1"/>
    <col min="1363" max="1536" width="8.88671875" style="623"/>
    <col min="1537" max="1537" width="38.44140625" style="623" customWidth="1"/>
    <col min="1538" max="1538" width="12.77734375" style="623" customWidth="1"/>
    <col min="1539" max="1603" width="7.77734375" style="623" customWidth="1"/>
    <col min="1604" max="1604" width="9.77734375" style="623" customWidth="1"/>
    <col min="1605" max="1618" width="7.77734375" style="623" customWidth="1"/>
    <col min="1619" max="1792" width="8.88671875" style="623"/>
    <col min="1793" max="1793" width="38.44140625" style="623" customWidth="1"/>
    <col min="1794" max="1794" width="12.77734375" style="623" customWidth="1"/>
    <col min="1795" max="1859" width="7.77734375" style="623" customWidth="1"/>
    <col min="1860" max="1860" width="9.77734375" style="623" customWidth="1"/>
    <col min="1861" max="1874" width="7.77734375" style="623" customWidth="1"/>
    <col min="1875" max="2048" width="8.88671875" style="623"/>
    <col min="2049" max="2049" width="38.44140625" style="623" customWidth="1"/>
    <col min="2050" max="2050" width="12.77734375" style="623" customWidth="1"/>
    <col min="2051" max="2115" width="7.77734375" style="623" customWidth="1"/>
    <col min="2116" max="2116" width="9.77734375" style="623" customWidth="1"/>
    <col min="2117" max="2130" width="7.77734375" style="623" customWidth="1"/>
    <col min="2131" max="2304" width="8.88671875" style="623"/>
    <col min="2305" max="2305" width="38.44140625" style="623" customWidth="1"/>
    <col min="2306" max="2306" width="12.77734375" style="623" customWidth="1"/>
    <col min="2307" max="2371" width="7.77734375" style="623" customWidth="1"/>
    <col min="2372" max="2372" width="9.77734375" style="623" customWidth="1"/>
    <col min="2373" max="2386" width="7.77734375" style="623" customWidth="1"/>
    <col min="2387" max="2560" width="8.88671875" style="623"/>
    <col min="2561" max="2561" width="38.44140625" style="623" customWidth="1"/>
    <col min="2562" max="2562" width="12.77734375" style="623" customWidth="1"/>
    <col min="2563" max="2627" width="7.77734375" style="623" customWidth="1"/>
    <col min="2628" max="2628" width="9.77734375" style="623" customWidth="1"/>
    <col min="2629" max="2642" width="7.77734375" style="623" customWidth="1"/>
    <col min="2643" max="2816" width="8.88671875" style="623"/>
    <col min="2817" max="2817" width="38.44140625" style="623" customWidth="1"/>
    <col min="2818" max="2818" width="12.77734375" style="623" customWidth="1"/>
    <col min="2819" max="2883" width="7.77734375" style="623" customWidth="1"/>
    <col min="2884" max="2884" width="9.77734375" style="623" customWidth="1"/>
    <col min="2885" max="2898" width="7.77734375" style="623" customWidth="1"/>
    <col min="2899" max="3072" width="8.88671875" style="623"/>
    <col min="3073" max="3073" width="38.44140625" style="623" customWidth="1"/>
    <col min="3074" max="3074" width="12.77734375" style="623" customWidth="1"/>
    <col min="3075" max="3139" width="7.77734375" style="623" customWidth="1"/>
    <col min="3140" max="3140" width="9.77734375" style="623" customWidth="1"/>
    <col min="3141" max="3154" width="7.77734375" style="623" customWidth="1"/>
    <col min="3155" max="3328" width="8.88671875" style="623"/>
    <col min="3329" max="3329" width="38.44140625" style="623" customWidth="1"/>
    <col min="3330" max="3330" width="12.77734375" style="623" customWidth="1"/>
    <col min="3331" max="3395" width="7.77734375" style="623" customWidth="1"/>
    <col min="3396" max="3396" width="9.77734375" style="623" customWidth="1"/>
    <col min="3397" max="3410" width="7.77734375" style="623" customWidth="1"/>
    <col min="3411" max="3584" width="8.88671875" style="623"/>
    <col min="3585" max="3585" width="38.44140625" style="623" customWidth="1"/>
    <col min="3586" max="3586" width="12.77734375" style="623" customWidth="1"/>
    <col min="3587" max="3651" width="7.77734375" style="623" customWidth="1"/>
    <col min="3652" max="3652" width="9.77734375" style="623" customWidth="1"/>
    <col min="3653" max="3666" width="7.77734375" style="623" customWidth="1"/>
    <col min="3667" max="3840" width="8.88671875" style="623"/>
    <col min="3841" max="3841" width="38.44140625" style="623" customWidth="1"/>
    <col min="3842" max="3842" width="12.77734375" style="623" customWidth="1"/>
    <col min="3843" max="3907" width="7.77734375" style="623" customWidth="1"/>
    <col min="3908" max="3908" width="9.77734375" style="623" customWidth="1"/>
    <col min="3909" max="3922" width="7.77734375" style="623" customWidth="1"/>
    <col min="3923" max="4096" width="8.88671875" style="623"/>
    <col min="4097" max="4097" width="38.44140625" style="623" customWidth="1"/>
    <col min="4098" max="4098" width="12.77734375" style="623" customWidth="1"/>
    <col min="4099" max="4163" width="7.77734375" style="623" customWidth="1"/>
    <col min="4164" max="4164" width="9.77734375" style="623" customWidth="1"/>
    <col min="4165" max="4178" width="7.77734375" style="623" customWidth="1"/>
    <col min="4179" max="4352" width="8.88671875" style="623"/>
    <col min="4353" max="4353" width="38.44140625" style="623" customWidth="1"/>
    <col min="4354" max="4354" width="12.77734375" style="623" customWidth="1"/>
    <col min="4355" max="4419" width="7.77734375" style="623" customWidth="1"/>
    <col min="4420" max="4420" width="9.77734375" style="623" customWidth="1"/>
    <col min="4421" max="4434" width="7.77734375" style="623" customWidth="1"/>
    <col min="4435" max="4608" width="8.88671875" style="623"/>
    <col min="4609" max="4609" width="38.44140625" style="623" customWidth="1"/>
    <col min="4610" max="4610" width="12.77734375" style="623" customWidth="1"/>
    <col min="4611" max="4675" width="7.77734375" style="623" customWidth="1"/>
    <col min="4676" max="4676" width="9.77734375" style="623" customWidth="1"/>
    <col min="4677" max="4690" width="7.77734375" style="623" customWidth="1"/>
    <col min="4691" max="4864" width="8.88671875" style="623"/>
    <col min="4865" max="4865" width="38.44140625" style="623" customWidth="1"/>
    <col min="4866" max="4866" width="12.77734375" style="623" customWidth="1"/>
    <col min="4867" max="4931" width="7.77734375" style="623" customWidth="1"/>
    <col min="4932" max="4932" width="9.77734375" style="623" customWidth="1"/>
    <col min="4933" max="4946" width="7.77734375" style="623" customWidth="1"/>
    <col min="4947" max="5120" width="8.88671875" style="623"/>
    <col min="5121" max="5121" width="38.44140625" style="623" customWidth="1"/>
    <col min="5122" max="5122" width="12.77734375" style="623" customWidth="1"/>
    <col min="5123" max="5187" width="7.77734375" style="623" customWidth="1"/>
    <col min="5188" max="5188" width="9.77734375" style="623" customWidth="1"/>
    <col min="5189" max="5202" width="7.77734375" style="623" customWidth="1"/>
    <col min="5203" max="5376" width="8.88671875" style="623"/>
    <col min="5377" max="5377" width="38.44140625" style="623" customWidth="1"/>
    <col min="5378" max="5378" width="12.77734375" style="623" customWidth="1"/>
    <col min="5379" max="5443" width="7.77734375" style="623" customWidth="1"/>
    <col min="5444" max="5444" width="9.77734375" style="623" customWidth="1"/>
    <col min="5445" max="5458" width="7.77734375" style="623" customWidth="1"/>
    <col min="5459" max="5632" width="8.88671875" style="623"/>
    <col min="5633" max="5633" width="38.44140625" style="623" customWidth="1"/>
    <col min="5634" max="5634" width="12.77734375" style="623" customWidth="1"/>
    <col min="5635" max="5699" width="7.77734375" style="623" customWidth="1"/>
    <col min="5700" max="5700" width="9.77734375" style="623" customWidth="1"/>
    <col min="5701" max="5714" width="7.77734375" style="623" customWidth="1"/>
    <col min="5715" max="5888" width="8.88671875" style="623"/>
    <col min="5889" max="5889" width="38.44140625" style="623" customWidth="1"/>
    <col min="5890" max="5890" width="12.77734375" style="623" customWidth="1"/>
    <col min="5891" max="5955" width="7.77734375" style="623" customWidth="1"/>
    <col min="5956" max="5956" width="9.77734375" style="623" customWidth="1"/>
    <col min="5957" max="5970" width="7.77734375" style="623" customWidth="1"/>
    <col min="5971" max="6144" width="8.88671875" style="623"/>
    <col min="6145" max="6145" width="38.44140625" style="623" customWidth="1"/>
    <col min="6146" max="6146" width="12.77734375" style="623" customWidth="1"/>
    <col min="6147" max="6211" width="7.77734375" style="623" customWidth="1"/>
    <col min="6212" max="6212" width="9.77734375" style="623" customWidth="1"/>
    <col min="6213" max="6226" width="7.77734375" style="623" customWidth="1"/>
    <col min="6227" max="6400" width="8.88671875" style="623"/>
    <col min="6401" max="6401" width="38.44140625" style="623" customWidth="1"/>
    <col min="6402" max="6402" width="12.77734375" style="623" customWidth="1"/>
    <col min="6403" max="6467" width="7.77734375" style="623" customWidth="1"/>
    <col min="6468" max="6468" width="9.77734375" style="623" customWidth="1"/>
    <col min="6469" max="6482" width="7.77734375" style="623" customWidth="1"/>
    <col min="6483" max="6656" width="8.88671875" style="623"/>
    <col min="6657" max="6657" width="38.44140625" style="623" customWidth="1"/>
    <col min="6658" max="6658" width="12.77734375" style="623" customWidth="1"/>
    <col min="6659" max="6723" width="7.77734375" style="623" customWidth="1"/>
    <col min="6724" max="6724" width="9.77734375" style="623" customWidth="1"/>
    <col min="6725" max="6738" width="7.77734375" style="623" customWidth="1"/>
    <col min="6739" max="6912" width="8.88671875" style="623"/>
    <col min="6913" max="6913" width="38.44140625" style="623" customWidth="1"/>
    <col min="6914" max="6914" width="12.77734375" style="623" customWidth="1"/>
    <col min="6915" max="6979" width="7.77734375" style="623" customWidth="1"/>
    <col min="6980" max="6980" width="9.77734375" style="623" customWidth="1"/>
    <col min="6981" max="6994" width="7.77734375" style="623" customWidth="1"/>
    <col min="6995" max="7168" width="8.88671875" style="623"/>
    <col min="7169" max="7169" width="38.44140625" style="623" customWidth="1"/>
    <col min="7170" max="7170" width="12.77734375" style="623" customWidth="1"/>
    <col min="7171" max="7235" width="7.77734375" style="623" customWidth="1"/>
    <col min="7236" max="7236" width="9.77734375" style="623" customWidth="1"/>
    <col min="7237" max="7250" width="7.77734375" style="623" customWidth="1"/>
    <col min="7251" max="7424" width="8.88671875" style="623"/>
    <col min="7425" max="7425" width="38.44140625" style="623" customWidth="1"/>
    <col min="7426" max="7426" width="12.77734375" style="623" customWidth="1"/>
    <col min="7427" max="7491" width="7.77734375" style="623" customWidth="1"/>
    <col min="7492" max="7492" width="9.77734375" style="623" customWidth="1"/>
    <col min="7493" max="7506" width="7.77734375" style="623" customWidth="1"/>
    <col min="7507" max="7680" width="8.88671875" style="623"/>
    <col min="7681" max="7681" width="38.44140625" style="623" customWidth="1"/>
    <col min="7682" max="7682" width="12.77734375" style="623" customWidth="1"/>
    <col min="7683" max="7747" width="7.77734375" style="623" customWidth="1"/>
    <col min="7748" max="7748" width="9.77734375" style="623" customWidth="1"/>
    <col min="7749" max="7762" width="7.77734375" style="623" customWidth="1"/>
    <col min="7763" max="7936" width="8.88671875" style="623"/>
    <col min="7937" max="7937" width="38.44140625" style="623" customWidth="1"/>
    <col min="7938" max="7938" width="12.77734375" style="623" customWidth="1"/>
    <col min="7939" max="8003" width="7.77734375" style="623" customWidth="1"/>
    <col min="8004" max="8004" width="9.77734375" style="623" customWidth="1"/>
    <col min="8005" max="8018" width="7.77734375" style="623" customWidth="1"/>
    <col min="8019" max="8192" width="8.88671875" style="623"/>
    <col min="8193" max="8193" width="38.44140625" style="623" customWidth="1"/>
    <col min="8194" max="8194" width="12.77734375" style="623" customWidth="1"/>
    <col min="8195" max="8259" width="7.77734375" style="623" customWidth="1"/>
    <col min="8260" max="8260" width="9.77734375" style="623" customWidth="1"/>
    <col min="8261" max="8274" width="7.77734375" style="623" customWidth="1"/>
    <col min="8275" max="8448" width="8.88671875" style="623"/>
    <col min="8449" max="8449" width="38.44140625" style="623" customWidth="1"/>
    <col min="8450" max="8450" width="12.77734375" style="623" customWidth="1"/>
    <col min="8451" max="8515" width="7.77734375" style="623" customWidth="1"/>
    <col min="8516" max="8516" width="9.77734375" style="623" customWidth="1"/>
    <col min="8517" max="8530" width="7.77734375" style="623" customWidth="1"/>
    <col min="8531" max="8704" width="8.88671875" style="623"/>
    <col min="8705" max="8705" width="38.44140625" style="623" customWidth="1"/>
    <col min="8706" max="8706" width="12.77734375" style="623" customWidth="1"/>
    <col min="8707" max="8771" width="7.77734375" style="623" customWidth="1"/>
    <col min="8772" max="8772" width="9.77734375" style="623" customWidth="1"/>
    <col min="8773" max="8786" width="7.77734375" style="623" customWidth="1"/>
    <col min="8787" max="8960" width="8.88671875" style="623"/>
    <col min="8961" max="8961" width="38.44140625" style="623" customWidth="1"/>
    <col min="8962" max="8962" width="12.77734375" style="623" customWidth="1"/>
    <col min="8963" max="9027" width="7.77734375" style="623" customWidth="1"/>
    <col min="9028" max="9028" width="9.77734375" style="623" customWidth="1"/>
    <col min="9029" max="9042" width="7.77734375" style="623" customWidth="1"/>
    <col min="9043" max="9216" width="8.88671875" style="623"/>
    <col min="9217" max="9217" width="38.44140625" style="623" customWidth="1"/>
    <col min="9218" max="9218" width="12.77734375" style="623" customWidth="1"/>
    <col min="9219" max="9283" width="7.77734375" style="623" customWidth="1"/>
    <col min="9284" max="9284" width="9.77734375" style="623" customWidth="1"/>
    <col min="9285" max="9298" width="7.77734375" style="623" customWidth="1"/>
    <col min="9299" max="9472" width="8.88671875" style="623"/>
    <col min="9473" max="9473" width="38.44140625" style="623" customWidth="1"/>
    <col min="9474" max="9474" width="12.77734375" style="623" customWidth="1"/>
    <col min="9475" max="9539" width="7.77734375" style="623" customWidth="1"/>
    <col min="9540" max="9540" width="9.77734375" style="623" customWidth="1"/>
    <col min="9541" max="9554" width="7.77734375" style="623" customWidth="1"/>
    <col min="9555" max="9728" width="8.88671875" style="623"/>
    <col min="9729" max="9729" width="38.44140625" style="623" customWidth="1"/>
    <col min="9730" max="9730" width="12.77734375" style="623" customWidth="1"/>
    <col min="9731" max="9795" width="7.77734375" style="623" customWidth="1"/>
    <col min="9796" max="9796" width="9.77734375" style="623" customWidth="1"/>
    <col min="9797" max="9810" width="7.77734375" style="623" customWidth="1"/>
    <col min="9811" max="9984" width="8.88671875" style="623"/>
    <col min="9985" max="9985" width="38.44140625" style="623" customWidth="1"/>
    <col min="9986" max="9986" width="12.77734375" style="623" customWidth="1"/>
    <col min="9987" max="10051" width="7.77734375" style="623" customWidth="1"/>
    <col min="10052" max="10052" width="9.77734375" style="623" customWidth="1"/>
    <col min="10053" max="10066" width="7.77734375" style="623" customWidth="1"/>
    <col min="10067" max="10240" width="8.88671875" style="623"/>
    <col min="10241" max="10241" width="38.44140625" style="623" customWidth="1"/>
    <col min="10242" max="10242" width="12.77734375" style="623" customWidth="1"/>
    <col min="10243" max="10307" width="7.77734375" style="623" customWidth="1"/>
    <col min="10308" max="10308" width="9.77734375" style="623" customWidth="1"/>
    <col min="10309" max="10322" width="7.77734375" style="623" customWidth="1"/>
    <col min="10323" max="10496" width="8.88671875" style="623"/>
    <col min="10497" max="10497" width="38.44140625" style="623" customWidth="1"/>
    <col min="10498" max="10498" width="12.77734375" style="623" customWidth="1"/>
    <col min="10499" max="10563" width="7.77734375" style="623" customWidth="1"/>
    <col min="10564" max="10564" width="9.77734375" style="623" customWidth="1"/>
    <col min="10565" max="10578" width="7.77734375" style="623" customWidth="1"/>
    <col min="10579" max="10752" width="8.88671875" style="623"/>
    <col min="10753" max="10753" width="38.44140625" style="623" customWidth="1"/>
    <col min="10754" max="10754" width="12.77734375" style="623" customWidth="1"/>
    <col min="10755" max="10819" width="7.77734375" style="623" customWidth="1"/>
    <col min="10820" max="10820" width="9.77734375" style="623" customWidth="1"/>
    <col min="10821" max="10834" width="7.77734375" style="623" customWidth="1"/>
    <col min="10835" max="11008" width="8.88671875" style="623"/>
    <col min="11009" max="11009" width="38.44140625" style="623" customWidth="1"/>
    <col min="11010" max="11010" width="12.77734375" style="623" customWidth="1"/>
    <col min="11011" max="11075" width="7.77734375" style="623" customWidth="1"/>
    <col min="11076" max="11076" width="9.77734375" style="623" customWidth="1"/>
    <col min="11077" max="11090" width="7.77734375" style="623" customWidth="1"/>
    <col min="11091" max="11264" width="8.88671875" style="623"/>
    <col min="11265" max="11265" width="38.44140625" style="623" customWidth="1"/>
    <col min="11266" max="11266" width="12.77734375" style="623" customWidth="1"/>
    <col min="11267" max="11331" width="7.77734375" style="623" customWidth="1"/>
    <col min="11332" max="11332" width="9.77734375" style="623" customWidth="1"/>
    <col min="11333" max="11346" width="7.77734375" style="623" customWidth="1"/>
    <col min="11347" max="11520" width="8.88671875" style="623"/>
    <col min="11521" max="11521" width="38.44140625" style="623" customWidth="1"/>
    <col min="11522" max="11522" width="12.77734375" style="623" customWidth="1"/>
    <col min="11523" max="11587" width="7.77734375" style="623" customWidth="1"/>
    <col min="11588" max="11588" width="9.77734375" style="623" customWidth="1"/>
    <col min="11589" max="11602" width="7.77734375" style="623" customWidth="1"/>
    <col min="11603" max="11776" width="8.88671875" style="623"/>
    <col min="11777" max="11777" width="38.44140625" style="623" customWidth="1"/>
    <col min="11778" max="11778" width="12.77734375" style="623" customWidth="1"/>
    <col min="11779" max="11843" width="7.77734375" style="623" customWidth="1"/>
    <col min="11844" max="11844" width="9.77734375" style="623" customWidth="1"/>
    <col min="11845" max="11858" width="7.77734375" style="623" customWidth="1"/>
    <col min="11859" max="12032" width="8.88671875" style="623"/>
    <col min="12033" max="12033" width="38.44140625" style="623" customWidth="1"/>
    <col min="12034" max="12034" width="12.77734375" style="623" customWidth="1"/>
    <col min="12035" max="12099" width="7.77734375" style="623" customWidth="1"/>
    <col min="12100" max="12100" width="9.77734375" style="623" customWidth="1"/>
    <col min="12101" max="12114" width="7.77734375" style="623" customWidth="1"/>
    <col min="12115" max="12288" width="8.88671875" style="623"/>
    <col min="12289" max="12289" width="38.44140625" style="623" customWidth="1"/>
    <col min="12290" max="12290" width="12.77734375" style="623" customWidth="1"/>
    <col min="12291" max="12355" width="7.77734375" style="623" customWidth="1"/>
    <col min="12356" max="12356" width="9.77734375" style="623" customWidth="1"/>
    <col min="12357" max="12370" width="7.77734375" style="623" customWidth="1"/>
    <col min="12371" max="12544" width="8.88671875" style="623"/>
    <col min="12545" max="12545" width="38.44140625" style="623" customWidth="1"/>
    <col min="12546" max="12546" width="12.77734375" style="623" customWidth="1"/>
    <col min="12547" max="12611" width="7.77734375" style="623" customWidth="1"/>
    <col min="12612" max="12612" width="9.77734375" style="623" customWidth="1"/>
    <col min="12613" max="12626" width="7.77734375" style="623" customWidth="1"/>
    <col min="12627" max="12800" width="8.88671875" style="623"/>
    <col min="12801" max="12801" width="38.44140625" style="623" customWidth="1"/>
    <col min="12802" max="12802" width="12.77734375" style="623" customWidth="1"/>
    <col min="12803" max="12867" width="7.77734375" style="623" customWidth="1"/>
    <col min="12868" max="12868" width="9.77734375" style="623" customWidth="1"/>
    <col min="12869" max="12882" width="7.77734375" style="623" customWidth="1"/>
    <col min="12883" max="13056" width="8.88671875" style="623"/>
    <col min="13057" max="13057" width="38.44140625" style="623" customWidth="1"/>
    <col min="13058" max="13058" width="12.77734375" style="623" customWidth="1"/>
    <col min="13059" max="13123" width="7.77734375" style="623" customWidth="1"/>
    <col min="13124" max="13124" width="9.77734375" style="623" customWidth="1"/>
    <col min="13125" max="13138" width="7.77734375" style="623" customWidth="1"/>
    <col min="13139" max="13312" width="8.88671875" style="623"/>
    <col min="13313" max="13313" width="38.44140625" style="623" customWidth="1"/>
    <col min="13314" max="13314" width="12.77734375" style="623" customWidth="1"/>
    <col min="13315" max="13379" width="7.77734375" style="623" customWidth="1"/>
    <col min="13380" max="13380" width="9.77734375" style="623" customWidth="1"/>
    <col min="13381" max="13394" width="7.77734375" style="623" customWidth="1"/>
    <col min="13395" max="13568" width="8.88671875" style="623"/>
    <col min="13569" max="13569" width="38.44140625" style="623" customWidth="1"/>
    <col min="13570" max="13570" width="12.77734375" style="623" customWidth="1"/>
    <col min="13571" max="13635" width="7.77734375" style="623" customWidth="1"/>
    <col min="13636" max="13636" width="9.77734375" style="623" customWidth="1"/>
    <col min="13637" max="13650" width="7.77734375" style="623" customWidth="1"/>
    <col min="13651" max="13824" width="8.88671875" style="623"/>
    <col min="13825" max="13825" width="38.44140625" style="623" customWidth="1"/>
    <col min="13826" max="13826" width="12.77734375" style="623" customWidth="1"/>
    <col min="13827" max="13891" width="7.77734375" style="623" customWidth="1"/>
    <col min="13892" max="13892" width="9.77734375" style="623" customWidth="1"/>
    <col min="13893" max="13906" width="7.77734375" style="623" customWidth="1"/>
    <col min="13907" max="14080" width="8.88671875" style="623"/>
    <col min="14081" max="14081" width="38.44140625" style="623" customWidth="1"/>
    <col min="14082" max="14082" width="12.77734375" style="623" customWidth="1"/>
    <col min="14083" max="14147" width="7.77734375" style="623" customWidth="1"/>
    <col min="14148" max="14148" width="9.77734375" style="623" customWidth="1"/>
    <col min="14149" max="14162" width="7.77734375" style="623" customWidth="1"/>
    <col min="14163" max="14336" width="8.88671875" style="623"/>
    <col min="14337" max="14337" width="38.44140625" style="623" customWidth="1"/>
    <col min="14338" max="14338" width="12.77734375" style="623" customWidth="1"/>
    <col min="14339" max="14403" width="7.77734375" style="623" customWidth="1"/>
    <col min="14404" max="14404" width="9.77734375" style="623" customWidth="1"/>
    <col min="14405" max="14418" width="7.77734375" style="623" customWidth="1"/>
    <col min="14419" max="14592" width="8.88671875" style="623"/>
    <col min="14593" max="14593" width="38.44140625" style="623" customWidth="1"/>
    <col min="14594" max="14594" width="12.77734375" style="623" customWidth="1"/>
    <col min="14595" max="14659" width="7.77734375" style="623" customWidth="1"/>
    <col min="14660" max="14660" width="9.77734375" style="623" customWidth="1"/>
    <col min="14661" max="14674" width="7.77734375" style="623" customWidth="1"/>
    <col min="14675" max="14848" width="8.88671875" style="623"/>
    <col min="14849" max="14849" width="38.44140625" style="623" customWidth="1"/>
    <col min="14850" max="14850" width="12.77734375" style="623" customWidth="1"/>
    <col min="14851" max="14915" width="7.77734375" style="623" customWidth="1"/>
    <col min="14916" max="14916" width="9.77734375" style="623" customWidth="1"/>
    <col min="14917" max="14930" width="7.77734375" style="623" customWidth="1"/>
    <col min="14931" max="15104" width="8.88671875" style="623"/>
    <col min="15105" max="15105" width="38.44140625" style="623" customWidth="1"/>
    <col min="15106" max="15106" width="12.77734375" style="623" customWidth="1"/>
    <col min="15107" max="15171" width="7.77734375" style="623" customWidth="1"/>
    <col min="15172" max="15172" width="9.77734375" style="623" customWidth="1"/>
    <col min="15173" max="15186" width="7.77734375" style="623" customWidth="1"/>
    <col min="15187" max="15360" width="8.88671875" style="623"/>
    <col min="15361" max="15361" width="38.44140625" style="623" customWidth="1"/>
    <col min="15362" max="15362" width="12.77734375" style="623" customWidth="1"/>
    <col min="15363" max="15427" width="7.77734375" style="623" customWidth="1"/>
    <col min="15428" max="15428" width="9.77734375" style="623" customWidth="1"/>
    <col min="15429" max="15442" width="7.77734375" style="623" customWidth="1"/>
    <col min="15443" max="15616" width="8.88671875" style="623"/>
    <col min="15617" max="15617" width="38.44140625" style="623" customWidth="1"/>
    <col min="15618" max="15618" width="12.77734375" style="623" customWidth="1"/>
    <col min="15619" max="15683" width="7.77734375" style="623" customWidth="1"/>
    <col min="15684" max="15684" width="9.77734375" style="623" customWidth="1"/>
    <col min="15685" max="15698" width="7.77734375" style="623" customWidth="1"/>
    <col min="15699" max="15872" width="8.88671875" style="623"/>
    <col min="15873" max="15873" width="38.44140625" style="623" customWidth="1"/>
    <col min="15874" max="15874" width="12.77734375" style="623" customWidth="1"/>
    <col min="15875" max="15939" width="7.77734375" style="623" customWidth="1"/>
    <col min="15940" max="15940" width="9.77734375" style="623" customWidth="1"/>
    <col min="15941" max="15954" width="7.77734375" style="623" customWidth="1"/>
    <col min="15955" max="16128" width="8.88671875" style="623"/>
    <col min="16129" max="16129" width="38.44140625" style="623" customWidth="1"/>
    <col min="16130" max="16130" width="12.77734375" style="623" customWidth="1"/>
    <col min="16131" max="16195" width="7.77734375" style="623" customWidth="1"/>
    <col min="16196" max="16196" width="9.77734375" style="623" customWidth="1"/>
    <col min="16197" max="16210" width="7.77734375" style="623" customWidth="1"/>
    <col min="16211" max="16384" width="8.88671875" style="623"/>
  </cols>
  <sheetData>
    <row r="1" spans="1:90" ht="17.399999999999999">
      <c r="A1" s="621" t="s">
        <v>226</v>
      </c>
      <c r="B1" s="622"/>
    </row>
    <row r="2" spans="1:90" ht="15.6">
      <c r="A2" s="624" t="s">
        <v>227</v>
      </c>
      <c r="B2" s="625"/>
    </row>
    <row r="3" spans="1:90" ht="14.4" thickBot="1">
      <c r="A3" s="626" t="s">
        <v>228</v>
      </c>
      <c r="B3" s="627"/>
    </row>
    <row r="6" spans="1:90">
      <c r="BM6" s="629" t="s">
        <v>229</v>
      </c>
      <c r="BN6" s="629" t="s">
        <v>229</v>
      </c>
      <c r="BO6" s="629" t="s">
        <v>229</v>
      </c>
      <c r="BP6" s="629" t="s">
        <v>229</v>
      </c>
      <c r="BQ6" s="630" t="s">
        <v>230</v>
      </c>
      <c r="BR6" s="630" t="s">
        <v>230</v>
      </c>
      <c r="BS6" s="630" t="s">
        <v>230</v>
      </c>
      <c r="BT6" s="630" t="s">
        <v>230</v>
      </c>
      <c r="BU6" s="631" t="s">
        <v>231</v>
      </c>
      <c r="BV6" s="631" t="s">
        <v>231</v>
      </c>
      <c r="BW6" s="631" t="s">
        <v>231</v>
      </c>
      <c r="BX6" s="631" t="s">
        <v>231</v>
      </c>
      <c r="BY6" s="632" t="s">
        <v>232</v>
      </c>
      <c r="BZ6" s="632" t="s">
        <v>232</v>
      </c>
      <c r="CA6" s="632" t="s">
        <v>233</v>
      </c>
      <c r="CB6" s="632" t="s">
        <v>232</v>
      </c>
      <c r="CC6" s="633" t="s">
        <v>234</v>
      </c>
      <c r="CD6" s="633" t="s">
        <v>234</v>
      </c>
      <c r="CE6" s="633" t="s">
        <v>234</v>
      </c>
      <c r="CF6" s="633" t="s">
        <v>234</v>
      </c>
    </row>
    <row r="7" spans="1:90" s="628" customFormat="1">
      <c r="B7" s="628" t="s">
        <v>235</v>
      </c>
      <c r="C7" s="634" t="s">
        <v>236</v>
      </c>
      <c r="D7" s="634" t="s">
        <v>237</v>
      </c>
      <c r="E7" s="634" t="s">
        <v>238</v>
      </c>
      <c r="F7" s="634" t="s">
        <v>239</v>
      </c>
      <c r="G7" s="634" t="s">
        <v>240</v>
      </c>
      <c r="H7" s="634" t="s">
        <v>241</v>
      </c>
      <c r="I7" s="634" t="s">
        <v>242</v>
      </c>
      <c r="J7" s="634" t="s">
        <v>243</v>
      </c>
      <c r="K7" s="634" t="s">
        <v>244</v>
      </c>
      <c r="L7" s="634" t="s">
        <v>245</v>
      </c>
      <c r="M7" s="634" t="s">
        <v>246</v>
      </c>
      <c r="N7" s="634" t="s">
        <v>247</v>
      </c>
      <c r="O7" s="634" t="s">
        <v>248</v>
      </c>
      <c r="P7" s="634" t="s">
        <v>249</v>
      </c>
      <c r="Q7" s="634" t="s">
        <v>250</v>
      </c>
      <c r="R7" s="634" t="s">
        <v>251</v>
      </c>
      <c r="S7" s="634" t="s">
        <v>252</v>
      </c>
      <c r="T7" s="634" t="s">
        <v>253</v>
      </c>
      <c r="U7" s="634" t="s">
        <v>254</v>
      </c>
      <c r="V7" s="634" t="s">
        <v>255</v>
      </c>
      <c r="W7" s="634" t="s">
        <v>256</v>
      </c>
      <c r="X7" s="634" t="s">
        <v>257</v>
      </c>
      <c r="Y7" s="634" t="s">
        <v>258</v>
      </c>
      <c r="Z7" s="634" t="s">
        <v>259</v>
      </c>
      <c r="AA7" s="634" t="s">
        <v>260</v>
      </c>
      <c r="AB7" s="634" t="s">
        <v>261</v>
      </c>
      <c r="AC7" s="634" t="s">
        <v>262</v>
      </c>
      <c r="AD7" s="634" t="s">
        <v>263</v>
      </c>
      <c r="AE7" s="634" t="s">
        <v>264</v>
      </c>
      <c r="AF7" s="634" t="s">
        <v>265</v>
      </c>
      <c r="AG7" s="634" t="s">
        <v>266</v>
      </c>
      <c r="AH7" s="634" t="s">
        <v>267</v>
      </c>
      <c r="AI7" s="634" t="s">
        <v>268</v>
      </c>
      <c r="AJ7" s="634" t="s">
        <v>269</v>
      </c>
      <c r="AK7" s="634" t="s">
        <v>270</v>
      </c>
      <c r="AL7" s="634" t="s">
        <v>271</v>
      </c>
      <c r="AM7" s="634" t="s">
        <v>272</v>
      </c>
      <c r="AN7" s="634" t="s">
        <v>273</v>
      </c>
      <c r="AO7" s="634" t="s">
        <v>274</v>
      </c>
      <c r="AP7" s="634" t="s">
        <v>275</v>
      </c>
      <c r="AQ7" s="634" t="s">
        <v>276</v>
      </c>
      <c r="AR7" s="634" t="s">
        <v>277</v>
      </c>
      <c r="AS7" s="634" t="s">
        <v>278</v>
      </c>
      <c r="AT7" s="634" t="s">
        <v>279</v>
      </c>
      <c r="AU7" s="628" t="s">
        <v>280</v>
      </c>
      <c r="AV7" s="628" t="s">
        <v>281</v>
      </c>
      <c r="AW7" s="628" t="s">
        <v>282</v>
      </c>
      <c r="AX7" s="628" t="s">
        <v>283</v>
      </c>
      <c r="AY7" s="628" t="s">
        <v>284</v>
      </c>
      <c r="AZ7" s="628" t="s">
        <v>285</v>
      </c>
      <c r="BA7" s="628" t="s">
        <v>286</v>
      </c>
      <c r="BB7" s="628" t="s">
        <v>287</v>
      </c>
      <c r="BC7" s="628" t="s">
        <v>288</v>
      </c>
      <c r="BD7" s="628" t="s">
        <v>289</v>
      </c>
      <c r="BE7" s="628" t="s">
        <v>290</v>
      </c>
      <c r="BF7" s="628" t="s">
        <v>291</v>
      </c>
      <c r="BG7" s="628" t="s">
        <v>292</v>
      </c>
      <c r="BH7" s="628" t="s">
        <v>293</v>
      </c>
      <c r="BI7" s="628" t="s">
        <v>294</v>
      </c>
      <c r="BJ7" s="628" t="s">
        <v>295</v>
      </c>
      <c r="BK7" s="628" t="s">
        <v>296</v>
      </c>
      <c r="BL7" s="628" t="s">
        <v>297</v>
      </c>
      <c r="BM7" s="628" t="s">
        <v>298</v>
      </c>
      <c r="BN7" s="628" t="s">
        <v>299</v>
      </c>
      <c r="BO7" s="628" t="s">
        <v>300</v>
      </c>
      <c r="BP7" s="628" t="s">
        <v>301</v>
      </c>
      <c r="BQ7" s="628" t="s">
        <v>302</v>
      </c>
      <c r="BR7" s="628" t="s">
        <v>303</v>
      </c>
      <c r="BS7" s="628" t="s">
        <v>304</v>
      </c>
      <c r="BT7" s="628" t="s">
        <v>305</v>
      </c>
      <c r="BU7" s="628" t="s">
        <v>306</v>
      </c>
      <c r="BV7" s="628" t="s">
        <v>307</v>
      </c>
      <c r="BW7" s="628" t="s">
        <v>308</v>
      </c>
      <c r="BX7" s="628" t="s">
        <v>309</v>
      </c>
      <c r="BY7" s="628" t="s">
        <v>310</v>
      </c>
      <c r="BZ7" s="628" t="s">
        <v>311</v>
      </c>
      <c r="CA7" s="628" t="s">
        <v>312</v>
      </c>
      <c r="CB7" s="628" t="s">
        <v>313</v>
      </c>
      <c r="CC7" s="628" t="s">
        <v>314</v>
      </c>
      <c r="CD7" s="628" t="s">
        <v>315</v>
      </c>
      <c r="CE7" s="628" t="s">
        <v>316</v>
      </c>
      <c r="CF7" s="628" t="s">
        <v>317</v>
      </c>
      <c r="CG7" s="628" t="s">
        <v>318</v>
      </c>
      <c r="CH7" s="628" t="s">
        <v>319</v>
      </c>
      <c r="CI7" s="628" t="s">
        <v>320</v>
      </c>
      <c r="CJ7" s="628" t="s">
        <v>321</v>
      </c>
      <c r="CK7" s="628" t="s">
        <v>322</v>
      </c>
      <c r="CL7" s="628" t="s">
        <v>323</v>
      </c>
    </row>
    <row r="8" spans="1:90">
      <c r="A8" s="628" t="s">
        <v>324</v>
      </c>
      <c r="B8" s="628" t="s">
        <v>325</v>
      </c>
      <c r="C8" s="635">
        <v>2.0346113976543099</v>
      </c>
      <c r="D8" s="635">
        <v>2.0596500771746999</v>
      </c>
      <c r="E8" s="635">
        <v>2.0647060372238499</v>
      </c>
      <c r="F8" s="635">
        <v>2.08676028581668</v>
      </c>
      <c r="G8" s="635">
        <v>2.10441481814272</v>
      </c>
      <c r="H8" s="635">
        <v>2.1147152065649601</v>
      </c>
      <c r="I8" s="635">
        <v>2.1510993425276599</v>
      </c>
      <c r="J8" s="635">
        <v>2.1700303556901499</v>
      </c>
      <c r="K8" s="635">
        <v>2.1872092233455001</v>
      </c>
      <c r="L8" s="635">
        <v>2.2125396282877201</v>
      </c>
      <c r="M8" s="635">
        <v>2.2351374505046602</v>
      </c>
      <c r="N8" s="635">
        <v>2.2204817980336999</v>
      </c>
      <c r="O8" s="635">
        <v>2.2320116226990798</v>
      </c>
      <c r="P8" s="635">
        <v>2.2583096838239101</v>
      </c>
      <c r="Q8" s="635">
        <v>2.27564540872048</v>
      </c>
      <c r="R8" s="635">
        <v>2.30212674606845</v>
      </c>
      <c r="S8" s="635">
        <v>2.31936770794078</v>
      </c>
      <c r="T8" s="635">
        <v>2.3630887075886</v>
      </c>
      <c r="U8" s="635">
        <v>2.40401775208483</v>
      </c>
      <c r="V8" s="635">
        <v>2.3508872068266702</v>
      </c>
      <c r="W8" s="635">
        <v>2.3397884211161499</v>
      </c>
      <c r="X8" s="635">
        <v>2.3463315593326199</v>
      </c>
      <c r="Y8" s="635">
        <v>2.3660251530796899</v>
      </c>
      <c r="Z8" s="635">
        <v>2.38072574928248</v>
      </c>
      <c r="AA8" s="635">
        <v>2.3786733941980902</v>
      </c>
      <c r="AB8" s="635">
        <v>2.3833613783132601</v>
      </c>
      <c r="AC8" s="635">
        <v>2.3978430594132099</v>
      </c>
      <c r="AD8" s="635">
        <v>2.42168970868748</v>
      </c>
      <c r="AE8" s="635">
        <v>2.4317072324959299</v>
      </c>
      <c r="AF8" s="635">
        <v>2.47695645025907</v>
      </c>
      <c r="AG8" s="635">
        <v>2.4885116546577</v>
      </c>
      <c r="AH8" s="635">
        <v>2.4969754819522398</v>
      </c>
      <c r="AI8" s="635">
        <v>2.5130795409255899</v>
      </c>
      <c r="AJ8" s="635">
        <v>2.5194466142060299</v>
      </c>
      <c r="AK8" s="635">
        <v>2.52963857685537</v>
      </c>
      <c r="AL8" s="635">
        <v>2.5501989464999602</v>
      </c>
      <c r="AM8" s="635">
        <v>2.55712003670995</v>
      </c>
      <c r="AN8" s="635">
        <v>2.5546952042684001</v>
      </c>
      <c r="AO8" s="635">
        <v>2.57375608575328</v>
      </c>
      <c r="AP8" s="635">
        <v>2.5883411608511002</v>
      </c>
      <c r="AQ8" s="635">
        <v>2.5966793575059901</v>
      </c>
      <c r="AR8" s="635">
        <v>2.6079522450453201</v>
      </c>
      <c r="AS8" s="635">
        <v>2.6142540104276799</v>
      </c>
      <c r="AT8" s="635">
        <v>2.6167589769378798</v>
      </c>
      <c r="AU8" s="635">
        <v>2.6115923571662201</v>
      </c>
      <c r="AV8" s="635">
        <v>2.62275484000673</v>
      </c>
      <c r="AW8" s="635">
        <v>2.6191293013400601</v>
      </c>
      <c r="AX8" s="635">
        <v>2.62627714923654</v>
      </c>
      <c r="AY8" s="635">
        <v>2.6194265314110301</v>
      </c>
      <c r="AZ8" s="635">
        <v>2.6415043138832401</v>
      </c>
      <c r="BA8" s="635">
        <v>2.662062301288</v>
      </c>
      <c r="BB8" s="635">
        <v>2.67729020882655</v>
      </c>
      <c r="BC8" s="635">
        <v>2.6907954146946098</v>
      </c>
      <c r="BD8" s="635">
        <v>2.6947387967675498</v>
      </c>
      <c r="BE8" s="635">
        <v>2.7066859028113202</v>
      </c>
      <c r="BF8" s="635">
        <v>2.72054827789868</v>
      </c>
      <c r="BG8" s="635">
        <v>2.7569640168604699</v>
      </c>
      <c r="BH8" s="635">
        <v>2.7703563734588399</v>
      </c>
      <c r="BI8" s="635">
        <v>2.7758420471732599</v>
      </c>
      <c r="BJ8" s="635">
        <v>2.78863899429814</v>
      </c>
      <c r="BK8" s="635">
        <v>2.80152864366993</v>
      </c>
      <c r="BL8" s="635">
        <v>2.8145299240305102</v>
      </c>
      <c r="BM8" s="635">
        <v>2.8281189721556101</v>
      </c>
      <c r="BN8" s="635">
        <v>2.8436922082042799</v>
      </c>
      <c r="BO8" s="635">
        <v>2.8613737788287201</v>
      </c>
      <c r="BP8" s="635">
        <v>2.8656515498241899</v>
      </c>
      <c r="BQ8" s="635">
        <v>2.9040288860327399</v>
      </c>
      <c r="BR8" s="635">
        <v>2.91977882121695</v>
      </c>
      <c r="BS8" s="635">
        <v>2.9464370701018501</v>
      </c>
      <c r="BT8" s="635">
        <v>2.9589294578946199</v>
      </c>
      <c r="BU8" s="635">
        <v>2.97189873674176</v>
      </c>
      <c r="BV8" s="635">
        <v>2.9829478069661901</v>
      </c>
      <c r="BW8" s="635">
        <v>2.9928349173184801</v>
      </c>
      <c r="BX8" s="635">
        <v>3.0011510520439701</v>
      </c>
      <c r="BY8" s="635">
        <v>3.0123165476192302</v>
      </c>
      <c r="BZ8" s="635">
        <v>3.0264172103607101</v>
      </c>
      <c r="CA8" s="635">
        <v>3.04102720494719</v>
      </c>
      <c r="CB8" s="635">
        <v>3.0557517454736498</v>
      </c>
      <c r="CC8" s="635">
        <v>3.0703423561476799</v>
      </c>
      <c r="CD8" s="635">
        <v>3.0863416069355298</v>
      </c>
      <c r="CE8" s="635">
        <v>3.1037466512716798</v>
      </c>
      <c r="CF8" s="635">
        <v>3.1213737203310101</v>
      </c>
      <c r="CG8" s="635">
        <v>3.1392007261444701</v>
      </c>
      <c r="CH8" s="635">
        <v>3.1576332495661199</v>
      </c>
      <c r="CI8" s="635">
        <v>3.1766693953545801</v>
      </c>
      <c r="CJ8" s="635">
        <v>3.19571076133162</v>
      </c>
      <c r="CK8" s="635">
        <v>3.2156927648001301</v>
      </c>
      <c r="CL8" s="635">
        <v>3.2357367391781899</v>
      </c>
    </row>
    <row r="9" spans="1:90">
      <c r="A9" s="628" t="s">
        <v>326</v>
      </c>
      <c r="B9" s="628" t="s">
        <v>327</v>
      </c>
      <c r="C9" s="635">
        <v>2.0346113976543099</v>
      </c>
      <c r="D9" s="635">
        <v>2.0596500771746999</v>
      </c>
      <c r="E9" s="635">
        <v>2.0647060372238499</v>
      </c>
      <c r="F9" s="635">
        <v>2.08676028581668</v>
      </c>
      <c r="G9" s="635">
        <v>2.10441481814272</v>
      </c>
      <c r="H9" s="635">
        <v>2.1147152065649601</v>
      </c>
      <c r="I9" s="635">
        <v>2.1510993425276599</v>
      </c>
      <c r="J9" s="635">
        <v>2.1700303556901499</v>
      </c>
      <c r="K9" s="635">
        <v>2.1872092233455001</v>
      </c>
      <c r="L9" s="635">
        <v>2.2125396282877201</v>
      </c>
      <c r="M9" s="635">
        <v>2.2351374505046602</v>
      </c>
      <c r="N9" s="635">
        <v>2.2204817980336999</v>
      </c>
      <c r="O9" s="635">
        <v>2.2320116226990798</v>
      </c>
      <c r="P9" s="635">
        <v>2.2583096838239101</v>
      </c>
      <c r="Q9" s="635">
        <v>2.27564540872048</v>
      </c>
      <c r="R9" s="635">
        <v>2.30212674606845</v>
      </c>
      <c r="S9" s="635">
        <v>2.31936770794078</v>
      </c>
      <c r="T9" s="635">
        <v>2.3630887075886</v>
      </c>
      <c r="U9" s="635">
        <v>2.40401775208483</v>
      </c>
      <c r="V9" s="635">
        <v>2.3508872068266702</v>
      </c>
      <c r="W9" s="635">
        <v>2.3397884211161499</v>
      </c>
      <c r="X9" s="635">
        <v>2.3463315593326199</v>
      </c>
      <c r="Y9" s="635">
        <v>2.3660251530796899</v>
      </c>
      <c r="Z9" s="635">
        <v>2.38072574928248</v>
      </c>
      <c r="AA9" s="635">
        <v>2.3786733941980902</v>
      </c>
      <c r="AB9" s="635">
        <v>2.3833613783132601</v>
      </c>
      <c r="AC9" s="635">
        <v>2.3978430594132099</v>
      </c>
      <c r="AD9" s="635">
        <v>2.42168970868748</v>
      </c>
      <c r="AE9" s="635">
        <v>2.4317072324959299</v>
      </c>
      <c r="AF9" s="635">
        <v>2.47695645025907</v>
      </c>
      <c r="AG9" s="635">
        <v>2.4885116546577</v>
      </c>
      <c r="AH9" s="635">
        <v>2.4969754819522398</v>
      </c>
      <c r="AI9" s="635">
        <v>2.5130795409255899</v>
      </c>
      <c r="AJ9" s="635">
        <v>2.5194466142060299</v>
      </c>
      <c r="AK9" s="635">
        <v>2.52963857685537</v>
      </c>
      <c r="AL9" s="635">
        <v>2.5501989464999602</v>
      </c>
      <c r="AM9" s="635">
        <v>2.55712003670995</v>
      </c>
      <c r="AN9" s="635">
        <v>2.5546952042684001</v>
      </c>
      <c r="AO9" s="635">
        <v>2.57375608575328</v>
      </c>
      <c r="AP9" s="635">
        <v>2.5883411608511002</v>
      </c>
      <c r="AQ9" s="635">
        <v>2.5966793575059901</v>
      </c>
      <c r="AR9" s="635">
        <v>2.6079522450453201</v>
      </c>
      <c r="AS9" s="635">
        <v>2.6142540104276799</v>
      </c>
      <c r="AT9" s="635">
        <v>2.6167589769378798</v>
      </c>
      <c r="AU9" s="635">
        <v>2.6115923571662201</v>
      </c>
      <c r="AV9" s="635">
        <v>2.62275484000673</v>
      </c>
      <c r="AW9" s="635">
        <v>2.6191293013400601</v>
      </c>
      <c r="AX9" s="635">
        <v>2.62627714923654</v>
      </c>
      <c r="AY9" s="635">
        <v>2.6194265314110301</v>
      </c>
      <c r="AZ9" s="635">
        <v>2.6415043138832401</v>
      </c>
      <c r="BA9" s="635">
        <v>2.662062301288</v>
      </c>
      <c r="BB9" s="635">
        <v>2.67729020882655</v>
      </c>
      <c r="BC9" s="635">
        <v>2.6907954146946098</v>
      </c>
      <c r="BD9" s="635">
        <v>2.6947387967675498</v>
      </c>
      <c r="BE9" s="635">
        <v>2.7066859028113202</v>
      </c>
      <c r="BF9" s="635">
        <v>2.72054827789868</v>
      </c>
      <c r="BG9" s="635">
        <v>2.7569640168604699</v>
      </c>
      <c r="BH9" s="635">
        <v>2.7703563734588399</v>
      </c>
      <c r="BI9" s="635">
        <v>2.7758420471732599</v>
      </c>
      <c r="BJ9" s="635">
        <v>2.78863899429814</v>
      </c>
      <c r="BK9" s="635">
        <v>2.80152864366993</v>
      </c>
      <c r="BL9" s="635">
        <v>2.8145299240305102</v>
      </c>
      <c r="BM9" s="635">
        <v>2.8281189721556101</v>
      </c>
      <c r="BN9" s="635">
        <v>2.8436922082042799</v>
      </c>
      <c r="BO9" s="635">
        <v>2.8613737788287201</v>
      </c>
      <c r="BP9" s="635">
        <v>2.8656515498241899</v>
      </c>
      <c r="BQ9" s="635">
        <v>2.9040288860327399</v>
      </c>
      <c r="BR9" s="635">
        <v>2.91977882121695</v>
      </c>
      <c r="BS9" s="635">
        <v>2.9464370701018501</v>
      </c>
      <c r="BT9" s="635">
        <v>2.95511533454368</v>
      </c>
      <c r="BU9" s="635">
        <v>2.9638765060418102</v>
      </c>
      <c r="BV9" s="635">
        <v>2.9698163013374201</v>
      </c>
      <c r="BW9" s="635">
        <v>2.9753604593545</v>
      </c>
      <c r="BX9" s="635">
        <v>2.9793716061765601</v>
      </c>
      <c r="BY9" s="635">
        <v>2.9854598446299301</v>
      </c>
      <c r="BZ9" s="635">
        <v>2.9937116931399901</v>
      </c>
      <c r="CA9" s="635">
        <v>3.0031799942022999</v>
      </c>
      <c r="CB9" s="635">
        <v>3.0136579769843599</v>
      </c>
      <c r="CC9" s="635">
        <v>3.0239642811323</v>
      </c>
      <c r="CD9" s="635">
        <v>3.0364681428712199</v>
      </c>
      <c r="CE9" s="635">
        <v>3.0499959763401501</v>
      </c>
      <c r="CF9" s="635">
        <v>3.0639337550737702</v>
      </c>
      <c r="CG9" s="635">
        <v>3.07817158353035</v>
      </c>
      <c r="CH9" s="635">
        <v>3.0927586969804399</v>
      </c>
      <c r="CI9" s="635">
        <v>3.10814439123192</v>
      </c>
      <c r="CJ9" s="635">
        <v>3.1236609001015601</v>
      </c>
      <c r="CK9" s="635">
        <v>3.1401708688163001</v>
      </c>
      <c r="CL9" s="635">
        <v>3.15683073631816</v>
      </c>
    </row>
    <row r="10" spans="1:90">
      <c r="A10" s="628" t="s">
        <v>328</v>
      </c>
      <c r="B10" s="628" t="s">
        <v>329</v>
      </c>
      <c r="C10" s="635">
        <v>2.0346113976543099</v>
      </c>
      <c r="D10" s="635">
        <v>2.0596500771746999</v>
      </c>
      <c r="E10" s="635">
        <v>2.0647060372238499</v>
      </c>
      <c r="F10" s="635">
        <v>2.08676028581668</v>
      </c>
      <c r="G10" s="635">
        <v>2.10441481814272</v>
      </c>
      <c r="H10" s="635">
        <v>2.1147152065649601</v>
      </c>
      <c r="I10" s="635">
        <v>2.1510993425276599</v>
      </c>
      <c r="J10" s="635">
        <v>2.1700303556901499</v>
      </c>
      <c r="K10" s="635">
        <v>2.1872092233455001</v>
      </c>
      <c r="L10" s="635">
        <v>2.2125396282877201</v>
      </c>
      <c r="M10" s="635">
        <v>2.2351374505046602</v>
      </c>
      <c r="N10" s="635">
        <v>2.2204817980336999</v>
      </c>
      <c r="O10" s="635">
        <v>2.2320116226990798</v>
      </c>
      <c r="P10" s="635">
        <v>2.2583096838239101</v>
      </c>
      <c r="Q10" s="635">
        <v>2.27564540872048</v>
      </c>
      <c r="R10" s="635">
        <v>2.30212674606845</v>
      </c>
      <c r="S10" s="635">
        <v>2.31936770794078</v>
      </c>
      <c r="T10" s="635">
        <v>2.3630887075886</v>
      </c>
      <c r="U10" s="635">
        <v>2.40401775208483</v>
      </c>
      <c r="V10" s="635">
        <v>2.3508872068266702</v>
      </c>
      <c r="W10" s="635">
        <v>2.3397884211161499</v>
      </c>
      <c r="X10" s="635">
        <v>2.3463315593326199</v>
      </c>
      <c r="Y10" s="635">
        <v>2.3660251530796899</v>
      </c>
      <c r="Z10" s="635">
        <v>2.38072574928248</v>
      </c>
      <c r="AA10" s="635">
        <v>2.3786733941980902</v>
      </c>
      <c r="AB10" s="635">
        <v>2.3833613783132601</v>
      </c>
      <c r="AC10" s="635">
        <v>2.3978430594132099</v>
      </c>
      <c r="AD10" s="635">
        <v>2.42168970868748</v>
      </c>
      <c r="AE10" s="635">
        <v>2.4317072324959299</v>
      </c>
      <c r="AF10" s="635">
        <v>2.47695645025907</v>
      </c>
      <c r="AG10" s="635">
        <v>2.4885116546577</v>
      </c>
      <c r="AH10" s="635">
        <v>2.4969754819522398</v>
      </c>
      <c r="AI10" s="635">
        <v>2.5130795409255899</v>
      </c>
      <c r="AJ10" s="635">
        <v>2.5194466142060299</v>
      </c>
      <c r="AK10" s="635">
        <v>2.52963857685537</v>
      </c>
      <c r="AL10" s="635">
        <v>2.5501989464999602</v>
      </c>
      <c r="AM10" s="635">
        <v>2.55712003670995</v>
      </c>
      <c r="AN10" s="635">
        <v>2.5546952042684001</v>
      </c>
      <c r="AO10" s="635">
        <v>2.57375608575328</v>
      </c>
      <c r="AP10" s="635">
        <v>2.5883411608511002</v>
      </c>
      <c r="AQ10" s="635">
        <v>2.5966793575059901</v>
      </c>
      <c r="AR10" s="635">
        <v>2.6079522450453201</v>
      </c>
      <c r="AS10" s="635">
        <v>2.6142540104276799</v>
      </c>
      <c r="AT10" s="635">
        <v>2.6167589769378798</v>
      </c>
      <c r="AU10" s="635">
        <v>2.6115923571662201</v>
      </c>
      <c r="AV10" s="635">
        <v>2.62275484000673</v>
      </c>
      <c r="AW10" s="635">
        <v>2.6191293013400601</v>
      </c>
      <c r="AX10" s="635">
        <v>2.62627714923654</v>
      </c>
      <c r="AY10" s="635">
        <v>2.6194265314110301</v>
      </c>
      <c r="AZ10" s="635">
        <v>2.6415043138832401</v>
      </c>
      <c r="BA10" s="635">
        <v>2.662062301288</v>
      </c>
      <c r="BB10" s="635">
        <v>2.67729020882655</v>
      </c>
      <c r="BC10" s="635">
        <v>2.6907954146946098</v>
      </c>
      <c r="BD10" s="635">
        <v>2.6947387967675498</v>
      </c>
      <c r="BE10" s="635">
        <v>2.7066859028113202</v>
      </c>
      <c r="BF10" s="635">
        <v>2.72054827789868</v>
      </c>
      <c r="BG10" s="635">
        <v>2.7569640168604699</v>
      </c>
      <c r="BH10" s="635">
        <v>2.7703563734588399</v>
      </c>
      <c r="BI10" s="635">
        <v>2.7758420471732599</v>
      </c>
      <c r="BJ10" s="635">
        <v>2.78863899429814</v>
      </c>
      <c r="BK10" s="635">
        <v>2.80152864366993</v>
      </c>
      <c r="BL10" s="635">
        <v>2.8145299240305102</v>
      </c>
      <c r="BM10" s="635">
        <v>2.8281189721556101</v>
      </c>
      <c r="BN10" s="635">
        <v>2.8436922082042799</v>
      </c>
      <c r="BO10" s="635">
        <v>2.8613737788287201</v>
      </c>
      <c r="BP10" s="635">
        <v>2.8656515498241899</v>
      </c>
      <c r="BQ10" s="635">
        <v>2.9040288860327399</v>
      </c>
      <c r="BR10" s="635">
        <v>2.91977882121695</v>
      </c>
      <c r="BS10" s="635">
        <v>2.9464370701018501</v>
      </c>
      <c r="BT10" s="635">
        <v>2.96269458407148</v>
      </c>
      <c r="BU10" s="635">
        <v>2.9807541213125002</v>
      </c>
      <c r="BV10" s="635">
        <v>2.99658795646052</v>
      </c>
      <c r="BW10" s="635">
        <v>3.0110305165974398</v>
      </c>
      <c r="BX10" s="635">
        <v>3.0251789215529699</v>
      </c>
      <c r="BY10" s="635">
        <v>3.0424244120073598</v>
      </c>
      <c r="BZ10" s="635">
        <v>3.06286045858206</v>
      </c>
      <c r="CA10" s="635">
        <v>3.0839246923475101</v>
      </c>
      <c r="CB10" s="635">
        <v>3.1053048533962899</v>
      </c>
      <c r="CC10" s="635">
        <v>3.12661677328683</v>
      </c>
      <c r="CD10" s="635">
        <v>3.1494007912967001</v>
      </c>
      <c r="CE10" s="635">
        <v>3.1736605325829501</v>
      </c>
      <c r="CF10" s="635">
        <v>3.1983282778621001</v>
      </c>
      <c r="CG10" s="635">
        <v>3.2234712778750301</v>
      </c>
      <c r="CH10" s="635">
        <v>3.2494717459189402</v>
      </c>
      <c r="CI10" s="635">
        <v>3.2764372271331501</v>
      </c>
      <c r="CJ10" s="635">
        <v>3.3038111516300899</v>
      </c>
      <c r="CK10" s="635">
        <v>3.3325559225318302</v>
      </c>
      <c r="CL10" s="635">
        <v>3.3617850989081299</v>
      </c>
    </row>
    <row r="12" spans="1:90">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c r="AK12" s="636"/>
      <c r="AL12" s="636"/>
      <c r="AM12" s="636"/>
      <c r="AN12" s="636"/>
      <c r="AO12" s="636"/>
      <c r="AP12" s="636"/>
      <c r="AQ12" s="636"/>
      <c r="AR12" s="636"/>
      <c r="AS12" s="636"/>
      <c r="AT12" s="636"/>
    </row>
    <row r="13" spans="1:90">
      <c r="C13" s="635"/>
      <c r="D13" s="635"/>
      <c r="E13" s="635"/>
      <c r="F13" s="635"/>
      <c r="G13" s="635"/>
      <c r="H13" s="635"/>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5"/>
      <c r="AM13" s="635"/>
      <c r="AN13" s="635"/>
      <c r="AO13" s="635"/>
      <c r="AP13" s="635"/>
      <c r="AQ13" s="635"/>
      <c r="AR13" s="635"/>
      <c r="AS13" s="635"/>
      <c r="AT13" s="635"/>
      <c r="CE13" s="637"/>
    </row>
    <row r="14" spans="1:90">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BX14" s="637"/>
      <c r="BY14" s="637"/>
      <c r="BZ14" s="637"/>
      <c r="CA14" s="637"/>
      <c r="CB14" s="637"/>
      <c r="CC14" s="637"/>
      <c r="CD14" s="637"/>
      <c r="CE14" s="637"/>
      <c r="CF14" s="637"/>
      <c r="CG14" s="637"/>
      <c r="CH14" s="637"/>
    </row>
    <row r="15" spans="1:90">
      <c r="BU15" s="639" t="s">
        <v>330</v>
      </c>
      <c r="BV15" s="640"/>
      <c r="BW15" s="640"/>
      <c r="BX15" s="641" t="s">
        <v>331</v>
      </c>
      <c r="BY15" s="642"/>
      <c r="BZ15" s="642"/>
      <c r="CA15" s="642"/>
      <c r="CB15" s="642"/>
      <c r="CC15" s="642"/>
      <c r="CD15" s="640"/>
      <c r="CE15" s="640"/>
      <c r="CF15" s="640"/>
    </row>
    <row r="16" spans="1:90">
      <c r="BU16" s="643"/>
      <c r="BV16" s="644"/>
      <c r="BW16" s="644"/>
      <c r="BX16" s="644"/>
      <c r="BY16" s="644"/>
      <c r="BZ16" s="644"/>
      <c r="CA16" s="644"/>
      <c r="CB16" s="644"/>
      <c r="CC16" s="644"/>
      <c r="CD16" s="644"/>
      <c r="CE16" s="644"/>
      <c r="CF16" s="645"/>
    </row>
    <row r="17" spans="67:84">
      <c r="BU17" s="646"/>
      <c r="BV17" s="647" t="s">
        <v>332</v>
      </c>
      <c r="BW17" s="640" t="s">
        <v>333</v>
      </c>
      <c r="BX17" s="640"/>
      <c r="BY17" s="640"/>
      <c r="BZ17" s="640"/>
      <c r="CA17" s="640"/>
      <c r="CB17" s="640"/>
      <c r="CC17" s="640"/>
      <c r="CD17" s="640"/>
      <c r="CE17" s="640"/>
      <c r="CF17" s="648"/>
    </row>
    <row r="18" spans="67:84">
      <c r="BO18" s="640"/>
      <c r="BU18" s="646"/>
      <c r="BV18" s="640"/>
      <c r="BW18" s="649" t="str">
        <f>BV7</f>
        <v>2021Q4</v>
      </c>
      <c r="BX18" s="640"/>
      <c r="BY18" s="640"/>
      <c r="BZ18" s="640"/>
      <c r="CA18" s="640"/>
      <c r="CB18" s="640"/>
      <c r="CC18" s="640"/>
      <c r="CD18" s="640"/>
      <c r="CE18" s="640"/>
      <c r="CF18" s="650" t="s">
        <v>334</v>
      </c>
    </row>
    <row r="19" spans="67:84">
      <c r="BO19" s="651"/>
      <c r="BP19" s="651"/>
      <c r="BU19" s="646"/>
      <c r="BV19" s="640"/>
      <c r="BW19" s="652">
        <f>BV9</f>
        <v>2.9698163013374201</v>
      </c>
      <c r="BX19" s="640"/>
      <c r="BY19" s="640"/>
      <c r="BZ19" s="640"/>
      <c r="CA19" s="640"/>
      <c r="CB19" s="640"/>
      <c r="CC19" s="640"/>
      <c r="CD19" s="640"/>
      <c r="CE19" s="640"/>
      <c r="CF19" s="653">
        <f>BW19</f>
        <v>2.9698163013374201</v>
      </c>
    </row>
    <row r="20" spans="67:84">
      <c r="BU20" s="646"/>
      <c r="BV20" s="640"/>
      <c r="BW20" s="640"/>
      <c r="BX20" s="640"/>
      <c r="BY20" s="640"/>
      <c r="BZ20" s="640"/>
      <c r="CA20" s="640"/>
      <c r="CB20" s="640"/>
      <c r="CC20" s="640"/>
      <c r="CD20" s="640"/>
      <c r="CE20" s="640"/>
      <c r="CF20" s="654"/>
    </row>
    <row r="21" spans="67:84">
      <c r="BU21" s="646"/>
      <c r="BV21" s="647" t="s">
        <v>335</v>
      </c>
      <c r="BW21" s="640" t="s">
        <v>336</v>
      </c>
      <c r="BX21" s="640"/>
      <c r="BY21" s="640"/>
      <c r="BZ21" s="640"/>
      <c r="CA21" s="640"/>
      <c r="CB21" s="640"/>
      <c r="CC21" s="640"/>
      <c r="CD21" s="640"/>
      <c r="CE21" s="640"/>
      <c r="CF21" s="654"/>
    </row>
    <row r="22" spans="67:84">
      <c r="BU22" s="646"/>
      <c r="BV22" s="640"/>
      <c r="BW22" s="649" t="str">
        <f>BW7</f>
        <v>2022Q1</v>
      </c>
      <c r="BX22" s="649"/>
      <c r="BY22" s="649"/>
      <c r="BZ22" s="649"/>
      <c r="CA22" s="649"/>
      <c r="CB22" s="649"/>
      <c r="CC22" s="649"/>
      <c r="CD22" s="649"/>
      <c r="CE22" s="640"/>
      <c r="CF22" s="654"/>
    </row>
    <row r="23" spans="67:84">
      <c r="BU23" s="646"/>
      <c r="BV23" s="640"/>
      <c r="BW23" s="635">
        <v>2.9753604593545</v>
      </c>
      <c r="BX23" s="635">
        <v>2.9793716061765601</v>
      </c>
      <c r="BY23" s="635">
        <v>2.9854598446299301</v>
      </c>
      <c r="BZ23" s="635">
        <v>2.9937116931399901</v>
      </c>
      <c r="CA23" s="635">
        <v>3.0031799942022999</v>
      </c>
      <c r="CB23" s="635">
        <v>3.0136579769843599</v>
      </c>
      <c r="CC23" s="635">
        <v>3.0239642811323</v>
      </c>
      <c r="CD23" s="635">
        <v>3.0364681428712199</v>
      </c>
      <c r="CE23" s="640"/>
      <c r="CF23" s="653">
        <f>AVERAGE(BW23:CD23)</f>
        <v>3.0013967498113949</v>
      </c>
    </row>
    <row r="24" spans="67:84">
      <c r="BU24" s="646"/>
      <c r="BV24" s="640"/>
      <c r="BW24" s="640"/>
      <c r="BX24" s="640"/>
      <c r="BY24" s="640"/>
      <c r="BZ24" s="640"/>
      <c r="CA24" s="640"/>
      <c r="CB24" s="640"/>
      <c r="CC24" s="640"/>
      <c r="CD24" s="640"/>
      <c r="CE24" s="640"/>
      <c r="CF24" s="654"/>
    </row>
    <row r="25" spans="67:84">
      <c r="BU25" s="646"/>
      <c r="BV25" s="640"/>
      <c r="BW25" s="640"/>
      <c r="BX25" s="640"/>
      <c r="BY25" s="640"/>
      <c r="BZ25" s="640"/>
      <c r="CA25" s="640"/>
      <c r="CB25" s="640"/>
      <c r="CC25" s="640"/>
      <c r="CD25" s="640"/>
      <c r="CE25" s="655" t="s">
        <v>133</v>
      </c>
      <c r="CF25" s="656">
        <f>(CF23-CF19)/CF19</f>
        <v>1.0633805350099574E-2</v>
      </c>
    </row>
    <row r="26" spans="67:84">
      <c r="BU26" s="657"/>
      <c r="BV26" s="658"/>
      <c r="BW26" s="658"/>
      <c r="BX26" s="658"/>
      <c r="BY26" s="658"/>
      <c r="BZ26" s="658"/>
      <c r="CA26" s="658"/>
      <c r="CB26" s="658"/>
      <c r="CC26" s="658"/>
      <c r="CD26" s="658"/>
      <c r="CE26" s="658"/>
      <c r="CF26" s="659"/>
    </row>
  </sheetData>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72"/>
  <sheetViews>
    <sheetView showGridLines="0" topLeftCell="H1" zoomScale="80" zoomScaleNormal="80" workbookViewId="0">
      <selection activeCell="N21" sqref="N21"/>
    </sheetView>
  </sheetViews>
  <sheetFormatPr defaultRowHeight="15" customHeight="1"/>
  <cols>
    <col min="1" max="1" width="5.5546875" style="50" customWidth="1"/>
    <col min="2" max="2" width="30.77734375" style="50" customWidth="1"/>
    <col min="3" max="3" width="13.21875" style="51" customWidth="1"/>
    <col min="4" max="4" width="14.21875" style="50" customWidth="1"/>
    <col min="5" max="5" width="28.77734375" style="50" customWidth="1"/>
    <col min="6" max="6" width="3.77734375" style="50" customWidth="1"/>
    <col min="7" max="7" width="10.44140625" style="50" customWidth="1"/>
    <col min="8" max="8" width="3.5546875" style="50" customWidth="1"/>
    <col min="9" max="9" width="20.21875" style="50" customWidth="1"/>
    <col min="10" max="10" width="10.44140625" style="50" customWidth="1"/>
    <col min="11" max="11" width="16.5546875" style="50" customWidth="1"/>
    <col min="12" max="13" width="16.77734375" style="50" customWidth="1"/>
    <col min="14" max="14" width="10.44140625" style="52" customWidth="1"/>
    <col min="15" max="15" width="5" style="50" customWidth="1"/>
    <col min="16" max="16" width="22" style="50" customWidth="1"/>
    <col min="17" max="17" width="9" style="50" customWidth="1"/>
    <col min="18" max="18" width="14.5546875" style="50" customWidth="1"/>
    <col min="19" max="19" width="10.44140625" style="50" customWidth="1"/>
    <col min="20" max="20" width="16.5546875" style="50" customWidth="1"/>
    <col min="21" max="21" width="13.44140625" style="50" customWidth="1"/>
    <col min="22" max="22" width="14.5546875" style="50" customWidth="1"/>
    <col min="23" max="23" width="12" style="50" bestFit="1" customWidth="1"/>
    <col min="24" max="255" width="8.88671875" style="50"/>
    <col min="256" max="256" width="30.77734375" style="50" customWidth="1"/>
    <col min="257" max="258" width="13.21875" style="50" customWidth="1"/>
    <col min="259" max="259" width="12.5546875" style="50" bestFit="1" customWidth="1"/>
    <col min="260" max="260" width="11.5546875" style="50" customWidth="1"/>
    <col min="261" max="262" width="10.5546875" style="50" customWidth="1"/>
    <col min="263" max="263" width="19.77734375" style="50" customWidth="1"/>
    <col min="264" max="264" width="6.5546875" style="50" customWidth="1"/>
    <col min="265" max="265" width="32.5546875" style="50" customWidth="1"/>
    <col min="266" max="266" width="15.21875" style="50" customWidth="1"/>
    <col min="267" max="267" width="22.21875" style="50" customWidth="1"/>
    <col min="268" max="268" width="16.77734375" style="50" customWidth="1"/>
    <col min="269" max="269" width="9.44140625" style="50" bestFit="1" customWidth="1"/>
    <col min="270" max="270" width="35.77734375" style="50" customWidth="1"/>
    <col min="271" max="271" width="14" style="50" customWidth="1"/>
    <col min="272" max="272" width="12" style="50" bestFit="1" customWidth="1"/>
    <col min="273" max="273" width="15" style="50" customWidth="1"/>
    <col min="274" max="274" width="8.88671875" style="50"/>
    <col min="275" max="275" width="29.5546875" style="50" bestFit="1" customWidth="1"/>
    <col min="276" max="276" width="14.44140625" style="50" bestFit="1" customWidth="1"/>
    <col min="277" max="277" width="12.44140625" style="50" bestFit="1" customWidth="1"/>
    <col min="278" max="278" width="22.44140625" style="50" bestFit="1" customWidth="1"/>
    <col min="279" max="511" width="8.88671875" style="50"/>
    <col min="512" max="512" width="30.77734375" style="50" customWidth="1"/>
    <col min="513" max="514" width="13.21875" style="50" customWidth="1"/>
    <col min="515" max="515" width="12.5546875" style="50" bestFit="1" customWidth="1"/>
    <col min="516" max="516" width="11.5546875" style="50" customWidth="1"/>
    <col min="517" max="518" width="10.5546875" style="50" customWidth="1"/>
    <col min="519" max="519" width="19.77734375" style="50" customWidth="1"/>
    <col min="520" max="520" width="6.5546875" style="50" customWidth="1"/>
    <col min="521" max="521" width="32.5546875" style="50" customWidth="1"/>
    <col min="522" max="522" width="15.21875" style="50" customWidth="1"/>
    <col min="523" max="523" width="22.21875" style="50" customWidth="1"/>
    <col min="524" max="524" width="16.77734375" style="50" customWidth="1"/>
    <col min="525" max="525" width="9.44140625" style="50" bestFit="1" customWidth="1"/>
    <col min="526" max="526" width="35.77734375" style="50" customWidth="1"/>
    <col min="527" max="527" width="14" style="50" customWidth="1"/>
    <col min="528" max="528" width="12" style="50" bestFit="1" customWidth="1"/>
    <col min="529" max="529" width="15" style="50" customWidth="1"/>
    <col min="530" max="530" width="8.88671875" style="50"/>
    <col min="531" max="531" width="29.5546875" style="50" bestFit="1" customWidth="1"/>
    <col min="532" max="532" width="14.44140625" style="50" bestFit="1" customWidth="1"/>
    <col min="533" max="533" width="12.44140625" style="50" bestFit="1" customWidth="1"/>
    <col min="534" max="534" width="22.44140625" style="50" bestFit="1" customWidth="1"/>
    <col min="535" max="767" width="8.88671875" style="50"/>
    <col min="768" max="768" width="30.77734375" style="50" customWidth="1"/>
    <col min="769" max="770" width="13.21875" style="50" customWidth="1"/>
    <col min="771" max="771" width="12.5546875" style="50" bestFit="1" customWidth="1"/>
    <col min="772" max="772" width="11.5546875" style="50" customWidth="1"/>
    <col min="773" max="774" width="10.5546875" style="50" customWidth="1"/>
    <col min="775" max="775" width="19.77734375" style="50" customWidth="1"/>
    <col min="776" max="776" width="6.5546875" style="50" customWidth="1"/>
    <col min="777" max="777" width="32.5546875" style="50" customWidth="1"/>
    <col min="778" max="778" width="15.21875" style="50" customWidth="1"/>
    <col min="779" max="779" width="22.21875" style="50" customWidth="1"/>
    <col min="780" max="780" width="16.77734375" style="50" customWidth="1"/>
    <col min="781" max="781" width="9.44140625" style="50" bestFit="1" customWidth="1"/>
    <col min="782" max="782" width="35.77734375" style="50" customWidth="1"/>
    <col min="783" max="783" width="14" style="50" customWidth="1"/>
    <col min="784" max="784" width="12" style="50" bestFit="1" customWidth="1"/>
    <col min="785" max="785" width="15" style="50" customWidth="1"/>
    <col min="786" max="786" width="8.88671875" style="50"/>
    <col min="787" max="787" width="29.5546875" style="50" bestFit="1" customWidth="1"/>
    <col min="788" max="788" width="14.44140625" style="50" bestFit="1" customWidth="1"/>
    <col min="789" max="789" width="12.44140625" style="50" bestFit="1" customWidth="1"/>
    <col min="790" max="790" width="22.44140625" style="50" bestFit="1" customWidth="1"/>
    <col min="791" max="1023" width="8.88671875" style="50"/>
    <col min="1024" max="1024" width="30.77734375" style="50" customWidth="1"/>
    <col min="1025" max="1026" width="13.21875" style="50" customWidth="1"/>
    <col min="1027" max="1027" width="12.5546875" style="50" bestFit="1" customWidth="1"/>
    <col min="1028" max="1028" width="11.5546875" style="50" customWidth="1"/>
    <col min="1029" max="1030" width="10.5546875" style="50" customWidth="1"/>
    <col min="1031" max="1031" width="19.77734375" style="50" customWidth="1"/>
    <col min="1032" max="1032" width="6.5546875" style="50" customWidth="1"/>
    <col min="1033" max="1033" width="32.5546875" style="50" customWidth="1"/>
    <col min="1034" max="1034" width="15.21875" style="50" customWidth="1"/>
    <col min="1035" max="1035" width="22.21875" style="50" customWidth="1"/>
    <col min="1036" max="1036" width="16.77734375" style="50" customWidth="1"/>
    <col min="1037" max="1037" width="9.44140625" style="50" bestFit="1" customWidth="1"/>
    <col min="1038" max="1038" width="35.77734375" style="50" customWidth="1"/>
    <col min="1039" max="1039" width="14" style="50" customWidth="1"/>
    <col min="1040" max="1040" width="12" style="50" bestFit="1" customWidth="1"/>
    <col min="1041" max="1041" width="15" style="50" customWidth="1"/>
    <col min="1042" max="1042" width="8.88671875" style="50"/>
    <col min="1043" max="1043" width="29.5546875" style="50" bestFit="1" customWidth="1"/>
    <col min="1044" max="1044" width="14.44140625" style="50" bestFit="1" customWidth="1"/>
    <col min="1045" max="1045" width="12.44140625" style="50" bestFit="1" customWidth="1"/>
    <col min="1046" max="1046" width="22.44140625" style="50" bestFit="1" customWidth="1"/>
    <col min="1047" max="1279" width="8.88671875" style="50"/>
    <col min="1280" max="1280" width="30.77734375" style="50" customWidth="1"/>
    <col min="1281" max="1282" width="13.21875" style="50" customWidth="1"/>
    <col min="1283" max="1283" width="12.5546875" style="50" bestFit="1" customWidth="1"/>
    <col min="1284" max="1284" width="11.5546875" style="50" customWidth="1"/>
    <col min="1285" max="1286" width="10.5546875" style="50" customWidth="1"/>
    <col min="1287" max="1287" width="19.77734375" style="50" customWidth="1"/>
    <col min="1288" max="1288" width="6.5546875" style="50" customWidth="1"/>
    <col min="1289" max="1289" width="32.5546875" style="50" customWidth="1"/>
    <col min="1290" max="1290" width="15.21875" style="50" customWidth="1"/>
    <col min="1291" max="1291" width="22.21875" style="50" customWidth="1"/>
    <col min="1292" max="1292" width="16.77734375" style="50" customWidth="1"/>
    <col min="1293" max="1293" width="9.44140625" style="50" bestFit="1" customWidth="1"/>
    <col min="1294" max="1294" width="35.77734375" style="50" customWidth="1"/>
    <col min="1295" max="1295" width="14" style="50" customWidth="1"/>
    <col min="1296" max="1296" width="12" style="50" bestFit="1" customWidth="1"/>
    <col min="1297" max="1297" width="15" style="50" customWidth="1"/>
    <col min="1298" max="1298" width="8.88671875" style="50"/>
    <col min="1299" max="1299" width="29.5546875" style="50" bestFit="1" customWidth="1"/>
    <col min="1300" max="1300" width="14.44140625" style="50" bestFit="1" customWidth="1"/>
    <col min="1301" max="1301" width="12.44140625" style="50" bestFit="1" customWidth="1"/>
    <col min="1302" max="1302" width="22.44140625" style="50" bestFit="1" customWidth="1"/>
    <col min="1303" max="1535" width="8.88671875" style="50"/>
    <col min="1536" max="1536" width="30.77734375" style="50" customWidth="1"/>
    <col min="1537" max="1538" width="13.21875" style="50" customWidth="1"/>
    <col min="1539" max="1539" width="12.5546875" style="50" bestFit="1" customWidth="1"/>
    <col min="1540" max="1540" width="11.5546875" style="50" customWidth="1"/>
    <col min="1541" max="1542" width="10.5546875" style="50" customWidth="1"/>
    <col min="1543" max="1543" width="19.77734375" style="50" customWidth="1"/>
    <col min="1544" max="1544" width="6.5546875" style="50" customWidth="1"/>
    <col min="1545" max="1545" width="32.5546875" style="50" customWidth="1"/>
    <col min="1546" max="1546" width="15.21875" style="50" customWidth="1"/>
    <col min="1547" max="1547" width="22.21875" style="50" customWidth="1"/>
    <col min="1548" max="1548" width="16.77734375" style="50" customWidth="1"/>
    <col min="1549" max="1549" width="9.44140625" style="50" bestFit="1" customWidth="1"/>
    <col min="1550" max="1550" width="35.77734375" style="50" customWidth="1"/>
    <col min="1551" max="1551" width="14" style="50" customWidth="1"/>
    <col min="1552" max="1552" width="12" style="50" bestFit="1" customWidth="1"/>
    <col min="1553" max="1553" width="15" style="50" customWidth="1"/>
    <col min="1554" max="1554" width="8.88671875" style="50"/>
    <col min="1555" max="1555" width="29.5546875" style="50" bestFit="1" customWidth="1"/>
    <col min="1556" max="1556" width="14.44140625" style="50" bestFit="1" customWidth="1"/>
    <col min="1557" max="1557" width="12.44140625" style="50" bestFit="1" customWidth="1"/>
    <col min="1558" max="1558" width="22.44140625" style="50" bestFit="1" customWidth="1"/>
    <col min="1559" max="1791" width="8.88671875" style="50"/>
    <col min="1792" max="1792" width="30.77734375" style="50" customWidth="1"/>
    <col min="1793" max="1794" width="13.21875" style="50" customWidth="1"/>
    <col min="1795" max="1795" width="12.5546875" style="50" bestFit="1" customWidth="1"/>
    <col min="1796" max="1796" width="11.5546875" style="50" customWidth="1"/>
    <col min="1797" max="1798" width="10.5546875" style="50" customWidth="1"/>
    <col min="1799" max="1799" width="19.77734375" style="50" customWidth="1"/>
    <col min="1800" max="1800" width="6.5546875" style="50" customWidth="1"/>
    <col min="1801" max="1801" width="32.5546875" style="50" customWidth="1"/>
    <col min="1802" max="1802" width="15.21875" style="50" customWidth="1"/>
    <col min="1803" max="1803" width="22.21875" style="50" customWidth="1"/>
    <col min="1804" max="1804" width="16.77734375" style="50" customWidth="1"/>
    <col min="1805" max="1805" width="9.44140625" style="50" bestFit="1" customWidth="1"/>
    <col min="1806" max="1806" width="35.77734375" style="50" customWidth="1"/>
    <col min="1807" max="1807" width="14" style="50" customWidth="1"/>
    <col min="1808" max="1808" width="12" style="50" bestFit="1" customWidth="1"/>
    <col min="1809" max="1809" width="15" style="50" customWidth="1"/>
    <col min="1810" max="1810" width="8.88671875" style="50"/>
    <col min="1811" max="1811" width="29.5546875" style="50" bestFit="1" customWidth="1"/>
    <col min="1812" max="1812" width="14.44140625" style="50" bestFit="1" customWidth="1"/>
    <col min="1813" max="1813" width="12.44140625" style="50" bestFit="1" customWidth="1"/>
    <col min="1814" max="1814" width="22.44140625" style="50" bestFit="1" customWidth="1"/>
    <col min="1815" max="2047" width="8.88671875" style="50"/>
    <col min="2048" max="2048" width="30.77734375" style="50" customWidth="1"/>
    <col min="2049" max="2050" width="13.21875" style="50" customWidth="1"/>
    <col min="2051" max="2051" width="12.5546875" style="50" bestFit="1" customWidth="1"/>
    <col min="2052" max="2052" width="11.5546875" style="50" customWidth="1"/>
    <col min="2053" max="2054" width="10.5546875" style="50" customWidth="1"/>
    <col min="2055" max="2055" width="19.77734375" style="50" customWidth="1"/>
    <col min="2056" max="2056" width="6.5546875" style="50" customWidth="1"/>
    <col min="2057" max="2057" width="32.5546875" style="50" customWidth="1"/>
    <col min="2058" max="2058" width="15.21875" style="50" customWidth="1"/>
    <col min="2059" max="2059" width="22.21875" style="50" customWidth="1"/>
    <col min="2060" max="2060" width="16.77734375" style="50" customWidth="1"/>
    <col min="2061" max="2061" width="9.44140625" style="50" bestFit="1" customWidth="1"/>
    <col min="2062" max="2062" width="35.77734375" style="50" customWidth="1"/>
    <col min="2063" max="2063" width="14" style="50" customWidth="1"/>
    <col min="2064" max="2064" width="12" style="50" bestFit="1" customWidth="1"/>
    <col min="2065" max="2065" width="15" style="50" customWidth="1"/>
    <col min="2066" max="2066" width="8.88671875" style="50"/>
    <col min="2067" max="2067" width="29.5546875" style="50" bestFit="1" customWidth="1"/>
    <col min="2068" max="2068" width="14.44140625" style="50" bestFit="1" customWidth="1"/>
    <col min="2069" max="2069" width="12.44140625" style="50" bestFit="1" customWidth="1"/>
    <col min="2070" max="2070" width="22.44140625" style="50" bestFit="1" customWidth="1"/>
    <col min="2071" max="2303" width="8.88671875" style="50"/>
    <col min="2304" max="2304" width="30.77734375" style="50" customWidth="1"/>
    <col min="2305" max="2306" width="13.21875" style="50" customWidth="1"/>
    <col min="2307" max="2307" width="12.5546875" style="50" bestFit="1" customWidth="1"/>
    <col min="2308" max="2308" width="11.5546875" style="50" customWidth="1"/>
    <col min="2309" max="2310" width="10.5546875" style="50" customWidth="1"/>
    <col min="2311" max="2311" width="19.77734375" style="50" customWidth="1"/>
    <col min="2312" max="2312" width="6.5546875" style="50" customWidth="1"/>
    <col min="2313" max="2313" width="32.5546875" style="50" customWidth="1"/>
    <col min="2314" max="2314" width="15.21875" style="50" customWidth="1"/>
    <col min="2315" max="2315" width="22.21875" style="50" customWidth="1"/>
    <col min="2316" max="2316" width="16.77734375" style="50" customWidth="1"/>
    <col min="2317" max="2317" width="9.44140625" style="50" bestFit="1" customWidth="1"/>
    <col min="2318" max="2318" width="35.77734375" style="50" customWidth="1"/>
    <col min="2319" max="2319" width="14" style="50" customWidth="1"/>
    <col min="2320" max="2320" width="12" style="50" bestFit="1" customWidth="1"/>
    <col min="2321" max="2321" width="15" style="50" customWidth="1"/>
    <col min="2322" max="2322" width="8.88671875" style="50"/>
    <col min="2323" max="2323" width="29.5546875" style="50" bestFit="1" customWidth="1"/>
    <col min="2324" max="2324" width="14.44140625" style="50" bestFit="1" customWidth="1"/>
    <col min="2325" max="2325" width="12.44140625" style="50" bestFit="1" customWidth="1"/>
    <col min="2326" max="2326" width="22.44140625" style="50" bestFit="1" customWidth="1"/>
    <col min="2327" max="2559" width="8.88671875" style="50"/>
    <col min="2560" max="2560" width="30.77734375" style="50" customWidth="1"/>
    <col min="2561" max="2562" width="13.21875" style="50" customWidth="1"/>
    <col min="2563" max="2563" width="12.5546875" style="50" bestFit="1" customWidth="1"/>
    <col min="2564" max="2564" width="11.5546875" style="50" customWidth="1"/>
    <col min="2565" max="2566" width="10.5546875" style="50" customWidth="1"/>
    <col min="2567" max="2567" width="19.77734375" style="50" customWidth="1"/>
    <col min="2568" max="2568" width="6.5546875" style="50" customWidth="1"/>
    <col min="2569" max="2569" width="32.5546875" style="50" customWidth="1"/>
    <col min="2570" max="2570" width="15.21875" style="50" customWidth="1"/>
    <col min="2571" max="2571" width="22.21875" style="50" customWidth="1"/>
    <col min="2572" max="2572" width="16.77734375" style="50" customWidth="1"/>
    <col min="2573" max="2573" width="9.44140625" style="50" bestFit="1" customWidth="1"/>
    <col min="2574" max="2574" width="35.77734375" style="50" customWidth="1"/>
    <col min="2575" max="2575" width="14" style="50" customWidth="1"/>
    <col min="2576" max="2576" width="12" style="50" bestFit="1" customWidth="1"/>
    <col min="2577" max="2577" width="15" style="50" customWidth="1"/>
    <col min="2578" max="2578" width="8.88671875" style="50"/>
    <col min="2579" max="2579" width="29.5546875" style="50" bestFit="1" customWidth="1"/>
    <col min="2580" max="2580" width="14.44140625" style="50" bestFit="1" customWidth="1"/>
    <col min="2581" max="2581" width="12.44140625" style="50" bestFit="1" customWidth="1"/>
    <col min="2582" max="2582" width="22.44140625" style="50" bestFit="1" customWidth="1"/>
    <col min="2583" max="2815" width="8.88671875" style="50"/>
    <col min="2816" max="2816" width="30.77734375" style="50" customWidth="1"/>
    <col min="2817" max="2818" width="13.21875" style="50" customWidth="1"/>
    <col min="2819" max="2819" width="12.5546875" style="50" bestFit="1" customWidth="1"/>
    <col min="2820" max="2820" width="11.5546875" style="50" customWidth="1"/>
    <col min="2821" max="2822" width="10.5546875" style="50" customWidth="1"/>
    <col min="2823" max="2823" width="19.77734375" style="50" customWidth="1"/>
    <col min="2824" max="2824" width="6.5546875" style="50" customWidth="1"/>
    <col min="2825" max="2825" width="32.5546875" style="50" customWidth="1"/>
    <col min="2826" max="2826" width="15.21875" style="50" customWidth="1"/>
    <col min="2827" max="2827" width="22.21875" style="50" customWidth="1"/>
    <col min="2828" max="2828" width="16.77734375" style="50" customWidth="1"/>
    <col min="2829" max="2829" width="9.44140625" style="50" bestFit="1" customWidth="1"/>
    <col min="2830" max="2830" width="35.77734375" style="50" customWidth="1"/>
    <col min="2831" max="2831" width="14" style="50" customWidth="1"/>
    <col min="2832" max="2832" width="12" style="50" bestFit="1" customWidth="1"/>
    <col min="2833" max="2833" width="15" style="50" customWidth="1"/>
    <col min="2834" max="2834" width="8.88671875" style="50"/>
    <col min="2835" max="2835" width="29.5546875" style="50" bestFit="1" customWidth="1"/>
    <col min="2836" max="2836" width="14.44140625" style="50" bestFit="1" customWidth="1"/>
    <col min="2837" max="2837" width="12.44140625" style="50" bestFit="1" customWidth="1"/>
    <col min="2838" max="2838" width="22.44140625" style="50" bestFit="1" customWidth="1"/>
    <col min="2839" max="3071" width="8.88671875" style="50"/>
    <col min="3072" max="3072" width="30.77734375" style="50" customWidth="1"/>
    <col min="3073" max="3074" width="13.21875" style="50" customWidth="1"/>
    <col min="3075" max="3075" width="12.5546875" style="50" bestFit="1" customWidth="1"/>
    <col min="3076" max="3076" width="11.5546875" style="50" customWidth="1"/>
    <col min="3077" max="3078" width="10.5546875" style="50" customWidth="1"/>
    <col min="3079" max="3079" width="19.77734375" style="50" customWidth="1"/>
    <col min="3080" max="3080" width="6.5546875" style="50" customWidth="1"/>
    <col min="3081" max="3081" width="32.5546875" style="50" customWidth="1"/>
    <col min="3082" max="3082" width="15.21875" style="50" customWidth="1"/>
    <col min="3083" max="3083" width="22.21875" style="50" customWidth="1"/>
    <col min="3084" max="3084" width="16.77734375" style="50" customWidth="1"/>
    <col min="3085" max="3085" width="9.44140625" style="50" bestFit="1" customWidth="1"/>
    <col min="3086" max="3086" width="35.77734375" style="50" customWidth="1"/>
    <col min="3087" max="3087" width="14" style="50" customWidth="1"/>
    <col min="3088" max="3088" width="12" style="50" bestFit="1" customWidth="1"/>
    <col min="3089" max="3089" width="15" style="50" customWidth="1"/>
    <col min="3090" max="3090" width="8.88671875" style="50"/>
    <col min="3091" max="3091" width="29.5546875" style="50" bestFit="1" customWidth="1"/>
    <col min="3092" max="3092" width="14.44140625" style="50" bestFit="1" customWidth="1"/>
    <col min="3093" max="3093" width="12.44140625" style="50" bestFit="1" customWidth="1"/>
    <col min="3094" max="3094" width="22.44140625" style="50" bestFit="1" customWidth="1"/>
    <col min="3095" max="3327" width="8.88671875" style="50"/>
    <col min="3328" max="3328" width="30.77734375" style="50" customWidth="1"/>
    <col min="3329" max="3330" width="13.21875" style="50" customWidth="1"/>
    <col min="3331" max="3331" width="12.5546875" style="50" bestFit="1" customWidth="1"/>
    <col min="3332" max="3332" width="11.5546875" style="50" customWidth="1"/>
    <col min="3333" max="3334" width="10.5546875" style="50" customWidth="1"/>
    <col min="3335" max="3335" width="19.77734375" style="50" customWidth="1"/>
    <col min="3336" max="3336" width="6.5546875" style="50" customWidth="1"/>
    <col min="3337" max="3337" width="32.5546875" style="50" customWidth="1"/>
    <col min="3338" max="3338" width="15.21875" style="50" customWidth="1"/>
    <col min="3339" max="3339" width="22.21875" style="50" customWidth="1"/>
    <col min="3340" max="3340" width="16.77734375" style="50" customWidth="1"/>
    <col min="3341" max="3341" width="9.44140625" style="50" bestFit="1" customWidth="1"/>
    <col min="3342" max="3342" width="35.77734375" style="50" customWidth="1"/>
    <col min="3343" max="3343" width="14" style="50" customWidth="1"/>
    <col min="3344" max="3344" width="12" style="50" bestFit="1" customWidth="1"/>
    <col min="3345" max="3345" width="15" style="50" customWidth="1"/>
    <col min="3346" max="3346" width="8.88671875" style="50"/>
    <col min="3347" max="3347" width="29.5546875" style="50" bestFit="1" customWidth="1"/>
    <col min="3348" max="3348" width="14.44140625" style="50" bestFit="1" customWidth="1"/>
    <col min="3349" max="3349" width="12.44140625" style="50" bestFit="1" customWidth="1"/>
    <col min="3350" max="3350" width="22.44140625" style="50" bestFit="1" customWidth="1"/>
    <col min="3351" max="3583" width="8.88671875" style="50"/>
    <col min="3584" max="3584" width="30.77734375" style="50" customWidth="1"/>
    <col min="3585" max="3586" width="13.21875" style="50" customWidth="1"/>
    <col min="3587" max="3587" width="12.5546875" style="50" bestFit="1" customWidth="1"/>
    <col min="3588" max="3588" width="11.5546875" style="50" customWidth="1"/>
    <col min="3589" max="3590" width="10.5546875" style="50" customWidth="1"/>
    <col min="3591" max="3591" width="19.77734375" style="50" customWidth="1"/>
    <col min="3592" max="3592" width="6.5546875" style="50" customWidth="1"/>
    <col min="3593" max="3593" width="32.5546875" style="50" customWidth="1"/>
    <col min="3594" max="3594" width="15.21875" style="50" customWidth="1"/>
    <col min="3595" max="3595" width="22.21875" style="50" customWidth="1"/>
    <col min="3596" max="3596" width="16.77734375" style="50" customWidth="1"/>
    <col min="3597" max="3597" width="9.44140625" style="50" bestFit="1" customWidth="1"/>
    <col min="3598" max="3598" width="35.77734375" style="50" customWidth="1"/>
    <col min="3599" max="3599" width="14" style="50" customWidth="1"/>
    <col min="3600" max="3600" width="12" style="50" bestFit="1" customWidth="1"/>
    <col min="3601" max="3601" width="15" style="50" customWidth="1"/>
    <col min="3602" max="3602" width="8.88671875" style="50"/>
    <col min="3603" max="3603" width="29.5546875" style="50" bestFit="1" customWidth="1"/>
    <col min="3604" max="3604" width="14.44140625" style="50" bestFit="1" customWidth="1"/>
    <col min="3605" max="3605" width="12.44140625" style="50" bestFit="1" customWidth="1"/>
    <col min="3606" max="3606" width="22.44140625" style="50" bestFit="1" customWidth="1"/>
    <col min="3607" max="3839" width="8.88671875" style="50"/>
    <col min="3840" max="3840" width="30.77734375" style="50" customWidth="1"/>
    <col min="3841" max="3842" width="13.21875" style="50" customWidth="1"/>
    <col min="3843" max="3843" width="12.5546875" style="50" bestFit="1" customWidth="1"/>
    <col min="3844" max="3844" width="11.5546875" style="50" customWidth="1"/>
    <col min="3845" max="3846" width="10.5546875" style="50" customWidth="1"/>
    <col min="3847" max="3847" width="19.77734375" style="50" customWidth="1"/>
    <col min="3848" max="3848" width="6.5546875" style="50" customWidth="1"/>
    <col min="3849" max="3849" width="32.5546875" style="50" customWidth="1"/>
    <col min="3850" max="3850" width="15.21875" style="50" customWidth="1"/>
    <col min="3851" max="3851" width="22.21875" style="50" customWidth="1"/>
    <col min="3852" max="3852" width="16.77734375" style="50" customWidth="1"/>
    <col min="3853" max="3853" width="9.44140625" style="50" bestFit="1" customWidth="1"/>
    <col min="3854" max="3854" width="35.77734375" style="50" customWidth="1"/>
    <col min="3855" max="3855" width="14" style="50" customWidth="1"/>
    <col min="3856" max="3856" width="12" style="50" bestFit="1" customWidth="1"/>
    <col min="3857" max="3857" width="15" style="50" customWidth="1"/>
    <col min="3858" max="3858" width="8.88671875" style="50"/>
    <col min="3859" max="3859" width="29.5546875" style="50" bestFit="1" customWidth="1"/>
    <col min="3860" max="3860" width="14.44140625" style="50" bestFit="1" customWidth="1"/>
    <col min="3861" max="3861" width="12.44140625" style="50" bestFit="1" customWidth="1"/>
    <col min="3862" max="3862" width="22.44140625" style="50" bestFit="1" customWidth="1"/>
    <col min="3863" max="4095" width="8.88671875" style="50"/>
    <col min="4096" max="4096" width="30.77734375" style="50" customWidth="1"/>
    <col min="4097" max="4098" width="13.21875" style="50" customWidth="1"/>
    <col min="4099" max="4099" width="12.5546875" style="50" bestFit="1" customWidth="1"/>
    <col min="4100" max="4100" width="11.5546875" style="50" customWidth="1"/>
    <col min="4101" max="4102" width="10.5546875" style="50" customWidth="1"/>
    <col min="4103" max="4103" width="19.77734375" style="50" customWidth="1"/>
    <col min="4104" max="4104" width="6.5546875" style="50" customWidth="1"/>
    <col min="4105" max="4105" width="32.5546875" style="50" customWidth="1"/>
    <col min="4106" max="4106" width="15.21875" style="50" customWidth="1"/>
    <col min="4107" max="4107" width="22.21875" style="50" customWidth="1"/>
    <col min="4108" max="4108" width="16.77734375" style="50" customWidth="1"/>
    <col min="4109" max="4109" width="9.44140625" style="50" bestFit="1" customWidth="1"/>
    <col min="4110" max="4110" width="35.77734375" style="50" customWidth="1"/>
    <col min="4111" max="4111" width="14" style="50" customWidth="1"/>
    <col min="4112" max="4112" width="12" style="50" bestFit="1" customWidth="1"/>
    <col min="4113" max="4113" width="15" style="50" customWidth="1"/>
    <col min="4114" max="4114" width="8.88671875" style="50"/>
    <col min="4115" max="4115" width="29.5546875" style="50" bestFit="1" customWidth="1"/>
    <col min="4116" max="4116" width="14.44140625" style="50" bestFit="1" customWidth="1"/>
    <col min="4117" max="4117" width="12.44140625" style="50" bestFit="1" customWidth="1"/>
    <col min="4118" max="4118" width="22.44140625" style="50" bestFit="1" customWidth="1"/>
    <col min="4119" max="4351" width="8.88671875" style="50"/>
    <col min="4352" max="4352" width="30.77734375" style="50" customWidth="1"/>
    <col min="4353" max="4354" width="13.21875" style="50" customWidth="1"/>
    <col min="4355" max="4355" width="12.5546875" style="50" bestFit="1" customWidth="1"/>
    <col min="4356" max="4356" width="11.5546875" style="50" customWidth="1"/>
    <col min="4357" max="4358" width="10.5546875" style="50" customWidth="1"/>
    <col min="4359" max="4359" width="19.77734375" style="50" customWidth="1"/>
    <col min="4360" max="4360" width="6.5546875" style="50" customWidth="1"/>
    <col min="4361" max="4361" width="32.5546875" style="50" customWidth="1"/>
    <col min="4362" max="4362" width="15.21875" style="50" customWidth="1"/>
    <col min="4363" max="4363" width="22.21875" style="50" customWidth="1"/>
    <col min="4364" max="4364" width="16.77734375" style="50" customWidth="1"/>
    <col min="4365" max="4365" width="9.44140625" style="50" bestFit="1" customWidth="1"/>
    <col min="4366" max="4366" width="35.77734375" style="50" customWidth="1"/>
    <col min="4367" max="4367" width="14" style="50" customWidth="1"/>
    <col min="4368" max="4368" width="12" style="50" bestFit="1" customWidth="1"/>
    <col min="4369" max="4369" width="15" style="50" customWidth="1"/>
    <col min="4370" max="4370" width="8.88671875" style="50"/>
    <col min="4371" max="4371" width="29.5546875" style="50" bestFit="1" customWidth="1"/>
    <col min="4372" max="4372" width="14.44140625" style="50" bestFit="1" customWidth="1"/>
    <col min="4373" max="4373" width="12.44140625" style="50" bestFit="1" customWidth="1"/>
    <col min="4374" max="4374" width="22.44140625" style="50" bestFit="1" customWidth="1"/>
    <col min="4375" max="4607" width="8.88671875" style="50"/>
    <col min="4608" max="4608" width="30.77734375" style="50" customWidth="1"/>
    <col min="4609" max="4610" width="13.21875" style="50" customWidth="1"/>
    <col min="4611" max="4611" width="12.5546875" style="50" bestFit="1" customWidth="1"/>
    <col min="4612" max="4612" width="11.5546875" style="50" customWidth="1"/>
    <col min="4613" max="4614" width="10.5546875" style="50" customWidth="1"/>
    <col min="4615" max="4615" width="19.77734375" style="50" customWidth="1"/>
    <col min="4616" max="4616" width="6.5546875" style="50" customWidth="1"/>
    <col min="4617" max="4617" width="32.5546875" style="50" customWidth="1"/>
    <col min="4618" max="4618" width="15.21875" style="50" customWidth="1"/>
    <col min="4619" max="4619" width="22.21875" style="50" customWidth="1"/>
    <col min="4620" max="4620" width="16.77734375" style="50" customWidth="1"/>
    <col min="4621" max="4621" width="9.44140625" style="50" bestFit="1" customWidth="1"/>
    <col min="4622" max="4622" width="35.77734375" style="50" customWidth="1"/>
    <col min="4623" max="4623" width="14" style="50" customWidth="1"/>
    <col min="4624" max="4624" width="12" style="50" bestFit="1" customWidth="1"/>
    <col min="4625" max="4625" width="15" style="50" customWidth="1"/>
    <col min="4626" max="4626" width="8.88671875" style="50"/>
    <col min="4627" max="4627" width="29.5546875" style="50" bestFit="1" customWidth="1"/>
    <col min="4628" max="4628" width="14.44140625" style="50" bestFit="1" customWidth="1"/>
    <col min="4629" max="4629" width="12.44140625" style="50" bestFit="1" customWidth="1"/>
    <col min="4630" max="4630" width="22.44140625" style="50" bestFit="1" customWidth="1"/>
    <col min="4631" max="4863" width="8.88671875" style="50"/>
    <col min="4864" max="4864" width="30.77734375" style="50" customWidth="1"/>
    <col min="4865" max="4866" width="13.21875" style="50" customWidth="1"/>
    <col min="4867" max="4867" width="12.5546875" style="50" bestFit="1" customWidth="1"/>
    <col min="4868" max="4868" width="11.5546875" style="50" customWidth="1"/>
    <col min="4869" max="4870" width="10.5546875" style="50" customWidth="1"/>
    <col min="4871" max="4871" width="19.77734375" style="50" customWidth="1"/>
    <col min="4872" max="4872" width="6.5546875" style="50" customWidth="1"/>
    <col min="4873" max="4873" width="32.5546875" style="50" customWidth="1"/>
    <col min="4874" max="4874" width="15.21875" style="50" customWidth="1"/>
    <col min="4875" max="4875" width="22.21875" style="50" customWidth="1"/>
    <col min="4876" max="4876" width="16.77734375" style="50" customWidth="1"/>
    <col min="4877" max="4877" width="9.44140625" style="50" bestFit="1" customWidth="1"/>
    <col min="4878" max="4878" width="35.77734375" style="50" customWidth="1"/>
    <col min="4879" max="4879" width="14" style="50" customWidth="1"/>
    <col min="4880" max="4880" width="12" style="50" bestFit="1" customWidth="1"/>
    <col min="4881" max="4881" width="15" style="50" customWidth="1"/>
    <col min="4882" max="4882" width="8.88671875" style="50"/>
    <col min="4883" max="4883" width="29.5546875" style="50" bestFit="1" customWidth="1"/>
    <col min="4884" max="4884" width="14.44140625" style="50" bestFit="1" customWidth="1"/>
    <col min="4885" max="4885" width="12.44140625" style="50" bestFit="1" customWidth="1"/>
    <col min="4886" max="4886" width="22.44140625" style="50" bestFit="1" customWidth="1"/>
    <col min="4887" max="5119" width="8.88671875" style="50"/>
    <col min="5120" max="5120" width="30.77734375" style="50" customWidth="1"/>
    <col min="5121" max="5122" width="13.21875" style="50" customWidth="1"/>
    <col min="5123" max="5123" width="12.5546875" style="50" bestFit="1" customWidth="1"/>
    <col min="5124" max="5124" width="11.5546875" style="50" customWidth="1"/>
    <col min="5125" max="5126" width="10.5546875" style="50" customWidth="1"/>
    <col min="5127" max="5127" width="19.77734375" style="50" customWidth="1"/>
    <col min="5128" max="5128" width="6.5546875" style="50" customWidth="1"/>
    <col min="5129" max="5129" width="32.5546875" style="50" customWidth="1"/>
    <col min="5130" max="5130" width="15.21875" style="50" customWidth="1"/>
    <col min="5131" max="5131" width="22.21875" style="50" customWidth="1"/>
    <col min="5132" max="5132" width="16.77734375" style="50" customWidth="1"/>
    <col min="5133" max="5133" width="9.44140625" style="50" bestFit="1" customWidth="1"/>
    <col min="5134" max="5134" width="35.77734375" style="50" customWidth="1"/>
    <col min="5135" max="5135" width="14" style="50" customWidth="1"/>
    <col min="5136" max="5136" width="12" style="50" bestFit="1" customWidth="1"/>
    <col min="5137" max="5137" width="15" style="50" customWidth="1"/>
    <col min="5138" max="5138" width="8.88671875" style="50"/>
    <col min="5139" max="5139" width="29.5546875" style="50" bestFit="1" customWidth="1"/>
    <col min="5140" max="5140" width="14.44140625" style="50" bestFit="1" customWidth="1"/>
    <col min="5141" max="5141" width="12.44140625" style="50" bestFit="1" customWidth="1"/>
    <col min="5142" max="5142" width="22.44140625" style="50" bestFit="1" customWidth="1"/>
    <col min="5143" max="5375" width="8.88671875" style="50"/>
    <col min="5376" max="5376" width="30.77734375" style="50" customWidth="1"/>
    <col min="5377" max="5378" width="13.21875" style="50" customWidth="1"/>
    <col min="5379" max="5379" width="12.5546875" style="50" bestFit="1" customWidth="1"/>
    <col min="5380" max="5380" width="11.5546875" style="50" customWidth="1"/>
    <col min="5381" max="5382" width="10.5546875" style="50" customWidth="1"/>
    <col min="5383" max="5383" width="19.77734375" style="50" customWidth="1"/>
    <col min="5384" max="5384" width="6.5546875" style="50" customWidth="1"/>
    <col min="5385" max="5385" width="32.5546875" style="50" customWidth="1"/>
    <col min="5386" max="5386" width="15.21875" style="50" customWidth="1"/>
    <col min="5387" max="5387" width="22.21875" style="50" customWidth="1"/>
    <col min="5388" max="5388" width="16.77734375" style="50" customWidth="1"/>
    <col min="5389" max="5389" width="9.44140625" style="50" bestFit="1" customWidth="1"/>
    <col min="5390" max="5390" width="35.77734375" style="50" customWidth="1"/>
    <col min="5391" max="5391" width="14" style="50" customWidth="1"/>
    <col min="5392" max="5392" width="12" style="50" bestFit="1" customWidth="1"/>
    <col min="5393" max="5393" width="15" style="50" customWidth="1"/>
    <col min="5394" max="5394" width="8.88671875" style="50"/>
    <col min="5395" max="5395" width="29.5546875" style="50" bestFit="1" customWidth="1"/>
    <col min="5396" max="5396" width="14.44140625" style="50" bestFit="1" customWidth="1"/>
    <col min="5397" max="5397" width="12.44140625" style="50" bestFit="1" customWidth="1"/>
    <col min="5398" max="5398" width="22.44140625" style="50" bestFit="1" customWidth="1"/>
    <col min="5399" max="5631" width="8.88671875" style="50"/>
    <col min="5632" max="5632" width="30.77734375" style="50" customWidth="1"/>
    <col min="5633" max="5634" width="13.21875" style="50" customWidth="1"/>
    <col min="5635" max="5635" width="12.5546875" style="50" bestFit="1" customWidth="1"/>
    <col min="5636" max="5636" width="11.5546875" style="50" customWidth="1"/>
    <col min="5637" max="5638" width="10.5546875" style="50" customWidth="1"/>
    <col min="5639" max="5639" width="19.77734375" style="50" customWidth="1"/>
    <col min="5640" max="5640" width="6.5546875" style="50" customWidth="1"/>
    <col min="5641" max="5641" width="32.5546875" style="50" customWidth="1"/>
    <col min="5642" max="5642" width="15.21875" style="50" customWidth="1"/>
    <col min="5643" max="5643" width="22.21875" style="50" customWidth="1"/>
    <col min="5644" max="5644" width="16.77734375" style="50" customWidth="1"/>
    <col min="5645" max="5645" width="9.44140625" style="50" bestFit="1" customWidth="1"/>
    <col min="5646" max="5646" width="35.77734375" style="50" customWidth="1"/>
    <col min="5647" max="5647" width="14" style="50" customWidth="1"/>
    <col min="5648" max="5648" width="12" style="50" bestFit="1" customWidth="1"/>
    <col min="5649" max="5649" width="15" style="50" customWidth="1"/>
    <col min="5650" max="5650" width="8.88671875" style="50"/>
    <col min="5651" max="5651" width="29.5546875" style="50" bestFit="1" customWidth="1"/>
    <col min="5652" max="5652" width="14.44140625" style="50" bestFit="1" customWidth="1"/>
    <col min="5653" max="5653" width="12.44140625" style="50" bestFit="1" customWidth="1"/>
    <col min="5654" max="5654" width="22.44140625" style="50" bestFit="1" customWidth="1"/>
    <col min="5655" max="5887" width="8.88671875" style="50"/>
    <col min="5888" max="5888" width="30.77734375" style="50" customWidth="1"/>
    <col min="5889" max="5890" width="13.21875" style="50" customWidth="1"/>
    <col min="5891" max="5891" width="12.5546875" style="50" bestFit="1" customWidth="1"/>
    <col min="5892" max="5892" width="11.5546875" style="50" customWidth="1"/>
    <col min="5893" max="5894" width="10.5546875" style="50" customWidth="1"/>
    <col min="5895" max="5895" width="19.77734375" style="50" customWidth="1"/>
    <col min="5896" max="5896" width="6.5546875" style="50" customWidth="1"/>
    <col min="5897" max="5897" width="32.5546875" style="50" customWidth="1"/>
    <col min="5898" max="5898" width="15.21875" style="50" customWidth="1"/>
    <col min="5899" max="5899" width="22.21875" style="50" customWidth="1"/>
    <col min="5900" max="5900" width="16.77734375" style="50" customWidth="1"/>
    <col min="5901" max="5901" width="9.44140625" style="50" bestFit="1" customWidth="1"/>
    <col min="5902" max="5902" width="35.77734375" style="50" customWidth="1"/>
    <col min="5903" max="5903" width="14" style="50" customWidth="1"/>
    <col min="5904" max="5904" width="12" style="50" bestFit="1" customWidth="1"/>
    <col min="5905" max="5905" width="15" style="50" customWidth="1"/>
    <col min="5906" max="5906" width="8.88671875" style="50"/>
    <col min="5907" max="5907" width="29.5546875" style="50" bestFit="1" customWidth="1"/>
    <col min="5908" max="5908" width="14.44140625" style="50" bestFit="1" customWidth="1"/>
    <col min="5909" max="5909" width="12.44140625" style="50" bestFit="1" customWidth="1"/>
    <col min="5910" max="5910" width="22.44140625" style="50" bestFit="1" customWidth="1"/>
    <col min="5911" max="6143" width="8.88671875" style="50"/>
    <col min="6144" max="6144" width="30.77734375" style="50" customWidth="1"/>
    <col min="6145" max="6146" width="13.21875" style="50" customWidth="1"/>
    <col min="6147" max="6147" width="12.5546875" style="50" bestFit="1" customWidth="1"/>
    <col min="6148" max="6148" width="11.5546875" style="50" customWidth="1"/>
    <col min="6149" max="6150" width="10.5546875" style="50" customWidth="1"/>
    <col min="6151" max="6151" width="19.77734375" style="50" customWidth="1"/>
    <col min="6152" max="6152" width="6.5546875" style="50" customWidth="1"/>
    <col min="6153" max="6153" width="32.5546875" style="50" customWidth="1"/>
    <col min="6154" max="6154" width="15.21875" style="50" customWidth="1"/>
    <col min="6155" max="6155" width="22.21875" style="50" customWidth="1"/>
    <col min="6156" max="6156" width="16.77734375" style="50" customWidth="1"/>
    <col min="6157" max="6157" width="9.44140625" style="50" bestFit="1" customWidth="1"/>
    <col min="6158" max="6158" width="35.77734375" style="50" customWidth="1"/>
    <col min="6159" max="6159" width="14" style="50" customWidth="1"/>
    <col min="6160" max="6160" width="12" style="50" bestFit="1" customWidth="1"/>
    <col min="6161" max="6161" width="15" style="50" customWidth="1"/>
    <col min="6162" max="6162" width="8.88671875" style="50"/>
    <col min="6163" max="6163" width="29.5546875" style="50" bestFit="1" customWidth="1"/>
    <col min="6164" max="6164" width="14.44140625" style="50" bestFit="1" customWidth="1"/>
    <col min="6165" max="6165" width="12.44140625" style="50" bestFit="1" customWidth="1"/>
    <col min="6166" max="6166" width="22.44140625" style="50" bestFit="1" customWidth="1"/>
    <col min="6167" max="6399" width="8.88671875" style="50"/>
    <col min="6400" max="6400" width="30.77734375" style="50" customWidth="1"/>
    <col min="6401" max="6402" width="13.21875" style="50" customWidth="1"/>
    <col min="6403" max="6403" width="12.5546875" style="50" bestFit="1" customWidth="1"/>
    <col min="6404" max="6404" width="11.5546875" style="50" customWidth="1"/>
    <col min="6405" max="6406" width="10.5546875" style="50" customWidth="1"/>
    <col min="6407" max="6407" width="19.77734375" style="50" customWidth="1"/>
    <col min="6408" max="6408" width="6.5546875" style="50" customWidth="1"/>
    <col min="6409" max="6409" width="32.5546875" style="50" customWidth="1"/>
    <col min="6410" max="6410" width="15.21875" style="50" customWidth="1"/>
    <col min="6411" max="6411" width="22.21875" style="50" customWidth="1"/>
    <col min="6412" max="6412" width="16.77734375" style="50" customWidth="1"/>
    <col min="6413" max="6413" width="9.44140625" style="50" bestFit="1" customWidth="1"/>
    <col min="6414" max="6414" width="35.77734375" style="50" customWidth="1"/>
    <col min="6415" max="6415" width="14" style="50" customWidth="1"/>
    <col min="6416" max="6416" width="12" style="50" bestFit="1" customWidth="1"/>
    <col min="6417" max="6417" width="15" style="50" customWidth="1"/>
    <col min="6418" max="6418" width="8.88671875" style="50"/>
    <col min="6419" max="6419" width="29.5546875" style="50" bestFit="1" customWidth="1"/>
    <col min="6420" max="6420" width="14.44140625" style="50" bestFit="1" customWidth="1"/>
    <col min="6421" max="6421" width="12.44140625" style="50" bestFit="1" customWidth="1"/>
    <col min="6422" max="6422" width="22.44140625" style="50" bestFit="1" customWidth="1"/>
    <col min="6423" max="6655" width="8.88671875" style="50"/>
    <col min="6656" max="6656" width="30.77734375" style="50" customWidth="1"/>
    <col min="6657" max="6658" width="13.21875" style="50" customWidth="1"/>
    <col min="6659" max="6659" width="12.5546875" style="50" bestFit="1" customWidth="1"/>
    <col min="6660" max="6660" width="11.5546875" style="50" customWidth="1"/>
    <col min="6661" max="6662" width="10.5546875" style="50" customWidth="1"/>
    <col min="6663" max="6663" width="19.77734375" style="50" customWidth="1"/>
    <col min="6664" max="6664" width="6.5546875" style="50" customWidth="1"/>
    <col min="6665" max="6665" width="32.5546875" style="50" customWidth="1"/>
    <col min="6666" max="6666" width="15.21875" style="50" customWidth="1"/>
    <col min="6667" max="6667" width="22.21875" style="50" customWidth="1"/>
    <col min="6668" max="6668" width="16.77734375" style="50" customWidth="1"/>
    <col min="6669" max="6669" width="9.44140625" style="50" bestFit="1" customWidth="1"/>
    <col min="6670" max="6670" width="35.77734375" style="50" customWidth="1"/>
    <col min="6671" max="6671" width="14" style="50" customWidth="1"/>
    <col min="6672" max="6672" width="12" style="50" bestFit="1" customWidth="1"/>
    <col min="6673" max="6673" width="15" style="50" customWidth="1"/>
    <col min="6674" max="6674" width="8.88671875" style="50"/>
    <col min="6675" max="6675" width="29.5546875" style="50" bestFit="1" customWidth="1"/>
    <col min="6676" max="6676" width="14.44140625" style="50" bestFit="1" customWidth="1"/>
    <col min="6677" max="6677" width="12.44140625" style="50" bestFit="1" customWidth="1"/>
    <col min="6678" max="6678" width="22.44140625" style="50" bestFit="1" customWidth="1"/>
    <col min="6679" max="6911" width="8.88671875" style="50"/>
    <col min="6912" max="6912" width="30.77734375" style="50" customWidth="1"/>
    <col min="6913" max="6914" width="13.21875" style="50" customWidth="1"/>
    <col min="6915" max="6915" width="12.5546875" style="50" bestFit="1" customWidth="1"/>
    <col min="6916" max="6916" width="11.5546875" style="50" customWidth="1"/>
    <col min="6917" max="6918" width="10.5546875" style="50" customWidth="1"/>
    <col min="6919" max="6919" width="19.77734375" style="50" customWidth="1"/>
    <col min="6920" max="6920" width="6.5546875" style="50" customWidth="1"/>
    <col min="6921" max="6921" width="32.5546875" style="50" customWidth="1"/>
    <col min="6922" max="6922" width="15.21875" style="50" customWidth="1"/>
    <col min="6923" max="6923" width="22.21875" style="50" customWidth="1"/>
    <col min="6924" max="6924" width="16.77734375" style="50" customWidth="1"/>
    <col min="6925" max="6925" width="9.44140625" style="50" bestFit="1" customWidth="1"/>
    <col min="6926" max="6926" width="35.77734375" style="50" customWidth="1"/>
    <col min="6927" max="6927" width="14" style="50" customWidth="1"/>
    <col min="6928" max="6928" width="12" style="50" bestFit="1" customWidth="1"/>
    <col min="6929" max="6929" width="15" style="50" customWidth="1"/>
    <col min="6930" max="6930" width="8.88671875" style="50"/>
    <col min="6931" max="6931" width="29.5546875" style="50" bestFit="1" customWidth="1"/>
    <col min="6932" max="6932" width="14.44140625" style="50" bestFit="1" customWidth="1"/>
    <col min="6933" max="6933" width="12.44140625" style="50" bestFit="1" customWidth="1"/>
    <col min="6934" max="6934" width="22.44140625" style="50" bestFit="1" customWidth="1"/>
    <col min="6935" max="7167" width="8.88671875" style="50"/>
    <col min="7168" max="7168" width="30.77734375" style="50" customWidth="1"/>
    <col min="7169" max="7170" width="13.21875" style="50" customWidth="1"/>
    <col min="7171" max="7171" width="12.5546875" style="50" bestFit="1" customWidth="1"/>
    <col min="7172" max="7172" width="11.5546875" style="50" customWidth="1"/>
    <col min="7173" max="7174" width="10.5546875" style="50" customWidth="1"/>
    <col min="7175" max="7175" width="19.77734375" style="50" customWidth="1"/>
    <col min="7176" max="7176" width="6.5546875" style="50" customWidth="1"/>
    <col min="7177" max="7177" width="32.5546875" style="50" customWidth="1"/>
    <col min="7178" max="7178" width="15.21875" style="50" customWidth="1"/>
    <col min="7179" max="7179" width="22.21875" style="50" customWidth="1"/>
    <col min="7180" max="7180" width="16.77734375" style="50" customWidth="1"/>
    <col min="7181" max="7181" width="9.44140625" style="50" bestFit="1" customWidth="1"/>
    <col min="7182" max="7182" width="35.77734375" style="50" customWidth="1"/>
    <col min="7183" max="7183" width="14" style="50" customWidth="1"/>
    <col min="7184" max="7184" width="12" style="50" bestFit="1" customWidth="1"/>
    <col min="7185" max="7185" width="15" style="50" customWidth="1"/>
    <col min="7186" max="7186" width="8.88671875" style="50"/>
    <col min="7187" max="7187" width="29.5546875" style="50" bestFit="1" customWidth="1"/>
    <col min="7188" max="7188" width="14.44140625" style="50" bestFit="1" customWidth="1"/>
    <col min="7189" max="7189" width="12.44140625" style="50" bestFit="1" customWidth="1"/>
    <col min="7190" max="7190" width="22.44140625" style="50" bestFit="1" customWidth="1"/>
    <col min="7191" max="7423" width="8.88671875" style="50"/>
    <col min="7424" max="7424" width="30.77734375" style="50" customWidth="1"/>
    <col min="7425" max="7426" width="13.21875" style="50" customWidth="1"/>
    <col min="7427" max="7427" width="12.5546875" style="50" bestFit="1" customWidth="1"/>
    <col min="7428" max="7428" width="11.5546875" style="50" customWidth="1"/>
    <col min="7429" max="7430" width="10.5546875" style="50" customWidth="1"/>
    <col min="7431" max="7431" width="19.77734375" style="50" customWidth="1"/>
    <col min="7432" max="7432" width="6.5546875" style="50" customWidth="1"/>
    <col min="7433" max="7433" width="32.5546875" style="50" customWidth="1"/>
    <col min="7434" max="7434" width="15.21875" style="50" customWidth="1"/>
    <col min="7435" max="7435" width="22.21875" style="50" customWidth="1"/>
    <col min="7436" max="7436" width="16.77734375" style="50" customWidth="1"/>
    <col min="7437" max="7437" width="9.44140625" style="50" bestFit="1" customWidth="1"/>
    <col min="7438" max="7438" width="35.77734375" style="50" customWidth="1"/>
    <col min="7439" max="7439" width="14" style="50" customWidth="1"/>
    <col min="7440" max="7440" width="12" style="50" bestFit="1" customWidth="1"/>
    <col min="7441" max="7441" width="15" style="50" customWidth="1"/>
    <col min="7442" max="7442" width="8.88671875" style="50"/>
    <col min="7443" max="7443" width="29.5546875" style="50" bestFit="1" customWidth="1"/>
    <col min="7444" max="7444" width="14.44140625" style="50" bestFit="1" customWidth="1"/>
    <col min="7445" max="7445" width="12.44140625" style="50" bestFit="1" customWidth="1"/>
    <col min="7446" max="7446" width="22.44140625" style="50" bestFit="1" customWidth="1"/>
    <col min="7447" max="7679" width="8.88671875" style="50"/>
    <col min="7680" max="7680" width="30.77734375" style="50" customWidth="1"/>
    <col min="7681" max="7682" width="13.21875" style="50" customWidth="1"/>
    <col min="7683" max="7683" width="12.5546875" style="50" bestFit="1" customWidth="1"/>
    <col min="7684" max="7684" width="11.5546875" style="50" customWidth="1"/>
    <col min="7685" max="7686" width="10.5546875" style="50" customWidth="1"/>
    <col min="7687" max="7687" width="19.77734375" style="50" customWidth="1"/>
    <col min="7688" max="7688" width="6.5546875" style="50" customWidth="1"/>
    <col min="7689" max="7689" width="32.5546875" style="50" customWidth="1"/>
    <col min="7690" max="7690" width="15.21875" style="50" customWidth="1"/>
    <col min="7691" max="7691" width="22.21875" style="50" customWidth="1"/>
    <col min="7692" max="7692" width="16.77734375" style="50" customWidth="1"/>
    <col min="7693" max="7693" width="9.44140625" style="50" bestFit="1" customWidth="1"/>
    <col min="7694" max="7694" width="35.77734375" style="50" customWidth="1"/>
    <col min="7695" max="7695" width="14" style="50" customWidth="1"/>
    <col min="7696" max="7696" width="12" style="50" bestFit="1" customWidth="1"/>
    <col min="7697" max="7697" width="15" style="50" customWidth="1"/>
    <col min="7698" max="7698" width="8.88671875" style="50"/>
    <col min="7699" max="7699" width="29.5546875" style="50" bestFit="1" customWidth="1"/>
    <col min="7700" max="7700" width="14.44140625" style="50" bestFit="1" customWidth="1"/>
    <col min="7701" max="7701" width="12.44140625" style="50" bestFit="1" customWidth="1"/>
    <col min="7702" max="7702" width="22.44140625" style="50" bestFit="1" customWidth="1"/>
    <col min="7703" max="7935" width="8.88671875" style="50"/>
    <col min="7936" max="7936" width="30.77734375" style="50" customWidth="1"/>
    <col min="7937" max="7938" width="13.21875" style="50" customWidth="1"/>
    <col min="7939" max="7939" width="12.5546875" style="50" bestFit="1" customWidth="1"/>
    <col min="7940" max="7940" width="11.5546875" style="50" customWidth="1"/>
    <col min="7941" max="7942" width="10.5546875" style="50" customWidth="1"/>
    <col min="7943" max="7943" width="19.77734375" style="50" customWidth="1"/>
    <col min="7944" max="7944" width="6.5546875" style="50" customWidth="1"/>
    <col min="7945" max="7945" width="32.5546875" style="50" customWidth="1"/>
    <col min="7946" max="7946" width="15.21875" style="50" customWidth="1"/>
    <col min="7947" max="7947" width="22.21875" style="50" customWidth="1"/>
    <col min="7948" max="7948" width="16.77734375" style="50" customWidth="1"/>
    <col min="7949" max="7949" width="9.44140625" style="50" bestFit="1" customWidth="1"/>
    <col min="7950" max="7950" width="35.77734375" style="50" customWidth="1"/>
    <col min="7951" max="7951" width="14" style="50" customWidth="1"/>
    <col min="7952" max="7952" width="12" style="50" bestFit="1" customWidth="1"/>
    <col min="7953" max="7953" width="15" style="50" customWidth="1"/>
    <col min="7954" max="7954" width="8.88671875" style="50"/>
    <col min="7955" max="7955" width="29.5546875" style="50" bestFit="1" customWidth="1"/>
    <col min="7956" max="7956" width="14.44140625" style="50" bestFit="1" customWidth="1"/>
    <col min="7957" max="7957" width="12.44140625" style="50" bestFit="1" customWidth="1"/>
    <col min="7958" max="7958" width="22.44140625" style="50" bestFit="1" customWidth="1"/>
    <col min="7959" max="8191" width="8.88671875" style="50"/>
    <col min="8192" max="8192" width="30.77734375" style="50" customWidth="1"/>
    <col min="8193" max="8194" width="13.21875" style="50" customWidth="1"/>
    <col min="8195" max="8195" width="12.5546875" style="50" bestFit="1" customWidth="1"/>
    <col min="8196" max="8196" width="11.5546875" style="50" customWidth="1"/>
    <col min="8197" max="8198" width="10.5546875" style="50" customWidth="1"/>
    <col min="8199" max="8199" width="19.77734375" style="50" customWidth="1"/>
    <col min="8200" max="8200" width="6.5546875" style="50" customWidth="1"/>
    <col min="8201" max="8201" width="32.5546875" style="50" customWidth="1"/>
    <col min="8202" max="8202" width="15.21875" style="50" customWidth="1"/>
    <col min="8203" max="8203" width="22.21875" style="50" customWidth="1"/>
    <col min="8204" max="8204" width="16.77734375" style="50" customWidth="1"/>
    <col min="8205" max="8205" width="9.44140625" style="50" bestFit="1" customWidth="1"/>
    <col min="8206" max="8206" width="35.77734375" style="50" customWidth="1"/>
    <col min="8207" max="8207" width="14" style="50" customWidth="1"/>
    <col min="8208" max="8208" width="12" style="50" bestFit="1" customWidth="1"/>
    <col min="8209" max="8209" width="15" style="50" customWidth="1"/>
    <col min="8210" max="8210" width="8.88671875" style="50"/>
    <col min="8211" max="8211" width="29.5546875" style="50" bestFit="1" customWidth="1"/>
    <col min="8212" max="8212" width="14.44140625" style="50" bestFit="1" customWidth="1"/>
    <col min="8213" max="8213" width="12.44140625" style="50" bestFit="1" customWidth="1"/>
    <col min="8214" max="8214" width="22.44140625" style="50" bestFit="1" customWidth="1"/>
    <col min="8215" max="8447" width="8.88671875" style="50"/>
    <col min="8448" max="8448" width="30.77734375" style="50" customWidth="1"/>
    <col min="8449" max="8450" width="13.21875" style="50" customWidth="1"/>
    <col min="8451" max="8451" width="12.5546875" style="50" bestFit="1" customWidth="1"/>
    <col min="8452" max="8452" width="11.5546875" style="50" customWidth="1"/>
    <col min="8453" max="8454" width="10.5546875" style="50" customWidth="1"/>
    <col min="8455" max="8455" width="19.77734375" style="50" customWidth="1"/>
    <col min="8456" max="8456" width="6.5546875" style="50" customWidth="1"/>
    <col min="8457" max="8457" width="32.5546875" style="50" customWidth="1"/>
    <col min="8458" max="8458" width="15.21875" style="50" customWidth="1"/>
    <col min="8459" max="8459" width="22.21875" style="50" customWidth="1"/>
    <col min="8460" max="8460" width="16.77734375" style="50" customWidth="1"/>
    <col min="8461" max="8461" width="9.44140625" style="50" bestFit="1" customWidth="1"/>
    <col min="8462" max="8462" width="35.77734375" style="50" customWidth="1"/>
    <col min="8463" max="8463" width="14" style="50" customWidth="1"/>
    <col min="8464" max="8464" width="12" style="50" bestFit="1" customWidth="1"/>
    <col min="8465" max="8465" width="15" style="50" customWidth="1"/>
    <col min="8466" max="8466" width="8.88671875" style="50"/>
    <col min="8467" max="8467" width="29.5546875" style="50" bestFit="1" customWidth="1"/>
    <col min="8468" max="8468" width="14.44140625" style="50" bestFit="1" customWidth="1"/>
    <col min="8469" max="8469" width="12.44140625" style="50" bestFit="1" customWidth="1"/>
    <col min="8470" max="8470" width="22.44140625" style="50" bestFit="1" customWidth="1"/>
    <col min="8471" max="8703" width="8.88671875" style="50"/>
    <col min="8704" max="8704" width="30.77734375" style="50" customWidth="1"/>
    <col min="8705" max="8706" width="13.21875" style="50" customWidth="1"/>
    <col min="8707" max="8707" width="12.5546875" style="50" bestFit="1" customWidth="1"/>
    <col min="8708" max="8708" width="11.5546875" style="50" customWidth="1"/>
    <col min="8709" max="8710" width="10.5546875" style="50" customWidth="1"/>
    <col min="8711" max="8711" width="19.77734375" style="50" customWidth="1"/>
    <col min="8712" max="8712" width="6.5546875" style="50" customWidth="1"/>
    <col min="8713" max="8713" width="32.5546875" style="50" customWidth="1"/>
    <col min="8714" max="8714" width="15.21875" style="50" customWidth="1"/>
    <col min="8715" max="8715" width="22.21875" style="50" customWidth="1"/>
    <col min="8716" max="8716" width="16.77734375" style="50" customWidth="1"/>
    <col min="8717" max="8717" width="9.44140625" style="50" bestFit="1" customWidth="1"/>
    <col min="8718" max="8718" width="35.77734375" style="50" customWidth="1"/>
    <col min="8719" max="8719" width="14" style="50" customWidth="1"/>
    <col min="8720" max="8720" width="12" style="50" bestFit="1" customWidth="1"/>
    <col min="8721" max="8721" width="15" style="50" customWidth="1"/>
    <col min="8722" max="8722" width="8.88671875" style="50"/>
    <col min="8723" max="8723" width="29.5546875" style="50" bestFit="1" customWidth="1"/>
    <col min="8724" max="8724" width="14.44140625" style="50" bestFit="1" customWidth="1"/>
    <col min="8725" max="8725" width="12.44140625" style="50" bestFit="1" customWidth="1"/>
    <col min="8726" max="8726" width="22.44140625" style="50" bestFit="1" customWidth="1"/>
    <col min="8727" max="8959" width="8.88671875" style="50"/>
    <col min="8960" max="8960" width="30.77734375" style="50" customWidth="1"/>
    <col min="8961" max="8962" width="13.21875" style="50" customWidth="1"/>
    <col min="8963" max="8963" width="12.5546875" style="50" bestFit="1" customWidth="1"/>
    <col min="8964" max="8964" width="11.5546875" style="50" customWidth="1"/>
    <col min="8965" max="8966" width="10.5546875" style="50" customWidth="1"/>
    <col min="8967" max="8967" width="19.77734375" style="50" customWidth="1"/>
    <col min="8968" max="8968" width="6.5546875" style="50" customWidth="1"/>
    <col min="8969" max="8969" width="32.5546875" style="50" customWidth="1"/>
    <col min="8970" max="8970" width="15.21875" style="50" customWidth="1"/>
    <col min="8971" max="8971" width="22.21875" style="50" customWidth="1"/>
    <col min="8972" max="8972" width="16.77734375" style="50" customWidth="1"/>
    <col min="8973" max="8973" width="9.44140625" style="50" bestFit="1" customWidth="1"/>
    <col min="8974" max="8974" width="35.77734375" style="50" customWidth="1"/>
    <col min="8975" max="8975" width="14" style="50" customWidth="1"/>
    <col min="8976" max="8976" width="12" style="50" bestFit="1" customWidth="1"/>
    <col min="8977" max="8977" width="15" style="50" customWidth="1"/>
    <col min="8978" max="8978" width="8.88671875" style="50"/>
    <col min="8979" max="8979" width="29.5546875" style="50" bestFit="1" customWidth="1"/>
    <col min="8980" max="8980" width="14.44140625" style="50" bestFit="1" customWidth="1"/>
    <col min="8981" max="8981" width="12.44140625" style="50" bestFit="1" customWidth="1"/>
    <col min="8982" max="8982" width="22.44140625" style="50" bestFit="1" customWidth="1"/>
    <col min="8983" max="9215" width="8.88671875" style="50"/>
    <col min="9216" max="9216" width="30.77734375" style="50" customWidth="1"/>
    <col min="9217" max="9218" width="13.21875" style="50" customWidth="1"/>
    <col min="9219" max="9219" width="12.5546875" style="50" bestFit="1" customWidth="1"/>
    <col min="9220" max="9220" width="11.5546875" style="50" customWidth="1"/>
    <col min="9221" max="9222" width="10.5546875" style="50" customWidth="1"/>
    <col min="9223" max="9223" width="19.77734375" style="50" customWidth="1"/>
    <col min="9224" max="9224" width="6.5546875" style="50" customWidth="1"/>
    <col min="9225" max="9225" width="32.5546875" style="50" customWidth="1"/>
    <col min="9226" max="9226" width="15.21875" style="50" customWidth="1"/>
    <col min="9227" max="9227" width="22.21875" style="50" customWidth="1"/>
    <col min="9228" max="9228" width="16.77734375" style="50" customWidth="1"/>
    <col min="9229" max="9229" width="9.44140625" style="50" bestFit="1" customWidth="1"/>
    <col min="9230" max="9230" width="35.77734375" style="50" customWidth="1"/>
    <col min="9231" max="9231" width="14" style="50" customWidth="1"/>
    <col min="9232" max="9232" width="12" style="50" bestFit="1" customWidth="1"/>
    <col min="9233" max="9233" width="15" style="50" customWidth="1"/>
    <col min="9234" max="9234" width="8.88671875" style="50"/>
    <col min="9235" max="9235" width="29.5546875" style="50" bestFit="1" customWidth="1"/>
    <col min="9236" max="9236" width="14.44140625" style="50" bestFit="1" customWidth="1"/>
    <col min="9237" max="9237" width="12.44140625" style="50" bestFit="1" customWidth="1"/>
    <col min="9238" max="9238" width="22.44140625" style="50" bestFit="1" customWidth="1"/>
    <col min="9239" max="9471" width="8.88671875" style="50"/>
    <col min="9472" max="9472" width="30.77734375" style="50" customWidth="1"/>
    <col min="9473" max="9474" width="13.21875" style="50" customWidth="1"/>
    <col min="9475" max="9475" width="12.5546875" style="50" bestFit="1" customWidth="1"/>
    <col min="9476" max="9476" width="11.5546875" style="50" customWidth="1"/>
    <col min="9477" max="9478" width="10.5546875" style="50" customWidth="1"/>
    <col min="9479" max="9479" width="19.77734375" style="50" customWidth="1"/>
    <col min="9480" max="9480" width="6.5546875" style="50" customWidth="1"/>
    <col min="9481" max="9481" width="32.5546875" style="50" customWidth="1"/>
    <col min="9482" max="9482" width="15.21875" style="50" customWidth="1"/>
    <col min="9483" max="9483" width="22.21875" style="50" customWidth="1"/>
    <col min="9484" max="9484" width="16.77734375" style="50" customWidth="1"/>
    <col min="9485" max="9485" width="9.44140625" style="50" bestFit="1" customWidth="1"/>
    <col min="9486" max="9486" width="35.77734375" style="50" customWidth="1"/>
    <col min="9487" max="9487" width="14" style="50" customWidth="1"/>
    <col min="9488" max="9488" width="12" style="50" bestFit="1" customWidth="1"/>
    <col min="9489" max="9489" width="15" style="50" customWidth="1"/>
    <col min="9490" max="9490" width="8.88671875" style="50"/>
    <col min="9491" max="9491" width="29.5546875" style="50" bestFit="1" customWidth="1"/>
    <col min="9492" max="9492" width="14.44140625" style="50" bestFit="1" customWidth="1"/>
    <col min="9493" max="9493" width="12.44140625" style="50" bestFit="1" customWidth="1"/>
    <col min="9494" max="9494" width="22.44140625" style="50" bestFit="1" customWidth="1"/>
    <col min="9495" max="9727" width="8.88671875" style="50"/>
    <col min="9728" max="9728" width="30.77734375" style="50" customWidth="1"/>
    <col min="9729" max="9730" width="13.21875" style="50" customWidth="1"/>
    <col min="9731" max="9731" width="12.5546875" style="50" bestFit="1" customWidth="1"/>
    <col min="9732" max="9732" width="11.5546875" style="50" customWidth="1"/>
    <col min="9733" max="9734" width="10.5546875" style="50" customWidth="1"/>
    <col min="9735" max="9735" width="19.77734375" style="50" customWidth="1"/>
    <col min="9736" max="9736" width="6.5546875" style="50" customWidth="1"/>
    <col min="9737" max="9737" width="32.5546875" style="50" customWidth="1"/>
    <col min="9738" max="9738" width="15.21875" style="50" customWidth="1"/>
    <col min="9739" max="9739" width="22.21875" style="50" customWidth="1"/>
    <col min="9740" max="9740" width="16.77734375" style="50" customWidth="1"/>
    <col min="9741" max="9741" width="9.44140625" style="50" bestFit="1" customWidth="1"/>
    <col min="9742" max="9742" width="35.77734375" style="50" customWidth="1"/>
    <col min="9743" max="9743" width="14" style="50" customWidth="1"/>
    <col min="9744" max="9744" width="12" style="50" bestFit="1" customWidth="1"/>
    <col min="9745" max="9745" width="15" style="50" customWidth="1"/>
    <col min="9746" max="9746" width="8.88671875" style="50"/>
    <col min="9747" max="9747" width="29.5546875" style="50" bestFit="1" customWidth="1"/>
    <col min="9748" max="9748" width="14.44140625" style="50" bestFit="1" customWidth="1"/>
    <col min="9749" max="9749" width="12.44140625" style="50" bestFit="1" customWidth="1"/>
    <col min="9750" max="9750" width="22.44140625" style="50" bestFit="1" customWidth="1"/>
    <col min="9751" max="9983" width="8.88671875" style="50"/>
    <col min="9984" max="9984" width="30.77734375" style="50" customWidth="1"/>
    <col min="9985" max="9986" width="13.21875" style="50" customWidth="1"/>
    <col min="9987" max="9987" width="12.5546875" style="50" bestFit="1" customWidth="1"/>
    <col min="9988" max="9988" width="11.5546875" style="50" customWidth="1"/>
    <col min="9989" max="9990" width="10.5546875" style="50" customWidth="1"/>
    <col min="9991" max="9991" width="19.77734375" style="50" customWidth="1"/>
    <col min="9992" max="9992" width="6.5546875" style="50" customWidth="1"/>
    <col min="9993" max="9993" width="32.5546875" style="50" customWidth="1"/>
    <col min="9994" max="9994" width="15.21875" style="50" customWidth="1"/>
    <col min="9995" max="9995" width="22.21875" style="50" customWidth="1"/>
    <col min="9996" max="9996" width="16.77734375" style="50" customWidth="1"/>
    <col min="9997" max="9997" width="9.44140625" style="50" bestFit="1" customWidth="1"/>
    <col min="9998" max="9998" width="35.77734375" style="50" customWidth="1"/>
    <col min="9999" max="9999" width="14" style="50" customWidth="1"/>
    <col min="10000" max="10000" width="12" style="50" bestFit="1" customWidth="1"/>
    <col min="10001" max="10001" width="15" style="50" customWidth="1"/>
    <col min="10002" max="10002" width="8.88671875" style="50"/>
    <col min="10003" max="10003" width="29.5546875" style="50" bestFit="1" customWidth="1"/>
    <col min="10004" max="10004" width="14.44140625" style="50" bestFit="1" customWidth="1"/>
    <col min="10005" max="10005" width="12.44140625" style="50" bestFit="1" customWidth="1"/>
    <col min="10006" max="10006" width="22.44140625" style="50" bestFit="1" customWidth="1"/>
    <col min="10007" max="10239" width="8.88671875" style="50"/>
    <col min="10240" max="10240" width="30.77734375" style="50" customWidth="1"/>
    <col min="10241" max="10242" width="13.21875" style="50" customWidth="1"/>
    <col min="10243" max="10243" width="12.5546875" style="50" bestFit="1" customWidth="1"/>
    <col min="10244" max="10244" width="11.5546875" style="50" customWidth="1"/>
    <col min="10245" max="10246" width="10.5546875" style="50" customWidth="1"/>
    <col min="10247" max="10247" width="19.77734375" style="50" customWidth="1"/>
    <col min="10248" max="10248" width="6.5546875" style="50" customWidth="1"/>
    <col min="10249" max="10249" width="32.5546875" style="50" customWidth="1"/>
    <col min="10250" max="10250" width="15.21875" style="50" customWidth="1"/>
    <col min="10251" max="10251" width="22.21875" style="50" customWidth="1"/>
    <col min="10252" max="10252" width="16.77734375" style="50" customWidth="1"/>
    <col min="10253" max="10253" width="9.44140625" style="50" bestFit="1" customWidth="1"/>
    <col min="10254" max="10254" width="35.77734375" style="50" customWidth="1"/>
    <col min="10255" max="10255" width="14" style="50" customWidth="1"/>
    <col min="10256" max="10256" width="12" style="50" bestFit="1" customWidth="1"/>
    <col min="10257" max="10257" width="15" style="50" customWidth="1"/>
    <col min="10258" max="10258" width="8.88671875" style="50"/>
    <col min="10259" max="10259" width="29.5546875" style="50" bestFit="1" customWidth="1"/>
    <col min="10260" max="10260" width="14.44140625" style="50" bestFit="1" customWidth="1"/>
    <col min="10261" max="10261" width="12.44140625" style="50" bestFit="1" customWidth="1"/>
    <col min="10262" max="10262" width="22.44140625" style="50" bestFit="1" customWidth="1"/>
    <col min="10263" max="10495" width="8.88671875" style="50"/>
    <col min="10496" max="10496" width="30.77734375" style="50" customWidth="1"/>
    <col min="10497" max="10498" width="13.21875" style="50" customWidth="1"/>
    <col min="10499" max="10499" width="12.5546875" style="50" bestFit="1" customWidth="1"/>
    <col min="10500" max="10500" width="11.5546875" style="50" customWidth="1"/>
    <col min="10501" max="10502" width="10.5546875" style="50" customWidth="1"/>
    <col min="10503" max="10503" width="19.77734375" style="50" customWidth="1"/>
    <col min="10504" max="10504" width="6.5546875" style="50" customWidth="1"/>
    <col min="10505" max="10505" width="32.5546875" style="50" customWidth="1"/>
    <col min="10506" max="10506" width="15.21875" style="50" customWidth="1"/>
    <col min="10507" max="10507" width="22.21875" style="50" customWidth="1"/>
    <col min="10508" max="10508" width="16.77734375" style="50" customWidth="1"/>
    <col min="10509" max="10509" width="9.44140625" style="50" bestFit="1" customWidth="1"/>
    <col min="10510" max="10510" width="35.77734375" style="50" customWidth="1"/>
    <col min="10511" max="10511" width="14" style="50" customWidth="1"/>
    <col min="10512" max="10512" width="12" style="50" bestFit="1" customWidth="1"/>
    <col min="10513" max="10513" width="15" style="50" customWidth="1"/>
    <col min="10514" max="10514" width="8.88671875" style="50"/>
    <col min="10515" max="10515" width="29.5546875" style="50" bestFit="1" customWidth="1"/>
    <col min="10516" max="10516" width="14.44140625" style="50" bestFit="1" customWidth="1"/>
    <col min="10517" max="10517" width="12.44140625" style="50" bestFit="1" customWidth="1"/>
    <col min="10518" max="10518" width="22.44140625" style="50" bestFit="1" customWidth="1"/>
    <col min="10519" max="10751" width="8.88671875" style="50"/>
    <col min="10752" max="10752" width="30.77734375" style="50" customWidth="1"/>
    <col min="10753" max="10754" width="13.21875" style="50" customWidth="1"/>
    <col min="10755" max="10755" width="12.5546875" style="50" bestFit="1" customWidth="1"/>
    <col min="10756" max="10756" width="11.5546875" style="50" customWidth="1"/>
    <col min="10757" max="10758" width="10.5546875" style="50" customWidth="1"/>
    <col min="10759" max="10759" width="19.77734375" style="50" customWidth="1"/>
    <col min="10760" max="10760" width="6.5546875" style="50" customWidth="1"/>
    <col min="10761" max="10761" width="32.5546875" style="50" customWidth="1"/>
    <col min="10762" max="10762" width="15.21875" style="50" customWidth="1"/>
    <col min="10763" max="10763" width="22.21875" style="50" customWidth="1"/>
    <col min="10764" max="10764" width="16.77734375" style="50" customWidth="1"/>
    <col min="10765" max="10765" width="9.44140625" style="50" bestFit="1" customWidth="1"/>
    <col min="10766" max="10766" width="35.77734375" style="50" customWidth="1"/>
    <col min="10767" max="10767" width="14" style="50" customWidth="1"/>
    <col min="10768" max="10768" width="12" style="50" bestFit="1" customWidth="1"/>
    <col min="10769" max="10769" width="15" style="50" customWidth="1"/>
    <col min="10770" max="10770" width="8.88671875" style="50"/>
    <col min="10771" max="10771" width="29.5546875" style="50" bestFit="1" customWidth="1"/>
    <col min="10772" max="10772" width="14.44140625" style="50" bestFit="1" customWidth="1"/>
    <col min="10773" max="10773" width="12.44140625" style="50" bestFit="1" customWidth="1"/>
    <col min="10774" max="10774" width="22.44140625" style="50" bestFit="1" customWidth="1"/>
    <col min="10775" max="11007" width="8.88671875" style="50"/>
    <col min="11008" max="11008" width="30.77734375" style="50" customWidth="1"/>
    <col min="11009" max="11010" width="13.21875" style="50" customWidth="1"/>
    <col min="11011" max="11011" width="12.5546875" style="50" bestFit="1" customWidth="1"/>
    <col min="11012" max="11012" width="11.5546875" style="50" customWidth="1"/>
    <col min="11013" max="11014" width="10.5546875" style="50" customWidth="1"/>
    <col min="11015" max="11015" width="19.77734375" style="50" customWidth="1"/>
    <col min="11016" max="11016" width="6.5546875" style="50" customWidth="1"/>
    <col min="11017" max="11017" width="32.5546875" style="50" customWidth="1"/>
    <col min="11018" max="11018" width="15.21875" style="50" customWidth="1"/>
    <col min="11019" max="11019" width="22.21875" style="50" customWidth="1"/>
    <col min="11020" max="11020" width="16.77734375" style="50" customWidth="1"/>
    <col min="11021" max="11021" width="9.44140625" style="50" bestFit="1" customWidth="1"/>
    <col min="11022" max="11022" width="35.77734375" style="50" customWidth="1"/>
    <col min="11023" max="11023" width="14" style="50" customWidth="1"/>
    <col min="11024" max="11024" width="12" style="50" bestFit="1" customWidth="1"/>
    <col min="11025" max="11025" width="15" style="50" customWidth="1"/>
    <col min="11026" max="11026" width="8.88671875" style="50"/>
    <col min="11027" max="11027" width="29.5546875" style="50" bestFit="1" customWidth="1"/>
    <col min="11028" max="11028" width="14.44140625" style="50" bestFit="1" customWidth="1"/>
    <col min="11029" max="11029" width="12.44140625" style="50" bestFit="1" customWidth="1"/>
    <col min="11030" max="11030" width="22.44140625" style="50" bestFit="1" customWidth="1"/>
    <col min="11031" max="11263" width="8.88671875" style="50"/>
    <col min="11264" max="11264" width="30.77734375" style="50" customWidth="1"/>
    <col min="11265" max="11266" width="13.21875" style="50" customWidth="1"/>
    <col min="11267" max="11267" width="12.5546875" style="50" bestFit="1" customWidth="1"/>
    <col min="11268" max="11268" width="11.5546875" style="50" customWidth="1"/>
    <col min="11269" max="11270" width="10.5546875" style="50" customWidth="1"/>
    <col min="11271" max="11271" width="19.77734375" style="50" customWidth="1"/>
    <col min="11272" max="11272" width="6.5546875" style="50" customWidth="1"/>
    <col min="11273" max="11273" width="32.5546875" style="50" customWidth="1"/>
    <col min="11274" max="11274" width="15.21875" style="50" customWidth="1"/>
    <col min="11275" max="11275" width="22.21875" style="50" customWidth="1"/>
    <col min="11276" max="11276" width="16.77734375" style="50" customWidth="1"/>
    <col min="11277" max="11277" width="9.44140625" style="50" bestFit="1" customWidth="1"/>
    <col min="11278" max="11278" width="35.77734375" style="50" customWidth="1"/>
    <col min="11279" max="11279" width="14" style="50" customWidth="1"/>
    <col min="11280" max="11280" width="12" style="50" bestFit="1" customWidth="1"/>
    <col min="11281" max="11281" width="15" style="50" customWidth="1"/>
    <col min="11282" max="11282" width="8.88671875" style="50"/>
    <col min="11283" max="11283" width="29.5546875" style="50" bestFit="1" customWidth="1"/>
    <col min="11284" max="11284" width="14.44140625" style="50" bestFit="1" customWidth="1"/>
    <col min="11285" max="11285" width="12.44140625" style="50" bestFit="1" customWidth="1"/>
    <col min="11286" max="11286" width="22.44140625" style="50" bestFit="1" customWidth="1"/>
    <col min="11287" max="11519" width="8.88671875" style="50"/>
    <col min="11520" max="11520" width="30.77734375" style="50" customWidth="1"/>
    <col min="11521" max="11522" width="13.21875" style="50" customWidth="1"/>
    <col min="11523" max="11523" width="12.5546875" style="50" bestFit="1" customWidth="1"/>
    <col min="11524" max="11524" width="11.5546875" style="50" customWidth="1"/>
    <col min="11525" max="11526" width="10.5546875" style="50" customWidth="1"/>
    <col min="11527" max="11527" width="19.77734375" style="50" customWidth="1"/>
    <col min="11528" max="11528" width="6.5546875" style="50" customWidth="1"/>
    <col min="11529" max="11529" width="32.5546875" style="50" customWidth="1"/>
    <col min="11530" max="11530" width="15.21875" style="50" customWidth="1"/>
    <col min="11531" max="11531" width="22.21875" style="50" customWidth="1"/>
    <col min="11532" max="11532" width="16.77734375" style="50" customWidth="1"/>
    <col min="11533" max="11533" width="9.44140625" style="50" bestFit="1" customWidth="1"/>
    <col min="11534" max="11534" width="35.77734375" style="50" customWidth="1"/>
    <col min="11535" max="11535" width="14" style="50" customWidth="1"/>
    <col min="11536" max="11536" width="12" style="50" bestFit="1" customWidth="1"/>
    <col min="11537" max="11537" width="15" style="50" customWidth="1"/>
    <col min="11538" max="11538" width="8.88671875" style="50"/>
    <col min="11539" max="11539" width="29.5546875" style="50" bestFit="1" customWidth="1"/>
    <col min="11540" max="11540" width="14.44140625" style="50" bestFit="1" customWidth="1"/>
    <col min="11541" max="11541" width="12.44140625" style="50" bestFit="1" customWidth="1"/>
    <col min="11542" max="11542" width="22.44140625" style="50" bestFit="1" customWidth="1"/>
    <col min="11543" max="11775" width="8.88671875" style="50"/>
    <col min="11776" max="11776" width="30.77734375" style="50" customWidth="1"/>
    <col min="11777" max="11778" width="13.21875" style="50" customWidth="1"/>
    <col min="11779" max="11779" width="12.5546875" style="50" bestFit="1" customWidth="1"/>
    <col min="11780" max="11780" width="11.5546875" style="50" customWidth="1"/>
    <col min="11781" max="11782" width="10.5546875" style="50" customWidth="1"/>
    <col min="11783" max="11783" width="19.77734375" style="50" customWidth="1"/>
    <col min="11784" max="11784" width="6.5546875" style="50" customWidth="1"/>
    <col min="11785" max="11785" width="32.5546875" style="50" customWidth="1"/>
    <col min="11786" max="11786" width="15.21875" style="50" customWidth="1"/>
    <col min="11787" max="11787" width="22.21875" style="50" customWidth="1"/>
    <col min="11788" max="11788" width="16.77734375" style="50" customWidth="1"/>
    <col min="11789" max="11789" width="9.44140625" style="50" bestFit="1" customWidth="1"/>
    <col min="11790" max="11790" width="35.77734375" style="50" customWidth="1"/>
    <col min="11791" max="11791" width="14" style="50" customWidth="1"/>
    <col min="11792" max="11792" width="12" style="50" bestFit="1" customWidth="1"/>
    <col min="11793" max="11793" width="15" style="50" customWidth="1"/>
    <col min="11794" max="11794" width="8.88671875" style="50"/>
    <col min="11795" max="11795" width="29.5546875" style="50" bestFit="1" customWidth="1"/>
    <col min="11796" max="11796" width="14.44140625" style="50" bestFit="1" customWidth="1"/>
    <col min="11797" max="11797" width="12.44140625" style="50" bestFit="1" customWidth="1"/>
    <col min="11798" max="11798" width="22.44140625" style="50" bestFit="1" customWidth="1"/>
    <col min="11799" max="12031" width="8.88671875" style="50"/>
    <col min="12032" max="12032" width="30.77734375" style="50" customWidth="1"/>
    <col min="12033" max="12034" width="13.21875" style="50" customWidth="1"/>
    <col min="12035" max="12035" width="12.5546875" style="50" bestFit="1" customWidth="1"/>
    <col min="12036" max="12036" width="11.5546875" style="50" customWidth="1"/>
    <col min="12037" max="12038" width="10.5546875" style="50" customWidth="1"/>
    <col min="12039" max="12039" width="19.77734375" style="50" customWidth="1"/>
    <col min="12040" max="12040" width="6.5546875" style="50" customWidth="1"/>
    <col min="12041" max="12041" width="32.5546875" style="50" customWidth="1"/>
    <col min="12042" max="12042" width="15.21875" style="50" customWidth="1"/>
    <col min="12043" max="12043" width="22.21875" style="50" customWidth="1"/>
    <col min="12044" max="12044" width="16.77734375" style="50" customWidth="1"/>
    <col min="12045" max="12045" width="9.44140625" style="50" bestFit="1" customWidth="1"/>
    <col min="12046" max="12046" width="35.77734375" style="50" customWidth="1"/>
    <col min="12047" max="12047" width="14" style="50" customWidth="1"/>
    <col min="12048" max="12048" width="12" style="50" bestFit="1" customWidth="1"/>
    <col min="12049" max="12049" width="15" style="50" customWidth="1"/>
    <col min="12050" max="12050" width="8.88671875" style="50"/>
    <col min="12051" max="12051" width="29.5546875" style="50" bestFit="1" customWidth="1"/>
    <col min="12052" max="12052" width="14.44140625" style="50" bestFit="1" customWidth="1"/>
    <col min="12053" max="12053" width="12.44140625" style="50" bestFit="1" customWidth="1"/>
    <col min="12054" max="12054" width="22.44140625" style="50" bestFit="1" customWidth="1"/>
    <col min="12055" max="12287" width="8.88671875" style="50"/>
    <col min="12288" max="12288" width="30.77734375" style="50" customWidth="1"/>
    <col min="12289" max="12290" width="13.21875" style="50" customWidth="1"/>
    <col min="12291" max="12291" width="12.5546875" style="50" bestFit="1" customWidth="1"/>
    <col min="12292" max="12292" width="11.5546875" style="50" customWidth="1"/>
    <col min="12293" max="12294" width="10.5546875" style="50" customWidth="1"/>
    <col min="12295" max="12295" width="19.77734375" style="50" customWidth="1"/>
    <col min="12296" max="12296" width="6.5546875" style="50" customWidth="1"/>
    <col min="12297" max="12297" width="32.5546875" style="50" customWidth="1"/>
    <col min="12298" max="12298" width="15.21875" style="50" customWidth="1"/>
    <col min="12299" max="12299" width="22.21875" style="50" customWidth="1"/>
    <col min="12300" max="12300" width="16.77734375" style="50" customWidth="1"/>
    <col min="12301" max="12301" width="9.44140625" style="50" bestFit="1" customWidth="1"/>
    <col min="12302" max="12302" width="35.77734375" style="50" customWidth="1"/>
    <col min="12303" max="12303" width="14" style="50" customWidth="1"/>
    <col min="12304" max="12304" width="12" style="50" bestFit="1" customWidth="1"/>
    <col min="12305" max="12305" width="15" style="50" customWidth="1"/>
    <col min="12306" max="12306" width="8.88671875" style="50"/>
    <col min="12307" max="12307" width="29.5546875" style="50" bestFit="1" customWidth="1"/>
    <col min="12308" max="12308" width="14.44140625" style="50" bestFit="1" customWidth="1"/>
    <col min="12309" max="12309" width="12.44140625" style="50" bestFit="1" customWidth="1"/>
    <col min="12310" max="12310" width="22.44140625" style="50" bestFit="1" customWidth="1"/>
    <col min="12311" max="12543" width="8.88671875" style="50"/>
    <col min="12544" max="12544" width="30.77734375" style="50" customWidth="1"/>
    <col min="12545" max="12546" width="13.21875" style="50" customWidth="1"/>
    <col min="12547" max="12547" width="12.5546875" style="50" bestFit="1" customWidth="1"/>
    <col min="12548" max="12548" width="11.5546875" style="50" customWidth="1"/>
    <col min="12549" max="12550" width="10.5546875" style="50" customWidth="1"/>
    <col min="12551" max="12551" width="19.77734375" style="50" customWidth="1"/>
    <col min="12552" max="12552" width="6.5546875" style="50" customWidth="1"/>
    <col min="12553" max="12553" width="32.5546875" style="50" customWidth="1"/>
    <col min="12554" max="12554" width="15.21875" style="50" customWidth="1"/>
    <col min="12555" max="12555" width="22.21875" style="50" customWidth="1"/>
    <col min="12556" max="12556" width="16.77734375" style="50" customWidth="1"/>
    <col min="12557" max="12557" width="9.44140625" style="50" bestFit="1" customWidth="1"/>
    <col min="12558" max="12558" width="35.77734375" style="50" customWidth="1"/>
    <col min="12559" max="12559" width="14" style="50" customWidth="1"/>
    <col min="12560" max="12560" width="12" style="50" bestFit="1" customWidth="1"/>
    <col min="12561" max="12561" width="15" style="50" customWidth="1"/>
    <col min="12562" max="12562" width="8.88671875" style="50"/>
    <col min="12563" max="12563" width="29.5546875" style="50" bestFit="1" customWidth="1"/>
    <col min="12564" max="12564" width="14.44140625" style="50" bestFit="1" customWidth="1"/>
    <col min="12565" max="12565" width="12.44140625" style="50" bestFit="1" customWidth="1"/>
    <col min="12566" max="12566" width="22.44140625" style="50" bestFit="1" customWidth="1"/>
    <col min="12567" max="12799" width="8.88671875" style="50"/>
    <col min="12800" max="12800" width="30.77734375" style="50" customWidth="1"/>
    <col min="12801" max="12802" width="13.21875" style="50" customWidth="1"/>
    <col min="12803" max="12803" width="12.5546875" style="50" bestFit="1" customWidth="1"/>
    <col min="12804" max="12804" width="11.5546875" style="50" customWidth="1"/>
    <col min="12805" max="12806" width="10.5546875" style="50" customWidth="1"/>
    <col min="12807" max="12807" width="19.77734375" style="50" customWidth="1"/>
    <col min="12808" max="12808" width="6.5546875" style="50" customWidth="1"/>
    <col min="12809" max="12809" width="32.5546875" style="50" customWidth="1"/>
    <col min="12810" max="12810" width="15.21875" style="50" customWidth="1"/>
    <col min="12811" max="12811" width="22.21875" style="50" customWidth="1"/>
    <col min="12812" max="12812" width="16.77734375" style="50" customWidth="1"/>
    <col min="12813" max="12813" width="9.44140625" style="50" bestFit="1" customWidth="1"/>
    <col min="12814" max="12814" width="35.77734375" style="50" customWidth="1"/>
    <col min="12815" max="12815" width="14" style="50" customWidth="1"/>
    <col min="12816" max="12816" width="12" style="50" bestFit="1" customWidth="1"/>
    <col min="12817" max="12817" width="15" style="50" customWidth="1"/>
    <col min="12818" max="12818" width="8.88671875" style="50"/>
    <col min="12819" max="12819" width="29.5546875" style="50" bestFit="1" customWidth="1"/>
    <col min="12820" max="12820" width="14.44140625" style="50" bestFit="1" customWidth="1"/>
    <col min="12821" max="12821" width="12.44140625" style="50" bestFit="1" customWidth="1"/>
    <col min="12822" max="12822" width="22.44140625" style="50" bestFit="1" customWidth="1"/>
    <col min="12823" max="13055" width="8.88671875" style="50"/>
    <col min="13056" max="13056" width="30.77734375" style="50" customWidth="1"/>
    <col min="13057" max="13058" width="13.21875" style="50" customWidth="1"/>
    <col min="13059" max="13059" width="12.5546875" style="50" bestFit="1" customWidth="1"/>
    <col min="13060" max="13060" width="11.5546875" style="50" customWidth="1"/>
    <col min="13061" max="13062" width="10.5546875" style="50" customWidth="1"/>
    <col min="13063" max="13063" width="19.77734375" style="50" customWidth="1"/>
    <col min="13064" max="13064" width="6.5546875" style="50" customWidth="1"/>
    <col min="13065" max="13065" width="32.5546875" style="50" customWidth="1"/>
    <col min="13066" max="13066" width="15.21875" style="50" customWidth="1"/>
    <col min="13067" max="13067" width="22.21875" style="50" customWidth="1"/>
    <col min="13068" max="13068" width="16.77734375" style="50" customWidth="1"/>
    <col min="13069" max="13069" width="9.44140625" style="50" bestFit="1" customWidth="1"/>
    <col min="13070" max="13070" width="35.77734375" style="50" customWidth="1"/>
    <col min="13071" max="13071" width="14" style="50" customWidth="1"/>
    <col min="13072" max="13072" width="12" style="50" bestFit="1" customWidth="1"/>
    <col min="13073" max="13073" width="15" style="50" customWidth="1"/>
    <col min="13074" max="13074" width="8.88671875" style="50"/>
    <col min="13075" max="13075" width="29.5546875" style="50" bestFit="1" customWidth="1"/>
    <col min="13076" max="13076" width="14.44140625" style="50" bestFit="1" customWidth="1"/>
    <col min="13077" max="13077" width="12.44140625" style="50" bestFit="1" customWidth="1"/>
    <col min="13078" max="13078" width="22.44140625" style="50" bestFit="1" customWidth="1"/>
    <col min="13079" max="13311" width="8.88671875" style="50"/>
    <col min="13312" max="13312" width="30.77734375" style="50" customWidth="1"/>
    <col min="13313" max="13314" width="13.21875" style="50" customWidth="1"/>
    <col min="13315" max="13315" width="12.5546875" style="50" bestFit="1" customWidth="1"/>
    <col min="13316" max="13316" width="11.5546875" style="50" customWidth="1"/>
    <col min="13317" max="13318" width="10.5546875" style="50" customWidth="1"/>
    <col min="13319" max="13319" width="19.77734375" style="50" customWidth="1"/>
    <col min="13320" max="13320" width="6.5546875" style="50" customWidth="1"/>
    <col min="13321" max="13321" width="32.5546875" style="50" customWidth="1"/>
    <col min="13322" max="13322" width="15.21875" style="50" customWidth="1"/>
    <col min="13323" max="13323" width="22.21875" style="50" customWidth="1"/>
    <col min="13324" max="13324" width="16.77734375" style="50" customWidth="1"/>
    <col min="13325" max="13325" width="9.44140625" style="50" bestFit="1" customWidth="1"/>
    <col min="13326" max="13326" width="35.77734375" style="50" customWidth="1"/>
    <col min="13327" max="13327" width="14" style="50" customWidth="1"/>
    <col min="13328" max="13328" width="12" style="50" bestFit="1" customWidth="1"/>
    <col min="13329" max="13329" width="15" style="50" customWidth="1"/>
    <col min="13330" max="13330" width="8.88671875" style="50"/>
    <col min="13331" max="13331" width="29.5546875" style="50" bestFit="1" customWidth="1"/>
    <col min="13332" max="13332" width="14.44140625" style="50" bestFit="1" customWidth="1"/>
    <col min="13333" max="13333" width="12.44140625" style="50" bestFit="1" customWidth="1"/>
    <col min="13334" max="13334" width="22.44140625" style="50" bestFit="1" customWidth="1"/>
    <col min="13335" max="13567" width="8.88671875" style="50"/>
    <col min="13568" max="13568" width="30.77734375" style="50" customWidth="1"/>
    <col min="13569" max="13570" width="13.21875" style="50" customWidth="1"/>
    <col min="13571" max="13571" width="12.5546875" style="50" bestFit="1" customWidth="1"/>
    <col min="13572" max="13572" width="11.5546875" style="50" customWidth="1"/>
    <col min="13573" max="13574" width="10.5546875" style="50" customWidth="1"/>
    <col min="13575" max="13575" width="19.77734375" style="50" customWidth="1"/>
    <col min="13576" max="13576" width="6.5546875" style="50" customWidth="1"/>
    <col min="13577" max="13577" width="32.5546875" style="50" customWidth="1"/>
    <col min="13578" max="13578" width="15.21875" style="50" customWidth="1"/>
    <col min="13579" max="13579" width="22.21875" style="50" customWidth="1"/>
    <col min="13580" max="13580" width="16.77734375" style="50" customWidth="1"/>
    <col min="13581" max="13581" width="9.44140625" style="50" bestFit="1" customWidth="1"/>
    <col min="13582" max="13582" width="35.77734375" style="50" customWidth="1"/>
    <col min="13583" max="13583" width="14" style="50" customWidth="1"/>
    <col min="13584" max="13584" width="12" style="50" bestFit="1" customWidth="1"/>
    <col min="13585" max="13585" width="15" style="50" customWidth="1"/>
    <col min="13586" max="13586" width="8.88671875" style="50"/>
    <col min="13587" max="13587" width="29.5546875" style="50" bestFit="1" customWidth="1"/>
    <col min="13588" max="13588" width="14.44140625" style="50" bestFit="1" customWidth="1"/>
    <col min="13589" max="13589" width="12.44140625" style="50" bestFit="1" customWidth="1"/>
    <col min="13590" max="13590" width="22.44140625" style="50" bestFit="1" customWidth="1"/>
    <col min="13591" max="13823" width="8.88671875" style="50"/>
    <col min="13824" max="13824" width="30.77734375" style="50" customWidth="1"/>
    <col min="13825" max="13826" width="13.21875" style="50" customWidth="1"/>
    <col min="13827" max="13827" width="12.5546875" style="50" bestFit="1" customWidth="1"/>
    <col min="13828" max="13828" width="11.5546875" style="50" customWidth="1"/>
    <col min="13829" max="13830" width="10.5546875" style="50" customWidth="1"/>
    <col min="13831" max="13831" width="19.77734375" style="50" customWidth="1"/>
    <col min="13832" max="13832" width="6.5546875" style="50" customWidth="1"/>
    <col min="13833" max="13833" width="32.5546875" style="50" customWidth="1"/>
    <col min="13834" max="13834" width="15.21875" style="50" customWidth="1"/>
    <col min="13835" max="13835" width="22.21875" style="50" customWidth="1"/>
    <col min="13836" max="13836" width="16.77734375" style="50" customWidth="1"/>
    <col min="13837" max="13837" width="9.44140625" style="50" bestFit="1" customWidth="1"/>
    <col min="13838" max="13838" width="35.77734375" style="50" customWidth="1"/>
    <col min="13839" max="13839" width="14" style="50" customWidth="1"/>
    <col min="13840" max="13840" width="12" style="50" bestFit="1" customWidth="1"/>
    <col min="13841" max="13841" width="15" style="50" customWidth="1"/>
    <col min="13842" max="13842" width="8.88671875" style="50"/>
    <col min="13843" max="13843" width="29.5546875" style="50" bestFit="1" customWidth="1"/>
    <col min="13844" max="13844" width="14.44140625" style="50" bestFit="1" customWidth="1"/>
    <col min="13845" max="13845" width="12.44140625" style="50" bestFit="1" customWidth="1"/>
    <col min="13846" max="13846" width="22.44140625" style="50" bestFit="1" customWidth="1"/>
    <col min="13847" max="14079" width="8.88671875" style="50"/>
    <col min="14080" max="14080" width="30.77734375" style="50" customWidth="1"/>
    <col min="14081" max="14082" width="13.21875" style="50" customWidth="1"/>
    <col min="14083" max="14083" width="12.5546875" style="50" bestFit="1" customWidth="1"/>
    <col min="14084" max="14084" width="11.5546875" style="50" customWidth="1"/>
    <col min="14085" max="14086" width="10.5546875" style="50" customWidth="1"/>
    <col min="14087" max="14087" width="19.77734375" style="50" customWidth="1"/>
    <col min="14088" max="14088" width="6.5546875" style="50" customWidth="1"/>
    <col min="14089" max="14089" width="32.5546875" style="50" customWidth="1"/>
    <col min="14090" max="14090" width="15.21875" style="50" customWidth="1"/>
    <col min="14091" max="14091" width="22.21875" style="50" customWidth="1"/>
    <col min="14092" max="14092" width="16.77734375" style="50" customWidth="1"/>
    <col min="14093" max="14093" width="9.44140625" style="50" bestFit="1" customWidth="1"/>
    <col min="14094" max="14094" width="35.77734375" style="50" customWidth="1"/>
    <col min="14095" max="14095" width="14" style="50" customWidth="1"/>
    <col min="14096" max="14096" width="12" style="50" bestFit="1" customWidth="1"/>
    <col min="14097" max="14097" width="15" style="50" customWidth="1"/>
    <col min="14098" max="14098" width="8.88671875" style="50"/>
    <col min="14099" max="14099" width="29.5546875" style="50" bestFit="1" customWidth="1"/>
    <col min="14100" max="14100" width="14.44140625" style="50" bestFit="1" customWidth="1"/>
    <col min="14101" max="14101" width="12.44140625" style="50" bestFit="1" customWidth="1"/>
    <col min="14102" max="14102" width="22.44140625" style="50" bestFit="1" customWidth="1"/>
    <col min="14103" max="14335" width="8.88671875" style="50"/>
    <col min="14336" max="14336" width="30.77734375" style="50" customWidth="1"/>
    <col min="14337" max="14338" width="13.21875" style="50" customWidth="1"/>
    <col min="14339" max="14339" width="12.5546875" style="50" bestFit="1" customWidth="1"/>
    <col min="14340" max="14340" width="11.5546875" style="50" customWidth="1"/>
    <col min="14341" max="14342" width="10.5546875" style="50" customWidth="1"/>
    <col min="14343" max="14343" width="19.77734375" style="50" customWidth="1"/>
    <col min="14344" max="14344" width="6.5546875" style="50" customWidth="1"/>
    <col min="14345" max="14345" width="32.5546875" style="50" customWidth="1"/>
    <col min="14346" max="14346" width="15.21875" style="50" customWidth="1"/>
    <col min="14347" max="14347" width="22.21875" style="50" customWidth="1"/>
    <col min="14348" max="14348" width="16.77734375" style="50" customWidth="1"/>
    <col min="14349" max="14349" width="9.44140625" style="50" bestFit="1" customWidth="1"/>
    <col min="14350" max="14350" width="35.77734375" style="50" customWidth="1"/>
    <col min="14351" max="14351" width="14" style="50" customWidth="1"/>
    <col min="14352" max="14352" width="12" style="50" bestFit="1" customWidth="1"/>
    <col min="14353" max="14353" width="15" style="50" customWidth="1"/>
    <col min="14354" max="14354" width="8.88671875" style="50"/>
    <col min="14355" max="14355" width="29.5546875" style="50" bestFit="1" customWidth="1"/>
    <col min="14356" max="14356" width="14.44140625" style="50" bestFit="1" customWidth="1"/>
    <col min="14357" max="14357" width="12.44140625" style="50" bestFit="1" customWidth="1"/>
    <col min="14358" max="14358" width="22.44140625" style="50" bestFit="1" customWidth="1"/>
    <col min="14359" max="14591" width="8.88671875" style="50"/>
    <col min="14592" max="14592" width="30.77734375" style="50" customWidth="1"/>
    <col min="14593" max="14594" width="13.21875" style="50" customWidth="1"/>
    <col min="14595" max="14595" width="12.5546875" style="50" bestFit="1" customWidth="1"/>
    <col min="14596" max="14596" width="11.5546875" style="50" customWidth="1"/>
    <col min="14597" max="14598" width="10.5546875" style="50" customWidth="1"/>
    <col min="14599" max="14599" width="19.77734375" style="50" customWidth="1"/>
    <col min="14600" max="14600" width="6.5546875" style="50" customWidth="1"/>
    <col min="14601" max="14601" width="32.5546875" style="50" customWidth="1"/>
    <col min="14602" max="14602" width="15.21875" style="50" customWidth="1"/>
    <col min="14603" max="14603" width="22.21875" style="50" customWidth="1"/>
    <col min="14604" max="14604" width="16.77734375" style="50" customWidth="1"/>
    <col min="14605" max="14605" width="9.44140625" style="50" bestFit="1" customWidth="1"/>
    <col min="14606" max="14606" width="35.77734375" style="50" customWidth="1"/>
    <col min="14607" max="14607" width="14" style="50" customWidth="1"/>
    <col min="14608" max="14608" width="12" style="50" bestFit="1" customWidth="1"/>
    <col min="14609" max="14609" width="15" style="50" customWidth="1"/>
    <col min="14610" max="14610" width="8.88671875" style="50"/>
    <col min="14611" max="14611" width="29.5546875" style="50" bestFit="1" customWidth="1"/>
    <col min="14612" max="14612" width="14.44140625" style="50" bestFit="1" customWidth="1"/>
    <col min="14613" max="14613" width="12.44140625" style="50" bestFit="1" customWidth="1"/>
    <col min="14614" max="14614" width="22.44140625" style="50" bestFit="1" customWidth="1"/>
    <col min="14615" max="14847" width="8.88671875" style="50"/>
    <col min="14848" max="14848" width="30.77734375" style="50" customWidth="1"/>
    <col min="14849" max="14850" width="13.21875" style="50" customWidth="1"/>
    <col min="14851" max="14851" width="12.5546875" style="50" bestFit="1" customWidth="1"/>
    <col min="14852" max="14852" width="11.5546875" style="50" customWidth="1"/>
    <col min="14853" max="14854" width="10.5546875" style="50" customWidth="1"/>
    <col min="14855" max="14855" width="19.77734375" style="50" customWidth="1"/>
    <col min="14856" max="14856" width="6.5546875" style="50" customWidth="1"/>
    <col min="14857" max="14857" width="32.5546875" style="50" customWidth="1"/>
    <col min="14858" max="14858" width="15.21875" style="50" customWidth="1"/>
    <col min="14859" max="14859" width="22.21875" style="50" customWidth="1"/>
    <col min="14860" max="14860" width="16.77734375" style="50" customWidth="1"/>
    <col min="14861" max="14861" width="9.44140625" style="50" bestFit="1" customWidth="1"/>
    <col min="14862" max="14862" width="35.77734375" style="50" customWidth="1"/>
    <col min="14863" max="14863" width="14" style="50" customWidth="1"/>
    <col min="14864" max="14864" width="12" style="50" bestFit="1" customWidth="1"/>
    <col min="14865" max="14865" width="15" style="50" customWidth="1"/>
    <col min="14866" max="14866" width="8.88671875" style="50"/>
    <col min="14867" max="14867" width="29.5546875" style="50" bestFit="1" customWidth="1"/>
    <col min="14868" max="14868" width="14.44140625" style="50" bestFit="1" customWidth="1"/>
    <col min="14869" max="14869" width="12.44140625" style="50" bestFit="1" customWidth="1"/>
    <col min="14870" max="14870" width="22.44140625" style="50" bestFit="1" customWidth="1"/>
    <col min="14871" max="15103" width="8.88671875" style="50"/>
    <col min="15104" max="15104" width="30.77734375" style="50" customWidth="1"/>
    <col min="15105" max="15106" width="13.21875" style="50" customWidth="1"/>
    <col min="15107" max="15107" width="12.5546875" style="50" bestFit="1" customWidth="1"/>
    <col min="15108" max="15108" width="11.5546875" style="50" customWidth="1"/>
    <col min="15109" max="15110" width="10.5546875" style="50" customWidth="1"/>
    <col min="15111" max="15111" width="19.77734375" style="50" customWidth="1"/>
    <col min="15112" max="15112" width="6.5546875" style="50" customWidth="1"/>
    <col min="15113" max="15113" width="32.5546875" style="50" customWidth="1"/>
    <col min="15114" max="15114" width="15.21875" style="50" customWidth="1"/>
    <col min="15115" max="15115" width="22.21875" style="50" customWidth="1"/>
    <col min="15116" max="15116" width="16.77734375" style="50" customWidth="1"/>
    <col min="15117" max="15117" width="9.44140625" style="50" bestFit="1" customWidth="1"/>
    <col min="15118" max="15118" width="35.77734375" style="50" customWidth="1"/>
    <col min="15119" max="15119" width="14" style="50" customWidth="1"/>
    <col min="15120" max="15120" width="12" style="50" bestFit="1" customWidth="1"/>
    <col min="15121" max="15121" width="15" style="50" customWidth="1"/>
    <col min="15122" max="15122" width="8.88671875" style="50"/>
    <col min="15123" max="15123" width="29.5546875" style="50" bestFit="1" customWidth="1"/>
    <col min="15124" max="15124" width="14.44140625" style="50" bestFit="1" customWidth="1"/>
    <col min="15125" max="15125" width="12.44140625" style="50" bestFit="1" customWidth="1"/>
    <col min="15126" max="15126" width="22.44140625" style="50" bestFit="1" customWidth="1"/>
    <col min="15127" max="15359" width="8.88671875" style="50"/>
    <col min="15360" max="15360" width="30.77734375" style="50" customWidth="1"/>
    <col min="15361" max="15362" width="13.21875" style="50" customWidth="1"/>
    <col min="15363" max="15363" width="12.5546875" style="50" bestFit="1" customWidth="1"/>
    <col min="15364" max="15364" width="11.5546875" style="50" customWidth="1"/>
    <col min="15365" max="15366" width="10.5546875" style="50" customWidth="1"/>
    <col min="15367" max="15367" width="19.77734375" style="50" customWidth="1"/>
    <col min="15368" max="15368" width="6.5546875" style="50" customWidth="1"/>
    <col min="15369" max="15369" width="32.5546875" style="50" customWidth="1"/>
    <col min="15370" max="15370" width="15.21875" style="50" customWidth="1"/>
    <col min="15371" max="15371" width="22.21875" style="50" customWidth="1"/>
    <col min="15372" max="15372" width="16.77734375" style="50" customWidth="1"/>
    <col min="15373" max="15373" width="9.44140625" style="50" bestFit="1" customWidth="1"/>
    <col min="15374" max="15374" width="35.77734375" style="50" customWidth="1"/>
    <col min="15375" max="15375" width="14" style="50" customWidth="1"/>
    <col min="15376" max="15376" width="12" style="50" bestFit="1" customWidth="1"/>
    <col min="15377" max="15377" width="15" style="50" customWidth="1"/>
    <col min="15378" max="15378" width="8.88671875" style="50"/>
    <col min="15379" max="15379" width="29.5546875" style="50" bestFit="1" customWidth="1"/>
    <col min="15380" max="15380" width="14.44140625" style="50" bestFit="1" customWidth="1"/>
    <col min="15381" max="15381" width="12.44140625" style="50" bestFit="1" customWidth="1"/>
    <col min="15382" max="15382" width="22.44140625" style="50" bestFit="1" customWidth="1"/>
    <col min="15383" max="15615" width="8.88671875" style="50"/>
    <col min="15616" max="15616" width="30.77734375" style="50" customWidth="1"/>
    <col min="15617" max="15618" width="13.21875" style="50" customWidth="1"/>
    <col min="15619" max="15619" width="12.5546875" style="50" bestFit="1" customWidth="1"/>
    <col min="15620" max="15620" width="11.5546875" style="50" customWidth="1"/>
    <col min="15621" max="15622" width="10.5546875" style="50" customWidth="1"/>
    <col min="15623" max="15623" width="19.77734375" style="50" customWidth="1"/>
    <col min="15624" max="15624" width="6.5546875" style="50" customWidth="1"/>
    <col min="15625" max="15625" width="32.5546875" style="50" customWidth="1"/>
    <col min="15626" max="15626" width="15.21875" style="50" customWidth="1"/>
    <col min="15627" max="15627" width="22.21875" style="50" customWidth="1"/>
    <col min="15628" max="15628" width="16.77734375" style="50" customWidth="1"/>
    <col min="15629" max="15629" width="9.44140625" style="50" bestFit="1" customWidth="1"/>
    <col min="15630" max="15630" width="35.77734375" style="50" customWidth="1"/>
    <col min="15631" max="15631" width="14" style="50" customWidth="1"/>
    <col min="15632" max="15632" width="12" style="50" bestFit="1" customWidth="1"/>
    <col min="15633" max="15633" width="15" style="50" customWidth="1"/>
    <col min="15634" max="15634" width="8.88671875" style="50"/>
    <col min="15635" max="15635" width="29.5546875" style="50" bestFit="1" customWidth="1"/>
    <col min="15636" max="15636" width="14.44140625" style="50" bestFit="1" customWidth="1"/>
    <col min="15637" max="15637" width="12.44140625" style="50" bestFit="1" customWidth="1"/>
    <col min="15638" max="15638" width="22.44140625" style="50" bestFit="1" customWidth="1"/>
    <col min="15639" max="15871" width="8.88671875" style="50"/>
    <col min="15872" max="15872" width="30.77734375" style="50" customWidth="1"/>
    <col min="15873" max="15874" width="13.21875" style="50" customWidth="1"/>
    <col min="15875" max="15875" width="12.5546875" style="50" bestFit="1" customWidth="1"/>
    <col min="15876" max="15876" width="11.5546875" style="50" customWidth="1"/>
    <col min="15877" max="15878" width="10.5546875" style="50" customWidth="1"/>
    <col min="15879" max="15879" width="19.77734375" style="50" customWidth="1"/>
    <col min="15880" max="15880" width="6.5546875" style="50" customWidth="1"/>
    <col min="15881" max="15881" width="32.5546875" style="50" customWidth="1"/>
    <col min="15882" max="15882" width="15.21875" style="50" customWidth="1"/>
    <col min="15883" max="15883" width="22.21875" style="50" customWidth="1"/>
    <col min="15884" max="15884" width="16.77734375" style="50" customWidth="1"/>
    <col min="15885" max="15885" width="9.44140625" style="50" bestFit="1" customWidth="1"/>
    <col min="15886" max="15886" width="35.77734375" style="50" customWidth="1"/>
    <col min="15887" max="15887" width="14" style="50" customWidth="1"/>
    <col min="15888" max="15888" width="12" style="50" bestFit="1" customWidth="1"/>
    <col min="15889" max="15889" width="15" style="50" customWidth="1"/>
    <col min="15890" max="15890" width="8.88671875" style="50"/>
    <col min="15891" max="15891" width="29.5546875" style="50" bestFit="1" customWidth="1"/>
    <col min="15892" max="15892" width="14.44140625" style="50" bestFit="1" customWidth="1"/>
    <col min="15893" max="15893" width="12.44140625" style="50" bestFit="1" customWidth="1"/>
    <col min="15894" max="15894" width="22.44140625" style="50" bestFit="1" customWidth="1"/>
    <col min="15895" max="16127" width="8.88671875" style="50"/>
    <col min="16128" max="16128" width="30.77734375" style="50" customWidth="1"/>
    <col min="16129" max="16130" width="13.21875" style="50" customWidth="1"/>
    <col min="16131" max="16131" width="12.5546875" style="50" bestFit="1" customWidth="1"/>
    <col min="16132" max="16132" width="11.5546875" style="50" customWidth="1"/>
    <col min="16133" max="16134" width="10.5546875" style="50" customWidth="1"/>
    <col min="16135" max="16135" width="19.77734375" style="50" customWidth="1"/>
    <col min="16136" max="16136" width="6.5546875" style="50" customWidth="1"/>
    <col min="16137" max="16137" width="32.5546875" style="50" customWidth="1"/>
    <col min="16138" max="16138" width="15.21875" style="50" customWidth="1"/>
    <col min="16139" max="16139" width="22.21875" style="50" customWidth="1"/>
    <col min="16140" max="16140" width="16.77734375" style="50" customWidth="1"/>
    <col min="16141" max="16141" width="9.44140625" style="50" bestFit="1" customWidth="1"/>
    <col min="16142" max="16142" width="35.77734375" style="50" customWidth="1"/>
    <col min="16143" max="16143" width="14" style="50" customWidth="1"/>
    <col min="16144" max="16144" width="12" style="50" bestFit="1" customWidth="1"/>
    <col min="16145" max="16145" width="15" style="50" customWidth="1"/>
    <col min="16146" max="16146" width="8.88671875" style="50"/>
    <col min="16147" max="16147" width="29.5546875" style="50" bestFit="1" customWidth="1"/>
    <col min="16148" max="16148" width="14.44140625" style="50" bestFit="1" customWidth="1"/>
    <col min="16149" max="16149" width="12.44140625" style="50" bestFit="1" customWidth="1"/>
    <col min="16150" max="16150" width="22.44140625" style="50" bestFit="1" customWidth="1"/>
    <col min="16151" max="16382" width="8.88671875" style="50"/>
    <col min="16383" max="16384" width="8.77734375" style="50" customWidth="1"/>
  </cols>
  <sheetData>
    <row r="1" spans="2:21" ht="15" customHeight="1">
      <c r="M1" s="52"/>
      <c r="O1" s="52"/>
    </row>
    <row r="2" spans="2:21" ht="15" customHeight="1" thickBot="1">
      <c r="B2" s="53"/>
      <c r="C2" s="53"/>
      <c r="D2" s="53"/>
      <c r="E2" s="53"/>
      <c r="F2" s="54"/>
      <c r="G2" s="54"/>
      <c r="H2" s="54"/>
      <c r="J2" s="50" t="s">
        <v>64</v>
      </c>
      <c r="M2" s="52"/>
      <c r="O2" s="52"/>
    </row>
    <row r="3" spans="2:21" ht="39" customHeight="1" thickBot="1">
      <c r="B3" s="55" t="s">
        <v>65</v>
      </c>
      <c r="C3" s="56"/>
      <c r="D3" s="56"/>
      <c r="E3" s="56"/>
      <c r="F3" s="57"/>
      <c r="G3" s="58"/>
      <c r="H3" s="54"/>
      <c r="I3" s="59" t="s">
        <v>406</v>
      </c>
      <c r="J3" s="60"/>
      <c r="K3" s="60"/>
      <c r="L3" s="60"/>
      <c r="M3" s="61"/>
      <c r="N3" s="58"/>
      <c r="P3" s="62" t="s">
        <v>66</v>
      </c>
      <c r="Q3" s="63"/>
      <c r="R3" s="64" t="s">
        <v>67</v>
      </c>
      <c r="S3" s="65" t="s">
        <v>68</v>
      </c>
      <c r="T3" s="66" t="s">
        <v>69</v>
      </c>
      <c r="U3" s="67"/>
    </row>
    <row r="4" spans="2:21" ht="15" customHeight="1" thickBot="1">
      <c r="B4" s="68" t="s">
        <v>70</v>
      </c>
      <c r="C4" s="69"/>
      <c r="D4" s="70" t="s">
        <v>71</v>
      </c>
      <c r="E4" s="71"/>
      <c r="F4" s="72"/>
      <c r="G4" s="73"/>
      <c r="H4" s="54"/>
      <c r="I4" s="74"/>
      <c r="J4" s="75" t="s">
        <v>72</v>
      </c>
      <c r="K4" s="76">
        <v>12</v>
      </c>
      <c r="L4" s="73" t="s">
        <v>73</v>
      </c>
      <c r="M4" s="77">
        <f>$R$14</f>
        <v>6287.5</v>
      </c>
      <c r="N4" s="78"/>
      <c r="P4" s="79" t="s">
        <v>73</v>
      </c>
      <c r="Q4" s="80"/>
      <c r="R4" s="81">
        <v>2080</v>
      </c>
      <c r="S4" s="82" t="s">
        <v>74</v>
      </c>
      <c r="T4" s="83" t="s">
        <v>75</v>
      </c>
      <c r="U4" s="84"/>
    </row>
    <row r="5" spans="2:21" ht="15" customHeight="1">
      <c r="B5" s="85" t="s">
        <v>76</v>
      </c>
      <c r="C5" s="86"/>
      <c r="D5" s="87"/>
      <c r="E5" s="54"/>
      <c r="F5" s="88"/>
      <c r="G5" s="54"/>
      <c r="H5" s="54"/>
      <c r="I5" s="89"/>
      <c r="J5" s="90"/>
      <c r="K5" s="91" t="s">
        <v>77</v>
      </c>
      <c r="L5" s="91" t="s">
        <v>78</v>
      </c>
      <c r="M5" s="92" t="s">
        <v>79</v>
      </c>
      <c r="N5" s="73"/>
      <c r="P5" s="93" t="s">
        <v>80</v>
      </c>
      <c r="Q5" s="94"/>
      <c r="R5" s="95">
        <v>80</v>
      </c>
      <c r="S5" s="96">
        <v>10</v>
      </c>
      <c r="T5" s="97" t="s">
        <v>81</v>
      </c>
      <c r="U5" s="84"/>
    </row>
    <row r="6" spans="2:21" ht="13.5" customHeight="1">
      <c r="B6" s="98" t="s">
        <v>82</v>
      </c>
      <c r="C6" s="99">
        <f>'Chart BLS'!C18</f>
        <v>69600</v>
      </c>
      <c r="D6" s="87" t="s">
        <v>83</v>
      </c>
      <c r="E6" s="54"/>
      <c r="F6" s="88"/>
      <c r="G6" s="54"/>
      <c r="H6" s="54"/>
      <c r="I6" s="100" t="str">
        <f>$B$5</f>
        <v>Management</v>
      </c>
      <c r="J6" s="101"/>
      <c r="K6" s="76"/>
      <c r="L6" s="76"/>
      <c r="M6" s="102"/>
      <c r="N6" s="73"/>
      <c r="P6" s="103" t="s">
        <v>84</v>
      </c>
      <c r="Q6" s="104"/>
      <c r="R6" s="105">
        <v>80</v>
      </c>
      <c r="S6" s="106">
        <v>10</v>
      </c>
      <c r="T6" s="107" t="s">
        <v>81</v>
      </c>
      <c r="U6" s="108"/>
    </row>
    <row r="7" spans="2:21" ht="15" customHeight="1">
      <c r="B7" s="109" t="s">
        <v>85</v>
      </c>
      <c r="C7" s="99"/>
      <c r="D7" s="87"/>
      <c r="E7" s="54"/>
      <c r="F7" s="88"/>
      <c r="G7" s="54"/>
      <c r="H7" s="110"/>
      <c r="I7" s="111" t="str">
        <f>$B$6</f>
        <v xml:space="preserve">  Program Management</v>
      </c>
      <c r="J7" s="112"/>
      <c r="K7" s="113">
        <f>C6</f>
        <v>69600</v>
      </c>
      <c r="L7" s="114">
        <v>1</v>
      </c>
      <c r="M7" s="115">
        <f>K7*L7</f>
        <v>69600</v>
      </c>
      <c r="N7" s="116"/>
      <c r="P7" s="117" t="s">
        <v>86</v>
      </c>
      <c r="Q7" s="118"/>
      <c r="R7" s="119">
        <v>40</v>
      </c>
      <c r="S7" s="106">
        <v>5</v>
      </c>
      <c r="T7" s="120" t="s">
        <v>81</v>
      </c>
      <c r="U7" s="84"/>
    </row>
    <row r="8" spans="2:21" ht="15" customHeight="1">
      <c r="B8" s="98" t="s">
        <v>87</v>
      </c>
      <c r="C8" s="99">
        <f>'Chart BLS'!C14</f>
        <v>54412.800000000003</v>
      </c>
      <c r="D8" s="87" t="s">
        <v>88</v>
      </c>
      <c r="E8" s="54"/>
      <c r="F8" s="88"/>
      <c r="G8" s="54"/>
      <c r="H8" s="110"/>
      <c r="I8" s="100" t="str">
        <f>$B$7</f>
        <v>Direct Care</v>
      </c>
      <c r="J8" s="101"/>
      <c r="K8" s="113"/>
      <c r="L8" s="114"/>
      <c r="M8" s="115"/>
      <c r="N8" s="116"/>
      <c r="P8" s="117" t="s">
        <v>89</v>
      </c>
      <c r="Q8" s="118"/>
      <c r="R8" s="119">
        <v>80</v>
      </c>
      <c r="S8" s="106">
        <v>10</v>
      </c>
      <c r="T8" s="120" t="s">
        <v>81</v>
      </c>
      <c r="U8" s="84"/>
    </row>
    <row r="9" spans="2:21" ht="15" customHeight="1">
      <c r="B9" s="121" t="s">
        <v>90</v>
      </c>
      <c r="C9" s="122">
        <f>'Chart BLS'!C6</f>
        <v>34927.359999999993</v>
      </c>
      <c r="D9" s="123" t="s">
        <v>83</v>
      </c>
      <c r="E9" s="124"/>
      <c r="F9" s="125"/>
      <c r="G9" s="54"/>
      <c r="H9" s="110"/>
      <c r="I9" s="111" t="str">
        <f>$B$14</f>
        <v xml:space="preserve">  Certified O&amp;M Specialist</v>
      </c>
      <c r="J9" s="112"/>
      <c r="K9" s="113">
        <f>C8</f>
        <v>54412.800000000003</v>
      </c>
      <c r="L9" s="114">
        <v>5</v>
      </c>
      <c r="M9" s="115">
        <f>K9*L9</f>
        <v>272064</v>
      </c>
      <c r="N9" s="116"/>
      <c r="P9" s="126" t="s">
        <v>91</v>
      </c>
      <c r="Q9" s="127"/>
      <c r="R9" s="119">
        <v>329</v>
      </c>
      <c r="S9" s="128">
        <f>R9/52</f>
        <v>6.3269230769230766</v>
      </c>
      <c r="T9" s="120" t="s">
        <v>92</v>
      </c>
      <c r="U9" s="84"/>
    </row>
    <row r="10" spans="2:21" ht="15" customHeight="1" thickBot="1">
      <c r="B10" s="129" t="s">
        <v>93</v>
      </c>
      <c r="C10" s="130"/>
      <c r="D10" s="87"/>
      <c r="E10" s="54"/>
      <c r="F10" s="88"/>
      <c r="G10" s="54"/>
      <c r="H10" s="110"/>
      <c r="I10" s="111" t="str">
        <f>$B$15</f>
        <v xml:space="preserve">  Secretarial / Clerical</v>
      </c>
      <c r="J10" s="112"/>
      <c r="K10" s="113">
        <f>C9</f>
        <v>34927.359999999993</v>
      </c>
      <c r="L10" s="114">
        <f>$C$15</f>
        <v>1</v>
      </c>
      <c r="M10" s="115">
        <f>K10*L10</f>
        <v>34927.359999999993</v>
      </c>
      <c r="N10" s="116"/>
      <c r="P10" s="131" t="s">
        <v>94</v>
      </c>
      <c r="Q10" s="132"/>
      <c r="R10" s="133">
        <v>213.5</v>
      </c>
      <c r="S10" s="134">
        <f>R10/52</f>
        <v>4.1057692307692308</v>
      </c>
      <c r="T10" s="135" t="s">
        <v>92</v>
      </c>
      <c r="U10" s="84"/>
    </row>
    <row r="11" spans="2:21" ht="15" customHeight="1" thickBot="1">
      <c r="B11" s="85" t="str">
        <f>B5</f>
        <v>Management</v>
      </c>
      <c r="C11" s="136"/>
      <c r="D11" s="87"/>
      <c r="E11" s="54"/>
      <c r="F11" s="88"/>
      <c r="G11" s="54"/>
      <c r="H11" s="110"/>
      <c r="I11" s="137" t="s">
        <v>95</v>
      </c>
      <c r="J11" s="138"/>
      <c r="K11" s="138"/>
      <c r="L11" s="139">
        <f>SUM(L7:L10)</f>
        <v>7</v>
      </c>
      <c r="M11" s="140">
        <f>SUM(M7:M10)</f>
        <v>376591.35999999999</v>
      </c>
      <c r="N11" s="116"/>
      <c r="P11" s="141" t="s">
        <v>96</v>
      </c>
      <c r="Q11" s="142"/>
      <c r="R11" s="81">
        <f>SUM(R5:R10)</f>
        <v>822.5</v>
      </c>
      <c r="T11" s="143"/>
      <c r="U11" s="144"/>
    </row>
    <row r="12" spans="2:21" ht="15" customHeight="1">
      <c r="B12" s="98" t="str">
        <f>B6</f>
        <v xml:space="preserve">  Program Management</v>
      </c>
      <c r="C12" s="145">
        <v>1</v>
      </c>
      <c r="D12" s="87" t="s">
        <v>97</v>
      </c>
      <c r="E12" s="54"/>
      <c r="F12" s="88"/>
      <c r="G12" s="54"/>
      <c r="H12" s="110"/>
      <c r="I12" s="146"/>
      <c r="J12" s="147"/>
      <c r="K12" s="147"/>
      <c r="L12" s="148"/>
      <c r="M12" s="149"/>
      <c r="N12" s="150"/>
      <c r="P12" s="151" t="s">
        <v>98</v>
      </c>
      <c r="Q12" s="152"/>
      <c r="R12" s="153">
        <f>R4-R11</f>
        <v>1257.5</v>
      </c>
      <c r="S12" s="143"/>
      <c r="T12" s="143"/>
      <c r="U12" s="154"/>
    </row>
    <row r="13" spans="2:21" ht="15" customHeight="1" thickBot="1">
      <c r="B13" s="109" t="str">
        <f>B7</f>
        <v>Direct Care</v>
      </c>
      <c r="C13" s="145"/>
      <c r="D13" s="87"/>
      <c r="E13" s="54"/>
      <c r="F13" s="88"/>
      <c r="G13" s="54"/>
      <c r="H13" s="110"/>
      <c r="I13" s="155" t="str">
        <f>B22</f>
        <v>PFMLA Trust Contribution</v>
      </c>
      <c r="J13" s="156"/>
      <c r="K13" s="157">
        <f>C22</f>
        <v>3.7000000000000002E-3</v>
      </c>
      <c r="L13" s="76"/>
      <c r="M13" s="158">
        <f>K13*M11</f>
        <v>1393.3880320000001</v>
      </c>
      <c r="N13" s="54"/>
      <c r="P13" s="159" t="s">
        <v>99</v>
      </c>
      <c r="Q13" s="160"/>
      <c r="R13" s="161">
        <v>5</v>
      </c>
      <c r="U13" s="52"/>
    </row>
    <row r="14" spans="2:21" ht="15" customHeight="1" thickBot="1">
      <c r="B14" s="98" t="str">
        <f>B8</f>
        <v xml:space="preserve">  Certified O&amp;M Specialist</v>
      </c>
      <c r="C14" s="145">
        <v>5</v>
      </c>
      <c r="D14" s="87" t="s">
        <v>97</v>
      </c>
      <c r="E14" s="54"/>
      <c r="F14" s="88"/>
      <c r="G14" s="54"/>
      <c r="H14" s="110"/>
      <c r="I14" s="155" t="s">
        <v>100</v>
      </c>
      <c r="J14" s="147"/>
      <c r="K14" s="162">
        <f>C17</f>
        <v>0.224</v>
      </c>
      <c r="L14" s="148"/>
      <c r="M14" s="115">
        <f>K14*M11</f>
        <v>84356.464640000006</v>
      </c>
      <c r="N14" s="54"/>
      <c r="P14" s="141" t="s">
        <v>101</v>
      </c>
      <c r="Q14" s="142"/>
      <c r="R14" s="81">
        <f>R12*R13</f>
        <v>6287.5</v>
      </c>
      <c r="U14" s="52"/>
    </row>
    <row r="15" spans="2:21" ht="15" customHeight="1">
      <c r="B15" s="121" t="str">
        <f>B9</f>
        <v xml:space="preserve">  Secretarial / Clerical</v>
      </c>
      <c r="C15" s="163">
        <v>1</v>
      </c>
      <c r="D15" s="123" t="s">
        <v>97</v>
      </c>
      <c r="E15" s="124"/>
      <c r="F15" s="125"/>
      <c r="G15" s="54"/>
      <c r="H15" s="110"/>
      <c r="I15" s="137" t="s">
        <v>102</v>
      </c>
      <c r="J15" s="138"/>
      <c r="K15" s="138"/>
      <c r="L15" s="164"/>
      <c r="M15" s="165">
        <f>SUM(M11:M14)</f>
        <v>462341.21267199999</v>
      </c>
      <c r="N15" s="116"/>
      <c r="P15" s="152"/>
      <c r="Q15" s="152"/>
      <c r="R15" s="166"/>
      <c r="U15" s="52"/>
    </row>
    <row r="16" spans="2:21" ht="15" customHeight="1" thickBot="1">
      <c r="B16" s="167" t="s">
        <v>103</v>
      </c>
      <c r="C16" s="168"/>
      <c r="D16" s="169"/>
      <c r="E16" s="54"/>
      <c r="F16" s="88"/>
      <c r="G16" s="54"/>
      <c r="H16" s="110"/>
      <c r="I16" s="155"/>
      <c r="J16" s="147"/>
      <c r="K16" s="147"/>
      <c r="L16" s="148"/>
      <c r="M16" s="149"/>
      <c r="N16" s="150"/>
      <c r="P16" s="152"/>
      <c r="Q16" s="152"/>
      <c r="R16" s="166"/>
      <c r="U16" s="52"/>
    </row>
    <row r="17" spans="2:23" ht="15" customHeight="1" thickBot="1">
      <c r="B17" s="170" t="s">
        <v>104</v>
      </c>
      <c r="C17" s="171">
        <f>'[2]CMR 422 Master Lookup'!G3</f>
        <v>0.224</v>
      </c>
      <c r="D17" s="172" t="s">
        <v>105</v>
      </c>
      <c r="E17" s="54"/>
      <c r="F17" s="88"/>
      <c r="G17" s="54"/>
      <c r="H17" s="110"/>
      <c r="I17" s="155" t="str">
        <f>$B$18</f>
        <v>Occupancy</v>
      </c>
      <c r="J17" s="147"/>
      <c r="K17" s="147"/>
      <c r="L17" s="173">
        <f>C18</f>
        <v>2663.3888048411495</v>
      </c>
      <c r="M17" s="158">
        <f>L17*L11</f>
        <v>18643.721633888046</v>
      </c>
      <c r="N17" s="54"/>
      <c r="P17" s="174" t="s">
        <v>106</v>
      </c>
      <c r="Q17" s="175"/>
      <c r="R17" s="176"/>
      <c r="S17" s="176"/>
      <c r="T17" s="176"/>
      <c r="U17" s="177" t="s">
        <v>107</v>
      </c>
    </row>
    <row r="18" spans="2:23" ht="15" customHeight="1">
      <c r="B18" s="178" t="s">
        <v>108</v>
      </c>
      <c r="C18" s="179">
        <f>'[2]Below the line 2121'!E5</f>
        <v>2663.3888048411495</v>
      </c>
      <c r="D18" s="87" t="s">
        <v>109</v>
      </c>
      <c r="E18" s="54"/>
      <c r="F18" s="88"/>
      <c r="G18" s="54"/>
      <c r="H18" s="110"/>
      <c r="I18" s="155" t="str">
        <f>$B$19</f>
        <v>Transportation</v>
      </c>
      <c r="J18" s="147"/>
      <c r="K18" s="180"/>
      <c r="L18" s="181">
        <v>0.5</v>
      </c>
      <c r="M18" s="158">
        <f>(L11*C19)*L18</f>
        <v>16420.877458396368</v>
      </c>
      <c r="N18" s="182"/>
      <c r="O18" s="50" t="s">
        <v>110</v>
      </c>
      <c r="P18" s="183" t="s">
        <v>111</v>
      </c>
      <c r="Q18" s="184"/>
      <c r="R18" s="185" t="s">
        <v>112</v>
      </c>
      <c r="S18" s="186">
        <f>M26/4</f>
        <v>22.869830767155065</v>
      </c>
      <c r="T18" s="187" t="s">
        <v>113</v>
      </c>
      <c r="U18" s="188">
        <f>S18*4</f>
        <v>91.479323068620261</v>
      </c>
      <c r="V18" s="189"/>
      <c r="W18" s="189"/>
    </row>
    <row r="19" spans="2:23" ht="15" customHeight="1">
      <c r="B19" s="178" t="s">
        <v>114</v>
      </c>
      <c r="C19" s="179">
        <f>'[2]Below the line 2121'!Q5</f>
        <v>4691.6792738275335</v>
      </c>
      <c r="D19" s="87" t="s">
        <v>115</v>
      </c>
      <c r="E19" s="54"/>
      <c r="F19" s="88"/>
      <c r="G19" s="54"/>
      <c r="H19" s="110"/>
      <c r="I19" s="155" t="str">
        <f>$B$20</f>
        <v>Program Expenses</v>
      </c>
      <c r="J19" s="147"/>
      <c r="K19" s="147"/>
      <c r="L19" s="173">
        <f>C20</f>
        <v>1526.4750378214826</v>
      </c>
      <c r="M19" s="158">
        <f>L19*L11</f>
        <v>10685.325264750378</v>
      </c>
      <c r="N19" s="182"/>
      <c r="P19" s="190" t="s">
        <v>116</v>
      </c>
      <c r="Q19" s="191"/>
      <c r="R19" s="192" t="s">
        <v>117</v>
      </c>
      <c r="S19" s="193">
        <f>S27</f>
        <v>26.336151750444479</v>
      </c>
      <c r="T19" s="194" t="s">
        <v>113</v>
      </c>
      <c r="U19" s="195">
        <f>S19*4+0.02</f>
        <v>105.36460700177791</v>
      </c>
    </row>
    <row r="20" spans="2:23" ht="15" customHeight="1" thickBot="1">
      <c r="B20" s="178" t="s">
        <v>118</v>
      </c>
      <c r="C20" s="179">
        <f>'[2]Below the line 2121'!AO5+'[2]Below the line 2121'!AK5</f>
        <v>1526.4750378214826</v>
      </c>
      <c r="D20" s="87" t="s">
        <v>115</v>
      </c>
      <c r="E20" s="54"/>
      <c r="F20" s="88"/>
      <c r="G20" s="54"/>
      <c r="H20" s="110"/>
      <c r="I20" s="155"/>
      <c r="J20" s="147"/>
      <c r="K20" s="147"/>
      <c r="L20" s="148"/>
      <c r="M20" s="149"/>
      <c r="N20" s="182"/>
      <c r="P20" s="196" t="s">
        <v>119</v>
      </c>
      <c r="Q20" s="197"/>
      <c r="R20" s="198" t="s">
        <v>120</v>
      </c>
      <c r="S20" s="199">
        <f>S35</f>
        <v>29.807782184159112</v>
      </c>
      <c r="T20" s="198" t="s">
        <v>113</v>
      </c>
      <c r="U20" s="200">
        <f>S20*4+0.01</f>
        <v>119.24112873663645</v>
      </c>
    </row>
    <row r="21" spans="2:23" ht="15" customHeight="1">
      <c r="B21" s="178" t="s">
        <v>121</v>
      </c>
      <c r="C21" s="171">
        <f>'[2]CMR 422 Master Lookup'!G4</f>
        <v>0.12</v>
      </c>
      <c r="D21" s="201" t="s">
        <v>122</v>
      </c>
      <c r="E21" s="54"/>
      <c r="F21" s="88"/>
      <c r="G21" s="54"/>
      <c r="H21" s="110"/>
      <c r="I21" s="137" t="s">
        <v>123</v>
      </c>
      <c r="J21" s="138"/>
      <c r="K21" s="138"/>
      <c r="L21" s="202"/>
      <c r="M21" s="140">
        <f>SUM(M15:M19)</f>
        <v>508091.13702903478</v>
      </c>
      <c r="N21" s="54"/>
      <c r="P21" s="52"/>
      <c r="Q21" s="52"/>
      <c r="R21" s="52"/>
      <c r="S21" s="52"/>
      <c r="T21" s="52"/>
      <c r="U21" s="52"/>
    </row>
    <row r="22" spans="2:23" ht="15" customHeight="1" thickBot="1">
      <c r="B22" s="203" t="s">
        <v>124</v>
      </c>
      <c r="C22" s="204">
        <f>'[2]CMR 422 Master Lookup'!G5</f>
        <v>3.7000000000000002E-3</v>
      </c>
      <c r="D22" s="205" t="s">
        <v>125</v>
      </c>
      <c r="E22" s="206"/>
      <c r="F22" s="125"/>
      <c r="G22" s="54"/>
      <c r="H22" s="110"/>
      <c r="I22" s="207" t="s">
        <v>121</v>
      </c>
      <c r="J22" s="208"/>
      <c r="K22" s="209">
        <f>C21</f>
        <v>0.12</v>
      </c>
      <c r="L22" s="210"/>
      <c r="M22" s="211">
        <f>K22*M21</f>
        <v>60970.93644348417</v>
      </c>
      <c r="N22" s="150"/>
      <c r="P22" s="212" t="s">
        <v>126</v>
      </c>
      <c r="Q22" s="212"/>
      <c r="R22" s="213"/>
      <c r="S22" s="214"/>
      <c r="T22" s="215"/>
      <c r="U22" s="52"/>
    </row>
    <row r="23" spans="2:23" ht="15" customHeight="1" thickTop="1" thickBot="1">
      <c r="B23" s="216" t="s">
        <v>127</v>
      </c>
      <c r="C23" s="217">
        <f>'CAF Spring 2021'!CF25</f>
        <v>1.0633805350099574E-2</v>
      </c>
      <c r="D23" s="218" t="s">
        <v>128</v>
      </c>
      <c r="E23" s="219"/>
      <c r="F23" s="220"/>
      <c r="G23" s="54"/>
      <c r="H23" s="110"/>
      <c r="I23" s="221" t="s">
        <v>129</v>
      </c>
      <c r="J23" s="222"/>
      <c r="K23" s="223"/>
      <c r="L23" s="224"/>
      <c r="M23" s="225">
        <f>SUM(M21:M22)</f>
        <v>569062.07347251894</v>
      </c>
      <c r="N23" s="226"/>
      <c r="P23" s="227" t="s">
        <v>130</v>
      </c>
      <c r="Q23" s="228"/>
      <c r="R23" s="228"/>
      <c r="S23" s="229"/>
      <c r="T23" s="230"/>
      <c r="U23" s="52"/>
    </row>
    <row r="24" spans="2:23" ht="15" customHeight="1">
      <c r="B24" s="215"/>
      <c r="C24" s="231">
        <v>2.5399999999999999E-2</v>
      </c>
      <c r="D24" s="232" t="s">
        <v>131</v>
      </c>
      <c r="E24" s="215"/>
      <c r="F24" s="215"/>
      <c r="G24" s="54"/>
      <c r="H24" s="110"/>
      <c r="I24" s="155"/>
      <c r="J24" s="147"/>
      <c r="K24" s="147"/>
      <c r="L24" s="148"/>
      <c r="M24" s="149"/>
      <c r="N24" s="116"/>
      <c r="P24" s="233" t="s">
        <v>132</v>
      </c>
      <c r="Q24" s="234"/>
      <c r="R24" s="234"/>
      <c r="S24" s="235"/>
      <c r="T24" s="236"/>
      <c r="U24" s="189"/>
    </row>
    <row r="25" spans="2:23" ht="15" customHeight="1">
      <c r="B25" s="237"/>
      <c r="C25" s="238">
        <v>2.7199999999999998E-2</v>
      </c>
      <c r="D25" s="239" t="s">
        <v>131</v>
      </c>
      <c r="E25" s="215"/>
      <c r="F25" s="215"/>
      <c r="G25" s="54"/>
      <c r="H25" s="110"/>
      <c r="I25" s="155" t="s">
        <v>133</v>
      </c>
      <c r="J25" s="147"/>
      <c r="K25" s="240">
        <f>C23</f>
        <v>1.0633805350099574E-2</v>
      </c>
      <c r="L25" s="148"/>
      <c r="M25" s="241">
        <f>M23*(1+K25)</f>
        <v>575113.36879394983</v>
      </c>
      <c r="N25" s="54"/>
      <c r="P25" s="233" t="s">
        <v>134</v>
      </c>
      <c r="Q25" s="234"/>
      <c r="R25" s="234"/>
      <c r="S25" s="242">
        <f>(15*0.45)*2</f>
        <v>13.5</v>
      </c>
      <c r="T25" s="243" t="s">
        <v>135</v>
      </c>
    </row>
    <row r="26" spans="2:23" ht="15" customHeight="1">
      <c r="C26" s="244">
        <v>1.8100000000000002E-2</v>
      </c>
      <c r="D26" s="239" t="s">
        <v>131</v>
      </c>
      <c r="F26" s="110"/>
      <c r="G26" s="215"/>
      <c r="H26" s="110"/>
      <c r="I26" s="245" t="s">
        <v>136</v>
      </c>
      <c r="J26" s="246"/>
      <c r="K26" s="247">
        <v>1</v>
      </c>
      <c r="L26" s="248"/>
      <c r="M26" s="249">
        <f>M25/M4+0.01</f>
        <v>91.479323068620261</v>
      </c>
      <c r="N26" s="150"/>
      <c r="P26" s="233" t="s">
        <v>137</v>
      </c>
      <c r="Q26" s="234"/>
      <c r="R26" s="234"/>
      <c r="S26" s="242">
        <v>3.466320983289414</v>
      </c>
      <c r="T26" s="243" t="s">
        <v>138</v>
      </c>
    </row>
    <row r="27" spans="2:23" ht="15" customHeight="1">
      <c r="F27" s="110"/>
      <c r="G27" s="215"/>
      <c r="H27" s="110"/>
      <c r="I27" s="250" t="s">
        <v>139</v>
      </c>
      <c r="J27" s="251"/>
      <c r="K27" s="252">
        <v>0.9</v>
      </c>
      <c r="L27" s="253"/>
      <c r="M27" s="254">
        <f>M26/K27</f>
        <v>101.64369229846696</v>
      </c>
      <c r="N27" s="54"/>
      <c r="P27" s="233" t="s">
        <v>140</v>
      </c>
      <c r="Q27" s="234"/>
      <c r="R27" s="234"/>
      <c r="S27" s="242">
        <f>S18+S26</f>
        <v>26.336151750444479</v>
      </c>
      <c r="T27" s="243" t="s">
        <v>141</v>
      </c>
    </row>
    <row r="28" spans="2:23" ht="15" customHeight="1" thickBot="1">
      <c r="F28" s="110"/>
      <c r="G28" s="110"/>
      <c r="H28" s="110"/>
      <c r="I28" s="255"/>
      <c r="J28" s="256"/>
      <c r="K28" s="257">
        <v>0.85</v>
      </c>
      <c r="L28" s="258"/>
      <c r="M28" s="259">
        <f>M26/K28</f>
        <v>107.62273302190619</v>
      </c>
      <c r="N28" s="260"/>
      <c r="P28" s="261" t="s">
        <v>142</v>
      </c>
      <c r="Q28" s="262"/>
      <c r="R28" s="262"/>
      <c r="S28" s="263">
        <f>S27*4+0.02</f>
        <v>105.36460700177791</v>
      </c>
      <c r="T28" s="264" t="s">
        <v>143</v>
      </c>
      <c r="U28" s="189"/>
    </row>
    <row r="29" spans="2:23" ht="15" customHeight="1">
      <c r="G29" s="110"/>
      <c r="H29" s="110"/>
      <c r="J29" s="143"/>
      <c r="N29" s="54"/>
      <c r="P29" s="52"/>
      <c r="Q29" s="52"/>
      <c r="R29" s="52"/>
      <c r="S29" s="265"/>
      <c r="T29" s="52"/>
      <c r="U29" s="189"/>
    </row>
    <row r="30" spans="2:23" ht="15" customHeight="1" thickBot="1">
      <c r="F30" s="110"/>
      <c r="G30" s="110"/>
      <c r="H30" s="110"/>
      <c r="J30" s="143"/>
      <c r="M30" s="266"/>
      <c r="N30" s="267"/>
      <c r="P30" s="212" t="s">
        <v>144</v>
      </c>
      <c r="Q30" s="212"/>
      <c r="R30" s="213"/>
      <c r="S30" s="214"/>
      <c r="T30" s="215"/>
      <c r="U30" s="189"/>
    </row>
    <row r="31" spans="2:23" ht="15" customHeight="1">
      <c r="F31" s="110"/>
      <c r="H31" s="110"/>
      <c r="N31" s="268"/>
      <c r="P31" s="227" t="s">
        <v>145</v>
      </c>
      <c r="Q31" s="228"/>
      <c r="R31" s="228"/>
      <c r="S31" s="229"/>
      <c r="T31" s="230"/>
      <c r="U31" s="269"/>
    </row>
    <row r="32" spans="2:23" ht="15" customHeight="1">
      <c r="G32" s="110"/>
      <c r="H32" s="110"/>
      <c r="N32" s="268"/>
      <c r="P32" s="233" t="s">
        <v>132</v>
      </c>
      <c r="Q32" s="234"/>
      <c r="R32" s="234"/>
      <c r="S32" s="235"/>
      <c r="T32" s="236"/>
    </row>
    <row r="33" spans="7:21" ht="15" customHeight="1">
      <c r="G33" s="110"/>
      <c r="H33" s="110"/>
      <c r="O33" s="52"/>
      <c r="P33" s="233" t="s">
        <v>134</v>
      </c>
      <c r="Q33" s="234"/>
      <c r="R33" s="234"/>
      <c r="S33" s="242">
        <f>(30*0.45)*2</f>
        <v>27</v>
      </c>
      <c r="T33" s="243" t="s">
        <v>135</v>
      </c>
    </row>
    <row r="34" spans="7:21" ht="15" customHeight="1">
      <c r="H34" s="110"/>
      <c r="P34" s="233" t="s">
        <v>137</v>
      </c>
      <c r="Q34" s="234"/>
      <c r="R34" s="234"/>
      <c r="S34" s="242">
        <v>6.9379514170040482</v>
      </c>
      <c r="T34" s="243" t="s">
        <v>138</v>
      </c>
      <c r="U34" s="189"/>
    </row>
    <row r="35" spans="7:21" ht="15" customHeight="1">
      <c r="H35" s="110"/>
      <c r="K35" s="270"/>
      <c r="P35" s="233" t="s">
        <v>146</v>
      </c>
      <c r="Q35" s="234"/>
      <c r="R35" s="234"/>
      <c r="S35" s="242">
        <f>S18+S34</f>
        <v>29.807782184159112</v>
      </c>
      <c r="T35" s="243" t="s">
        <v>141</v>
      </c>
    </row>
    <row r="36" spans="7:21" ht="15" customHeight="1" thickBot="1">
      <c r="H36" s="110"/>
      <c r="P36" s="261" t="s">
        <v>147</v>
      </c>
      <c r="Q36" s="262"/>
      <c r="R36" s="262"/>
      <c r="S36" s="263">
        <f>S35*4+0.01</f>
        <v>119.24112873663645</v>
      </c>
      <c r="T36" s="264" t="s">
        <v>143</v>
      </c>
    </row>
    <row r="37" spans="7:21" ht="15" customHeight="1">
      <c r="H37" s="110"/>
      <c r="P37" s="52"/>
      <c r="Q37" s="52"/>
      <c r="R37" s="52"/>
      <c r="S37" s="52"/>
      <c r="T37" s="52"/>
    </row>
    <row r="38" spans="7:21" ht="15" customHeight="1">
      <c r="H38" s="110"/>
      <c r="P38" s="52"/>
      <c r="Q38" s="52"/>
      <c r="R38" s="52"/>
      <c r="S38" s="215"/>
      <c r="T38" s="52"/>
    </row>
    <row r="40" spans="7:21" ht="15" customHeight="1">
      <c r="H40" s="110"/>
    </row>
    <row r="41" spans="7:21" ht="15" customHeight="1">
      <c r="H41" s="110"/>
    </row>
    <row r="72" spans="8:8" ht="24.75" customHeight="1">
      <c r="H72" s="271" t="s">
        <v>148</v>
      </c>
    </row>
  </sheetData>
  <mergeCells count="9">
    <mergeCell ref="P18:Q18"/>
    <mergeCell ref="P19:Q19"/>
    <mergeCell ref="P20:Q20"/>
    <mergeCell ref="B2:E2"/>
    <mergeCell ref="B3:F3"/>
    <mergeCell ref="I3:M3"/>
    <mergeCell ref="P3:Q3"/>
    <mergeCell ref="B4:C4"/>
    <mergeCell ref="D4:F4"/>
  </mergeCells>
  <pageMargins left="0.25" right="0" top="0.25" bottom="0.25" header="0.3" footer="0.3"/>
  <pageSetup scale="60" orientation="landscape" cellComments="asDisplayed"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90" zoomScaleNormal="90" workbookViewId="0">
      <selection activeCell="N21" sqref="N21"/>
    </sheetView>
  </sheetViews>
  <sheetFormatPr defaultRowHeight="14.4"/>
  <cols>
    <col min="2" max="2" width="21.21875" bestFit="1" customWidth="1"/>
    <col min="3" max="3" width="9" bestFit="1" customWidth="1"/>
    <col min="4" max="4" width="29.44140625" customWidth="1"/>
    <col min="6" max="6" width="22.77734375" customWidth="1"/>
    <col min="7" max="7" width="12" bestFit="1" customWidth="1"/>
    <col min="8" max="8" width="13.21875" bestFit="1" customWidth="1"/>
    <col min="9" max="9" width="11.21875" bestFit="1" customWidth="1"/>
    <col min="10" max="10" width="6.44140625" bestFit="1" customWidth="1"/>
    <col min="11" max="11" width="11.5546875" customWidth="1"/>
    <col min="12" max="12" width="15.5546875" customWidth="1"/>
    <col min="260" max="260" width="28.21875" bestFit="1" customWidth="1"/>
    <col min="262" max="262" width="11.21875" bestFit="1" customWidth="1"/>
    <col min="263" max="263" width="13.21875" bestFit="1" customWidth="1"/>
    <col min="266" max="266" width="19.44140625" bestFit="1" customWidth="1"/>
    <col min="267" max="267" width="12" bestFit="1" customWidth="1"/>
    <col min="268" max="268" width="49.44140625" bestFit="1" customWidth="1"/>
    <col min="516" max="516" width="28.21875" bestFit="1" customWidth="1"/>
    <col min="518" max="518" width="11.21875" bestFit="1" customWidth="1"/>
    <col min="519" max="519" width="13.21875" bestFit="1" customWidth="1"/>
    <col min="522" max="522" width="19.44140625" bestFit="1" customWidth="1"/>
    <col min="523" max="523" width="12" bestFit="1" customWidth="1"/>
    <col min="524" max="524" width="49.44140625" bestFit="1" customWidth="1"/>
    <col min="772" max="772" width="28.21875" bestFit="1" customWidth="1"/>
    <col min="774" max="774" width="11.21875" bestFit="1" customWidth="1"/>
    <col min="775" max="775" width="13.21875" bestFit="1" customWidth="1"/>
    <col min="778" max="778" width="19.44140625" bestFit="1" customWidth="1"/>
    <col min="779" max="779" width="12" bestFit="1" customWidth="1"/>
    <col min="780" max="780" width="49.44140625" bestFit="1" customWidth="1"/>
    <col min="1028" max="1028" width="28.21875" bestFit="1" customWidth="1"/>
    <col min="1030" max="1030" width="11.21875" bestFit="1" customWidth="1"/>
    <col min="1031" max="1031" width="13.21875" bestFit="1" customWidth="1"/>
    <col min="1034" max="1034" width="19.44140625" bestFit="1" customWidth="1"/>
    <col min="1035" max="1035" width="12" bestFit="1" customWidth="1"/>
    <col min="1036" max="1036" width="49.44140625" bestFit="1" customWidth="1"/>
    <col min="1284" max="1284" width="28.21875" bestFit="1" customWidth="1"/>
    <col min="1286" max="1286" width="11.21875" bestFit="1" customWidth="1"/>
    <col min="1287" max="1287" width="13.21875" bestFit="1" customWidth="1"/>
    <col min="1290" max="1290" width="19.44140625" bestFit="1" customWidth="1"/>
    <col min="1291" max="1291" width="12" bestFit="1" customWidth="1"/>
    <col min="1292" max="1292" width="49.44140625" bestFit="1" customWidth="1"/>
    <col min="1540" max="1540" width="28.21875" bestFit="1" customWidth="1"/>
    <col min="1542" max="1542" width="11.21875" bestFit="1" customWidth="1"/>
    <col min="1543" max="1543" width="13.21875" bestFit="1" customWidth="1"/>
    <col min="1546" max="1546" width="19.44140625" bestFit="1" customWidth="1"/>
    <col min="1547" max="1547" width="12" bestFit="1" customWidth="1"/>
    <col min="1548" max="1548" width="49.44140625" bestFit="1" customWidth="1"/>
    <col min="1796" max="1796" width="28.21875" bestFit="1" customWidth="1"/>
    <col min="1798" max="1798" width="11.21875" bestFit="1" customWidth="1"/>
    <col min="1799" max="1799" width="13.21875" bestFit="1" customWidth="1"/>
    <col min="1802" max="1802" width="19.44140625" bestFit="1" customWidth="1"/>
    <col min="1803" max="1803" width="12" bestFit="1" customWidth="1"/>
    <col min="1804" max="1804" width="49.44140625" bestFit="1" customWidth="1"/>
    <col min="2052" max="2052" width="28.21875" bestFit="1" customWidth="1"/>
    <col min="2054" max="2054" width="11.21875" bestFit="1" customWidth="1"/>
    <col min="2055" max="2055" width="13.21875" bestFit="1" customWidth="1"/>
    <col min="2058" max="2058" width="19.44140625" bestFit="1" customWidth="1"/>
    <col min="2059" max="2059" width="12" bestFit="1" customWidth="1"/>
    <col min="2060" max="2060" width="49.44140625" bestFit="1" customWidth="1"/>
    <col min="2308" max="2308" width="28.21875" bestFit="1" customWidth="1"/>
    <col min="2310" max="2310" width="11.21875" bestFit="1" customWidth="1"/>
    <col min="2311" max="2311" width="13.21875" bestFit="1" customWidth="1"/>
    <col min="2314" max="2314" width="19.44140625" bestFit="1" customWidth="1"/>
    <col min="2315" max="2315" width="12" bestFit="1" customWidth="1"/>
    <col min="2316" max="2316" width="49.44140625" bestFit="1" customWidth="1"/>
    <col min="2564" max="2564" width="28.21875" bestFit="1" customWidth="1"/>
    <col min="2566" max="2566" width="11.21875" bestFit="1" customWidth="1"/>
    <col min="2567" max="2567" width="13.21875" bestFit="1" customWidth="1"/>
    <col min="2570" max="2570" width="19.44140625" bestFit="1" customWidth="1"/>
    <col min="2571" max="2571" width="12" bestFit="1" customWidth="1"/>
    <col min="2572" max="2572" width="49.44140625" bestFit="1" customWidth="1"/>
    <col min="2820" max="2820" width="28.21875" bestFit="1" customWidth="1"/>
    <col min="2822" max="2822" width="11.21875" bestFit="1" customWidth="1"/>
    <col min="2823" max="2823" width="13.21875" bestFit="1" customWidth="1"/>
    <col min="2826" max="2826" width="19.44140625" bestFit="1" customWidth="1"/>
    <col min="2827" max="2827" width="12" bestFit="1" customWidth="1"/>
    <col min="2828" max="2828" width="49.44140625" bestFit="1" customWidth="1"/>
    <col min="3076" max="3076" width="28.21875" bestFit="1" customWidth="1"/>
    <col min="3078" max="3078" width="11.21875" bestFit="1" customWidth="1"/>
    <col min="3079" max="3079" width="13.21875" bestFit="1" customWidth="1"/>
    <col min="3082" max="3082" width="19.44140625" bestFit="1" customWidth="1"/>
    <col min="3083" max="3083" width="12" bestFit="1" customWidth="1"/>
    <col min="3084" max="3084" width="49.44140625" bestFit="1" customWidth="1"/>
    <col min="3332" max="3332" width="28.21875" bestFit="1" customWidth="1"/>
    <col min="3334" max="3334" width="11.21875" bestFit="1" customWidth="1"/>
    <col min="3335" max="3335" width="13.21875" bestFit="1" customWidth="1"/>
    <col min="3338" max="3338" width="19.44140625" bestFit="1" customWidth="1"/>
    <col min="3339" max="3339" width="12" bestFit="1" customWidth="1"/>
    <col min="3340" max="3340" width="49.44140625" bestFit="1" customWidth="1"/>
    <col min="3588" max="3588" width="28.21875" bestFit="1" customWidth="1"/>
    <col min="3590" max="3590" width="11.21875" bestFit="1" customWidth="1"/>
    <col min="3591" max="3591" width="13.21875" bestFit="1" customWidth="1"/>
    <col min="3594" max="3594" width="19.44140625" bestFit="1" customWidth="1"/>
    <col min="3595" max="3595" width="12" bestFit="1" customWidth="1"/>
    <col min="3596" max="3596" width="49.44140625" bestFit="1" customWidth="1"/>
    <col min="3844" max="3844" width="28.21875" bestFit="1" customWidth="1"/>
    <col min="3846" max="3846" width="11.21875" bestFit="1" customWidth="1"/>
    <col min="3847" max="3847" width="13.21875" bestFit="1" customWidth="1"/>
    <col min="3850" max="3850" width="19.44140625" bestFit="1" customWidth="1"/>
    <col min="3851" max="3851" width="12" bestFit="1" customWidth="1"/>
    <col min="3852" max="3852" width="49.44140625" bestFit="1" customWidth="1"/>
    <col min="4100" max="4100" width="28.21875" bestFit="1" customWidth="1"/>
    <col min="4102" max="4102" width="11.21875" bestFit="1" customWidth="1"/>
    <col min="4103" max="4103" width="13.21875" bestFit="1" customWidth="1"/>
    <col min="4106" max="4106" width="19.44140625" bestFit="1" customWidth="1"/>
    <col min="4107" max="4107" width="12" bestFit="1" customWidth="1"/>
    <col min="4108" max="4108" width="49.44140625" bestFit="1" customWidth="1"/>
    <col min="4356" max="4356" width="28.21875" bestFit="1" customWidth="1"/>
    <col min="4358" max="4358" width="11.21875" bestFit="1" customWidth="1"/>
    <col min="4359" max="4359" width="13.21875" bestFit="1" customWidth="1"/>
    <col min="4362" max="4362" width="19.44140625" bestFit="1" customWidth="1"/>
    <col min="4363" max="4363" width="12" bestFit="1" customWidth="1"/>
    <col min="4364" max="4364" width="49.44140625" bestFit="1" customWidth="1"/>
    <col min="4612" max="4612" width="28.21875" bestFit="1" customWidth="1"/>
    <col min="4614" max="4614" width="11.21875" bestFit="1" customWidth="1"/>
    <col min="4615" max="4615" width="13.21875" bestFit="1" customWidth="1"/>
    <col min="4618" max="4618" width="19.44140625" bestFit="1" customWidth="1"/>
    <col min="4619" max="4619" width="12" bestFit="1" customWidth="1"/>
    <col min="4620" max="4620" width="49.44140625" bestFit="1" customWidth="1"/>
    <col min="4868" max="4868" width="28.21875" bestFit="1" customWidth="1"/>
    <col min="4870" max="4870" width="11.21875" bestFit="1" customWidth="1"/>
    <col min="4871" max="4871" width="13.21875" bestFit="1" customWidth="1"/>
    <col min="4874" max="4874" width="19.44140625" bestFit="1" customWidth="1"/>
    <col min="4875" max="4875" width="12" bestFit="1" customWidth="1"/>
    <col min="4876" max="4876" width="49.44140625" bestFit="1" customWidth="1"/>
    <col min="5124" max="5124" width="28.21875" bestFit="1" customWidth="1"/>
    <col min="5126" max="5126" width="11.21875" bestFit="1" customWidth="1"/>
    <col min="5127" max="5127" width="13.21875" bestFit="1" customWidth="1"/>
    <col min="5130" max="5130" width="19.44140625" bestFit="1" customWidth="1"/>
    <col min="5131" max="5131" width="12" bestFit="1" customWidth="1"/>
    <col min="5132" max="5132" width="49.44140625" bestFit="1" customWidth="1"/>
    <col min="5380" max="5380" width="28.21875" bestFit="1" customWidth="1"/>
    <col min="5382" max="5382" width="11.21875" bestFit="1" customWidth="1"/>
    <col min="5383" max="5383" width="13.21875" bestFit="1" customWidth="1"/>
    <col min="5386" max="5386" width="19.44140625" bestFit="1" customWidth="1"/>
    <col min="5387" max="5387" width="12" bestFit="1" customWidth="1"/>
    <col min="5388" max="5388" width="49.44140625" bestFit="1" customWidth="1"/>
    <col min="5636" max="5636" width="28.21875" bestFit="1" customWidth="1"/>
    <col min="5638" max="5638" width="11.21875" bestFit="1" customWidth="1"/>
    <col min="5639" max="5639" width="13.21875" bestFit="1" customWidth="1"/>
    <col min="5642" max="5642" width="19.44140625" bestFit="1" customWidth="1"/>
    <col min="5643" max="5643" width="12" bestFit="1" customWidth="1"/>
    <col min="5644" max="5644" width="49.44140625" bestFit="1" customWidth="1"/>
    <col min="5892" max="5892" width="28.21875" bestFit="1" customWidth="1"/>
    <col min="5894" max="5894" width="11.21875" bestFit="1" customWidth="1"/>
    <col min="5895" max="5895" width="13.21875" bestFit="1" customWidth="1"/>
    <col min="5898" max="5898" width="19.44140625" bestFit="1" customWidth="1"/>
    <col min="5899" max="5899" width="12" bestFit="1" customWidth="1"/>
    <col min="5900" max="5900" width="49.44140625" bestFit="1" customWidth="1"/>
    <col min="6148" max="6148" width="28.21875" bestFit="1" customWidth="1"/>
    <col min="6150" max="6150" width="11.21875" bestFit="1" customWidth="1"/>
    <col min="6151" max="6151" width="13.21875" bestFit="1" customWidth="1"/>
    <col min="6154" max="6154" width="19.44140625" bestFit="1" customWidth="1"/>
    <col min="6155" max="6155" width="12" bestFit="1" customWidth="1"/>
    <col min="6156" max="6156" width="49.44140625" bestFit="1" customWidth="1"/>
    <col min="6404" max="6404" width="28.21875" bestFit="1" customWidth="1"/>
    <col min="6406" max="6406" width="11.21875" bestFit="1" customWidth="1"/>
    <col min="6407" max="6407" width="13.21875" bestFit="1" customWidth="1"/>
    <col min="6410" max="6410" width="19.44140625" bestFit="1" customWidth="1"/>
    <col min="6411" max="6411" width="12" bestFit="1" customWidth="1"/>
    <col min="6412" max="6412" width="49.44140625" bestFit="1" customWidth="1"/>
    <col min="6660" max="6660" width="28.21875" bestFit="1" customWidth="1"/>
    <col min="6662" max="6662" width="11.21875" bestFit="1" customWidth="1"/>
    <col min="6663" max="6663" width="13.21875" bestFit="1" customWidth="1"/>
    <col min="6666" max="6666" width="19.44140625" bestFit="1" customWidth="1"/>
    <col min="6667" max="6667" width="12" bestFit="1" customWidth="1"/>
    <col min="6668" max="6668" width="49.44140625" bestFit="1" customWidth="1"/>
    <col min="6916" max="6916" width="28.21875" bestFit="1" customWidth="1"/>
    <col min="6918" max="6918" width="11.21875" bestFit="1" customWidth="1"/>
    <col min="6919" max="6919" width="13.21875" bestFit="1" customWidth="1"/>
    <col min="6922" max="6922" width="19.44140625" bestFit="1" customWidth="1"/>
    <col min="6923" max="6923" width="12" bestFit="1" customWidth="1"/>
    <col min="6924" max="6924" width="49.44140625" bestFit="1" customWidth="1"/>
    <col min="7172" max="7172" width="28.21875" bestFit="1" customWidth="1"/>
    <col min="7174" max="7174" width="11.21875" bestFit="1" customWidth="1"/>
    <col min="7175" max="7175" width="13.21875" bestFit="1" customWidth="1"/>
    <col min="7178" max="7178" width="19.44140625" bestFit="1" customWidth="1"/>
    <col min="7179" max="7179" width="12" bestFit="1" customWidth="1"/>
    <col min="7180" max="7180" width="49.44140625" bestFit="1" customWidth="1"/>
    <col min="7428" max="7428" width="28.21875" bestFit="1" customWidth="1"/>
    <col min="7430" max="7430" width="11.21875" bestFit="1" customWidth="1"/>
    <col min="7431" max="7431" width="13.21875" bestFit="1" customWidth="1"/>
    <col min="7434" max="7434" width="19.44140625" bestFit="1" customWidth="1"/>
    <col min="7435" max="7435" width="12" bestFit="1" customWidth="1"/>
    <col min="7436" max="7436" width="49.44140625" bestFit="1" customWidth="1"/>
    <col min="7684" max="7684" width="28.21875" bestFit="1" customWidth="1"/>
    <col min="7686" max="7686" width="11.21875" bestFit="1" customWidth="1"/>
    <col min="7687" max="7687" width="13.21875" bestFit="1" customWidth="1"/>
    <col min="7690" max="7690" width="19.44140625" bestFit="1" customWidth="1"/>
    <col min="7691" max="7691" width="12" bestFit="1" customWidth="1"/>
    <col min="7692" max="7692" width="49.44140625" bestFit="1" customWidth="1"/>
    <col min="7940" max="7940" width="28.21875" bestFit="1" customWidth="1"/>
    <col min="7942" max="7942" width="11.21875" bestFit="1" customWidth="1"/>
    <col min="7943" max="7943" width="13.21875" bestFit="1" customWidth="1"/>
    <col min="7946" max="7946" width="19.44140625" bestFit="1" customWidth="1"/>
    <col min="7947" max="7947" width="12" bestFit="1" customWidth="1"/>
    <col min="7948" max="7948" width="49.44140625" bestFit="1" customWidth="1"/>
    <col min="8196" max="8196" width="28.21875" bestFit="1" customWidth="1"/>
    <col min="8198" max="8198" width="11.21875" bestFit="1" customWidth="1"/>
    <col min="8199" max="8199" width="13.21875" bestFit="1" customWidth="1"/>
    <col min="8202" max="8202" width="19.44140625" bestFit="1" customWidth="1"/>
    <col min="8203" max="8203" width="12" bestFit="1" customWidth="1"/>
    <col min="8204" max="8204" width="49.44140625" bestFit="1" customWidth="1"/>
    <col min="8452" max="8452" width="28.21875" bestFit="1" customWidth="1"/>
    <col min="8454" max="8454" width="11.21875" bestFit="1" customWidth="1"/>
    <col min="8455" max="8455" width="13.21875" bestFit="1" customWidth="1"/>
    <col min="8458" max="8458" width="19.44140625" bestFit="1" customWidth="1"/>
    <col min="8459" max="8459" width="12" bestFit="1" customWidth="1"/>
    <col min="8460" max="8460" width="49.44140625" bestFit="1" customWidth="1"/>
    <col min="8708" max="8708" width="28.21875" bestFit="1" customWidth="1"/>
    <col min="8710" max="8710" width="11.21875" bestFit="1" customWidth="1"/>
    <col min="8711" max="8711" width="13.21875" bestFit="1" customWidth="1"/>
    <col min="8714" max="8714" width="19.44140625" bestFit="1" customWidth="1"/>
    <col min="8715" max="8715" width="12" bestFit="1" customWidth="1"/>
    <col min="8716" max="8716" width="49.44140625" bestFit="1" customWidth="1"/>
    <col min="8964" max="8964" width="28.21875" bestFit="1" customWidth="1"/>
    <col min="8966" max="8966" width="11.21875" bestFit="1" customWidth="1"/>
    <col min="8967" max="8967" width="13.21875" bestFit="1" customWidth="1"/>
    <col min="8970" max="8970" width="19.44140625" bestFit="1" customWidth="1"/>
    <col min="8971" max="8971" width="12" bestFit="1" customWidth="1"/>
    <col min="8972" max="8972" width="49.44140625" bestFit="1" customWidth="1"/>
    <col min="9220" max="9220" width="28.21875" bestFit="1" customWidth="1"/>
    <col min="9222" max="9222" width="11.21875" bestFit="1" customWidth="1"/>
    <col min="9223" max="9223" width="13.21875" bestFit="1" customWidth="1"/>
    <col min="9226" max="9226" width="19.44140625" bestFit="1" customWidth="1"/>
    <col min="9227" max="9227" width="12" bestFit="1" customWidth="1"/>
    <col min="9228" max="9228" width="49.44140625" bestFit="1" customWidth="1"/>
    <col min="9476" max="9476" width="28.21875" bestFit="1" customWidth="1"/>
    <col min="9478" max="9478" width="11.21875" bestFit="1" customWidth="1"/>
    <col min="9479" max="9479" width="13.21875" bestFit="1" customWidth="1"/>
    <col min="9482" max="9482" width="19.44140625" bestFit="1" customWidth="1"/>
    <col min="9483" max="9483" width="12" bestFit="1" customWidth="1"/>
    <col min="9484" max="9484" width="49.44140625" bestFit="1" customWidth="1"/>
    <col min="9732" max="9732" width="28.21875" bestFit="1" customWidth="1"/>
    <col min="9734" max="9734" width="11.21875" bestFit="1" customWidth="1"/>
    <col min="9735" max="9735" width="13.21875" bestFit="1" customWidth="1"/>
    <col min="9738" max="9738" width="19.44140625" bestFit="1" customWidth="1"/>
    <col min="9739" max="9739" width="12" bestFit="1" customWidth="1"/>
    <col min="9740" max="9740" width="49.44140625" bestFit="1" customWidth="1"/>
    <col min="9988" max="9988" width="28.21875" bestFit="1" customWidth="1"/>
    <col min="9990" max="9990" width="11.21875" bestFit="1" customWidth="1"/>
    <col min="9991" max="9991" width="13.21875" bestFit="1" customWidth="1"/>
    <col min="9994" max="9994" width="19.44140625" bestFit="1" customWidth="1"/>
    <col min="9995" max="9995" width="12" bestFit="1" customWidth="1"/>
    <col min="9996" max="9996" width="49.44140625" bestFit="1" customWidth="1"/>
    <col min="10244" max="10244" width="28.21875" bestFit="1" customWidth="1"/>
    <col min="10246" max="10246" width="11.21875" bestFit="1" customWidth="1"/>
    <col min="10247" max="10247" width="13.21875" bestFit="1" customWidth="1"/>
    <col min="10250" max="10250" width="19.44140625" bestFit="1" customWidth="1"/>
    <col min="10251" max="10251" width="12" bestFit="1" customWidth="1"/>
    <col min="10252" max="10252" width="49.44140625" bestFit="1" customWidth="1"/>
    <col min="10500" max="10500" width="28.21875" bestFit="1" customWidth="1"/>
    <col min="10502" max="10502" width="11.21875" bestFit="1" customWidth="1"/>
    <col min="10503" max="10503" width="13.21875" bestFit="1" customWidth="1"/>
    <col min="10506" max="10506" width="19.44140625" bestFit="1" customWidth="1"/>
    <col min="10507" max="10507" width="12" bestFit="1" customWidth="1"/>
    <col min="10508" max="10508" width="49.44140625" bestFit="1" customWidth="1"/>
    <col min="10756" max="10756" width="28.21875" bestFit="1" customWidth="1"/>
    <col min="10758" max="10758" width="11.21875" bestFit="1" customWidth="1"/>
    <col min="10759" max="10759" width="13.21875" bestFit="1" customWidth="1"/>
    <col min="10762" max="10762" width="19.44140625" bestFit="1" customWidth="1"/>
    <col min="10763" max="10763" width="12" bestFit="1" customWidth="1"/>
    <col min="10764" max="10764" width="49.44140625" bestFit="1" customWidth="1"/>
    <col min="11012" max="11012" width="28.21875" bestFit="1" customWidth="1"/>
    <col min="11014" max="11014" width="11.21875" bestFit="1" customWidth="1"/>
    <col min="11015" max="11015" width="13.21875" bestFit="1" customWidth="1"/>
    <col min="11018" max="11018" width="19.44140625" bestFit="1" customWidth="1"/>
    <col min="11019" max="11019" width="12" bestFit="1" customWidth="1"/>
    <col min="11020" max="11020" width="49.44140625" bestFit="1" customWidth="1"/>
    <col min="11268" max="11268" width="28.21875" bestFit="1" customWidth="1"/>
    <col min="11270" max="11270" width="11.21875" bestFit="1" customWidth="1"/>
    <col min="11271" max="11271" width="13.21875" bestFit="1" customWidth="1"/>
    <col min="11274" max="11274" width="19.44140625" bestFit="1" customWidth="1"/>
    <col min="11275" max="11275" width="12" bestFit="1" customWidth="1"/>
    <col min="11276" max="11276" width="49.44140625" bestFit="1" customWidth="1"/>
    <col min="11524" max="11524" width="28.21875" bestFit="1" customWidth="1"/>
    <col min="11526" max="11526" width="11.21875" bestFit="1" customWidth="1"/>
    <col min="11527" max="11527" width="13.21875" bestFit="1" customWidth="1"/>
    <col min="11530" max="11530" width="19.44140625" bestFit="1" customWidth="1"/>
    <col min="11531" max="11531" width="12" bestFit="1" customWidth="1"/>
    <col min="11532" max="11532" width="49.44140625" bestFit="1" customWidth="1"/>
    <col min="11780" max="11780" width="28.21875" bestFit="1" customWidth="1"/>
    <col min="11782" max="11782" width="11.21875" bestFit="1" customWidth="1"/>
    <col min="11783" max="11783" width="13.21875" bestFit="1" customWidth="1"/>
    <col min="11786" max="11786" width="19.44140625" bestFit="1" customWidth="1"/>
    <col min="11787" max="11787" width="12" bestFit="1" customWidth="1"/>
    <col min="11788" max="11788" width="49.44140625" bestFit="1" customWidth="1"/>
    <col min="12036" max="12036" width="28.21875" bestFit="1" customWidth="1"/>
    <col min="12038" max="12038" width="11.21875" bestFit="1" customWidth="1"/>
    <col min="12039" max="12039" width="13.21875" bestFit="1" customWidth="1"/>
    <col min="12042" max="12042" width="19.44140625" bestFit="1" customWidth="1"/>
    <col min="12043" max="12043" width="12" bestFit="1" customWidth="1"/>
    <col min="12044" max="12044" width="49.44140625" bestFit="1" customWidth="1"/>
    <col min="12292" max="12292" width="28.21875" bestFit="1" customWidth="1"/>
    <col min="12294" max="12294" width="11.21875" bestFit="1" customWidth="1"/>
    <col min="12295" max="12295" width="13.21875" bestFit="1" customWidth="1"/>
    <col min="12298" max="12298" width="19.44140625" bestFit="1" customWidth="1"/>
    <col min="12299" max="12299" width="12" bestFit="1" customWidth="1"/>
    <col min="12300" max="12300" width="49.44140625" bestFit="1" customWidth="1"/>
    <col min="12548" max="12548" width="28.21875" bestFit="1" customWidth="1"/>
    <col min="12550" max="12550" width="11.21875" bestFit="1" customWidth="1"/>
    <col min="12551" max="12551" width="13.21875" bestFit="1" customWidth="1"/>
    <col min="12554" max="12554" width="19.44140625" bestFit="1" customWidth="1"/>
    <col min="12555" max="12555" width="12" bestFit="1" customWidth="1"/>
    <col min="12556" max="12556" width="49.44140625" bestFit="1" customWidth="1"/>
    <col min="12804" max="12804" width="28.21875" bestFit="1" customWidth="1"/>
    <col min="12806" max="12806" width="11.21875" bestFit="1" customWidth="1"/>
    <col min="12807" max="12807" width="13.21875" bestFit="1" customWidth="1"/>
    <col min="12810" max="12810" width="19.44140625" bestFit="1" customWidth="1"/>
    <col min="12811" max="12811" width="12" bestFit="1" customWidth="1"/>
    <col min="12812" max="12812" width="49.44140625" bestFit="1" customWidth="1"/>
    <col min="13060" max="13060" width="28.21875" bestFit="1" customWidth="1"/>
    <col min="13062" max="13062" width="11.21875" bestFit="1" customWidth="1"/>
    <col min="13063" max="13063" width="13.21875" bestFit="1" customWidth="1"/>
    <col min="13066" max="13066" width="19.44140625" bestFit="1" customWidth="1"/>
    <col min="13067" max="13067" width="12" bestFit="1" customWidth="1"/>
    <col min="13068" max="13068" width="49.44140625" bestFit="1" customWidth="1"/>
    <col min="13316" max="13316" width="28.21875" bestFit="1" customWidth="1"/>
    <col min="13318" max="13318" width="11.21875" bestFit="1" customWidth="1"/>
    <col min="13319" max="13319" width="13.21875" bestFit="1" customWidth="1"/>
    <col min="13322" max="13322" width="19.44140625" bestFit="1" customWidth="1"/>
    <col min="13323" max="13323" width="12" bestFit="1" customWidth="1"/>
    <col min="13324" max="13324" width="49.44140625" bestFit="1" customWidth="1"/>
    <col min="13572" max="13572" width="28.21875" bestFit="1" customWidth="1"/>
    <col min="13574" max="13574" width="11.21875" bestFit="1" customWidth="1"/>
    <col min="13575" max="13575" width="13.21875" bestFit="1" customWidth="1"/>
    <col min="13578" max="13578" width="19.44140625" bestFit="1" customWidth="1"/>
    <col min="13579" max="13579" width="12" bestFit="1" customWidth="1"/>
    <col min="13580" max="13580" width="49.44140625" bestFit="1" customWidth="1"/>
    <col min="13828" max="13828" width="28.21875" bestFit="1" customWidth="1"/>
    <col min="13830" max="13830" width="11.21875" bestFit="1" customWidth="1"/>
    <col min="13831" max="13831" width="13.21875" bestFit="1" customWidth="1"/>
    <col min="13834" max="13834" width="19.44140625" bestFit="1" customWidth="1"/>
    <col min="13835" max="13835" width="12" bestFit="1" customWidth="1"/>
    <col min="13836" max="13836" width="49.44140625" bestFit="1" customWidth="1"/>
    <col min="14084" max="14084" width="28.21875" bestFit="1" customWidth="1"/>
    <col min="14086" max="14086" width="11.21875" bestFit="1" customWidth="1"/>
    <col min="14087" max="14087" width="13.21875" bestFit="1" customWidth="1"/>
    <col min="14090" max="14090" width="19.44140625" bestFit="1" customWidth="1"/>
    <col min="14091" max="14091" width="12" bestFit="1" customWidth="1"/>
    <col min="14092" max="14092" width="49.44140625" bestFit="1" customWidth="1"/>
    <col min="14340" max="14340" width="28.21875" bestFit="1" customWidth="1"/>
    <col min="14342" max="14342" width="11.21875" bestFit="1" customWidth="1"/>
    <col min="14343" max="14343" width="13.21875" bestFit="1" customWidth="1"/>
    <col min="14346" max="14346" width="19.44140625" bestFit="1" customWidth="1"/>
    <col min="14347" max="14347" width="12" bestFit="1" customWidth="1"/>
    <col min="14348" max="14348" width="49.44140625" bestFit="1" customWidth="1"/>
    <col min="14596" max="14596" width="28.21875" bestFit="1" customWidth="1"/>
    <col min="14598" max="14598" width="11.21875" bestFit="1" customWidth="1"/>
    <col min="14599" max="14599" width="13.21875" bestFit="1" customWidth="1"/>
    <col min="14602" max="14602" width="19.44140625" bestFit="1" customWidth="1"/>
    <col min="14603" max="14603" width="12" bestFit="1" customWidth="1"/>
    <col min="14604" max="14604" width="49.44140625" bestFit="1" customWidth="1"/>
    <col min="14852" max="14852" width="28.21875" bestFit="1" customWidth="1"/>
    <col min="14854" max="14854" width="11.21875" bestFit="1" customWidth="1"/>
    <col min="14855" max="14855" width="13.21875" bestFit="1" customWidth="1"/>
    <col min="14858" max="14858" width="19.44140625" bestFit="1" customWidth="1"/>
    <col min="14859" max="14859" width="12" bestFit="1" customWidth="1"/>
    <col min="14860" max="14860" width="49.44140625" bestFit="1" customWidth="1"/>
    <col min="15108" max="15108" width="28.21875" bestFit="1" customWidth="1"/>
    <col min="15110" max="15110" width="11.21875" bestFit="1" customWidth="1"/>
    <col min="15111" max="15111" width="13.21875" bestFit="1" customWidth="1"/>
    <col min="15114" max="15114" width="19.44140625" bestFit="1" customWidth="1"/>
    <col min="15115" max="15115" width="12" bestFit="1" customWidth="1"/>
    <col min="15116" max="15116" width="49.44140625" bestFit="1" customWidth="1"/>
    <col min="15364" max="15364" width="28.21875" bestFit="1" customWidth="1"/>
    <col min="15366" max="15366" width="11.21875" bestFit="1" customWidth="1"/>
    <col min="15367" max="15367" width="13.21875" bestFit="1" customWidth="1"/>
    <col min="15370" max="15370" width="19.44140625" bestFit="1" customWidth="1"/>
    <col min="15371" max="15371" width="12" bestFit="1" customWidth="1"/>
    <col min="15372" max="15372" width="49.44140625" bestFit="1" customWidth="1"/>
    <col min="15620" max="15620" width="28.21875" bestFit="1" customWidth="1"/>
    <col min="15622" max="15622" width="11.21875" bestFit="1" customWidth="1"/>
    <col min="15623" max="15623" width="13.21875" bestFit="1" customWidth="1"/>
    <col min="15626" max="15626" width="19.44140625" bestFit="1" customWidth="1"/>
    <col min="15627" max="15627" width="12" bestFit="1" customWidth="1"/>
    <col min="15628" max="15628" width="49.44140625" bestFit="1" customWidth="1"/>
    <col min="15876" max="15876" width="28.21875" bestFit="1" customWidth="1"/>
    <col min="15878" max="15878" width="11.21875" bestFit="1" customWidth="1"/>
    <col min="15879" max="15879" width="13.21875" bestFit="1" customWidth="1"/>
    <col min="15882" max="15882" width="19.44140625" bestFit="1" customWidth="1"/>
    <col min="15883" max="15883" width="12" bestFit="1" customWidth="1"/>
    <col min="15884" max="15884" width="49.44140625" bestFit="1" customWidth="1"/>
    <col min="16132" max="16132" width="28.21875" bestFit="1" customWidth="1"/>
    <col min="16134" max="16134" width="11.21875" bestFit="1" customWidth="1"/>
    <col min="16135" max="16135" width="13.21875" bestFit="1" customWidth="1"/>
    <col min="16138" max="16138" width="19.44140625" bestFit="1" customWidth="1"/>
    <col min="16139" max="16139" width="12" bestFit="1" customWidth="1"/>
    <col min="16140" max="16140" width="49.44140625" bestFit="1" customWidth="1"/>
  </cols>
  <sheetData>
    <row r="1" spans="1:12">
      <c r="A1" s="272"/>
      <c r="B1" s="272"/>
      <c r="C1" s="272"/>
      <c r="D1" s="272"/>
      <c r="E1" s="272"/>
      <c r="F1" s="272"/>
      <c r="G1" s="272"/>
      <c r="H1" s="272"/>
      <c r="I1" s="272"/>
      <c r="J1" s="272"/>
      <c r="K1" s="272"/>
      <c r="L1" s="272"/>
    </row>
    <row r="2" spans="1:12" ht="15" thickBot="1">
      <c r="A2" s="272"/>
      <c r="B2" s="272"/>
      <c r="C2" s="272"/>
      <c r="D2" s="272"/>
      <c r="E2" s="272"/>
      <c r="F2" s="272"/>
      <c r="G2" s="272"/>
      <c r="H2" s="272"/>
      <c r="I2" s="272"/>
      <c r="J2" s="272"/>
      <c r="K2" s="272"/>
      <c r="L2" s="272"/>
    </row>
    <row r="3" spans="1:12" ht="15" thickBot="1">
      <c r="A3" s="272"/>
      <c r="B3" s="273"/>
      <c r="C3" s="273"/>
      <c r="D3" s="273"/>
      <c r="E3" s="272"/>
      <c r="F3" s="274" t="s">
        <v>149</v>
      </c>
      <c r="G3" s="275"/>
      <c r="H3" s="275"/>
      <c r="I3" s="276"/>
      <c r="J3" s="272"/>
      <c r="K3" s="272"/>
      <c r="L3" s="272"/>
    </row>
    <row r="4" spans="1:12" ht="15" thickBot="1">
      <c r="A4" s="272"/>
      <c r="B4" s="277" t="s">
        <v>150</v>
      </c>
      <c r="C4" s="278"/>
      <c r="D4" s="279"/>
      <c r="E4" s="272"/>
      <c r="F4" s="280"/>
      <c r="G4" s="281"/>
      <c r="H4" s="281" t="s">
        <v>73</v>
      </c>
      <c r="I4" s="282">
        <f>'[2]1. O&amp;M Model Budge current'!S12</f>
        <v>1257.5</v>
      </c>
      <c r="J4" s="272"/>
      <c r="K4" s="272"/>
      <c r="L4" s="272"/>
    </row>
    <row r="5" spans="1:12" ht="15" thickBot="1">
      <c r="A5" s="272"/>
      <c r="B5" s="277" t="s">
        <v>151</v>
      </c>
      <c r="C5" s="279"/>
      <c r="D5" s="283" t="s">
        <v>71</v>
      </c>
      <c r="E5" s="272"/>
      <c r="F5" s="284"/>
      <c r="G5" s="285" t="s">
        <v>77</v>
      </c>
      <c r="H5" s="286" t="s">
        <v>78</v>
      </c>
      <c r="I5" s="287" t="s">
        <v>79</v>
      </c>
      <c r="J5" s="272"/>
      <c r="K5" s="272"/>
      <c r="L5" s="272"/>
    </row>
    <row r="6" spans="1:12">
      <c r="A6" s="272"/>
      <c r="B6" s="288" t="s">
        <v>152</v>
      </c>
      <c r="C6" s="289">
        <f>'Chart BLS'!C8</f>
        <v>45210.880000000005</v>
      </c>
      <c r="D6" s="88" t="s">
        <v>83</v>
      </c>
      <c r="E6" s="272"/>
      <c r="F6" s="290" t="s">
        <v>153</v>
      </c>
      <c r="G6" s="291">
        <f>C6</f>
        <v>45210.880000000005</v>
      </c>
      <c r="H6" s="292">
        <v>1</v>
      </c>
      <c r="I6" s="293">
        <f>G6*H6</f>
        <v>45210.880000000005</v>
      </c>
      <c r="J6" s="272"/>
      <c r="K6" s="272"/>
      <c r="L6" s="272"/>
    </row>
    <row r="7" spans="1:12" ht="15" thickBot="1">
      <c r="A7" s="272"/>
      <c r="B7" s="288" t="s">
        <v>104</v>
      </c>
      <c r="C7" s="294">
        <v>0.224</v>
      </c>
      <c r="D7" s="574" t="s">
        <v>405</v>
      </c>
      <c r="E7" s="272"/>
      <c r="F7" s="296" t="s">
        <v>154</v>
      </c>
      <c r="G7" s="297"/>
      <c r="H7" s="297"/>
      <c r="I7" s="298">
        <f>SUM(I6)</f>
        <v>45210.880000000005</v>
      </c>
      <c r="J7" s="272"/>
      <c r="K7" s="272"/>
      <c r="L7" s="272"/>
    </row>
    <row r="8" spans="1:12">
      <c r="A8" s="272"/>
      <c r="B8" s="288" t="s">
        <v>108</v>
      </c>
      <c r="C8" s="299">
        <f>'[2]Below the line 3253'!E12</f>
        <v>6030.592485549133</v>
      </c>
      <c r="D8" s="300" t="s">
        <v>155</v>
      </c>
      <c r="E8" s="272"/>
      <c r="F8" s="301" t="s">
        <v>156</v>
      </c>
      <c r="G8" s="302">
        <f>C12</f>
        <v>3.7000000000000002E-3</v>
      </c>
      <c r="H8" s="303"/>
      <c r="I8" s="304">
        <f>I7*G8</f>
        <v>167.28025600000004</v>
      </c>
      <c r="J8" s="272"/>
      <c r="K8" s="272"/>
      <c r="L8" s="272"/>
    </row>
    <row r="9" spans="1:12" ht="15" thickBot="1">
      <c r="A9" s="272"/>
      <c r="B9" s="288" t="s">
        <v>157</v>
      </c>
      <c r="C9" s="299">
        <f>'[2]Below the line 3253'!Q12</f>
        <v>2660.2080924855491</v>
      </c>
      <c r="D9" s="300" t="s">
        <v>155</v>
      </c>
      <c r="E9" s="272"/>
      <c r="F9" s="305" t="s">
        <v>100</v>
      </c>
      <c r="G9" s="306">
        <f>C7</f>
        <v>0.224</v>
      </c>
      <c r="H9" s="307"/>
      <c r="I9" s="308">
        <f>G9*I7</f>
        <v>10127.237120000002</v>
      </c>
      <c r="J9" s="272"/>
      <c r="K9" s="272"/>
      <c r="L9" s="272"/>
    </row>
    <row r="10" spans="1:12" ht="15.6" thickTop="1" thickBot="1">
      <c r="A10" s="272"/>
      <c r="B10" s="288" t="s">
        <v>158</v>
      </c>
      <c r="C10" s="299">
        <f>'[2]Below the line 3253'!AK12</f>
        <v>512.64739884393066</v>
      </c>
      <c r="D10" s="300" t="s">
        <v>155</v>
      </c>
      <c r="E10" s="272"/>
      <c r="F10" s="296" t="s">
        <v>159</v>
      </c>
      <c r="G10" s="297"/>
      <c r="H10" s="297"/>
      <c r="I10" s="298">
        <f>I9+I7</f>
        <v>55338.11712000001</v>
      </c>
      <c r="J10" s="272"/>
      <c r="K10" s="272"/>
      <c r="L10" s="272"/>
    </row>
    <row r="11" spans="1:12">
      <c r="A11" s="272"/>
      <c r="B11" s="178" t="s">
        <v>121</v>
      </c>
      <c r="C11" s="309">
        <v>0.12</v>
      </c>
      <c r="D11" s="295" t="s">
        <v>122</v>
      </c>
      <c r="E11" s="272"/>
      <c r="F11" s="290" t="s">
        <v>108</v>
      </c>
      <c r="G11" s="310"/>
      <c r="H11" s="310"/>
      <c r="I11" s="311">
        <f>C8</f>
        <v>6030.592485549133</v>
      </c>
      <c r="J11" s="272"/>
      <c r="K11" s="272"/>
      <c r="L11" s="272"/>
    </row>
    <row r="12" spans="1:12">
      <c r="A12" s="272"/>
      <c r="B12" s="312" t="s">
        <v>124</v>
      </c>
      <c r="C12" s="313">
        <v>3.7000000000000002E-3</v>
      </c>
      <c r="D12" s="314" t="s">
        <v>125</v>
      </c>
      <c r="E12" s="272"/>
      <c r="F12" s="290" t="s">
        <v>114</v>
      </c>
      <c r="G12" s="310"/>
      <c r="H12" s="315"/>
      <c r="I12" s="311">
        <f>C9</f>
        <v>2660.2080924855491</v>
      </c>
      <c r="J12" s="272"/>
      <c r="K12" s="272"/>
      <c r="L12" s="272"/>
    </row>
    <row r="13" spans="1:12" ht="15" thickBot="1">
      <c r="A13" s="272"/>
      <c r="B13" s="316" t="s">
        <v>160</v>
      </c>
      <c r="C13" s="317">
        <v>0.12</v>
      </c>
      <c r="D13" s="318" t="s">
        <v>122</v>
      </c>
      <c r="E13" s="272"/>
      <c r="F13" s="305" t="s">
        <v>161</v>
      </c>
      <c r="G13" s="307"/>
      <c r="H13" s="307"/>
      <c r="I13" s="308">
        <f>C10</f>
        <v>512.64739884393066</v>
      </c>
      <c r="J13" s="272"/>
      <c r="K13" s="272"/>
      <c r="L13" s="272"/>
    </row>
    <row r="14" spans="1:12" ht="15" thickBot="1">
      <c r="A14" s="272"/>
      <c r="B14" s="316" t="s">
        <v>162</v>
      </c>
      <c r="C14" s="319">
        <f>'CAF Spring 2021'!CF25</f>
        <v>1.0633805350099574E-2</v>
      </c>
      <c r="D14" s="320" t="s">
        <v>128</v>
      </c>
      <c r="E14" s="272"/>
      <c r="F14" s="296" t="s">
        <v>123</v>
      </c>
      <c r="G14" s="297"/>
      <c r="H14" s="297"/>
      <c r="I14" s="298">
        <f>SUM(I10:I13)</f>
        <v>64541.565096878621</v>
      </c>
      <c r="J14" s="272"/>
      <c r="K14" s="272"/>
      <c r="L14" s="272"/>
    </row>
    <row r="15" spans="1:12" ht="15" thickBot="1">
      <c r="A15" s="272"/>
      <c r="B15" s="273"/>
      <c r="C15" s="273"/>
      <c r="D15" s="273"/>
      <c r="E15" s="272"/>
      <c r="F15" s="321" t="s">
        <v>121</v>
      </c>
      <c r="G15" s="322">
        <f>C11</f>
        <v>0.12</v>
      </c>
      <c r="H15" s="323"/>
      <c r="I15" s="293">
        <f>I14*G15</f>
        <v>7744.987811625434</v>
      </c>
      <c r="J15" s="272"/>
      <c r="K15" s="272"/>
      <c r="L15" s="272"/>
    </row>
    <row r="16" spans="1:12" ht="15" thickBot="1">
      <c r="A16" s="272"/>
      <c r="B16" s="272"/>
      <c r="C16" s="272"/>
      <c r="D16" s="272"/>
      <c r="E16" s="272"/>
      <c r="F16" s="324" t="s">
        <v>129</v>
      </c>
      <c r="G16" s="325"/>
      <c r="H16" s="325"/>
      <c r="I16" s="326">
        <f>I15+I14</f>
        <v>72286.552908504062</v>
      </c>
      <c r="J16" s="272"/>
      <c r="K16" s="272"/>
      <c r="L16" s="272"/>
    </row>
    <row r="17" spans="1:12">
      <c r="A17" s="272"/>
      <c r="B17" s="272"/>
      <c r="C17" s="272"/>
      <c r="D17" s="272"/>
      <c r="E17" s="272"/>
      <c r="F17" s="290"/>
      <c r="G17" s="310"/>
      <c r="H17" s="310"/>
      <c r="I17" s="311"/>
      <c r="J17" s="272"/>
      <c r="K17" s="272"/>
      <c r="L17" s="272"/>
    </row>
    <row r="18" spans="1:12" ht="15" thickBot="1">
      <c r="A18" s="272"/>
      <c r="B18" s="272"/>
      <c r="C18" s="272"/>
      <c r="D18" s="272"/>
      <c r="E18" s="272"/>
      <c r="F18" s="290" t="s">
        <v>133</v>
      </c>
      <c r="G18" s="327">
        <f>C14</f>
        <v>1.0633805350099574E-2</v>
      </c>
      <c r="H18" s="310"/>
      <c r="I18" s="311">
        <f>I16*(G18+1)</f>
        <v>73055.23404156277</v>
      </c>
      <c r="J18" s="272"/>
      <c r="K18" s="328" t="s">
        <v>163</v>
      </c>
      <c r="L18" s="272"/>
    </row>
    <row r="19" spans="1:12" ht="15" thickBot="1">
      <c r="A19" s="272"/>
      <c r="B19" s="272"/>
      <c r="C19" s="272"/>
      <c r="D19" s="272"/>
      <c r="E19" s="272"/>
      <c r="F19" s="324" t="s">
        <v>164</v>
      </c>
      <c r="G19" s="325"/>
      <c r="H19" s="325"/>
      <c r="I19" s="329">
        <f>I18/I4+0.02</f>
        <v>58.115613551938587</v>
      </c>
      <c r="J19" s="272"/>
      <c r="K19" s="330">
        <f>58.12*0.25</f>
        <v>14.53</v>
      </c>
      <c r="L19" s="331"/>
    </row>
    <row r="20" spans="1:12">
      <c r="A20" s="272"/>
      <c r="B20" s="272"/>
      <c r="C20" s="272"/>
      <c r="D20" s="272"/>
      <c r="E20" s="272"/>
      <c r="F20" s="310"/>
      <c r="G20" s="310"/>
      <c r="H20" s="310"/>
      <c r="I20" s="332"/>
      <c r="J20" s="272"/>
      <c r="K20" s="333"/>
      <c r="L20" s="272"/>
    </row>
    <row r="21" spans="1:12">
      <c r="A21" s="272"/>
      <c r="B21" s="272"/>
      <c r="C21" s="272"/>
      <c r="D21" s="272"/>
      <c r="E21" s="272"/>
      <c r="F21" s="272"/>
      <c r="G21" s="272"/>
      <c r="H21" s="272"/>
      <c r="I21" s="272"/>
      <c r="J21" s="272"/>
      <c r="L21" s="272"/>
    </row>
    <row r="22" spans="1:12">
      <c r="A22" s="272"/>
      <c r="B22" s="272"/>
      <c r="C22" s="272"/>
      <c r="D22" s="272"/>
      <c r="E22" s="272"/>
      <c r="F22" s="272"/>
      <c r="G22" s="272"/>
      <c r="H22" s="272"/>
      <c r="I22" s="334"/>
      <c r="J22" s="272"/>
      <c r="L22" s="331"/>
    </row>
    <row r="23" spans="1:12">
      <c r="A23" s="272"/>
      <c r="B23" s="272"/>
      <c r="C23" s="272"/>
      <c r="D23" s="272"/>
      <c r="E23" s="272"/>
      <c r="F23" s="272"/>
      <c r="G23" s="272"/>
      <c r="H23" s="272"/>
      <c r="I23" s="272"/>
      <c r="J23" s="272"/>
      <c r="L23" s="272"/>
    </row>
    <row r="24" spans="1:12">
      <c r="A24" s="272"/>
      <c r="B24" s="272"/>
      <c r="C24" s="272"/>
      <c r="D24" s="272"/>
      <c r="E24" s="272"/>
      <c r="F24" s="272"/>
      <c r="G24" s="272"/>
      <c r="H24" s="272"/>
      <c r="I24" s="335"/>
      <c r="J24" s="334"/>
      <c r="K24" s="272"/>
      <c r="L24" s="272"/>
    </row>
    <row r="25" spans="1:12">
      <c r="A25" s="272"/>
      <c r="B25" s="272"/>
      <c r="C25" s="272"/>
      <c r="D25" s="272"/>
      <c r="E25" s="272"/>
      <c r="J25" s="272"/>
      <c r="K25" s="272"/>
      <c r="L25" s="272"/>
    </row>
    <row r="26" spans="1:12">
      <c r="A26" s="272"/>
      <c r="B26" s="272"/>
      <c r="C26" s="272"/>
      <c r="D26" s="272"/>
      <c r="E26" s="272"/>
      <c r="J26" s="272"/>
      <c r="K26" s="272"/>
      <c r="L26" s="272"/>
    </row>
    <row r="27" spans="1:12">
      <c r="A27" s="272"/>
      <c r="B27" s="272"/>
      <c r="C27" s="272"/>
      <c r="D27" s="272"/>
      <c r="E27" s="272"/>
      <c r="J27" s="272"/>
      <c r="K27" s="272"/>
      <c r="L27" s="272"/>
    </row>
    <row r="28" spans="1:12">
      <c r="A28" s="272"/>
      <c r="B28" s="272"/>
      <c r="C28" s="272"/>
      <c r="D28" s="272"/>
      <c r="E28" s="272"/>
      <c r="J28" s="272"/>
      <c r="K28" s="272"/>
      <c r="L28" s="272"/>
    </row>
    <row r="29" spans="1:12">
      <c r="B29" s="272"/>
      <c r="C29" s="272"/>
      <c r="D29" s="272"/>
    </row>
    <row r="30" spans="1:12">
      <c r="B30" s="272"/>
      <c r="C30" s="272"/>
      <c r="D30" s="272"/>
    </row>
  </sheetData>
  <mergeCells count="3">
    <mergeCell ref="F3:I3"/>
    <mergeCell ref="B4:D4"/>
    <mergeCell ref="B5:C5"/>
  </mergeCells>
  <pageMargins left="0.7" right="0.7" top="0.75" bottom="0.75" header="0.3" footer="0.3"/>
  <pageSetup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07"/>
  <sheetViews>
    <sheetView workbookViewId="0">
      <selection activeCell="N21" sqref="N21"/>
    </sheetView>
  </sheetViews>
  <sheetFormatPr defaultColWidth="9.21875" defaultRowHeight="13.8"/>
  <cols>
    <col min="1" max="1" width="9.77734375" style="338" customWidth="1"/>
    <col min="2" max="2" width="12.21875" style="338" customWidth="1"/>
    <col min="3" max="3" width="13" style="338" customWidth="1"/>
    <col min="4" max="4" width="10.77734375" style="338" customWidth="1"/>
    <col min="5" max="5" width="11.44140625" style="339" customWidth="1"/>
    <col min="6" max="6" width="12.77734375" style="339" customWidth="1"/>
    <col min="7" max="7" width="12" style="339" customWidth="1"/>
    <col min="8" max="8" width="10.5546875" style="339" customWidth="1"/>
    <col min="9" max="9" width="3.44140625" style="338" customWidth="1"/>
    <col min="10" max="10" width="7.21875" style="338" customWidth="1"/>
    <col min="11" max="11" width="7.5546875" style="338" customWidth="1"/>
    <col min="12" max="12" width="23" style="338" customWidth="1"/>
    <col min="13" max="13" width="14.5546875" style="338" customWidth="1"/>
    <col min="14" max="14" width="11.5546875" style="338" customWidth="1"/>
    <col min="15" max="15" width="19.5546875" style="338" customWidth="1"/>
    <col min="16" max="16384" width="9.21875" style="338"/>
  </cols>
  <sheetData>
    <row r="2" spans="1:15" ht="14.4" thickBot="1">
      <c r="A2" s="336"/>
      <c r="B2" s="337" t="s">
        <v>165</v>
      </c>
      <c r="C2" s="337"/>
      <c r="E2" s="338"/>
    </row>
    <row r="3" spans="1:15" ht="16.5" customHeight="1" thickBot="1">
      <c r="A3" s="336"/>
      <c r="B3" s="340" t="s">
        <v>166</v>
      </c>
      <c r="C3" s="341"/>
      <c r="D3" s="342" t="s">
        <v>167</v>
      </c>
      <c r="E3" s="343"/>
      <c r="F3" s="338"/>
      <c r="G3" s="338"/>
      <c r="H3" s="338"/>
    </row>
    <row r="4" spans="1:15" ht="12.75" customHeight="1">
      <c r="A4" s="344"/>
      <c r="B4" s="345" t="s">
        <v>168</v>
      </c>
      <c r="C4" s="346" t="s">
        <v>169</v>
      </c>
      <c r="D4" s="347" t="s">
        <v>170</v>
      </c>
      <c r="E4" s="348" t="s">
        <v>171</v>
      </c>
      <c r="F4" s="338"/>
      <c r="G4" s="338"/>
      <c r="H4" s="338"/>
    </row>
    <row r="5" spans="1:15">
      <c r="A5" s="349"/>
      <c r="B5" s="350"/>
      <c r="C5" s="351" t="s">
        <v>172</v>
      </c>
      <c r="D5" s="352" t="s">
        <v>173</v>
      </c>
      <c r="E5" s="353" t="s">
        <v>172</v>
      </c>
      <c r="F5" s="338"/>
      <c r="G5" s="338"/>
      <c r="H5" s="338"/>
    </row>
    <row r="6" spans="1:15" ht="14.4" thickBot="1">
      <c r="A6" s="349"/>
      <c r="B6" s="354"/>
      <c r="C6" s="355"/>
      <c r="D6" s="356">
        <f>'[2]CMR 422 Master Lookup'!G6</f>
        <v>1.0633805350099574E-2</v>
      </c>
      <c r="E6" s="357"/>
      <c r="F6" s="338"/>
      <c r="G6" s="338"/>
      <c r="H6" s="338"/>
    </row>
    <row r="7" spans="1:15">
      <c r="A7" s="349"/>
      <c r="B7" s="358" t="s">
        <v>174</v>
      </c>
      <c r="C7" s="359">
        <v>25.92</v>
      </c>
      <c r="D7" s="360"/>
      <c r="E7" s="361">
        <v>26.680732461242627</v>
      </c>
      <c r="F7" s="338"/>
      <c r="G7" s="338"/>
      <c r="H7" s="338"/>
    </row>
    <row r="8" spans="1:15">
      <c r="A8" s="349"/>
      <c r="B8" s="362" t="s">
        <v>175</v>
      </c>
      <c r="C8" s="359">
        <v>24.4</v>
      </c>
      <c r="D8" s="360"/>
      <c r="E8" s="363">
        <v>25.104143724896474</v>
      </c>
      <c r="F8" s="338"/>
      <c r="G8" s="338"/>
      <c r="H8" s="338"/>
    </row>
    <row r="9" spans="1:15">
      <c r="A9" s="349"/>
      <c r="B9" s="362" t="s">
        <v>176</v>
      </c>
      <c r="C9" s="359">
        <v>24.52</v>
      </c>
      <c r="D9" s="360"/>
      <c r="E9" s="363">
        <v>25.225419781538488</v>
      </c>
      <c r="F9" s="338"/>
      <c r="G9" s="338"/>
      <c r="H9" s="338"/>
    </row>
    <row r="10" spans="1:15">
      <c r="A10" s="349"/>
      <c r="B10" s="362" t="s">
        <v>177</v>
      </c>
      <c r="C10" s="359">
        <v>25.24</v>
      </c>
      <c r="D10" s="360"/>
      <c r="E10" s="363">
        <v>25.99350147360456</v>
      </c>
      <c r="F10" s="338"/>
      <c r="G10" s="338"/>
      <c r="H10" s="338"/>
    </row>
    <row r="11" spans="1:15" ht="14.4" thickBot="1">
      <c r="A11" s="349"/>
      <c r="B11" s="364" t="s">
        <v>178</v>
      </c>
      <c r="C11" s="365">
        <v>25.16</v>
      </c>
      <c r="D11" s="366"/>
      <c r="E11" s="367">
        <v>25.912650769176555</v>
      </c>
      <c r="F11" s="338"/>
      <c r="G11" s="338"/>
      <c r="H11" s="338"/>
    </row>
    <row r="12" spans="1:15">
      <c r="A12" s="349"/>
      <c r="C12" s="368"/>
      <c r="E12" s="338"/>
    </row>
    <row r="13" spans="1:15">
      <c r="A13" s="349"/>
      <c r="H13" s="338"/>
    </row>
    <row r="14" spans="1:15">
      <c r="A14" s="349"/>
      <c r="B14" s="349"/>
      <c r="C14" s="349"/>
      <c r="D14" s="349"/>
      <c r="E14" s="349"/>
      <c r="F14" s="349"/>
      <c r="G14" s="349"/>
      <c r="H14" s="349"/>
      <c r="I14" s="369"/>
      <c r="J14" s="368"/>
      <c r="K14" s="368"/>
      <c r="L14" s="368"/>
      <c r="M14" s="368"/>
      <c r="N14" s="368"/>
      <c r="O14" s="368"/>
    </row>
    <row r="15" spans="1:15">
      <c r="A15" s="349"/>
      <c r="B15" s="349"/>
      <c r="C15" s="349"/>
      <c r="D15" s="349"/>
      <c r="E15" s="349"/>
      <c r="F15" s="349"/>
      <c r="G15" s="349"/>
      <c r="H15" s="349"/>
      <c r="I15" s="369"/>
      <c r="J15" s="368"/>
      <c r="K15" s="368"/>
      <c r="L15" s="368"/>
      <c r="M15" s="368"/>
      <c r="N15" s="368"/>
      <c r="O15" s="368"/>
    </row>
    <row r="16" spans="1:15" ht="18">
      <c r="A16" s="349"/>
      <c r="B16" s="349"/>
      <c r="C16" s="349"/>
      <c r="D16" s="349"/>
      <c r="E16" s="370"/>
      <c r="F16" s="349"/>
      <c r="G16" s="349"/>
      <c r="H16" s="349"/>
      <c r="I16" s="369"/>
      <c r="J16" s="368"/>
      <c r="K16" s="368"/>
      <c r="L16" s="368"/>
      <c r="M16" s="368"/>
      <c r="N16" s="368"/>
      <c r="O16" s="368"/>
    </row>
    <row r="17" spans="1:14">
      <c r="A17" s="349"/>
      <c r="B17" s="349"/>
      <c r="C17" s="349"/>
      <c r="D17" s="349"/>
      <c r="E17" s="349"/>
      <c r="F17" s="349"/>
      <c r="G17" s="349"/>
      <c r="H17" s="349"/>
      <c r="I17" s="368"/>
      <c r="J17" s="368"/>
      <c r="K17" s="368"/>
      <c r="L17" s="368"/>
      <c r="M17" s="368"/>
      <c r="N17" s="368"/>
    </row>
    <row r="18" spans="1:14">
      <c r="A18" s="349"/>
      <c r="B18" s="349"/>
      <c r="C18" s="349"/>
      <c r="D18" s="349"/>
      <c r="E18" s="349"/>
      <c r="F18" s="349"/>
      <c r="G18" s="349"/>
      <c r="H18" s="349"/>
      <c r="I18" s="368"/>
      <c r="J18" s="368"/>
      <c r="K18" s="368"/>
      <c r="L18" s="368"/>
      <c r="M18" s="368"/>
      <c r="N18" s="368"/>
    </row>
    <row r="19" spans="1:14">
      <c r="A19" s="349"/>
      <c r="B19" s="349"/>
      <c r="C19" s="349"/>
      <c r="D19" s="349"/>
      <c r="E19" s="349"/>
      <c r="F19" s="349"/>
      <c r="G19" s="349"/>
      <c r="I19" s="368"/>
      <c r="J19" s="368"/>
      <c r="K19" s="368"/>
      <c r="L19" s="368"/>
      <c r="M19" s="368"/>
      <c r="N19" s="368"/>
    </row>
    <row r="20" spans="1:14">
      <c r="A20" s="349"/>
      <c r="B20" s="349"/>
      <c r="C20" s="349"/>
      <c r="D20" s="349"/>
      <c r="E20" s="349"/>
      <c r="F20" s="349"/>
      <c r="G20" s="349"/>
      <c r="I20" s="368"/>
      <c r="J20" s="368"/>
      <c r="K20" s="368"/>
      <c r="L20" s="368"/>
      <c r="M20" s="368"/>
      <c r="N20" s="368"/>
    </row>
    <row r="21" spans="1:14">
      <c r="A21" s="349"/>
      <c r="B21" s="349"/>
      <c r="C21" s="349"/>
      <c r="D21" s="349"/>
      <c r="I21" s="368"/>
      <c r="J21" s="368"/>
      <c r="K21" s="368"/>
      <c r="L21" s="368"/>
      <c r="M21" s="368"/>
      <c r="N21" s="368"/>
    </row>
    <row r="22" spans="1:14">
      <c r="A22" s="349"/>
      <c r="B22" s="349"/>
      <c r="C22" s="349"/>
      <c r="D22" s="349"/>
      <c r="I22" s="368"/>
      <c r="J22" s="368"/>
      <c r="K22" s="368"/>
      <c r="L22" s="368"/>
      <c r="M22" s="368"/>
      <c r="N22" s="368"/>
    </row>
    <row r="23" spans="1:14">
      <c r="A23" s="349"/>
      <c r="B23" s="349"/>
      <c r="C23" s="349"/>
      <c r="D23" s="349"/>
      <c r="F23" s="369"/>
    </row>
    <row r="24" spans="1:14">
      <c r="A24" s="349"/>
      <c r="B24" s="349"/>
      <c r="C24" s="349"/>
      <c r="D24" s="349"/>
      <c r="E24" s="344"/>
      <c r="F24" s="369"/>
    </row>
    <row r="25" spans="1:14" ht="15.75" customHeight="1">
      <c r="A25" s="371"/>
      <c r="B25" s="371"/>
      <c r="C25" s="371"/>
      <c r="D25" s="371"/>
      <c r="E25" s="344"/>
      <c r="F25" s="369"/>
    </row>
    <row r="26" spans="1:14" ht="14.25" customHeight="1">
      <c r="A26" s="371"/>
      <c r="B26" s="371"/>
      <c r="C26" s="371"/>
      <c r="D26" s="371"/>
      <c r="E26" s="344"/>
      <c r="F26" s="369"/>
    </row>
    <row r="27" spans="1:14" ht="14.25" customHeight="1">
      <c r="A27" s="372"/>
      <c r="B27" s="372"/>
      <c r="C27" s="372"/>
      <c r="D27" s="372"/>
      <c r="E27" s="373"/>
      <c r="F27" s="369"/>
      <c r="H27" s="369"/>
    </row>
    <row r="28" spans="1:14" ht="12" customHeight="1">
      <c r="A28" s="374"/>
      <c r="B28" s="374"/>
      <c r="C28" s="374"/>
      <c r="D28" s="374"/>
      <c r="E28" s="344"/>
      <c r="F28" s="369"/>
      <c r="H28" s="369"/>
    </row>
    <row r="29" spans="1:14" s="368" customFormat="1">
      <c r="A29" s="375"/>
      <c r="B29" s="338"/>
      <c r="C29" s="376"/>
      <c r="D29" s="338"/>
      <c r="E29" s="339"/>
      <c r="F29" s="339"/>
      <c r="G29" s="369"/>
      <c r="H29" s="369"/>
      <c r="I29" s="338"/>
      <c r="J29" s="338"/>
      <c r="K29" s="338"/>
      <c r="L29" s="338"/>
      <c r="M29" s="338"/>
      <c r="N29" s="338"/>
    </row>
    <row r="30" spans="1:14" s="368" customFormat="1">
      <c r="A30" s="375"/>
      <c r="B30" s="338"/>
      <c r="C30" s="376"/>
      <c r="D30" s="338"/>
      <c r="E30" s="339"/>
      <c r="F30" s="339"/>
      <c r="G30" s="369"/>
      <c r="H30" s="369"/>
      <c r="I30" s="338"/>
      <c r="J30" s="338"/>
      <c r="K30" s="338"/>
      <c r="L30" s="338"/>
      <c r="M30" s="338"/>
      <c r="N30" s="338"/>
    </row>
    <row r="31" spans="1:14" s="368" customFormat="1">
      <c r="A31" s="375"/>
      <c r="B31" s="338"/>
      <c r="C31" s="376"/>
      <c r="D31" s="338"/>
      <c r="E31" s="339"/>
      <c r="F31" s="339"/>
      <c r="G31" s="369"/>
      <c r="H31" s="369"/>
      <c r="I31" s="338"/>
      <c r="J31" s="338"/>
      <c r="K31" s="338"/>
      <c r="L31" s="338"/>
      <c r="M31" s="338"/>
      <c r="N31" s="338"/>
    </row>
    <row r="32" spans="1:14" s="368" customFormat="1">
      <c r="A32" s="375"/>
      <c r="B32" s="338"/>
      <c r="C32" s="338"/>
      <c r="D32" s="338"/>
      <c r="E32" s="339"/>
      <c r="F32" s="339"/>
      <c r="G32" s="369"/>
      <c r="H32" s="369"/>
      <c r="I32" s="338"/>
      <c r="J32" s="338"/>
      <c r="K32" s="338"/>
      <c r="L32" s="338"/>
      <c r="M32" s="338"/>
      <c r="N32" s="338"/>
    </row>
    <row r="33" spans="1:14" s="368" customFormat="1">
      <c r="A33" s="375"/>
      <c r="B33" s="338"/>
      <c r="C33" s="338"/>
      <c r="D33" s="338"/>
      <c r="E33" s="339"/>
      <c r="F33" s="339"/>
      <c r="G33" s="369"/>
      <c r="H33" s="369"/>
      <c r="I33" s="338"/>
      <c r="J33" s="338"/>
      <c r="K33" s="338"/>
      <c r="L33" s="338"/>
      <c r="M33" s="338"/>
      <c r="N33" s="338"/>
    </row>
    <row r="34" spans="1:14" s="368" customFormat="1">
      <c r="A34" s="375"/>
      <c r="B34" s="338"/>
      <c r="C34" s="338"/>
      <c r="D34" s="338"/>
      <c r="E34" s="339"/>
      <c r="F34" s="339"/>
      <c r="G34" s="369"/>
      <c r="H34" s="369"/>
      <c r="I34" s="338"/>
      <c r="J34" s="338"/>
      <c r="K34" s="338"/>
      <c r="L34" s="338"/>
      <c r="M34" s="338"/>
      <c r="N34" s="338"/>
    </row>
    <row r="35" spans="1:14" s="368" customFormat="1">
      <c r="A35" s="375"/>
      <c r="B35" s="338"/>
      <c r="C35" s="338"/>
      <c r="D35" s="338"/>
      <c r="E35" s="339"/>
      <c r="F35" s="339"/>
      <c r="G35" s="369"/>
      <c r="H35" s="369"/>
      <c r="I35" s="338"/>
      <c r="J35" s="338"/>
      <c r="K35" s="338"/>
      <c r="L35" s="338"/>
      <c r="M35" s="338"/>
      <c r="N35" s="338"/>
    </row>
    <row r="36" spans="1:14" s="368" customFormat="1">
      <c r="A36" s="375"/>
      <c r="B36" s="338"/>
      <c r="C36" s="338"/>
      <c r="D36" s="338"/>
      <c r="E36" s="339"/>
      <c r="F36" s="339"/>
      <c r="G36" s="369"/>
      <c r="H36" s="369"/>
      <c r="I36" s="338"/>
      <c r="J36" s="338"/>
      <c r="K36" s="338"/>
      <c r="L36" s="338"/>
      <c r="M36" s="338"/>
      <c r="N36" s="338"/>
    </row>
    <row r="37" spans="1:14" s="368" customFormat="1">
      <c r="A37" s="375"/>
      <c r="B37" s="338"/>
      <c r="C37" s="338"/>
      <c r="D37" s="338"/>
      <c r="E37" s="339"/>
      <c r="F37" s="339"/>
      <c r="G37" s="369"/>
      <c r="H37" s="369"/>
      <c r="I37" s="338"/>
      <c r="J37" s="338"/>
      <c r="K37" s="338"/>
      <c r="L37" s="338"/>
      <c r="M37" s="338"/>
      <c r="N37" s="338"/>
    </row>
    <row r="38" spans="1:14">
      <c r="A38" s="375"/>
      <c r="H38" s="369"/>
    </row>
    <row r="39" spans="1:14">
      <c r="A39" s="375"/>
      <c r="H39" s="369"/>
    </row>
    <row r="40" spans="1:14">
      <c r="A40" s="375"/>
      <c r="H40" s="369"/>
    </row>
    <row r="41" spans="1:14">
      <c r="A41" s="375"/>
      <c r="H41" s="369"/>
    </row>
    <row r="42" spans="1:14">
      <c r="A42" s="375"/>
      <c r="H42" s="369"/>
    </row>
    <row r="43" spans="1:14">
      <c r="H43" s="369"/>
    </row>
    <row r="44" spans="1:14" s="339" customFormat="1">
      <c r="A44" s="338"/>
      <c r="B44" s="338"/>
      <c r="C44" s="338"/>
      <c r="D44" s="338"/>
      <c r="H44" s="369"/>
    </row>
    <row r="45" spans="1:14" s="339" customFormat="1">
      <c r="A45" s="338"/>
      <c r="B45" s="338"/>
      <c r="C45" s="338"/>
      <c r="D45" s="338"/>
    </row>
    <row r="46" spans="1:14" s="339" customFormat="1">
      <c r="A46" s="338"/>
      <c r="B46" s="338"/>
      <c r="C46" s="338"/>
      <c r="D46" s="338"/>
    </row>
    <row r="47" spans="1:14" s="339" customFormat="1">
      <c r="A47" s="338"/>
      <c r="B47" s="338"/>
      <c r="C47" s="338"/>
      <c r="D47" s="338"/>
    </row>
    <row r="48" spans="1:14" s="339" customFormat="1">
      <c r="A48" s="338"/>
      <c r="B48" s="338"/>
      <c r="C48" s="338"/>
      <c r="D48" s="338"/>
    </row>
    <row r="49" spans="1:4" s="339" customFormat="1">
      <c r="A49" s="338"/>
      <c r="B49" s="338"/>
      <c r="C49" s="338"/>
      <c r="D49" s="338"/>
    </row>
    <row r="50" spans="1:4" s="339" customFormat="1">
      <c r="A50" s="338"/>
      <c r="B50" s="338"/>
      <c r="C50" s="338"/>
      <c r="D50" s="338"/>
    </row>
    <row r="51" spans="1:4" s="339" customFormat="1">
      <c r="A51" s="338"/>
      <c r="B51" s="338"/>
      <c r="C51" s="338"/>
      <c r="D51" s="338"/>
    </row>
    <row r="52" spans="1:4" s="339" customFormat="1">
      <c r="A52" s="338"/>
      <c r="B52" s="338"/>
      <c r="C52" s="338"/>
      <c r="D52" s="338"/>
    </row>
    <row r="53" spans="1:4" s="339" customFormat="1">
      <c r="A53" s="338"/>
      <c r="B53" s="338"/>
      <c r="C53" s="338"/>
      <c r="D53" s="338"/>
    </row>
    <row r="54" spans="1:4" s="339" customFormat="1">
      <c r="A54" s="338"/>
      <c r="B54" s="338"/>
      <c r="C54" s="338"/>
      <c r="D54" s="338"/>
    </row>
    <row r="55" spans="1:4" s="339" customFormat="1">
      <c r="A55" s="338"/>
      <c r="B55" s="338"/>
      <c r="C55" s="338"/>
      <c r="D55" s="338"/>
    </row>
    <row r="56" spans="1:4" s="339" customFormat="1">
      <c r="A56" s="338"/>
      <c r="B56" s="338"/>
      <c r="C56" s="338"/>
      <c r="D56" s="338"/>
    </row>
    <row r="57" spans="1:4" s="339" customFormat="1">
      <c r="A57" s="338"/>
      <c r="B57" s="338"/>
      <c r="C57" s="338"/>
      <c r="D57" s="338"/>
    </row>
    <row r="58" spans="1:4" s="339" customFormat="1">
      <c r="A58" s="338"/>
      <c r="B58" s="338"/>
      <c r="C58" s="338"/>
      <c r="D58" s="338"/>
    </row>
    <row r="59" spans="1:4" s="339" customFormat="1">
      <c r="A59" s="338"/>
      <c r="B59" s="338"/>
      <c r="C59" s="338"/>
      <c r="D59" s="338"/>
    </row>
    <row r="60" spans="1:4" s="339" customFormat="1">
      <c r="A60" s="338"/>
      <c r="B60" s="338"/>
      <c r="C60" s="338"/>
      <c r="D60" s="338"/>
    </row>
    <row r="61" spans="1:4" s="339" customFormat="1">
      <c r="A61" s="338"/>
      <c r="B61" s="338"/>
      <c r="C61" s="338"/>
      <c r="D61" s="338"/>
    </row>
    <row r="62" spans="1:4" s="339" customFormat="1">
      <c r="A62" s="338"/>
      <c r="B62" s="338"/>
      <c r="C62" s="338"/>
      <c r="D62" s="338"/>
    </row>
    <row r="63" spans="1:4" s="339" customFormat="1">
      <c r="A63" s="338"/>
      <c r="B63" s="338"/>
      <c r="C63" s="338"/>
      <c r="D63" s="338"/>
    </row>
    <row r="64" spans="1:4" s="339" customFormat="1">
      <c r="A64" s="338"/>
      <c r="B64" s="338"/>
      <c r="C64" s="338"/>
      <c r="D64" s="338"/>
    </row>
    <row r="65" spans="1:4" s="339" customFormat="1">
      <c r="A65" s="338"/>
      <c r="B65" s="338"/>
      <c r="C65" s="338"/>
      <c r="D65" s="338"/>
    </row>
    <row r="66" spans="1:4" s="339" customFormat="1">
      <c r="A66" s="338"/>
      <c r="B66" s="338"/>
      <c r="C66" s="338"/>
      <c r="D66" s="338"/>
    </row>
    <row r="67" spans="1:4" s="339" customFormat="1">
      <c r="A67" s="338"/>
      <c r="B67" s="338"/>
      <c r="C67" s="338"/>
      <c r="D67" s="338"/>
    </row>
    <row r="68" spans="1:4" s="339" customFormat="1">
      <c r="A68" s="338"/>
      <c r="B68" s="338"/>
      <c r="C68" s="338"/>
      <c r="D68" s="338"/>
    </row>
    <row r="69" spans="1:4" s="339" customFormat="1">
      <c r="A69" s="338"/>
      <c r="B69" s="338"/>
      <c r="C69" s="338"/>
      <c r="D69" s="338"/>
    </row>
    <row r="70" spans="1:4" s="339" customFormat="1">
      <c r="A70" s="338"/>
      <c r="B70" s="338"/>
      <c r="C70" s="338"/>
      <c r="D70" s="338"/>
    </row>
    <row r="71" spans="1:4" s="339" customFormat="1">
      <c r="A71" s="338"/>
      <c r="B71" s="338"/>
      <c r="C71" s="338"/>
      <c r="D71" s="338"/>
    </row>
    <row r="72" spans="1:4" s="339" customFormat="1">
      <c r="A72" s="338"/>
      <c r="B72" s="338"/>
      <c r="C72" s="338"/>
      <c r="D72" s="338"/>
    </row>
    <row r="73" spans="1:4" s="339" customFormat="1">
      <c r="A73" s="338"/>
      <c r="B73" s="338"/>
      <c r="C73" s="338"/>
      <c r="D73" s="338"/>
    </row>
    <row r="74" spans="1:4" s="339" customFormat="1">
      <c r="A74" s="338"/>
      <c r="B74" s="338"/>
      <c r="C74" s="338"/>
      <c r="D74" s="338"/>
    </row>
    <row r="75" spans="1:4" s="339" customFormat="1">
      <c r="A75" s="338"/>
      <c r="B75" s="338"/>
      <c r="C75" s="338"/>
      <c r="D75" s="338"/>
    </row>
    <row r="76" spans="1:4" s="339" customFormat="1">
      <c r="A76" s="338"/>
      <c r="B76" s="338"/>
      <c r="C76" s="338"/>
      <c r="D76" s="338"/>
    </row>
    <row r="77" spans="1:4" s="339" customFormat="1">
      <c r="A77" s="338"/>
      <c r="B77" s="338"/>
      <c r="C77" s="338"/>
      <c r="D77" s="338"/>
    </row>
    <row r="78" spans="1:4" s="339" customFormat="1">
      <c r="A78" s="338"/>
      <c r="B78" s="338"/>
      <c r="C78" s="338"/>
      <c r="D78" s="338"/>
    </row>
    <row r="79" spans="1:4" s="339" customFormat="1">
      <c r="A79" s="338"/>
      <c r="B79" s="338"/>
      <c r="C79" s="338"/>
      <c r="D79" s="338"/>
    </row>
    <row r="80" spans="1:4" s="339" customFormat="1">
      <c r="A80" s="338"/>
      <c r="B80" s="338"/>
      <c r="C80" s="338"/>
      <c r="D80" s="338"/>
    </row>
    <row r="81" spans="1:4" s="339" customFormat="1">
      <c r="A81" s="338"/>
      <c r="B81" s="338"/>
      <c r="C81" s="338"/>
      <c r="D81" s="338"/>
    </row>
    <row r="82" spans="1:4" s="339" customFormat="1">
      <c r="A82" s="338"/>
      <c r="B82" s="338"/>
      <c r="C82" s="338"/>
      <c r="D82" s="338"/>
    </row>
    <row r="83" spans="1:4" s="339" customFormat="1">
      <c r="A83" s="338"/>
      <c r="B83" s="338"/>
      <c r="C83" s="338"/>
      <c r="D83" s="338"/>
    </row>
    <row r="84" spans="1:4" s="339" customFormat="1">
      <c r="A84" s="338"/>
      <c r="B84" s="338"/>
      <c r="C84" s="338"/>
      <c r="D84" s="338"/>
    </row>
    <row r="85" spans="1:4" s="339" customFormat="1">
      <c r="A85" s="338"/>
      <c r="B85" s="338"/>
      <c r="C85" s="338"/>
      <c r="D85" s="338"/>
    </row>
    <row r="86" spans="1:4" s="339" customFormat="1">
      <c r="A86" s="338"/>
      <c r="B86" s="338"/>
      <c r="C86" s="338"/>
      <c r="D86" s="338"/>
    </row>
    <row r="87" spans="1:4" s="339" customFormat="1">
      <c r="A87" s="338"/>
      <c r="B87" s="338"/>
      <c r="C87" s="338"/>
      <c r="D87" s="338"/>
    </row>
    <row r="88" spans="1:4" s="339" customFormat="1">
      <c r="A88" s="338"/>
      <c r="B88" s="338"/>
      <c r="C88" s="338"/>
      <c r="D88" s="338"/>
    </row>
    <row r="89" spans="1:4" s="339" customFormat="1">
      <c r="A89" s="338"/>
      <c r="B89" s="338"/>
      <c r="C89" s="338"/>
      <c r="D89" s="338"/>
    </row>
    <row r="90" spans="1:4" s="339" customFormat="1">
      <c r="A90" s="338"/>
      <c r="B90" s="338"/>
      <c r="C90" s="338"/>
      <c r="D90" s="338"/>
    </row>
    <row r="91" spans="1:4" s="339" customFormat="1">
      <c r="A91" s="338"/>
      <c r="B91" s="338"/>
      <c r="C91" s="338"/>
      <c r="D91" s="338"/>
    </row>
    <row r="92" spans="1:4" s="339" customFormat="1">
      <c r="A92" s="338"/>
      <c r="B92" s="338"/>
      <c r="C92" s="338"/>
      <c r="D92" s="338"/>
    </row>
    <row r="93" spans="1:4" s="339" customFormat="1">
      <c r="A93" s="338"/>
      <c r="B93" s="338"/>
      <c r="C93" s="338"/>
      <c r="D93" s="338"/>
    </row>
    <row r="94" spans="1:4" s="339" customFormat="1">
      <c r="A94" s="338"/>
      <c r="B94" s="338"/>
      <c r="C94" s="338"/>
      <c r="D94" s="338"/>
    </row>
    <row r="95" spans="1:4" s="339" customFormat="1">
      <c r="A95" s="338"/>
      <c r="B95" s="338"/>
      <c r="C95" s="338"/>
      <c r="D95" s="338"/>
    </row>
    <row r="96" spans="1:4" s="339" customFormat="1">
      <c r="A96" s="338"/>
      <c r="B96" s="338"/>
      <c r="C96" s="338"/>
      <c r="D96" s="338"/>
    </row>
    <row r="97" spans="1:4" s="339" customFormat="1">
      <c r="A97" s="338"/>
      <c r="B97" s="338"/>
      <c r="C97" s="338"/>
      <c r="D97" s="338"/>
    </row>
    <row r="98" spans="1:4" s="339" customFormat="1">
      <c r="A98" s="338"/>
      <c r="B98" s="338"/>
      <c r="C98" s="338"/>
      <c r="D98" s="338"/>
    </row>
    <row r="99" spans="1:4" s="339" customFormat="1">
      <c r="A99" s="338"/>
      <c r="B99" s="338"/>
      <c r="C99" s="338"/>
      <c r="D99" s="338"/>
    </row>
    <row r="100" spans="1:4" s="339" customFormat="1">
      <c r="A100" s="338"/>
      <c r="B100" s="338"/>
      <c r="C100" s="338"/>
      <c r="D100" s="338"/>
    </row>
    <row r="101" spans="1:4" s="339" customFormat="1">
      <c r="A101" s="338"/>
      <c r="B101" s="338"/>
      <c r="C101" s="338"/>
      <c r="D101" s="338"/>
    </row>
    <row r="102" spans="1:4" s="339" customFormat="1">
      <c r="A102" s="338"/>
      <c r="B102" s="338"/>
      <c r="C102" s="338"/>
      <c r="D102" s="338"/>
    </row>
    <row r="103" spans="1:4" s="339" customFormat="1">
      <c r="A103" s="338"/>
      <c r="B103" s="338"/>
      <c r="C103" s="338"/>
      <c r="D103" s="338"/>
    </row>
    <row r="104" spans="1:4" s="339" customFormat="1">
      <c r="A104" s="338"/>
      <c r="B104" s="338"/>
      <c r="C104" s="338"/>
      <c r="D104" s="338"/>
    </row>
    <row r="105" spans="1:4" s="339" customFormat="1">
      <c r="A105" s="338"/>
      <c r="B105" s="338"/>
      <c r="C105" s="338"/>
      <c r="D105" s="338"/>
    </row>
    <row r="106" spans="1:4" s="339" customFormat="1">
      <c r="A106" s="338"/>
      <c r="B106" s="338"/>
      <c r="C106" s="338"/>
      <c r="D106" s="338"/>
    </row>
    <row r="107" spans="1:4" s="339" customFormat="1">
      <c r="A107" s="338"/>
      <c r="B107" s="338"/>
      <c r="C107" s="338"/>
      <c r="D107" s="338"/>
    </row>
  </sheetData>
  <mergeCells count="4">
    <mergeCell ref="B2:C2"/>
    <mergeCell ref="B3:C3"/>
    <mergeCell ref="D3:E3"/>
    <mergeCell ref="B4:B6"/>
  </mergeCells>
  <pageMargins left="0.2" right="0.2"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topLeftCell="C1" zoomScale="90" zoomScaleNormal="90" zoomScaleSheetLayoutView="100" workbookViewId="0">
      <selection activeCell="N21" sqref="N21"/>
    </sheetView>
  </sheetViews>
  <sheetFormatPr defaultColWidth="9.21875" defaultRowHeight="13.8"/>
  <cols>
    <col min="1" max="1" width="38.5546875" style="338" customWidth="1"/>
    <col min="2" max="2" width="12.21875" style="338" customWidth="1"/>
    <col min="3" max="3" width="11.77734375" style="338" customWidth="1"/>
    <col min="4" max="4" width="6" style="368" customWidth="1"/>
    <col min="5" max="5" width="13.44140625" style="368" customWidth="1"/>
    <col min="6" max="6" width="15.44140625" style="368" customWidth="1"/>
    <col min="7" max="7" width="0.21875" style="368" customWidth="1"/>
    <col min="8" max="8" width="3.44140625" style="338" customWidth="1"/>
    <col min="9" max="9" width="3.5546875" style="338" customWidth="1"/>
    <col min="10" max="10" width="42.21875" style="338" bestFit="1" customWidth="1"/>
    <col min="11" max="11" width="9" style="338" customWidth="1"/>
    <col min="12" max="12" width="11.5546875" style="338" customWidth="1"/>
    <col min="13" max="13" width="12.77734375" style="338" customWidth="1"/>
    <col min="14" max="14" width="9.5546875" style="338" bestFit="1" customWidth="1"/>
    <col min="15" max="15" width="31.77734375" style="338" bestFit="1" customWidth="1"/>
    <col min="16" max="16384" width="9.21875" style="338"/>
  </cols>
  <sheetData>
    <row r="1" spans="1:18">
      <c r="J1" s="374"/>
      <c r="K1" s="374"/>
      <c r="L1" s="368"/>
    </row>
    <row r="2" spans="1:18" ht="23.25" customHeight="1" thickBot="1">
      <c r="A2" s="368"/>
      <c r="B2" s="368"/>
      <c r="C2" s="368"/>
      <c r="J2" s="377"/>
    </row>
    <row r="3" spans="1:18" s="381" customFormat="1" ht="35.25" customHeight="1" thickBot="1">
      <c r="A3" s="378" t="s">
        <v>65</v>
      </c>
      <c r="B3" s="379"/>
      <c r="C3" s="379"/>
      <c r="D3" s="379"/>
      <c r="E3" s="379"/>
      <c r="F3" s="379"/>
      <c r="G3" s="380"/>
      <c r="I3" s="382"/>
      <c r="J3" s="383" t="s">
        <v>407</v>
      </c>
      <c r="K3" s="384"/>
      <c r="L3" s="384"/>
      <c r="M3" s="385"/>
      <c r="O3" s="386" t="s">
        <v>179</v>
      </c>
      <c r="P3" s="387" t="s">
        <v>180</v>
      </c>
      <c r="Q3" s="388" t="s">
        <v>68</v>
      </c>
      <c r="R3" s="389" t="s">
        <v>69</v>
      </c>
    </row>
    <row r="4" spans="1:18" ht="15.75" customHeight="1" thickBot="1">
      <c r="A4" s="390" t="s">
        <v>70</v>
      </c>
      <c r="B4" s="391"/>
      <c r="C4" s="392" t="s">
        <v>71</v>
      </c>
      <c r="D4" s="393"/>
      <c r="E4" s="393"/>
      <c r="F4" s="393"/>
      <c r="G4" s="394"/>
      <c r="J4" s="395"/>
      <c r="K4" s="396"/>
      <c r="L4" s="397" t="s">
        <v>181</v>
      </c>
      <c r="M4" s="398">
        <v>1084</v>
      </c>
      <c r="O4" s="399" t="s">
        <v>73</v>
      </c>
      <c r="P4" s="400">
        <v>2080</v>
      </c>
      <c r="Q4" s="401" t="s">
        <v>74</v>
      </c>
      <c r="R4" s="402" t="s">
        <v>75</v>
      </c>
    </row>
    <row r="5" spans="1:18" ht="15.75" customHeight="1">
      <c r="A5" s="403" t="s">
        <v>182</v>
      </c>
      <c r="B5" s="404">
        <f>'Chart BLS'!C18</f>
        <v>69600</v>
      </c>
      <c r="C5" s="405" t="s">
        <v>83</v>
      </c>
      <c r="D5" s="406"/>
      <c r="E5" s="406"/>
      <c r="F5" s="406"/>
      <c r="G5" s="407"/>
      <c r="I5" s="408"/>
      <c r="J5" s="409" t="s">
        <v>183</v>
      </c>
      <c r="K5" s="410" t="s">
        <v>77</v>
      </c>
      <c r="L5" s="410" t="s">
        <v>184</v>
      </c>
      <c r="M5" s="411" t="s">
        <v>79</v>
      </c>
      <c r="O5" s="412" t="s">
        <v>80</v>
      </c>
      <c r="P5" s="413">
        <v>80</v>
      </c>
      <c r="Q5" s="414">
        <v>10</v>
      </c>
      <c r="R5" s="415" t="s">
        <v>81</v>
      </c>
    </row>
    <row r="6" spans="1:18" s="417" customFormat="1" ht="15.75" customHeight="1">
      <c r="A6" s="403" t="s">
        <v>185</v>
      </c>
      <c r="B6" s="416">
        <f>'Chart BLS'!C8</f>
        <v>45210.880000000005</v>
      </c>
      <c r="C6" s="405" t="s">
        <v>83</v>
      </c>
      <c r="D6" s="406"/>
      <c r="E6" s="406"/>
      <c r="F6" s="406"/>
      <c r="G6" s="407"/>
      <c r="I6" s="408"/>
      <c r="J6" s="418" t="str">
        <f>A5</f>
        <v>Director</v>
      </c>
      <c r="K6" s="419">
        <f>B5</f>
        <v>69600</v>
      </c>
      <c r="L6" s="420">
        <v>0.2</v>
      </c>
      <c r="M6" s="421">
        <f>K6*L6</f>
        <v>13920</v>
      </c>
      <c r="O6" s="422" t="s">
        <v>84</v>
      </c>
      <c r="P6" s="423">
        <v>80</v>
      </c>
      <c r="Q6" s="424">
        <v>10</v>
      </c>
      <c r="R6" s="425" t="s">
        <v>81</v>
      </c>
    </row>
    <row r="7" spans="1:18" ht="15.75" customHeight="1">
      <c r="A7" s="403" t="s">
        <v>186</v>
      </c>
      <c r="B7" s="416">
        <f>'Chart BLS'!C14</f>
        <v>54412.800000000003</v>
      </c>
      <c r="C7" s="405" t="s">
        <v>187</v>
      </c>
      <c r="D7" s="406"/>
      <c r="E7" s="406"/>
      <c r="F7" s="406"/>
      <c r="G7" s="407"/>
      <c r="I7" s="426"/>
      <c r="J7" s="418" t="str">
        <f>A6</f>
        <v>Direct Client Interaction</v>
      </c>
      <c r="K7" s="419">
        <f>B6</f>
        <v>45210.880000000005</v>
      </c>
      <c r="L7" s="420">
        <v>0.15</v>
      </c>
      <c r="M7" s="427">
        <f>K7*L7</f>
        <v>6781.6320000000005</v>
      </c>
      <c r="O7" s="428" t="s">
        <v>86</v>
      </c>
      <c r="P7" s="429">
        <v>40</v>
      </c>
      <c r="Q7" s="424">
        <v>5</v>
      </c>
      <c r="R7" s="430" t="s">
        <v>81</v>
      </c>
    </row>
    <row r="8" spans="1:18" ht="15.75" customHeight="1">
      <c r="A8" s="403" t="s">
        <v>188</v>
      </c>
      <c r="B8" s="416">
        <f>'Chart BLS'!C8</f>
        <v>45210.880000000005</v>
      </c>
      <c r="C8" s="405" t="s">
        <v>83</v>
      </c>
      <c r="D8" s="406"/>
      <c r="E8" s="406"/>
      <c r="F8" s="406"/>
      <c r="G8" s="407"/>
      <c r="I8" s="426"/>
      <c r="J8" s="431" t="s">
        <v>189</v>
      </c>
      <c r="K8" s="419"/>
      <c r="L8" s="420"/>
      <c r="M8" s="427"/>
      <c r="O8" s="428" t="s">
        <v>89</v>
      </c>
      <c r="P8" s="429">
        <v>80</v>
      </c>
      <c r="Q8" s="424">
        <v>10</v>
      </c>
      <c r="R8" s="430" t="s">
        <v>81</v>
      </c>
    </row>
    <row r="9" spans="1:18" ht="15.75" customHeight="1">
      <c r="A9" s="432" t="s">
        <v>190</v>
      </c>
      <c r="B9" s="433">
        <f>'Chart BLS'!C6</f>
        <v>34927.359999999993</v>
      </c>
      <c r="C9" s="405" t="s">
        <v>83</v>
      </c>
      <c r="D9" s="434"/>
      <c r="E9" s="434"/>
      <c r="F9" s="434"/>
      <c r="G9" s="435"/>
      <c r="I9" s="426"/>
      <c r="J9" s="436" t="s">
        <v>191</v>
      </c>
      <c r="K9" s="419"/>
      <c r="L9" s="420"/>
      <c r="M9" s="427"/>
      <c r="O9" s="437" t="s">
        <v>91</v>
      </c>
      <c r="P9" s="429">
        <v>459.53984793058396</v>
      </c>
      <c r="Q9" s="438">
        <v>10.211996620679644</v>
      </c>
      <c r="R9" s="430" t="s">
        <v>92</v>
      </c>
    </row>
    <row r="10" spans="1:18" ht="15.75" customHeight="1" thickBot="1">
      <c r="A10" s="439" t="s">
        <v>93</v>
      </c>
      <c r="B10" s="440"/>
      <c r="C10" s="441"/>
      <c r="D10" s="442"/>
      <c r="E10" s="442"/>
      <c r="F10" s="442"/>
      <c r="G10" s="443"/>
      <c r="I10" s="426"/>
      <c r="J10" s="444" t="s">
        <v>192</v>
      </c>
      <c r="K10" s="419"/>
      <c r="L10" s="420"/>
      <c r="M10" s="427"/>
      <c r="O10" s="445" t="s">
        <v>94</v>
      </c>
      <c r="P10" s="446">
        <v>652.16901723222827</v>
      </c>
      <c r="Q10" s="447">
        <v>14.492644827382851</v>
      </c>
      <c r="R10" s="448" t="s">
        <v>92</v>
      </c>
    </row>
    <row r="11" spans="1:18" ht="15.75" customHeight="1" thickBot="1">
      <c r="A11" s="403" t="s">
        <v>182</v>
      </c>
      <c r="B11" s="449">
        <v>0.18087407407407408</v>
      </c>
      <c r="C11" s="405" t="s">
        <v>193</v>
      </c>
      <c r="D11" s="406"/>
      <c r="E11" s="406"/>
      <c r="F11" s="406"/>
      <c r="G11" s="407"/>
      <c r="I11" s="426"/>
      <c r="J11" s="450" t="str">
        <f t="shared" ref="J11:J13" si="0">A7</f>
        <v>Assistive Technology Specialist</v>
      </c>
      <c r="K11" s="419">
        <f>B7</f>
        <v>54412.800000000003</v>
      </c>
      <c r="L11" s="420">
        <v>0.65</v>
      </c>
      <c r="M11" s="427">
        <f>K11*L11</f>
        <v>35368.32</v>
      </c>
      <c r="O11" s="451" t="s">
        <v>96</v>
      </c>
      <c r="P11" s="400">
        <v>1391.7088651628123</v>
      </c>
    </row>
    <row r="12" spans="1:18" ht="15.75" customHeight="1">
      <c r="A12" s="403" t="s">
        <v>194</v>
      </c>
      <c r="B12" s="449">
        <v>0.12888888888888889</v>
      </c>
      <c r="C12" s="405" t="s">
        <v>193</v>
      </c>
      <c r="D12" s="406"/>
      <c r="E12" s="406"/>
      <c r="F12" s="406"/>
      <c r="G12" s="407"/>
      <c r="I12" s="426"/>
      <c r="J12" s="450" t="str">
        <f t="shared" si="0"/>
        <v>Equipment Tech/Specialist/Designer</v>
      </c>
      <c r="K12" s="419">
        <f>B8</f>
        <v>45210.880000000005</v>
      </c>
      <c r="L12" s="420">
        <v>0.8</v>
      </c>
      <c r="M12" s="427">
        <f>K12*L12</f>
        <v>36168.704000000005</v>
      </c>
      <c r="O12" s="452" t="s">
        <v>195</v>
      </c>
      <c r="P12" s="453">
        <v>688.29113483718766</v>
      </c>
    </row>
    <row r="13" spans="1:18" ht="15.75" customHeight="1" thickBot="1">
      <c r="A13" s="403" t="s">
        <v>186</v>
      </c>
      <c r="B13" s="449">
        <v>0.628</v>
      </c>
      <c r="C13" s="405" t="s">
        <v>193</v>
      </c>
      <c r="D13" s="406"/>
      <c r="E13" s="406"/>
      <c r="F13" s="406"/>
      <c r="G13" s="407"/>
      <c r="I13" s="426"/>
      <c r="J13" s="418" t="str">
        <f t="shared" si="0"/>
        <v>Support</v>
      </c>
      <c r="K13" s="454">
        <f>B9</f>
        <v>34927.359999999993</v>
      </c>
      <c r="L13" s="420">
        <v>0.24299999999999999</v>
      </c>
      <c r="M13" s="421">
        <f>K13*L13</f>
        <v>8487.3484799999987</v>
      </c>
      <c r="O13" s="455" t="s">
        <v>196</v>
      </c>
      <c r="P13" s="456">
        <v>1.5748888888888888</v>
      </c>
    </row>
    <row r="14" spans="1:18" ht="15.75" customHeight="1" thickBot="1">
      <c r="A14" s="403" t="s">
        <v>197</v>
      </c>
      <c r="B14" s="449">
        <v>0.81799999999999995</v>
      </c>
      <c r="C14" s="405" t="s">
        <v>193</v>
      </c>
      <c r="D14" s="406"/>
      <c r="E14" s="406"/>
      <c r="F14" s="406"/>
      <c r="G14" s="407"/>
      <c r="I14" s="426"/>
      <c r="J14" s="457" t="s">
        <v>198</v>
      </c>
      <c r="K14" s="458"/>
      <c r="L14" s="459">
        <f>SUM(L6:L13)</f>
        <v>2.0430000000000001</v>
      </c>
      <c r="M14" s="460">
        <f>SUM(M6:M13)</f>
        <v>100726.00448000002</v>
      </c>
      <c r="O14" s="451" t="s">
        <v>199</v>
      </c>
      <c r="P14" s="400">
        <v>1083.9820605758107</v>
      </c>
    </row>
    <row r="15" spans="1:18" ht="15.75" customHeight="1">
      <c r="A15" s="432" t="s">
        <v>190</v>
      </c>
      <c r="B15" s="461">
        <v>0.23200000000000004</v>
      </c>
      <c r="C15" s="462" t="s">
        <v>193</v>
      </c>
      <c r="D15" s="434"/>
      <c r="E15" s="434"/>
      <c r="F15" s="434"/>
      <c r="G15" s="435"/>
      <c r="I15" s="426"/>
      <c r="J15" s="463" t="s">
        <v>156</v>
      </c>
      <c r="K15" s="464">
        <f>B22</f>
        <v>3.7000000000000002E-3</v>
      </c>
      <c r="L15" s="465"/>
      <c r="M15" s="427">
        <f>M14*K15</f>
        <v>372.68621657600011</v>
      </c>
    </row>
    <row r="16" spans="1:18" ht="15.75" customHeight="1" thickBot="1">
      <c r="A16" s="466" t="s">
        <v>103</v>
      </c>
      <c r="B16" s="467"/>
      <c r="C16" s="468"/>
      <c r="D16" s="468"/>
      <c r="E16" s="468"/>
      <c r="F16" s="468"/>
      <c r="G16" s="469"/>
      <c r="I16" s="426"/>
      <c r="J16" s="470" t="s">
        <v>100</v>
      </c>
      <c r="K16" s="471">
        <f>B17</f>
        <v>0.224</v>
      </c>
      <c r="L16" s="472"/>
      <c r="M16" s="473">
        <f>M14*K16</f>
        <v>22562.625003520003</v>
      </c>
    </row>
    <row r="17" spans="1:15" ht="15.75" customHeight="1" thickTop="1" thickBot="1">
      <c r="A17" s="474" t="s">
        <v>104</v>
      </c>
      <c r="B17" s="475">
        <v>0.224</v>
      </c>
      <c r="C17" s="574" t="s">
        <v>405</v>
      </c>
      <c r="D17" s="476"/>
      <c r="E17" s="476"/>
      <c r="F17" s="476"/>
      <c r="G17" s="477"/>
      <c r="I17" s="426"/>
      <c r="J17" s="478" t="s">
        <v>200</v>
      </c>
      <c r="K17" s="479"/>
      <c r="L17" s="479"/>
      <c r="M17" s="480">
        <f>SUM(M14:M16)</f>
        <v>123661.31570009602</v>
      </c>
    </row>
    <row r="18" spans="1:15" ht="15.75" customHeight="1" thickTop="1">
      <c r="A18" s="474" t="s">
        <v>108</v>
      </c>
      <c r="B18" s="416">
        <f>'[2]3. ATIL UFR 2020'!E5</f>
        <v>2881.9809523809522</v>
      </c>
      <c r="C18" s="406" t="s">
        <v>201</v>
      </c>
      <c r="D18" s="406"/>
      <c r="E18" s="406"/>
      <c r="F18" s="406"/>
      <c r="G18" s="407"/>
      <c r="I18" s="426"/>
      <c r="J18" s="463" t="s">
        <v>108</v>
      </c>
      <c r="K18" s="481"/>
      <c r="L18" s="481"/>
      <c r="M18" s="427">
        <f>'[2]CMR 422 Master Lookup'!C32</f>
        <v>2881.9809523809522</v>
      </c>
    </row>
    <row r="19" spans="1:15" ht="15.75" customHeight="1">
      <c r="A19" s="482" t="s">
        <v>202</v>
      </c>
      <c r="B19" s="416">
        <f>193.895*(B24+1)-(B25+1)*(B26+1)</f>
        <v>197.76966722593266</v>
      </c>
      <c r="C19" s="406" t="s">
        <v>203</v>
      </c>
      <c r="D19" s="406"/>
      <c r="E19" s="406"/>
      <c r="F19" s="406"/>
      <c r="G19" s="407"/>
      <c r="I19" s="408"/>
      <c r="J19" s="463" t="s">
        <v>202</v>
      </c>
      <c r="K19" s="481"/>
      <c r="L19" s="481"/>
      <c r="M19" s="427">
        <f>'[2]CMR 422 Master Lookup'!C33</f>
        <v>197.76966722593266</v>
      </c>
    </row>
    <row r="20" spans="1:15" ht="15.75" customHeight="1">
      <c r="A20" s="482" t="s">
        <v>204</v>
      </c>
      <c r="B20" s="416">
        <f>8752.74118962222*(B24+1)*(B25+1)*(B26+1)</f>
        <v>9385.8384863561496</v>
      </c>
      <c r="C20" s="406" t="s">
        <v>205</v>
      </c>
      <c r="D20" s="406"/>
      <c r="E20" s="406"/>
      <c r="F20" s="406"/>
      <c r="G20" s="407"/>
      <c r="I20" s="426"/>
      <c r="J20" s="463" t="s">
        <v>204</v>
      </c>
      <c r="K20" s="481"/>
      <c r="L20" s="481"/>
      <c r="M20" s="427">
        <f>'[2]CMR 422 Master Lookup'!C34</f>
        <v>9385.8384863561496</v>
      </c>
    </row>
    <row r="21" spans="1:15" ht="15.75" customHeight="1">
      <c r="A21" s="483" t="s">
        <v>121</v>
      </c>
      <c r="B21" s="484">
        <v>0.12</v>
      </c>
      <c r="C21" s="201" t="s">
        <v>122</v>
      </c>
      <c r="D21" s="485"/>
      <c r="E21" s="485"/>
      <c r="F21" s="485"/>
      <c r="G21" s="486"/>
      <c r="I21" s="426"/>
      <c r="J21" s="457" t="s">
        <v>206</v>
      </c>
      <c r="K21" s="458"/>
      <c r="L21" s="458"/>
      <c r="M21" s="460">
        <f>SUM(M17:M20)</f>
        <v>136126.90480605906</v>
      </c>
      <c r="O21" s="487"/>
    </row>
    <row r="22" spans="1:15" ht="15.75" customHeight="1">
      <c r="A22" s="482" t="str">
        <f>'[2]1. O&amp;M Model Budge current'!B24</f>
        <v>PFMLA Trust Contribution</v>
      </c>
      <c r="B22" s="475">
        <v>3.7000000000000002E-3</v>
      </c>
      <c r="C22" s="488" t="str">
        <f>'[2]1. O&amp;M Model Budge current'!D24</f>
        <v>Effective 7/1/19</v>
      </c>
      <c r="D22" s="468"/>
      <c r="E22" s="468"/>
      <c r="F22" s="468"/>
      <c r="G22" s="469"/>
      <c r="I22" s="408"/>
      <c r="J22" s="463" t="s">
        <v>121</v>
      </c>
      <c r="K22" s="408">
        <f>B21</f>
        <v>0.12</v>
      </c>
      <c r="L22" s="481"/>
      <c r="M22" s="427">
        <f>M21*K22</f>
        <v>16335.228576727086</v>
      </c>
    </row>
    <row r="23" spans="1:15" ht="15.75" customHeight="1" thickBot="1">
      <c r="A23" s="482" t="s">
        <v>162</v>
      </c>
      <c r="B23" s="475">
        <f>'CAF Spring 2021'!CF25</f>
        <v>1.0633805350099574E-2</v>
      </c>
      <c r="C23" s="218" t="s">
        <v>128</v>
      </c>
      <c r="D23" s="476"/>
      <c r="E23" s="476"/>
      <c r="F23" s="476"/>
      <c r="G23" s="489"/>
      <c r="I23" s="408"/>
      <c r="J23" s="478" t="s">
        <v>129</v>
      </c>
      <c r="K23" s="479"/>
      <c r="L23" s="479"/>
      <c r="M23" s="480">
        <f>SUM(M21:M22)</f>
        <v>152462.13338278615</v>
      </c>
    </row>
    <row r="24" spans="1:15" ht="15.75" customHeight="1" thickBot="1">
      <c r="A24" s="490" t="s">
        <v>131</v>
      </c>
      <c r="B24" s="491">
        <f>'[2]Fall 2018'!BQ26</f>
        <v>2.5376928471248276E-2</v>
      </c>
      <c r="C24" s="218"/>
      <c r="D24" s="492"/>
      <c r="E24" s="492"/>
      <c r="F24" s="492"/>
      <c r="G24" s="493"/>
      <c r="I24" s="426"/>
      <c r="J24" s="463"/>
      <c r="K24" s="376"/>
      <c r="L24" s="376"/>
      <c r="M24" s="427"/>
    </row>
    <row r="25" spans="1:15" ht="15.75" customHeight="1">
      <c r="A25" s="494" t="s">
        <v>131</v>
      </c>
      <c r="B25" s="495">
        <v>2.7199999999999998E-2</v>
      </c>
      <c r="C25" s="476"/>
      <c r="D25" s="476"/>
      <c r="E25" s="476"/>
      <c r="F25" s="476"/>
      <c r="G25" s="476"/>
      <c r="I25" s="408"/>
      <c r="J25" s="496" t="s">
        <v>133</v>
      </c>
      <c r="K25" s="464">
        <f>B23</f>
        <v>1.0633805350099574E-2</v>
      </c>
      <c r="L25" s="497"/>
      <c r="M25" s="498">
        <f>(1+K25)*M23</f>
        <v>154083.38603243962</v>
      </c>
    </row>
    <row r="26" spans="1:15" ht="15.75" customHeight="1" thickBot="1">
      <c r="A26" s="499" t="s">
        <v>131</v>
      </c>
      <c r="B26" s="500">
        <v>1.8100000000000002E-2</v>
      </c>
      <c r="C26" s="368"/>
      <c r="F26" s="476"/>
      <c r="G26" s="374"/>
      <c r="I26" s="426"/>
      <c r="J26" s="501" t="s">
        <v>207</v>
      </c>
      <c r="K26" s="502"/>
      <c r="L26" s="503"/>
      <c r="M26" s="504">
        <f>M25/M4+0.02</f>
        <v>142.16334504837604</v>
      </c>
      <c r="O26" s="505"/>
    </row>
    <row r="27" spans="1:15" ht="15.75" customHeight="1">
      <c r="A27" s="368"/>
      <c r="B27" s="368"/>
      <c r="C27" s="368"/>
      <c r="F27" s="374"/>
      <c r="G27" s="374"/>
      <c r="I27" s="408"/>
    </row>
    <row r="28" spans="1:15" ht="13.5" customHeight="1">
      <c r="A28" s="368"/>
      <c r="B28" s="368"/>
      <c r="C28" s="368"/>
      <c r="F28" s="374"/>
      <c r="G28" s="374"/>
      <c r="I28" s="426"/>
      <c r="M28" s="334"/>
    </row>
    <row r="29" spans="1:15" ht="14.25" customHeight="1">
      <c r="A29" s="368"/>
      <c r="B29" s="368"/>
      <c r="C29" s="368"/>
      <c r="F29" s="374"/>
      <c r="I29" s="426"/>
      <c r="O29" s="505"/>
    </row>
    <row r="30" spans="1:15" ht="15.75" customHeight="1">
      <c r="A30" s="368"/>
      <c r="B30" s="368"/>
      <c r="C30" s="368"/>
      <c r="G30" s="506"/>
      <c r="I30" s="426"/>
      <c r="J30" s="376"/>
      <c r="N30" s="507"/>
      <c r="O30" s="334"/>
    </row>
    <row r="31" spans="1:15" ht="15.75" customHeight="1">
      <c r="A31" s="368"/>
      <c r="B31" s="368"/>
      <c r="C31" s="368"/>
      <c r="F31" s="506"/>
      <c r="G31" s="508"/>
      <c r="I31" s="408"/>
      <c r="J31" s="376"/>
    </row>
    <row r="32" spans="1:15" ht="18.75" customHeight="1">
      <c r="A32" s="509" t="s">
        <v>208</v>
      </c>
      <c r="B32" s="510"/>
      <c r="C32" s="511"/>
      <c r="D32" s="511"/>
      <c r="E32" s="512"/>
      <c r="F32" s="508"/>
      <c r="G32" s="344"/>
      <c r="I32" s="408"/>
      <c r="J32" s="376"/>
    </row>
    <row r="33" spans="1:10" ht="18.75" customHeight="1">
      <c r="A33" s="513" t="s">
        <v>209</v>
      </c>
      <c r="B33" s="374"/>
      <c r="C33" s="374"/>
      <c r="D33" s="374"/>
      <c r="E33" s="514"/>
      <c r="F33" s="344"/>
      <c r="G33" s="515"/>
      <c r="I33" s="408"/>
      <c r="J33" s="376"/>
    </row>
    <row r="34" spans="1:10" ht="19.5" customHeight="1">
      <c r="A34" s="513" t="s">
        <v>210</v>
      </c>
      <c r="B34" s="374"/>
      <c r="C34" s="374"/>
      <c r="D34" s="374"/>
      <c r="E34" s="514"/>
      <c r="F34" s="515"/>
      <c r="G34" s="344"/>
      <c r="I34" s="408"/>
      <c r="J34" s="376"/>
    </row>
    <row r="35" spans="1:10" ht="15.75" customHeight="1">
      <c r="A35" s="516" t="s">
        <v>211</v>
      </c>
      <c r="B35" s="517"/>
      <c r="C35" s="517"/>
      <c r="D35" s="517"/>
      <c r="E35" s="518"/>
      <c r="F35" s="344"/>
      <c r="G35" s="344"/>
      <c r="H35" s="376"/>
      <c r="I35" s="376"/>
      <c r="J35" s="376"/>
    </row>
    <row r="36" spans="1:10" ht="15.75" customHeight="1">
      <c r="A36" s="368"/>
      <c r="B36" s="368"/>
      <c r="C36" s="368"/>
      <c r="F36" s="344"/>
      <c r="G36" s="344"/>
      <c r="H36" s="376"/>
      <c r="I36" s="376"/>
      <c r="J36" s="376"/>
    </row>
    <row r="37" spans="1:10" ht="15.75" customHeight="1">
      <c r="A37" s="368"/>
      <c r="B37" s="368"/>
      <c r="C37" s="368"/>
      <c r="F37" s="344"/>
      <c r="G37" s="344"/>
      <c r="H37" s="376"/>
      <c r="I37" s="376"/>
      <c r="J37" s="376"/>
    </row>
    <row r="38" spans="1:10" ht="15.75" customHeight="1">
      <c r="A38" s="368"/>
      <c r="B38" s="368"/>
      <c r="C38" s="368"/>
      <c r="F38" s="344"/>
      <c r="G38" s="344"/>
      <c r="H38" s="376"/>
      <c r="I38" s="376"/>
      <c r="J38" s="376"/>
    </row>
    <row r="39" spans="1:10" ht="15.75" customHeight="1">
      <c r="A39" s="368"/>
      <c r="B39" s="368"/>
      <c r="C39" s="368"/>
      <c r="F39" s="344"/>
      <c r="G39" s="344"/>
      <c r="H39" s="376"/>
      <c r="I39" s="376"/>
      <c r="J39" s="376"/>
    </row>
    <row r="40" spans="1:10" ht="15.75" customHeight="1">
      <c r="A40" s="368"/>
      <c r="B40" s="368"/>
      <c r="C40" s="368"/>
      <c r="F40" s="344"/>
      <c r="G40" s="369"/>
      <c r="H40" s="376"/>
      <c r="I40" s="376"/>
      <c r="J40" s="376"/>
    </row>
    <row r="41" spans="1:10" ht="15.75" customHeight="1">
      <c r="A41" s="368"/>
      <c r="B41" s="368"/>
      <c r="C41" s="368"/>
      <c r="F41" s="369"/>
      <c r="G41" s="369"/>
      <c r="H41" s="376"/>
      <c r="I41" s="376"/>
      <c r="J41" s="376"/>
    </row>
    <row r="42" spans="1:10" ht="15.75" customHeight="1">
      <c r="A42" s="368"/>
      <c r="B42" s="368"/>
      <c r="C42" s="368"/>
      <c r="F42" s="369"/>
      <c r="H42" s="376"/>
      <c r="I42" s="376"/>
      <c r="J42" s="376"/>
    </row>
    <row r="43" spans="1:10" ht="15.75" customHeight="1">
      <c r="A43" s="368"/>
      <c r="B43" s="368"/>
      <c r="C43" s="368"/>
      <c r="H43" s="376"/>
      <c r="I43" s="376"/>
      <c r="J43" s="376"/>
    </row>
    <row r="44" spans="1:10">
      <c r="A44" s="368"/>
      <c r="B44" s="368"/>
      <c r="C44" s="368"/>
      <c r="H44" s="376"/>
      <c r="I44" s="376"/>
      <c r="J44" s="376"/>
    </row>
    <row r="45" spans="1:10">
      <c r="A45" s="368"/>
      <c r="B45" s="368"/>
      <c r="C45" s="368"/>
      <c r="H45" s="376"/>
      <c r="I45" s="376"/>
      <c r="J45" s="376"/>
    </row>
    <row r="46" spans="1:10">
      <c r="A46" s="368"/>
      <c r="B46" s="368"/>
      <c r="C46" s="368"/>
      <c r="D46" s="519"/>
      <c r="E46" s="519"/>
      <c r="H46" s="376"/>
      <c r="I46" s="376"/>
      <c r="J46" s="376"/>
    </row>
    <row r="47" spans="1:10">
      <c r="A47" s="368"/>
      <c r="B47" s="368"/>
      <c r="C47" s="368"/>
      <c r="H47" s="376"/>
      <c r="I47" s="376"/>
      <c r="J47" s="376"/>
    </row>
    <row r="48" spans="1:10">
      <c r="A48" s="368"/>
      <c r="B48" s="368"/>
      <c r="C48" s="368"/>
      <c r="H48" s="376"/>
      <c r="I48" s="376"/>
      <c r="J48" s="376"/>
    </row>
    <row r="49" spans="1:9">
      <c r="A49" s="368"/>
      <c r="B49" s="368"/>
      <c r="C49" s="368"/>
      <c r="H49" s="376"/>
      <c r="I49" s="376"/>
    </row>
    <row r="50" spans="1:9">
      <c r="A50" s="368"/>
      <c r="B50" s="368"/>
      <c r="C50" s="368"/>
      <c r="H50" s="376"/>
      <c r="I50" s="376"/>
    </row>
    <row r="51" spans="1:9">
      <c r="A51" s="368"/>
      <c r="B51" s="368"/>
      <c r="C51" s="368"/>
      <c r="H51" s="376"/>
      <c r="I51" s="376"/>
    </row>
    <row r="52" spans="1:9">
      <c r="A52" s="368"/>
      <c r="B52" s="368"/>
      <c r="C52" s="368"/>
      <c r="H52" s="376"/>
      <c r="I52" s="376"/>
    </row>
    <row r="53" spans="1:9">
      <c r="A53" s="368"/>
      <c r="B53" s="368"/>
      <c r="C53" s="368"/>
      <c r="H53" s="376"/>
      <c r="I53" s="376"/>
    </row>
    <row r="54" spans="1:9">
      <c r="A54" s="368"/>
      <c r="B54" s="368"/>
      <c r="C54" s="368"/>
    </row>
    <row r="55" spans="1:9">
      <c r="A55" s="368"/>
      <c r="B55" s="368"/>
      <c r="C55" s="368"/>
    </row>
    <row r="56" spans="1:9">
      <c r="A56" s="368"/>
      <c r="B56" s="368"/>
      <c r="C56" s="368"/>
    </row>
    <row r="57" spans="1:9">
      <c r="A57" s="368"/>
      <c r="B57" s="368"/>
      <c r="C57" s="368"/>
    </row>
    <row r="58" spans="1:9">
      <c r="A58" s="368"/>
      <c r="B58" s="368"/>
      <c r="C58" s="368"/>
    </row>
    <row r="59" spans="1:9">
      <c r="A59" s="368"/>
      <c r="B59" s="368"/>
      <c r="C59" s="368"/>
      <c r="G59" s="519"/>
    </row>
    <row r="60" spans="1:9">
      <c r="F60" s="519"/>
    </row>
    <row r="69" spans="1:3">
      <c r="A69" s="52"/>
      <c r="B69" s="265"/>
      <c r="C69" s="52"/>
    </row>
    <row r="70" spans="1:3">
      <c r="A70" s="52"/>
      <c r="B70" s="265"/>
      <c r="C70" s="52"/>
    </row>
    <row r="71" spans="1:3">
      <c r="A71" s="52"/>
      <c r="B71" s="265"/>
      <c r="C71" s="52"/>
    </row>
    <row r="96" spans="8:9">
      <c r="H96" s="215"/>
      <c r="I96" s="520"/>
    </row>
    <row r="97" spans="4:9">
      <c r="G97" s="520"/>
      <c r="H97" s="215"/>
      <c r="I97" s="52"/>
    </row>
    <row r="98" spans="4:9">
      <c r="D98" s="215"/>
      <c r="E98" s="215"/>
      <c r="F98" s="52"/>
      <c r="G98" s="520"/>
      <c r="H98" s="215"/>
      <c r="I98" s="52"/>
    </row>
    <row r="99" spans="4:9">
      <c r="D99" s="215"/>
      <c r="E99" s="215"/>
      <c r="F99" s="52"/>
      <c r="G99" s="520"/>
    </row>
    <row r="100" spans="4:9">
      <c r="D100" s="215"/>
      <c r="E100" s="215"/>
      <c r="F100" s="52"/>
    </row>
  </sheetData>
  <mergeCells count="6">
    <mergeCell ref="A3:G3"/>
    <mergeCell ref="J3:M3"/>
    <mergeCell ref="A4:B4"/>
    <mergeCell ref="C4:G4"/>
    <mergeCell ref="A10:B10"/>
    <mergeCell ref="A16:B16"/>
  </mergeCells>
  <pageMargins left="0.25" right="0.25" top="0.75" bottom="0.75" header="0.3" footer="0.3"/>
  <pageSetup scale="75" orientation="landscape"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0"/>
  <sheetViews>
    <sheetView zoomScale="90" zoomScaleNormal="90" workbookViewId="0">
      <selection activeCell="N21" sqref="N21"/>
    </sheetView>
  </sheetViews>
  <sheetFormatPr defaultColWidth="9.21875" defaultRowHeight="15.6"/>
  <cols>
    <col min="1" max="1" width="9.21875" style="521"/>
    <col min="2" max="2" width="41" style="521" customWidth="1"/>
    <col min="3" max="3" width="12.21875" style="604" customWidth="1"/>
    <col min="4" max="4" width="19.5546875" style="521" customWidth="1"/>
    <col min="5" max="5" width="13.5546875" style="608" customWidth="1"/>
    <col min="6" max="6" width="6.77734375" style="608" customWidth="1"/>
    <col min="7" max="7" width="4.44140625" style="521" customWidth="1"/>
    <col min="8" max="8" width="25.21875" style="521" bestFit="1" customWidth="1"/>
    <col min="9" max="9" width="10.44140625" style="521" customWidth="1"/>
    <col min="10" max="10" width="10.44140625" style="604" bestFit="1" customWidth="1"/>
    <col min="11" max="11" width="12" style="521" customWidth="1"/>
    <col min="12" max="16384" width="9.21875" style="521"/>
  </cols>
  <sheetData>
    <row r="1" spans="1:14">
      <c r="A1" s="50"/>
      <c r="B1" s="50"/>
      <c r="C1" s="51"/>
      <c r="D1" s="50"/>
      <c r="E1" s="52"/>
      <c r="F1" s="52"/>
      <c r="G1" s="50"/>
      <c r="H1" s="50"/>
      <c r="I1" s="50"/>
      <c r="J1" s="51"/>
      <c r="K1" s="50"/>
      <c r="L1" s="50"/>
      <c r="M1" s="50"/>
      <c r="N1" s="50"/>
    </row>
    <row r="2" spans="1:14" ht="16.2" thickBot="1">
      <c r="A2" s="50"/>
      <c r="B2" s="522"/>
      <c r="C2" s="523"/>
      <c r="D2" s="524"/>
      <c r="E2" s="524"/>
      <c r="F2" s="524"/>
      <c r="G2" s="110"/>
      <c r="H2" s="50"/>
      <c r="I2" s="50"/>
      <c r="J2" s="51"/>
      <c r="K2" s="50"/>
      <c r="L2" s="50"/>
      <c r="M2" s="50"/>
      <c r="N2" s="50"/>
    </row>
    <row r="3" spans="1:14" ht="22.5" customHeight="1" thickBot="1">
      <c r="A3" s="50"/>
      <c r="B3" s="55" t="s">
        <v>65</v>
      </c>
      <c r="C3" s="56"/>
      <c r="D3" s="56"/>
      <c r="E3" s="56"/>
      <c r="F3" s="57"/>
      <c r="G3" s="110"/>
      <c r="H3" s="525" t="s">
        <v>408</v>
      </c>
      <c r="I3" s="526"/>
      <c r="J3" s="526"/>
      <c r="K3" s="527"/>
      <c r="L3" s="50"/>
      <c r="M3" s="50"/>
      <c r="N3" s="50"/>
    </row>
    <row r="4" spans="1:14">
      <c r="A4" s="50"/>
      <c r="B4" s="528" t="s">
        <v>70</v>
      </c>
      <c r="C4" s="529"/>
      <c r="D4" s="530" t="s">
        <v>71</v>
      </c>
      <c r="E4" s="531"/>
      <c r="F4" s="532"/>
      <c r="G4" s="110"/>
      <c r="H4" s="533" t="s">
        <v>212</v>
      </c>
      <c r="I4" s="534">
        <v>60</v>
      </c>
      <c r="J4" s="535" t="s">
        <v>213</v>
      </c>
      <c r="K4" s="536">
        <f>I4*16*12</f>
        <v>11520</v>
      </c>
      <c r="L4" s="50"/>
      <c r="M4" s="50"/>
      <c r="N4" s="50"/>
    </row>
    <row r="5" spans="1:14">
      <c r="A5" s="50"/>
      <c r="B5" s="537" t="s">
        <v>76</v>
      </c>
      <c r="C5" s="538"/>
      <c r="D5" s="539"/>
      <c r="E5" s="539"/>
      <c r="F5" s="540"/>
      <c r="G5" s="110"/>
      <c r="H5" s="89"/>
      <c r="I5" s="91" t="s">
        <v>77</v>
      </c>
      <c r="J5" s="91" t="s">
        <v>78</v>
      </c>
      <c r="K5" s="92" t="s">
        <v>79</v>
      </c>
      <c r="L5" s="50"/>
      <c r="M5" s="50"/>
      <c r="N5" s="50"/>
    </row>
    <row r="6" spans="1:14">
      <c r="A6" s="50"/>
      <c r="B6" s="98" t="s">
        <v>214</v>
      </c>
      <c r="C6" s="99">
        <f>'Chart BLS'!C18</f>
        <v>69600</v>
      </c>
      <c r="D6" s="541" t="s">
        <v>83</v>
      </c>
      <c r="E6" s="541"/>
      <c r="F6" s="542"/>
      <c r="G6" s="110"/>
      <c r="H6" s="100" t="str">
        <f>$B$5</f>
        <v>Management</v>
      </c>
      <c r="I6" s="76"/>
      <c r="J6" s="76"/>
      <c r="K6" s="102"/>
      <c r="L6" s="50"/>
      <c r="M6" s="50"/>
      <c r="N6" s="50"/>
    </row>
    <row r="7" spans="1:14">
      <c r="A7" s="50"/>
      <c r="B7" s="98" t="s">
        <v>215</v>
      </c>
      <c r="C7" s="99">
        <f>'Chart BLS'!C8</f>
        <v>45210.880000000005</v>
      </c>
      <c r="D7" s="541" t="s">
        <v>83</v>
      </c>
      <c r="E7" s="541"/>
      <c r="F7" s="542"/>
      <c r="G7" s="110"/>
      <c r="H7" s="111" t="str">
        <f>$B$6</f>
        <v>Mgmt supervision</v>
      </c>
      <c r="I7" s="543">
        <f>C6</f>
        <v>69600</v>
      </c>
      <c r="J7" s="544">
        <f>$C$12</f>
        <v>1</v>
      </c>
      <c r="K7" s="545">
        <f>I7*J7</f>
        <v>69600</v>
      </c>
      <c r="L7" s="50"/>
      <c r="M7" s="50"/>
      <c r="N7" s="50"/>
    </row>
    <row r="8" spans="1:14">
      <c r="A8" s="50"/>
      <c r="B8" s="109" t="s">
        <v>85</v>
      </c>
      <c r="C8" s="99"/>
      <c r="D8" s="541"/>
      <c r="E8" s="541"/>
      <c r="F8" s="542"/>
      <c r="G8" s="110"/>
      <c r="H8" s="111" t="str">
        <f>$B$7</f>
        <v xml:space="preserve">  Assistant Program Director</v>
      </c>
      <c r="I8" s="543">
        <f>C7</f>
        <v>45210.880000000005</v>
      </c>
      <c r="J8" s="544">
        <v>0.25</v>
      </c>
      <c r="K8" s="545">
        <f>I8*J8</f>
        <v>11302.720000000001</v>
      </c>
      <c r="L8" s="50"/>
      <c r="M8" s="50"/>
      <c r="N8" s="50"/>
    </row>
    <row r="9" spans="1:14">
      <c r="A9" s="50"/>
      <c r="B9" s="121" t="s">
        <v>216</v>
      </c>
      <c r="C9" s="122">
        <f>'Chart BLS'!C6</f>
        <v>34927.359999999993</v>
      </c>
      <c r="D9" s="541" t="s">
        <v>83</v>
      </c>
      <c r="E9" s="546"/>
      <c r="F9" s="547"/>
      <c r="G9" s="110"/>
      <c r="H9" s="100" t="str">
        <f>$B$8</f>
        <v>Direct Care</v>
      </c>
      <c r="I9" s="543"/>
      <c r="J9" s="544"/>
      <c r="K9" s="545"/>
      <c r="L9" s="50"/>
      <c r="M9" s="50"/>
      <c r="N9" s="50"/>
    </row>
    <row r="10" spans="1:14">
      <c r="A10" s="50"/>
      <c r="B10" s="548" t="s">
        <v>93</v>
      </c>
      <c r="C10" s="549"/>
      <c r="D10" s="550"/>
      <c r="E10" s="550"/>
      <c r="F10" s="551"/>
      <c r="G10" s="110"/>
      <c r="H10" s="111" t="str">
        <f>$B$9</f>
        <v xml:space="preserve">  Program Staff</v>
      </c>
      <c r="I10" s="543">
        <f>C9</f>
        <v>34927.359999999993</v>
      </c>
      <c r="J10" s="544">
        <v>0.75</v>
      </c>
      <c r="K10" s="545">
        <f>I10*J10</f>
        <v>26195.519999999997</v>
      </c>
      <c r="L10" s="50"/>
      <c r="M10" s="50"/>
      <c r="N10" s="50"/>
    </row>
    <row r="11" spans="1:14">
      <c r="A11" s="50"/>
      <c r="B11" s="537" t="str">
        <f>B5</f>
        <v>Management</v>
      </c>
      <c r="C11" s="136"/>
      <c r="D11" s="552"/>
      <c r="E11" s="552"/>
      <c r="F11" s="553"/>
      <c r="G11" s="110"/>
      <c r="H11" s="137" t="s">
        <v>95</v>
      </c>
      <c r="I11" s="554"/>
      <c r="J11" s="555">
        <f>SUM(J7:J10)</f>
        <v>2</v>
      </c>
      <c r="K11" s="556">
        <f>SUM(K7:K10)</f>
        <v>107098.23999999999</v>
      </c>
      <c r="L11" s="50"/>
      <c r="M11" s="50"/>
      <c r="N11" s="50"/>
    </row>
    <row r="12" spans="1:14">
      <c r="A12" s="50"/>
      <c r="B12" s="98" t="str">
        <f>B6</f>
        <v>Mgmt supervision</v>
      </c>
      <c r="C12" s="145">
        <v>1</v>
      </c>
      <c r="D12" s="541" t="s">
        <v>217</v>
      </c>
      <c r="E12" s="541"/>
      <c r="F12" s="542"/>
      <c r="G12" s="110"/>
      <c r="H12" s="155" t="str">
        <f>B23</f>
        <v>PFMLA Trust Contribution</v>
      </c>
      <c r="I12" s="557">
        <f>C23</f>
        <v>3.7000000000000002E-3</v>
      </c>
      <c r="J12" s="558"/>
      <c r="K12" s="559">
        <f>K11*I12</f>
        <v>396.263488</v>
      </c>
      <c r="L12" s="50"/>
      <c r="M12" s="50"/>
      <c r="N12" s="50"/>
    </row>
    <row r="13" spans="1:14">
      <c r="A13" s="50"/>
      <c r="B13" s="98" t="str">
        <f>B7</f>
        <v xml:space="preserve">  Assistant Program Director</v>
      </c>
      <c r="C13" s="145">
        <v>0.25</v>
      </c>
      <c r="D13" s="541" t="s">
        <v>217</v>
      </c>
      <c r="E13" s="541"/>
      <c r="F13" s="542"/>
      <c r="G13" s="110"/>
      <c r="H13" s="155" t="s">
        <v>100</v>
      </c>
      <c r="I13" s="557">
        <f>C17</f>
        <v>0.224</v>
      </c>
      <c r="J13" s="560"/>
      <c r="K13" s="545">
        <f>I13*K11</f>
        <v>23990.00576</v>
      </c>
      <c r="L13" s="50"/>
      <c r="M13" s="50"/>
      <c r="N13" s="50"/>
    </row>
    <row r="14" spans="1:14">
      <c r="A14" s="50"/>
      <c r="B14" s="109" t="str">
        <f>B8</f>
        <v>Direct Care</v>
      </c>
      <c r="C14" s="145"/>
      <c r="D14" s="561"/>
      <c r="E14" s="562"/>
      <c r="F14" s="563"/>
      <c r="G14" s="110"/>
      <c r="H14" s="137" t="s">
        <v>102</v>
      </c>
      <c r="I14" s="554"/>
      <c r="J14" s="564"/>
      <c r="K14" s="565">
        <f>SUM(K11:K13)</f>
        <v>131484.50924799999</v>
      </c>
      <c r="L14" s="50"/>
      <c r="M14" s="50"/>
      <c r="N14" s="50"/>
    </row>
    <row r="15" spans="1:14">
      <c r="A15" s="50"/>
      <c r="B15" s="121" t="str">
        <f>B9</f>
        <v xml:space="preserve">  Program Staff</v>
      </c>
      <c r="C15" s="163">
        <v>0.75</v>
      </c>
      <c r="D15" s="566" t="s">
        <v>217</v>
      </c>
      <c r="E15" s="546"/>
      <c r="F15" s="547"/>
      <c r="G15" s="110"/>
      <c r="H15" s="155" t="str">
        <f>$B$18</f>
        <v>Occupancy</v>
      </c>
      <c r="I15" s="567"/>
      <c r="J15" s="568"/>
      <c r="K15" s="559">
        <f>C18*J11</f>
        <v>51701.538461538461</v>
      </c>
      <c r="L15" s="50"/>
      <c r="M15" s="50"/>
      <c r="N15" s="50"/>
    </row>
    <row r="16" spans="1:14">
      <c r="A16" s="50"/>
      <c r="B16" s="569" t="s">
        <v>103</v>
      </c>
      <c r="C16" s="570"/>
      <c r="D16" s="571"/>
      <c r="E16" s="571"/>
      <c r="F16" s="572"/>
      <c r="G16" s="110"/>
      <c r="H16" s="155" t="s">
        <v>218</v>
      </c>
      <c r="I16" s="567"/>
      <c r="J16" s="568"/>
      <c r="K16" s="559">
        <f>C19*K4</f>
        <v>251508</v>
      </c>
      <c r="L16" s="50"/>
      <c r="M16" s="50"/>
      <c r="N16" s="50"/>
    </row>
    <row r="17" spans="1:14">
      <c r="A17" s="50"/>
      <c r="B17" s="170" t="s">
        <v>104</v>
      </c>
      <c r="C17" s="573">
        <f>'[2]CMR 422 Master Lookup'!G3</f>
        <v>0.224</v>
      </c>
      <c r="D17" s="574" t="s">
        <v>405</v>
      </c>
      <c r="E17" s="574"/>
      <c r="F17" s="575"/>
      <c r="G17" s="110"/>
      <c r="H17" s="576" t="str">
        <f>B20</f>
        <v>DC Consultant Training and Interperter services</v>
      </c>
      <c r="I17" s="567"/>
      <c r="J17" s="568"/>
      <c r="K17" s="559">
        <f>C20*48</f>
        <v>9600</v>
      </c>
      <c r="L17" s="50"/>
      <c r="M17" s="50"/>
      <c r="N17" s="50"/>
    </row>
    <row r="18" spans="1:14">
      <c r="A18" s="50"/>
      <c r="B18" s="178" t="s">
        <v>108</v>
      </c>
      <c r="C18" s="99">
        <f>50409/1.95</f>
        <v>25850.76923076923</v>
      </c>
      <c r="D18" s="577" t="s">
        <v>219</v>
      </c>
      <c r="E18" s="577"/>
      <c r="F18" s="578"/>
      <c r="G18" s="110"/>
      <c r="H18" s="155" t="str">
        <f>$B$21</f>
        <v>All other Program Supplies &amp; Materials</v>
      </c>
      <c r="I18" s="567"/>
      <c r="J18" s="568"/>
      <c r="K18" s="559">
        <f>C21*J11</f>
        <v>6342</v>
      </c>
      <c r="L18" s="50"/>
      <c r="M18" s="50"/>
      <c r="N18" s="50"/>
    </row>
    <row r="19" spans="1:14">
      <c r="A19" s="50"/>
      <c r="B19" s="178" t="s">
        <v>220</v>
      </c>
      <c r="C19" s="579">
        <f>251508/K4</f>
        <v>21.832291666666666</v>
      </c>
      <c r="D19" s="577" t="s">
        <v>221</v>
      </c>
      <c r="E19" s="577"/>
      <c r="F19" s="578"/>
      <c r="G19" s="147"/>
      <c r="H19" s="137" t="s">
        <v>123</v>
      </c>
      <c r="I19" s="554"/>
      <c r="J19" s="580"/>
      <c r="K19" s="556">
        <f>SUM(K14:K18)</f>
        <v>450636.04770953848</v>
      </c>
      <c r="L19" s="50"/>
      <c r="M19" s="50"/>
      <c r="N19" s="50"/>
    </row>
    <row r="20" spans="1:14">
      <c r="A20" s="50"/>
      <c r="B20" s="178" t="s">
        <v>222</v>
      </c>
      <c r="C20" s="579">
        <v>200</v>
      </c>
      <c r="D20" s="577" t="s">
        <v>223</v>
      </c>
      <c r="E20" s="577"/>
      <c r="F20" s="578"/>
      <c r="G20" s="110"/>
      <c r="H20" s="155" t="s">
        <v>121</v>
      </c>
      <c r="I20" s="557">
        <f>C22</f>
        <v>0.12</v>
      </c>
      <c r="J20" s="560"/>
      <c r="K20" s="545">
        <f>I20*K19</f>
        <v>54076.325725144619</v>
      </c>
      <c r="L20" s="50"/>
      <c r="M20" s="50"/>
      <c r="N20" s="50"/>
    </row>
    <row r="21" spans="1:14" ht="16.2" thickBot="1">
      <c r="A21" s="50"/>
      <c r="B21" s="178" t="s">
        <v>224</v>
      </c>
      <c r="C21" s="99">
        <f>'[2]Below the line 2405'!AJ12</f>
        <v>3171</v>
      </c>
      <c r="D21" s="577" t="s">
        <v>225</v>
      </c>
      <c r="E21" s="541"/>
      <c r="F21" s="542"/>
      <c r="G21" s="110"/>
      <c r="H21" s="221" t="s">
        <v>129</v>
      </c>
      <c r="I21" s="223"/>
      <c r="J21" s="224"/>
      <c r="K21" s="225">
        <f>SUM(K19:K20)</f>
        <v>504712.37343468308</v>
      </c>
      <c r="L21" s="50"/>
      <c r="M21" s="50"/>
      <c r="N21" s="50"/>
    </row>
    <row r="22" spans="1:14" ht="16.2" thickTop="1">
      <c r="A22" s="50"/>
      <c r="B22" s="178" t="s">
        <v>121</v>
      </c>
      <c r="C22" s="581">
        <f>'[2]CMR 422 Master Lookup'!G4</f>
        <v>0.12</v>
      </c>
      <c r="D22" s="577" t="s">
        <v>122</v>
      </c>
      <c r="E22" s="577"/>
      <c r="F22" s="578"/>
      <c r="G22" s="110"/>
      <c r="H22" s="155"/>
      <c r="I22" s="240"/>
      <c r="J22" s="148"/>
      <c r="K22" s="582"/>
      <c r="L22" s="50"/>
      <c r="M22" s="50"/>
      <c r="N22" s="50"/>
    </row>
    <row r="23" spans="1:14" ht="16.2" thickBot="1">
      <c r="A23" s="50"/>
      <c r="B23" s="583" t="str">
        <f>'[2]1. O&amp;M Model Budge current'!B24</f>
        <v>PFMLA Trust Contribution</v>
      </c>
      <c r="C23" s="584">
        <f>'[2]CMR 422 Master Lookup'!G5</f>
        <v>3.7000000000000002E-3</v>
      </c>
      <c r="D23" s="585" t="str">
        <f>'[2]1. O&amp;M Model Budge current'!D24</f>
        <v>Effective 7/1/19</v>
      </c>
      <c r="E23" s="586"/>
      <c r="F23" s="587"/>
      <c r="G23" s="110"/>
      <c r="H23" s="155" t="s">
        <v>133</v>
      </c>
      <c r="I23" s="557">
        <f>C24</f>
        <v>1.0633805350099574E-2</v>
      </c>
      <c r="J23" s="148"/>
      <c r="K23" s="582">
        <f>K21*(I23+1)</f>
        <v>510079.38657157426</v>
      </c>
      <c r="L23" s="50"/>
      <c r="M23" s="50"/>
      <c r="N23" s="50"/>
    </row>
    <row r="24" spans="1:14" ht="16.2" thickBot="1">
      <c r="A24" s="50"/>
      <c r="B24" s="583" t="s">
        <v>162</v>
      </c>
      <c r="C24" s="581">
        <f>'CAF Spring 2021'!CF25</f>
        <v>1.0633805350099574E-2</v>
      </c>
      <c r="D24" s="218" t="s">
        <v>128</v>
      </c>
      <c r="E24" s="577"/>
      <c r="F24" s="578"/>
      <c r="G24" s="110"/>
      <c r="H24" s="588" t="s">
        <v>136</v>
      </c>
      <c r="I24" s="589"/>
      <c r="J24" s="590"/>
      <c r="K24" s="591">
        <f>K23/K4-0.01</f>
        <v>44.267724528782487</v>
      </c>
      <c r="L24" s="50"/>
      <c r="M24" s="50"/>
      <c r="N24" s="50"/>
    </row>
    <row r="25" spans="1:14" ht="16.2" thickBot="1">
      <c r="A25" s="50"/>
      <c r="B25" s="592" t="s">
        <v>131</v>
      </c>
      <c r="C25" s="593">
        <v>2.5399999999999999E-2</v>
      </c>
      <c r="D25" s="594"/>
      <c r="E25" s="595"/>
      <c r="F25" s="596"/>
      <c r="G25" s="110"/>
      <c r="H25" s="50"/>
      <c r="I25" s="50"/>
      <c r="J25" s="51"/>
      <c r="K25" s="50"/>
      <c r="L25" s="50"/>
      <c r="M25" s="50"/>
      <c r="N25" s="50"/>
    </row>
    <row r="26" spans="1:14">
      <c r="A26" s="50"/>
      <c r="B26" s="232" t="s">
        <v>131</v>
      </c>
      <c r="C26" s="231">
        <v>2.7199999999999998E-2</v>
      </c>
      <c r="D26" s="215"/>
      <c r="E26" s="215"/>
      <c r="F26" s="215"/>
      <c r="G26" s="110"/>
      <c r="H26" s="597"/>
      <c r="I26" s="598"/>
      <c r="J26" s="599"/>
      <c r="K26" s="266"/>
      <c r="L26" s="50"/>
      <c r="M26" s="50"/>
      <c r="N26" s="50"/>
    </row>
    <row r="27" spans="1:14">
      <c r="A27" s="50"/>
      <c r="B27" s="600" t="s">
        <v>131</v>
      </c>
      <c r="C27" s="601">
        <v>1.8100000000000002E-2</v>
      </c>
      <c r="D27" s="52"/>
      <c r="E27" s="52"/>
      <c r="F27" s="52"/>
      <c r="G27" s="110"/>
      <c r="H27" s="602"/>
      <c r="I27" s="603"/>
      <c r="L27" s="50"/>
      <c r="M27" s="50"/>
      <c r="N27" s="50"/>
    </row>
    <row r="28" spans="1:14">
      <c r="A28" s="50"/>
      <c r="B28" s="144"/>
      <c r="C28" s="265"/>
      <c r="D28" s="52"/>
      <c r="E28" s="52"/>
      <c r="F28" s="52"/>
      <c r="G28" s="110"/>
      <c r="H28" s="605"/>
      <c r="I28" s="606"/>
      <c r="J28" s="607"/>
      <c r="L28" s="50"/>
      <c r="M28" s="50"/>
      <c r="N28" s="50"/>
    </row>
    <row r="29" spans="1:14">
      <c r="A29" s="50"/>
      <c r="B29" s="52"/>
      <c r="C29" s="265"/>
      <c r="D29" s="608"/>
      <c r="G29" s="110"/>
      <c r="H29" s="605"/>
      <c r="I29" s="606"/>
      <c r="J29" s="607"/>
      <c r="L29" s="266"/>
      <c r="M29" s="50"/>
      <c r="N29" s="50"/>
    </row>
    <row r="30" spans="1:14">
      <c r="A30" s="50"/>
      <c r="B30" s="608"/>
      <c r="C30" s="609"/>
      <c r="D30" s="608"/>
      <c r="G30" s="110"/>
      <c r="H30" s="605"/>
      <c r="I30" s="606"/>
      <c r="J30" s="607"/>
      <c r="L30" s="50"/>
      <c r="M30" s="50"/>
      <c r="N30" s="50"/>
    </row>
    <row r="31" spans="1:14">
      <c r="A31" s="50"/>
      <c r="B31" s="608"/>
      <c r="C31" s="609"/>
      <c r="D31" s="608"/>
      <c r="G31" s="110"/>
      <c r="H31" s="605"/>
      <c r="I31" s="606"/>
      <c r="J31" s="607"/>
      <c r="L31" s="50"/>
      <c r="M31" s="50"/>
      <c r="N31" s="50"/>
    </row>
    <row r="32" spans="1:14">
      <c r="B32" s="608"/>
      <c r="C32" s="609"/>
      <c r="D32" s="608"/>
      <c r="G32" s="610"/>
      <c r="H32" s="611"/>
      <c r="I32" s="611"/>
      <c r="J32" s="612"/>
      <c r="K32" s="611"/>
    </row>
    <row r="33" spans="2:11">
      <c r="B33" s="608"/>
      <c r="C33" s="609"/>
      <c r="D33" s="608"/>
      <c r="G33" s="613"/>
      <c r="H33" s="602"/>
      <c r="I33" s="602"/>
      <c r="J33" s="602"/>
      <c r="K33" s="602"/>
    </row>
    <row r="34" spans="2:11">
      <c r="B34" s="608"/>
      <c r="C34" s="609"/>
      <c r="D34" s="608"/>
      <c r="G34" s="614"/>
      <c r="H34" s="615"/>
      <c r="I34" s="616"/>
      <c r="J34" s="616"/>
      <c r="K34" s="616"/>
    </row>
    <row r="35" spans="2:11">
      <c r="B35" s="608"/>
      <c r="C35" s="609"/>
      <c r="D35" s="608"/>
      <c r="G35" s="614"/>
      <c r="H35" s="615"/>
      <c r="I35" s="616"/>
      <c r="J35" s="616"/>
      <c r="K35" s="616"/>
    </row>
    <row r="36" spans="2:11">
      <c r="B36" s="608"/>
      <c r="C36" s="609"/>
      <c r="D36" s="608"/>
      <c r="G36" s="613"/>
      <c r="H36" s="615"/>
      <c r="I36" s="617"/>
      <c r="J36" s="616"/>
      <c r="K36" s="616"/>
    </row>
    <row r="37" spans="2:11">
      <c r="B37" s="608"/>
      <c r="C37" s="609"/>
      <c r="D37" s="608"/>
      <c r="G37" s="613"/>
      <c r="H37" s="615"/>
      <c r="I37" s="618"/>
      <c r="J37" s="618"/>
      <c r="K37" s="618"/>
    </row>
    <row r="38" spans="2:11">
      <c r="B38" s="608"/>
      <c r="C38" s="609"/>
      <c r="D38" s="608"/>
      <c r="G38" s="611"/>
      <c r="H38" s="615"/>
      <c r="I38" s="617"/>
      <c r="J38" s="617"/>
      <c r="K38" s="617"/>
    </row>
    <row r="39" spans="2:11">
      <c r="B39" s="608"/>
      <c r="C39" s="609"/>
      <c r="D39" s="608"/>
      <c r="G39" s="611"/>
      <c r="H39" s="615"/>
      <c r="I39" s="616"/>
      <c r="J39" s="616"/>
      <c r="K39" s="616"/>
    </row>
    <row r="40" spans="2:11">
      <c r="B40" s="608"/>
      <c r="C40" s="609"/>
      <c r="D40" s="608"/>
      <c r="G40" s="611"/>
      <c r="H40" s="611"/>
      <c r="I40" s="611"/>
      <c r="J40" s="612"/>
      <c r="K40" s="611"/>
    </row>
    <row r="41" spans="2:11">
      <c r="B41" s="608"/>
      <c r="C41" s="609"/>
      <c r="D41" s="608"/>
      <c r="G41" s="611"/>
      <c r="H41" s="615"/>
      <c r="I41" s="619"/>
      <c r="J41" s="612"/>
      <c r="K41" s="611"/>
    </row>
    <row r="42" spans="2:11">
      <c r="B42" s="608"/>
      <c r="C42" s="609"/>
      <c r="D42" s="608"/>
      <c r="G42" s="611"/>
      <c r="H42" s="611"/>
      <c r="I42" s="611"/>
      <c r="J42" s="612"/>
      <c r="K42" s="611"/>
    </row>
    <row r="43" spans="2:11">
      <c r="B43" s="608"/>
      <c r="C43" s="609"/>
      <c r="D43" s="608"/>
      <c r="G43" s="611"/>
    </row>
    <row r="44" spans="2:11">
      <c r="B44" s="608"/>
      <c r="C44" s="609"/>
      <c r="D44" s="608"/>
      <c r="G44" s="611"/>
    </row>
    <row r="45" spans="2:11">
      <c r="B45" s="608"/>
      <c r="C45" s="609"/>
      <c r="D45" s="608"/>
      <c r="G45" s="611"/>
    </row>
    <row r="46" spans="2:11">
      <c r="B46" s="608"/>
      <c r="C46" s="609"/>
      <c r="D46" s="608"/>
      <c r="G46" s="611"/>
    </row>
    <row r="47" spans="2:11">
      <c r="B47" s="608"/>
      <c r="C47" s="609"/>
      <c r="D47" s="608"/>
      <c r="G47" s="611"/>
    </row>
    <row r="48" spans="2:11">
      <c r="B48" s="608"/>
      <c r="C48" s="609"/>
      <c r="G48" s="611"/>
    </row>
    <row r="49" spans="7:7">
      <c r="G49" s="611"/>
    </row>
    <row r="50" spans="7:7">
      <c r="G50" s="611"/>
    </row>
    <row r="60" spans="7:7" ht="21">
      <c r="G60" s="620"/>
    </row>
  </sheetData>
  <mergeCells count="5">
    <mergeCell ref="B3:F3"/>
    <mergeCell ref="H3:K3"/>
    <mergeCell ref="D4:F4"/>
    <mergeCell ref="B10:C10"/>
    <mergeCell ref="B16:C16"/>
  </mergeCells>
  <pageMargins left="0.25" right="0.25" top="0.75" bottom="0.75" header="0.3" footer="0.3"/>
  <pageSetup scale="63" orientation="landscape" cellComments="asDisplayed"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8"/>
  <sheetViews>
    <sheetView zoomScaleNormal="100" workbookViewId="0">
      <selection activeCell="O21" sqref="O21"/>
    </sheetView>
  </sheetViews>
  <sheetFormatPr defaultRowHeight="14.4"/>
  <cols>
    <col min="1" max="1" width="8.88671875" style="661"/>
    <col min="2" max="2" width="25.21875" style="661" customWidth="1"/>
    <col min="3" max="3" width="8.21875" style="661" customWidth="1"/>
    <col min="4" max="4" width="3.77734375" style="661" bestFit="1" customWidth="1"/>
    <col min="5" max="5" width="9" style="661" customWidth="1"/>
    <col min="6" max="6" width="3.44140625" style="661" customWidth="1"/>
    <col min="7" max="7" width="19.21875" style="661" customWidth="1"/>
    <col min="8" max="8" width="4.88671875" style="661" bestFit="1" customWidth="1"/>
    <col min="9" max="9" width="4.33203125" style="661" bestFit="1" customWidth="1"/>
    <col min="10" max="10" width="5.5546875" style="661" bestFit="1" customWidth="1"/>
    <col min="11" max="11" width="3.5546875" style="661" customWidth="1"/>
    <col min="12" max="12" width="28.5546875" style="661" customWidth="1"/>
    <col min="13" max="13" width="7.21875" style="661" customWidth="1"/>
    <col min="14" max="14" width="34.5546875" style="661" customWidth="1"/>
    <col min="15" max="16384" width="8.88671875" style="661"/>
  </cols>
  <sheetData>
    <row r="1" spans="2:15">
      <c r="B1" s="660" t="s">
        <v>337</v>
      </c>
    </row>
    <row r="2" spans="2:15">
      <c r="B2" s="660"/>
    </row>
    <row r="3" spans="2:15" ht="7.8" customHeight="1" thickBot="1">
      <c r="B3" s="660"/>
    </row>
    <row r="4" spans="2:15" ht="15" thickBot="1">
      <c r="B4" s="662" t="s">
        <v>403</v>
      </c>
      <c r="C4" s="663"/>
      <c r="D4" s="663"/>
      <c r="E4" s="664"/>
      <c r="F4" s="665"/>
      <c r="G4" s="666" t="s">
        <v>338</v>
      </c>
      <c r="H4" s="667" t="s">
        <v>339</v>
      </c>
      <c r="I4" s="667" t="s">
        <v>340</v>
      </c>
      <c r="J4" s="668" t="s">
        <v>341</v>
      </c>
      <c r="K4" s="665"/>
      <c r="L4" s="669" t="s">
        <v>342</v>
      </c>
      <c r="M4" s="670"/>
      <c r="N4" s="671"/>
    </row>
    <row r="5" spans="2:15">
      <c r="B5" s="672" t="s">
        <v>343</v>
      </c>
      <c r="C5" s="673" t="s">
        <v>344</v>
      </c>
      <c r="D5" s="673"/>
      <c r="E5" s="674">
        <f>J15</f>
        <v>1226.5</v>
      </c>
      <c r="G5" s="675" t="s">
        <v>345</v>
      </c>
      <c r="H5" s="676">
        <v>52</v>
      </c>
      <c r="I5" s="676">
        <v>40</v>
      </c>
      <c r="J5" s="677">
        <f t="shared" ref="J5:J10" si="0">I5*H5</f>
        <v>2080</v>
      </c>
      <c r="L5" s="678" t="s">
        <v>346</v>
      </c>
      <c r="M5" s="679"/>
      <c r="N5" s="680" t="s">
        <v>71</v>
      </c>
    </row>
    <row r="6" spans="2:15">
      <c r="B6" s="681" t="s">
        <v>3</v>
      </c>
      <c r="C6" s="682" t="s">
        <v>77</v>
      </c>
      <c r="D6" s="682" t="s">
        <v>78</v>
      </c>
      <c r="E6" s="683" t="s">
        <v>79</v>
      </c>
      <c r="G6" s="684" t="s">
        <v>347</v>
      </c>
      <c r="H6" s="685">
        <f>H5-(H7+H8+H10)</f>
        <v>44.6</v>
      </c>
      <c r="I6" s="685">
        <v>2.5</v>
      </c>
      <c r="J6" s="686">
        <f t="shared" si="0"/>
        <v>111.5</v>
      </c>
      <c r="L6" s="687" t="s">
        <v>76</v>
      </c>
      <c r="M6" s="688">
        <f>'[11]Chart BLS'!C18</f>
        <v>69600</v>
      </c>
      <c r="N6" s="689" t="s">
        <v>348</v>
      </c>
    </row>
    <row r="7" spans="2:15">
      <c r="B7" s="690" t="str">
        <f>L6</f>
        <v>Management</v>
      </c>
      <c r="C7" s="691">
        <f>M6</f>
        <v>69600</v>
      </c>
      <c r="D7" s="692">
        <v>0.1</v>
      </c>
      <c r="E7" s="693">
        <f>D7*C7</f>
        <v>6960</v>
      </c>
      <c r="G7" s="694" t="s">
        <v>349</v>
      </c>
      <c r="H7" s="695">
        <v>4</v>
      </c>
      <c r="I7" s="696">
        <v>40</v>
      </c>
      <c r="J7" s="697">
        <f t="shared" si="0"/>
        <v>160</v>
      </c>
      <c r="L7" s="698" t="s">
        <v>350</v>
      </c>
      <c r="M7" s="699">
        <f>'[11]Chart BLS'!C8</f>
        <v>45210.880000000005</v>
      </c>
      <c r="N7" s="689" t="s">
        <v>348</v>
      </c>
    </row>
    <row r="8" spans="2:15">
      <c r="B8" s="690" t="str">
        <f>L7</f>
        <v>Direct Care III</v>
      </c>
      <c r="C8" s="691">
        <f>M7</f>
        <v>45210.880000000005</v>
      </c>
      <c r="D8" s="692">
        <v>0.5</v>
      </c>
      <c r="E8" s="693">
        <f>D8*C8</f>
        <v>22605.440000000002</v>
      </c>
      <c r="G8" s="700" t="s">
        <v>351</v>
      </c>
      <c r="H8" s="695">
        <v>2.4</v>
      </c>
      <c r="I8" s="696">
        <v>40</v>
      </c>
      <c r="J8" s="697">
        <f t="shared" si="0"/>
        <v>96</v>
      </c>
      <c r="L8" s="698" t="s">
        <v>352</v>
      </c>
      <c r="M8" s="699">
        <f>'[11]Chart BLS'!C6</f>
        <v>34927.359999999993</v>
      </c>
      <c r="N8" s="689" t="s">
        <v>348</v>
      </c>
    </row>
    <row r="9" spans="2:15">
      <c r="B9" s="690" t="s">
        <v>85</v>
      </c>
      <c r="C9" s="691">
        <f>M8</f>
        <v>34927.359999999993</v>
      </c>
      <c r="D9" s="692">
        <v>0.5</v>
      </c>
      <c r="E9" s="693">
        <f t="shared" ref="E9:E10" si="1">D9*C9</f>
        <v>17463.679999999997</v>
      </c>
      <c r="G9" s="694" t="s">
        <v>353</v>
      </c>
      <c r="H9" s="696">
        <f>H6</f>
        <v>44.6</v>
      </c>
      <c r="I9" s="696">
        <v>10</v>
      </c>
      <c r="J9" s="697">
        <f t="shared" si="0"/>
        <v>446</v>
      </c>
      <c r="L9" s="698" t="s">
        <v>354</v>
      </c>
      <c r="M9" s="699">
        <f>'[11]Chart BLS'!C6</f>
        <v>34927.359999999993</v>
      </c>
      <c r="N9" s="689" t="s">
        <v>348</v>
      </c>
    </row>
    <row r="10" spans="2:15">
      <c r="B10" s="690" t="str">
        <f>L9</f>
        <v>Clerical / Support</v>
      </c>
      <c r="C10" s="691">
        <f>M9</f>
        <v>34927.359999999993</v>
      </c>
      <c r="D10" s="692">
        <v>0.158</v>
      </c>
      <c r="E10" s="693">
        <f t="shared" si="1"/>
        <v>5518.5228799999986</v>
      </c>
      <c r="G10" s="701" t="s">
        <v>86</v>
      </c>
      <c r="H10" s="702">
        <v>1</v>
      </c>
      <c r="I10" s="703">
        <v>40</v>
      </c>
      <c r="J10" s="704">
        <f t="shared" si="0"/>
        <v>40</v>
      </c>
      <c r="L10" s="705" t="s">
        <v>103</v>
      </c>
      <c r="M10" s="706"/>
      <c r="N10" s="707"/>
    </row>
    <row r="11" spans="2:15">
      <c r="B11" s="708" t="s">
        <v>95</v>
      </c>
      <c r="C11" s="709"/>
      <c r="D11" s="710">
        <f>SUM(D7:D10)</f>
        <v>1.258</v>
      </c>
      <c r="E11" s="711">
        <f>SUM(E7:E10)</f>
        <v>52547.642879999992</v>
      </c>
      <c r="G11" s="694"/>
      <c r="H11" s="712"/>
      <c r="I11" s="712"/>
      <c r="J11" s="713"/>
      <c r="L11" s="698" t="s">
        <v>104</v>
      </c>
      <c r="M11" s="714">
        <v>0.224</v>
      </c>
      <c r="N11" s="707" t="s">
        <v>404</v>
      </c>
      <c r="O11" s="715"/>
    </row>
    <row r="12" spans="2:15">
      <c r="B12" s="716" t="str">
        <f>L15</f>
        <v>PFLMA Trust Contribution</v>
      </c>
      <c r="C12" s="717">
        <f>M15</f>
        <v>3.7000000000000002E-3</v>
      </c>
      <c r="D12" s="718"/>
      <c r="E12" s="719">
        <f>E11*C12</f>
        <v>194.42627865599997</v>
      </c>
      <c r="G12" s="720" t="s">
        <v>355</v>
      </c>
      <c r="H12" s="721"/>
      <c r="I12" s="721"/>
      <c r="J12" s="722">
        <f>SUM(J6:J10)</f>
        <v>853.5</v>
      </c>
      <c r="L12" s="723" t="str">
        <f>'7. BI Site Based'!J14</f>
        <v>Other Expense (per DC FTE)</v>
      </c>
      <c r="M12" s="724">
        <f>'[11]Combined UFRs 2020'!AP84</f>
        <v>7189.3654109032514</v>
      </c>
      <c r="N12" s="725" t="s">
        <v>356</v>
      </c>
      <c r="O12" s="726"/>
    </row>
    <row r="13" spans="2:15" ht="19.95" customHeight="1">
      <c r="B13" s="727" t="str">
        <f>L11</f>
        <v>Taxes &amp; Fringe</v>
      </c>
      <c r="C13" s="728">
        <f>M11</f>
        <v>0.224</v>
      </c>
      <c r="D13" s="729"/>
      <c r="E13" s="693">
        <f>C13*E11</f>
        <v>11770.672005119999</v>
      </c>
      <c r="G13" s="730" t="s">
        <v>357</v>
      </c>
      <c r="H13" s="731"/>
      <c r="I13" s="731"/>
      <c r="J13" s="732">
        <f>J5-J12</f>
        <v>1226.5</v>
      </c>
      <c r="L13" s="733"/>
      <c r="M13" s="734"/>
      <c r="N13" s="735"/>
    </row>
    <row r="14" spans="2:15" ht="15" thickBot="1">
      <c r="B14" s="736" t="s">
        <v>102</v>
      </c>
      <c r="C14" s="737"/>
      <c r="D14" s="738"/>
      <c r="E14" s="739">
        <f>SUM(E11+E13+E12)</f>
        <v>64512.741163775994</v>
      </c>
      <c r="G14" s="720" t="s">
        <v>358</v>
      </c>
      <c r="H14" s="740"/>
      <c r="I14" s="740"/>
      <c r="J14" s="741">
        <v>1</v>
      </c>
      <c r="L14" s="742" t="s">
        <v>359</v>
      </c>
      <c r="M14" s="726">
        <f>'[11]Combined UFRs 2020'!D84</f>
        <v>5736.7323415233896</v>
      </c>
      <c r="N14" s="707" t="s">
        <v>360</v>
      </c>
      <c r="O14" s="743"/>
    </row>
    <row r="15" spans="2:15" ht="15.6" thickTop="1" thickBot="1">
      <c r="B15" s="727" t="str">
        <f>L12</f>
        <v>Other Expense (per DC FTE)</v>
      </c>
      <c r="C15" s="744">
        <f>M12</f>
        <v>7189.3654109032514</v>
      </c>
      <c r="D15" s="745"/>
      <c r="E15" s="746">
        <f>C15*D11</f>
        <v>9044.2216869162894</v>
      </c>
      <c r="G15" s="747" t="s">
        <v>361</v>
      </c>
      <c r="H15" s="748"/>
      <c r="I15" s="749"/>
      <c r="J15" s="750">
        <f>J13*J14</f>
        <v>1226.5</v>
      </c>
      <c r="L15" s="742" t="s">
        <v>156</v>
      </c>
      <c r="M15" s="751">
        <v>3.7000000000000002E-3</v>
      </c>
      <c r="N15" s="752" t="s">
        <v>125</v>
      </c>
    </row>
    <row r="16" spans="2:15" ht="18.600000000000001" customHeight="1">
      <c r="B16" s="716" t="str">
        <f>L14</f>
        <v>Occupancy (Office Space) per FTE</v>
      </c>
      <c r="C16" s="744">
        <f>M14</f>
        <v>5736.7323415233896</v>
      </c>
      <c r="D16" s="745"/>
      <c r="E16" s="753">
        <f>C16*D11</f>
        <v>7216.8092856364237</v>
      </c>
      <c r="L16" s="754" t="s">
        <v>121</v>
      </c>
      <c r="M16" s="755">
        <v>0.12</v>
      </c>
      <c r="N16" s="756" t="s">
        <v>122</v>
      </c>
    </row>
    <row r="17" spans="2:14">
      <c r="B17" s="708" t="s">
        <v>123</v>
      </c>
      <c r="C17" s="709"/>
      <c r="D17" s="709"/>
      <c r="E17" s="711">
        <f>SUM(E14:E16)</f>
        <v>80773.772136328713</v>
      </c>
      <c r="L17" s="757" t="s">
        <v>127</v>
      </c>
      <c r="M17" s="758">
        <f>'[11]CAF Spring 2021'!CF25</f>
        <v>1.0633805350099574E-2</v>
      </c>
      <c r="N17" s="759" t="s">
        <v>362</v>
      </c>
    </row>
    <row r="18" spans="2:14">
      <c r="B18" s="727" t="str">
        <f>L16</f>
        <v>Admin. Allocation</v>
      </c>
      <c r="C18" s="728">
        <f>M16</f>
        <v>0.12</v>
      </c>
      <c r="D18" s="729"/>
      <c r="E18" s="693">
        <f>C18*E17</f>
        <v>9692.852656359446</v>
      </c>
      <c r="L18" s="760"/>
      <c r="M18" s="761"/>
      <c r="N18" s="762"/>
    </row>
    <row r="19" spans="2:14" ht="14.4" customHeight="1" thickBot="1">
      <c r="B19" s="763" t="s">
        <v>129</v>
      </c>
      <c r="C19" s="764"/>
      <c r="D19" s="764"/>
      <c r="E19" s="765">
        <f>E18+E17</f>
        <v>90466.624792688162</v>
      </c>
      <c r="G19" s="766"/>
    </row>
    <row r="20" spans="2:14" ht="14.4" customHeight="1" thickTop="1">
      <c r="B20" s="767" t="s">
        <v>363</v>
      </c>
      <c r="C20" s="717">
        <f>M17</f>
        <v>1.0633805350099574E-2</v>
      </c>
      <c r="D20" s="729"/>
      <c r="E20" s="768">
        <f>(E19*C20)-(E11*C20)</f>
        <v>403.22307273347246</v>
      </c>
      <c r="G20" s="769" t="s">
        <v>364</v>
      </c>
      <c r="H20" s="770"/>
      <c r="I20" s="770"/>
      <c r="J20" s="770"/>
      <c r="K20" s="770"/>
      <c r="L20" s="770"/>
      <c r="M20" s="770"/>
      <c r="N20" s="771"/>
    </row>
    <row r="21" spans="2:14" ht="15" thickBot="1">
      <c r="B21" s="727" t="s">
        <v>365</v>
      </c>
      <c r="C21" s="772"/>
      <c r="D21" s="729"/>
      <c r="E21" s="773">
        <f>E20+E19</f>
        <v>90869.847865421631</v>
      </c>
      <c r="G21" s="774"/>
      <c r="H21" s="775"/>
      <c r="I21" s="775"/>
      <c r="J21" s="775"/>
      <c r="K21" s="775"/>
      <c r="L21" s="775"/>
      <c r="M21" s="775"/>
      <c r="N21" s="776"/>
    </row>
    <row r="22" spans="2:14" ht="15" thickBot="1">
      <c r="B22" s="777" t="s">
        <v>366</v>
      </c>
      <c r="C22" s="778"/>
      <c r="D22" s="779"/>
      <c r="E22" s="780">
        <f>E21/E5</f>
        <v>74.088746730877801</v>
      </c>
      <c r="G22" s="774"/>
      <c r="H22" s="775"/>
      <c r="I22" s="775"/>
      <c r="J22" s="775"/>
      <c r="K22" s="775"/>
      <c r="L22" s="775"/>
      <c r="M22" s="775"/>
      <c r="N22" s="776"/>
    </row>
    <row r="23" spans="2:14" ht="15" thickBot="1">
      <c r="B23" s="781" t="s">
        <v>367</v>
      </c>
      <c r="C23" s="782"/>
      <c r="D23" s="783"/>
      <c r="E23" s="784">
        <f>E22*0.25</f>
        <v>18.52218668271945</v>
      </c>
      <c r="G23" s="774"/>
      <c r="H23" s="775"/>
      <c r="I23" s="775"/>
      <c r="J23" s="775"/>
      <c r="K23" s="775"/>
      <c r="L23" s="775"/>
      <c r="M23" s="775"/>
      <c r="N23" s="776"/>
    </row>
    <row r="24" spans="2:14">
      <c r="G24" s="774"/>
      <c r="H24" s="775"/>
      <c r="I24" s="775"/>
      <c r="J24" s="775"/>
      <c r="K24" s="775"/>
      <c r="L24" s="775"/>
      <c r="M24" s="775"/>
      <c r="N24" s="776"/>
    </row>
    <row r="25" spans="2:14" ht="15" thickBot="1">
      <c r="B25" s="743"/>
      <c r="C25" s="785"/>
      <c r="D25" s="743"/>
      <c r="E25" s="786"/>
      <c r="G25" s="787"/>
      <c r="H25" s="788"/>
      <c r="I25" s="788"/>
      <c r="J25" s="788"/>
      <c r="K25" s="788"/>
      <c r="L25" s="788"/>
      <c r="M25" s="788"/>
      <c r="N25" s="789"/>
    </row>
    <row r="26" spans="2:14">
      <c r="F26" s="790"/>
      <c r="G26" s="791"/>
      <c r="H26" s="791"/>
      <c r="I26" s="791"/>
      <c r="K26" s="792"/>
    </row>
    <row r="27" spans="2:14">
      <c r="G27" s="791"/>
      <c r="H27" s="791"/>
      <c r="I27" s="791"/>
      <c r="J27" s="793"/>
    </row>
    <row r="28" spans="2:14">
      <c r="G28" s="791"/>
      <c r="H28" s="791"/>
      <c r="I28" s="791"/>
      <c r="M28" s="792"/>
    </row>
  </sheetData>
  <mergeCells count="7">
    <mergeCell ref="G20:N25"/>
    <mergeCell ref="B4:E4"/>
    <mergeCell ref="L4:N4"/>
    <mergeCell ref="C5:D5"/>
    <mergeCell ref="L5:M5"/>
    <mergeCell ref="L10:M10"/>
    <mergeCell ref="N12:N13"/>
  </mergeCells>
  <pageMargins left="0.25" right="0.25" top="0.75" bottom="0.75" header="0.3" footer="0.3"/>
  <pageSetup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7"/>
  <sheetViews>
    <sheetView zoomScale="90" zoomScaleNormal="90" zoomScaleSheetLayoutView="55" zoomScalePageLayoutView="70" workbookViewId="0">
      <selection activeCell="M23" sqref="M23"/>
    </sheetView>
  </sheetViews>
  <sheetFormatPr defaultColWidth="9.6640625" defaultRowHeight="12"/>
  <cols>
    <col min="1" max="1" width="6.33203125" style="797" customWidth="1"/>
    <col min="2" max="2" width="27.44140625" style="797" customWidth="1"/>
    <col min="3" max="3" width="4.109375" style="797" customWidth="1"/>
    <col min="4" max="4" width="8.5546875" style="797" customWidth="1"/>
    <col min="5" max="5" width="11" style="797" bestFit="1" customWidth="1"/>
    <col min="6" max="6" width="12.6640625" style="919" customWidth="1"/>
    <col min="7" max="7" width="2.44140625" style="797" customWidth="1"/>
    <col min="8" max="8" width="4.21875" style="796" customWidth="1"/>
    <col min="9" max="9" width="4.21875" style="797" customWidth="1"/>
    <col min="10" max="10" width="27.5546875" style="797" customWidth="1"/>
    <col min="11" max="11" width="13.21875" style="797" customWidth="1"/>
    <col min="12" max="12" width="62.6640625" style="797" customWidth="1"/>
    <col min="13" max="13" width="11.5546875" style="797" bestFit="1" customWidth="1"/>
    <col min="14" max="14" width="27.44140625" style="797" customWidth="1"/>
    <col min="15" max="15" width="11.88671875" style="797" customWidth="1"/>
    <col min="16" max="16" width="8.5546875" style="797" customWidth="1"/>
    <col min="17" max="17" width="9.109375" style="797" customWidth="1"/>
    <col min="18" max="18" width="10.77734375" style="797" customWidth="1"/>
    <col min="19" max="19" width="2.44140625" style="796" customWidth="1"/>
    <col min="20" max="16384" width="9.6640625" style="797"/>
  </cols>
  <sheetData>
    <row r="1" spans="1:19">
      <c r="A1" s="794"/>
      <c r="B1" s="794"/>
      <c r="C1" s="794"/>
      <c r="D1" s="794"/>
      <c r="E1" s="794"/>
      <c r="F1" s="795"/>
      <c r="G1" s="796"/>
    </row>
    <row r="2" spans="1:19">
      <c r="A2" s="798"/>
      <c r="B2" s="794"/>
      <c r="C2" s="794"/>
      <c r="D2" s="794"/>
      <c r="E2" s="794"/>
      <c r="F2" s="795"/>
      <c r="G2" s="796"/>
    </row>
    <row r="3" spans="1:19" ht="13.2" customHeight="1" thickBot="1">
      <c r="A3" s="799"/>
      <c r="B3" s="796"/>
      <c r="C3" s="796"/>
      <c r="D3" s="796"/>
      <c r="E3" s="796"/>
      <c r="F3" s="795"/>
      <c r="G3" s="796"/>
      <c r="M3" s="800"/>
    </row>
    <row r="4" spans="1:19" ht="13.95" customHeight="1" thickBot="1">
      <c r="A4" s="796"/>
      <c r="B4" s="801" t="s">
        <v>368</v>
      </c>
      <c r="C4" s="802"/>
      <c r="D4" s="802"/>
      <c r="E4" s="802"/>
      <c r="F4" s="803"/>
      <c r="G4" s="796"/>
      <c r="H4" s="804"/>
      <c r="J4" s="805" t="s">
        <v>369</v>
      </c>
      <c r="K4" s="806"/>
      <c r="L4" s="807"/>
      <c r="N4" s="804"/>
      <c r="S4" s="797"/>
    </row>
    <row r="5" spans="1:19" ht="13.95" customHeight="1" thickBot="1">
      <c r="A5" s="796"/>
      <c r="B5" s="808" t="s">
        <v>370</v>
      </c>
      <c r="C5" s="809">
        <v>10</v>
      </c>
      <c r="D5" s="810" t="s">
        <v>371</v>
      </c>
      <c r="E5" s="811">
        <f>K21</f>
        <v>249</v>
      </c>
      <c r="F5" s="812">
        <f>C5*E5</f>
        <v>2490</v>
      </c>
      <c r="G5" s="813"/>
      <c r="H5" s="814"/>
      <c r="I5" s="813"/>
      <c r="J5" s="815" t="s">
        <v>70</v>
      </c>
      <c r="K5" s="816"/>
      <c r="L5" s="817" t="s">
        <v>71</v>
      </c>
      <c r="N5" s="814"/>
      <c r="S5" s="797"/>
    </row>
    <row r="6" spans="1:19">
      <c r="A6" s="796"/>
      <c r="B6" s="818"/>
      <c r="C6" s="819"/>
      <c r="D6" s="820"/>
      <c r="E6" s="821"/>
      <c r="F6" s="822"/>
      <c r="G6" s="796"/>
      <c r="H6" s="823"/>
      <c r="I6" s="796"/>
      <c r="J6" s="824" t="s">
        <v>76</v>
      </c>
      <c r="K6" s="825">
        <f>'[11]Chart BLS'!C18</f>
        <v>69600</v>
      </c>
      <c r="L6" s="826" t="s">
        <v>348</v>
      </c>
      <c r="M6" s="827"/>
      <c r="S6" s="797"/>
    </row>
    <row r="7" spans="1:19" ht="18" customHeight="1">
      <c r="A7" s="796"/>
      <c r="B7" s="828" t="s">
        <v>372</v>
      </c>
      <c r="C7" s="829"/>
      <c r="D7" s="830" t="s">
        <v>77</v>
      </c>
      <c r="E7" s="830" t="s">
        <v>78</v>
      </c>
      <c r="F7" s="831" t="s">
        <v>79</v>
      </c>
      <c r="G7" s="796"/>
      <c r="H7" s="832"/>
      <c r="I7" s="796"/>
      <c r="J7" s="818" t="s">
        <v>350</v>
      </c>
      <c r="K7" s="833">
        <f>'[11]Chart BLS'!C8</f>
        <v>45210.880000000005</v>
      </c>
      <c r="L7" s="826" t="s">
        <v>348</v>
      </c>
      <c r="M7" s="832"/>
      <c r="S7" s="797"/>
    </row>
    <row r="8" spans="1:19">
      <c r="A8" s="796"/>
      <c r="B8" s="818" t="str">
        <f>J6</f>
        <v>Management</v>
      </c>
      <c r="C8" s="834"/>
      <c r="D8" s="819">
        <f>K6</f>
        <v>69600</v>
      </c>
      <c r="E8" s="835">
        <v>1</v>
      </c>
      <c r="F8" s="836">
        <f>E8*D8</f>
        <v>69600</v>
      </c>
      <c r="G8" s="796"/>
      <c r="H8" s="837"/>
      <c r="I8" s="796"/>
      <c r="J8" s="838" t="s">
        <v>85</v>
      </c>
      <c r="K8" s="833">
        <f>'[11]Chart BLS'!C6</f>
        <v>34927.359999999993</v>
      </c>
      <c r="L8" s="826" t="s">
        <v>348</v>
      </c>
      <c r="N8" s="839"/>
      <c r="S8" s="797"/>
    </row>
    <row r="9" spans="1:19" ht="12.75" customHeight="1" thickBot="1">
      <c r="A9" s="796"/>
      <c r="B9" s="818" t="str">
        <f>J7</f>
        <v>Direct Care III</v>
      </c>
      <c r="C9" s="834"/>
      <c r="D9" s="819">
        <f>K7</f>
        <v>45210.880000000005</v>
      </c>
      <c r="E9" s="835">
        <v>1</v>
      </c>
      <c r="F9" s="836">
        <f>E9*D9</f>
        <v>45210.880000000005</v>
      </c>
      <c r="G9" s="796"/>
      <c r="H9" s="840"/>
      <c r="I9" s="796"/>
      <c r="J9" s="838" t="s">
        <v>373</v>
      </c>
      <c r="K9" s="833">
        <f>'[11]Chart BLS'!C6</f>
        <v>34927.359999999993</v>
      </c>
      <c r="L9" s="826" t="s">
        <v>348</v>
      </c>
      <c r="N9" s="841"/>
      <c r="S9" s="797"/>
    </row>
    <row r="10" spans="1:19" ht="12.6" thickBot="1">
      <c r="A10" s="796"/>
      <c r="B10" s="838" t="str">
        <f>J8</f>
        <v>Direct Care</v>
      </c>
      <c r="C10" s="834"/>
      <c r="D10" s="819">
        <f>K8</f>
        <v>34927.359999999993</v>
      </c>
      <c r="E10" s="835">
        <v>1</v>
      </c>
      <c r="F10" s="842">
        <f>E10*D10</f>
        <v>34927.359999999993</v>
      </c>
      <c r="G10" s="796"/>
      <c r="H10" s="839"/>
      <c r="I10" s="796"/>
      <c r="J10" s="843" t="s">
        <v>103</v>
      </c>
      <c r="K10" s="844"/>
      <c r="L10" s="845" t="s">
        <v>71</v>
      </c>
      <c r="N10" s="837"/>
      <c r="S10" s="797"/>
    </row>
    <row r="11" spans="1:19" ht="13.2" customHeight="1">
      <c r="A11" s="796"/>
      <c r="B11" s="838" t="str">
        <f>J9</f>
        <v>Clerical / Support Staff</v>
      </c>
      <c r="C11" s="834"/>
      <c r="D11" s="819">
        <f>K9</f>
        <v>34927.359999999993</v>
      </c>
      <c r="E11" s="846">
        <v>0.1</v>
      </c>
      <c r="F11" s="842">
        <f>E11*D11</f>
        <v>3492.7359999999994</v>
      </c>
      <c r="G11" s="796"/>
      <c r="H11" s="841"/>
      <c r="I11" s="796"/>
      <c r="J11" s="847"/>
      <c r="K11" s="848"/>
      <c r="L11" s="849"/>
      <c r="N11" s="837"/>
      <c r="S11" s="797"/>
    </row>
    <row r="12" spans="1:19" ht="13.2" customHeight="1">
      <c r="A12" s="796"/>
      <c r="B12" s="850" t="s">
        <v>95</v>
      </c>
      <c r="C12" s="851"/>
      <c r="D12" s="851"/>
      <c r="E12" s="852">
        <f>SUM(E8:E11)</f>
        <v>3.1</v>
      </c>
      <c r="F12" s="853">
        <f>SUM(F8:F11)</f>
        <v>153230.976</v>
      </c>
      <c r="G12" s="796"/>
      <c r="H12" s="837"/>
      <c r="I12" s="796"/>
      <c r="J12" s="847" t="s">
        <v>374</v>
      </c>
      <c r="K12" s="854">
        <v>0.224</v>
      </c>
      <c r="L12" s="849" t="s">
        <v>63</v>
      </c>
      <c r="N12" s="837"/>
      <c r="S12" s="797"/>
    </row>
    <row r="13" spans="1:19">
      <c r="A13" s="796"/>
      <c r="B13" s="818" t="str">
        <f>J16</f>
        <v>PFLMA Trust Contribution</v>
      </c>
      <c r="C13" s="813"/>
      <c r="D13" s="855">
        <f>K16</f>
        <v>3.7000000000000002E-3</v>
      </c>
      <c r="E13" s="856"/>
      <c r="F13" s="857">
        <f>F12*D13</f>
        <v>566.95461120000004</v>
      </c>
      <c r="G13" s="796"/>
      <c r="H13" s="839"/>
      <c r="I13" s="796"/>
      <c r="J13" s="858" t="s">
        <v>375</v>
      </c>
      <c r="K13" s="859">
        <f>65946*(4.46%+1)</f>
        <v>68887.191599999991</v>
      </c>
      <c r="L13" s="849" t="s">
        <v>376</v>
      </c>
      <c r="M13" s="860"/>
      <c r="S13" s="797"/>
    </row>
    <row r="14" spans="1:19" ht="25.05" customHeight="1">
      <c r="A14" s="796"/>
      <c r="B14" s="861" t="s">
        <v>104</v>
      </c>
      <c r="C14" s="813"/>
      <c r="D14" s="855">
        <f>K12</f>
        <v>0.224</v>
      </c>
      <c r="E14" s="862"/>
      <c r="F14" s="836">
        <f>F12*D14</f>
        <v>34323.738623999998</v>
      </c>
      <c r="G14" s="796"/>
      <c r="H14" s="841"/>
      <c r="I14" s="796"/>
      <c r="J14" s="858" t="s">
        <v>377</v>
      </c>
      <c r="K14" s="859">
        <f>'[11]Combined UFRs 2020'!AP84</f>
        <v>7189.3654109032514</v>
      </c>
      <c r="L14" s="863" t="s">
        <v>356</v>
      </c>
      <c r="M14" s="864"/>
      <c r="S14" s="797"/>
    </row>
    <row r="15" spans="1:19">
      <c r="A15" s="796"/>
      <c r="B15" s="850" t="s">
        <v>378</v>
      </c>
      <c r="C15" s="851"/>
      <c r="D15" s="865"/>
      <c r="E15" s="851"/>
      <c r="F15" s="853">
        <f>SUM(F12:F14)</f>
        <v>188121.66923519998</v>
      </c>
      <c r="G15" s="796"/>
      <c r="H15" s="866"/>
      <c r="I15" s="867"/>
      <c r="J15" s="847" t="s">
        <v>379</v>
      </c>
      <c r="K15" s="854">
        <v>0.12</v>
      </c>
      <c r="L15" s="868" t="s">
        <v>122</v>
      </c>
      <c r="M15" s="869"/>
      <c r="S15" s="797"/>
    </row>
    <row r="16" spans="1:19">
      <c r="A16" s="796"/>
      <c r="B16" s="861"/>
      <c r="C16" s="813"/>
      <c r="D16" s="855"/>
      <c r="E16" s="829" t="s">
        <v>380</v>
      </c>
      <c r="F16" s="857"/>
      <c r="G16" s="796"/>
      <c r="H16" s="866"/>
      <c r="I16" s="867"/>
      <c r="J16" s="847" t="s">
        <v>156</v>
      </c>
      <c r="K16" s="870">
        <v>3.7000000000000002E-3</v>
      </c>
      <c r="L16" s="871" t="s">
        <v>125</v>
      </c>
      <c r="M16" s="796"/>
      <c r="S16" s="797"/>
    </row>
    <row r="17" spans="1:19" ht="13.95" customHeight="1" thickBot="1">
      <c r="A17" s="796"/>
      <c r="B17" s="861" t="s">
        <v>108</v>
      </c>
      <c r="C17" s="813"/>
      <c r="D17" s="855"/>
      <c r="E17" s="872"/>
      <c r="F17" s="873">
        <f>K13</f>
        <v>68887.191599999991</v>
      </c>
      <c r="G17" s="796"/>
      <c r="H17" s="837"/>
      <c r="I17" s="796"/>
      <c r="J17" s="874" t="s">
        <v>381</v>
      </c>
      <c r="K17" s="875">
        <f>'[11]CAF Spring 2021'!CF25</f>
        <v>1.0633805350099574E-2</v>
      </c>
      <c r="L17" s="876" t="s">
        <v>362</v>
      </c>
      <c r="M17" s="796"/>
      <c r="S17" s="797"/>
    </row>
    <row r="18" spans="1:19" ht="13.95" customHeight="1">
      <c r="A18" s="796"/>
      <c r="B18" s="861" t="s">
        <v>382</v>
      </c>
      <c r="C18" s="813"/>
      <c r="D18" s="855"/>
      <c r="E18" s="872">
        <f>K14</f>
        <v>7189.3654109032514</v>
      </c>
      <c r="F18" s="836">
        <f>E18*E12</f>
        <v>22287.032773800081</v>
      </c>
      <c r="G18" s="796"/>
      <c r="H18" s="837"/>
      <c r="I18" s="796"/>
      <c r="J18" s="877" t="s">
        <v>383</v>
      </c>
      <c r="K18" s="878">
        <v>365</v>
      </c>
      <c r="L18" s="879"/>
      <c r="M18" s="796"/>
      <c r="S18" s="797"/>
    </row>
    <row r="19" spans="1:19">
      <c r="A19" s="796"/>
      <c r="B19" s="880" t="s">
        <v>384</v>
      </c>
      <c r="C19" s="881"/>
      <c r="D19" s="882"/>
      <c r="E19" s="883"/>
      <c r="F19" s="884">
        <f>SUM(F15:F18)</f>
        <v>279295.89360900008</v>
      </c>
      <c r="G19" s="796"/>
      <c r="H19" s="860"/>
      <c r="I19" s="796"/>
      <c r="J19" s="885" t="s">
        <v>89</v>
      </c>
      <c r="K19" s="886">
        <v>12</v>
      </c>
      <c r="L19" s="887"/>
      <c r="S19" s="797"/>
    </row>
    <row r="20" spans="1:19" ht="19.5" customHeight="1" thickBot="1">
      <c r="A20" s="796"/>
      <c r="B20" s="861" t="s">
        <v>160</v>
      </c>
      <c r="C20" s="813"/>
      <c r="D20" s="855">
        <f>K15</f>
        <v>0.12</v>
      </c>
      <c r="E20" s="813"/>
      <c r="F20" s="836">
        <f>F19*D20</f>
        <v>33515.50723308001</v>
      </c>
      <c r="G20" s="796"/>
      <c r="H20" s="888"/>
      <c r="I20" s="796"/>
      <c r="J20" s="885" t="s">
        <v>385</v>
      </c>
      <c r="K20" s="889">
        <v>104</v>
      </c>
      <c r="L20" s="887"/>
      <c r="S20" s="797"/>
    </row>
    <row r="21" spans="1:19" s="897" customFormat="1" ht="17.25" customHeight="1" thickTop="1" thickBot="1">
      <c r="A21" s="794"/>
      <c r="B21" s="890" t="s">
        <v>386</v>
      </c>
      <c r="C21" s="891"/>
      <c r="D21" s="892"/>
      <c r="E21" s="891"/>
      <c r="F21" s="893">
        <f>SUM(F19:F20)</f>
        <v>312811.40084208007</v>
      </c>
      <c r="G21" s="796"/>
      <c r="H21" s="869"/>
      <c r="I21" s="794"/>
      <c r="J21" s="894"/>
      <c r="K21" s="895">
        <f>K18-K19-K20</f>
        <v>249</v>
      </c>
      <c r="L21" s="896"/>
      <c r="M21" s="797"/>
      <c r="N21" s="797"/>
    </row>
    <row r="22" spans="1:19" ht="16.2" customHeight="1" thickTop="1" thickBot="1">
      <c r="A22" s="796"/>
      <c r="B22" s="898" t="s">
        <v>363</v>
      </c>
      <c r="C22" s="899"/>
      <c r="D22" s="900">
        <f>K17</f>
        <v>1.0633805350099574E-2</v>
      </c>
      <c r="E22" s="901"/>
      <c r="F22" s="902">
        <f>F21*D22</f>
        <v>3326.3755478466533</v>
      </c>
      <c r="G22" s="796"/>
      <c r="I22" s="796"/>
      <c r="S22" s="797"/>
    </row>
    <row r="23" spans="1:19" ht="19.5" customHeight="1" thickBot="1">
      <c r="A23" s="796"/>
      <c r="B23" s="903"/>
      <c r="C23" s="904"/>
      <c r="D23" s="905"/>
      <c r="E23" s="906"/>
      <c r="F23" s="907"/>
      <c r="G23" s="796"/>
      <c r="I23" s="796"/>
      <c r="J23" s="908" t="s">
        <v>387</v>
      </c>
      <c r="K23" s="909"/>
      <c r="L23" s="910"/>
      <c r="S23" s="797"/>
    </row>
    <row r="24" spans="1:19" ht="16.2" customHeight="1" thickTop="1">
      <c r="A24" s="796"/>
      <c r="B24" s="828" t="s">
        <v>388</v>
      </c>
      <c r="C24" s="813"/>
      <c r="D24" s="911"/>
      <c r="E24" s="813"/>
      <c r="F24" s="912">
        <f>F22+F21</f>
        <v>316137.77638992673</v>
      </c>
      <c r="G24" s="796"/>
      <c r="I24" s="796"/>
      <c r="J24" s="913"/>
      <c r="K24" s="914"/>
      <c r="L24" s="915"/>
      <c r="S24" s="797"/>
    </row>
    <row r="25" spans="1:19" ht="15" customHeight="1">
      <c r="A25" s="796"/>
      <c r="B25" s="861" t="s">
        <v>389</v>
      </c>
      <c r="C25" s="813"/>
      <c r="D25" s="911"/>
      <c r="E25" s="813"/>
      <c r="F25" s="916">
        <f>F24/F5</f>
        <v>126.96296240559306</v>
      </c>
      <c r="G25" s="796"/>
      <c r="J25" s="913"/>
      <c r="K25" s="914"/>
      <c r="L25" s="915"/>
    </row>
    <row r="26" spans="1:19" ht="11.4" customHeight="1">
      <c r="A26" s="798"/>
      <c r="B26" s="861" t="s">
        <v>390</v>
      </c>
      <c r="C26" s="813"/>
      <c r="D26" s="911"/>
      <c r="E26" s="813"/>
      <c r="F26" s="916">
        <f>F25/5</f>
        <v>25.392592481118612</v>
      </c>
      <c r="G26" s="796"/>
      <c r="J26" s="913"/>
      <c r="K26" s="914"/>
      <c r="L26" s="915"/>
    </row>
    <row r="27" spans="1:19" ht="11.4" customHeight="1" thickBot="1">
      <c r="A27" s="798"/>
      <c r="B27" s="898" t="s">
        <v>391</v>
      </c>
      <c r="C27" s="917"/>
      <c r="D27" s="917"/>
      <c r="E27" s="917"/>
      <c r="F27" s="918">
        <f>F26*0.25</f>
        <v>6.348148120279653</v>
      </c>
      <c r="G27" s="796"/>
      <c r="J27" s="913"/>
      <c r="K27" s="914"/>
      <c r="L27" s="915"/>
    </row>
    <row r="28" spans="1:19" ht="15" customHeight="1">
      <c r="A28" s="796"/>
      <c r="G28" s="794"/>
      <c r="H28" s="804"/>
      <c r="J28" s="913"/>
      <c r="K28" s="914"/>
      <c r="L28" s="915"/>
      <c r="S28" s="797"/>
    </row>
    <row r="29" spans="1:19" ht="15" customHeight="1" thickBot="1">
      <c r="A29" s="796"/>
      <c r="B29" s="813"/>
      <c r="C29" s="813"/>
      <c r="D29" s="855"/>
      <c r="E29" s="813"/>
      <c r="F29" s="920"/>
      <c r="G29" s="796"/>
      <c r="H29" s="814"/>
      <c r="J29" s="921"/>
      <c r="K29" s="922"/>
      <c r="L29" s="923"/>
      <c r="S29" s="797"/>
    </row>
    <row r="30" spans="1:19" ht="15" customHeight="1">
      <c r="A30" s="796"/>
      <c r="B30" s="813"/>
      <c r="C30" s="813"/>
      <c r="D30" s="855"/>
      <c r="E30" s="813"/>
      <c r="F30" s="924"/>
      <c r="G30" s="813"/>
      <c r="H30" s="827"/>
      <c r="J30" s="925"/>
      <c r="K30" s="925"/>
      <c r="L30" s="925"/>
      <c r="S30" s="797"/>
    </row>
    <row r="31" spans="1:19" ht="15" customHeight="1">
      <c r="A31" s="796"/>
      <c r="B31" s="813"/>
      <c r="C31" s="813"/>
      <c r="D31" s="813"/>
      <c r="E31" s="813"/>
      <c r="F31" s="926"/>
      <c r="G31" s="813"/>
      <c r="H31" s="832"/>
      <c r="J31" s="925"/>
      <c r="K31" s="925"/>
      <c r="L31" s="925"/>
      <c r="S31" s="797"/>
    </row>
    <row r="32" spans="1:19" ht="15" customHeight="1">
      <c r="A32" s="796"/>
      <c r="B32" s="813"/>
      <c r="C32" s="813"/>
      <c r="D32" s="813"/>
      <c r="E32" s="813"/>
      <c r="F32" s="926"/>
      <c r="G32" s="813"/>
      <c r="H32" s="837"/>
      <c r="I32" s="927"/>
      <c r="J32" s="925"/>
      <c r="K32" s="925"/>
      <c r="L32" s="925"/>
      <c r="S32" s="797"/>
    </row>
    <row r="33" spans="1:19">
      <c r="A33" s="796"/>
      <c r="B33" s="928"/>
      <c r="C33" s="928"/>
      <c r="D33" s="928"/>
      <c r="E33" s="928"/>
      <c r="F33" s="928"/>
      <c r="G33" s="813"/>
      <c r="H33" s="840"/>
      <c r="J33" s="925"/>
      <c r="K33" s="925"/>
      <c r="L33" s="925"/>
      <c r="S33" s="797"/>
    </row>
    <row r="34" spans="1:19">
      <c r="A34" s="796"/>
      <c r="B34" s="929"/>
      <c r="C34" s="813"/>
      <c r="D34" s="929"/>
      <c r="E34" s="930"/>
      <c r="F34" s="930"/>
      <c r="G34" s="813"/>
      <c r="H34" s="839"/>
      <c r="S34" s="797"/>
    </row>
    <row r="35" spans="1:19" ht="13.2" customHeight="1">
      <c r="A35" s="796"/>
      <c r="B35" s="819"/>
      <c r="C35" s="813"/>
      <c r="D35" s="819"/>
      <c r="E35" s="819"/>
      <c r="F35" s="931"/>
      <c r="G35" s="813"/>
      <c r="H35" s="841"/>
      <c r="S35" s="797"/>
    </row>
    <row r="36" spans="1:19" ht="13.2" customHeight="1">
      <c r="A36" s="796"/>
      <c r="B36" s="813"/>
      <c r="C36" s="829"/>
      <c r="D36" s="830"/>
      <c r="E36" s="830"/>
      <c r="F36" s="932"/>
      <c r="G36" s="813"/>
      <c r="H36" s="837"/>
      <c r="S36" s="797"/>
    </row>
    <row r="37" spans="1:19" ht="13.2" customHeight="1">
      <c r="A37" s="796"/>
      <c r="B37" s="819"/>
      <c r="C37" s="834"/>
      <c r="D37" s="819"/>
      <c r="E37" s="835"/>
      <c r="F37" s="866"/>
      <c r="G37" s="813"/>
      <c r="H37" s="841"/>
      <c r="S37" s="797"/>
    </row>
    <row r="38" spans="1:19">
      <c r="A38" s="796"/>
      <c r="B38" s="933"/>
      <c r="C38" s="834"/>
      <c r="D38" s="819"/>
      <c r="E38" s="835"/>
      <c r="F38" s="934"/>
      <c r="G38" s="813"/>
      <c r="H38" s="935"/>
      <c r="S38" s="797"/>
    </row>
    <row r="39" spans="1:19" ht="13.2" customHeight="1">
      <c r="A39" s="796"/>
      <c r="B39" s="936"/>
      <c r="C39" s="937"/>
      <c r="D39" s="937"/>
      <c r="E39" s="938"/>
      <c r="F39" s="939"/>
      <c r="G39" s="813"/>
      <c r="H39" s="841"/>
      <c r="S39" s="797"/>
    </row>
    <row r="40" spans="1:19">
      <c r="A40" s="796"/>
      <c r="B40" s="856"/>
      <c r="C40" s="856"/>
      <c r="D40" s="829"/>
      <c r="E40" s="856"/>
      <c r="F40" s="926"/>
      <c r="G40" s="813"/>
      <c r="H40" s="837"/>
      <c r="M40" s="897"/>
      <c r="N40" s="897"/>
      <c r="S40" s="797"/>
    </row>
    <row r="41" spans="1:19">
      <c r="A41" s="796"/>
      <c r="B41" s="813"/>
      <c r="C41" s="813"/>
      <c r="D41" s="855"/>
      <c r="E41" s="940"/>
      <c r="F41" s="866"/>
      <c r="G41" s="813"/>
      <c r="H41" s="837"/>
      <c r="S41" s="797"/>
    </row>
    <row r="42" spans="1:19" ht="13.95" customHeight="1">
      <c r="A42" s="796"/>
      <c r="B42" s="813"/>
      <c r="C42" s="813"/>
      <c r="D42" s="855"/>
      <c r="E42" s="813"/>
      <c r="F42" s="926"/>
      <c r="G42" s="813"/>
      <c r="H42" s="837"/>
      <c r="N42" s="941"/>
      <c r="S42" s="797"/>
    </row>
    <row r="43" spans="1:19" ht="13.95" customHeight="1">
      <c r="A43" s="796"/>
      <c r="B43" s="936"/>
      <c r="C43" s="937"/>
      <c r="D43" s="942"/>
      <c r="E43" s="937"/>
      <c r="F43" s="939"/>
      <c r="G43" s="813"/>
      <c r="H43" s="837"/>
      <c r="I43" s="927"/>
      <c r="N43" s="929"/>
      <c r="S43" s="797"/>
    </row>
    <row r="44" spans="1:19">
      <c r="A44" s="796"/>
      <c r="B44" s="813"/>
      <c r="C44" s="813"/>
      <c r="D44" s="855"/>
      <c r="E44" s="829"/>
      <c r="F44" s="926"/>
      <c r="G44" s="813"/>
      <c r="H44" s="860"/>
      <c r="I44" s="943"/>
      <c r="N44" s="819"/>
      <c r="S44" s="797"/>
    </row>
    <row r="45" spans="1:19" ht="13.95" customHeight="1">
      <c r="A45" s="796"/>
      <c r="B45" s="813"/>
      <c r="C45" s="813"/>
      <c r="D45" s="855"/>
      <c r="E45" s="944"/>
      <c r="F45" s="866"/>
      <c r="G45" s="813"/>
      <c r="H45" s="888"/>
      <c r="N45" s="813"/>
      <c r="S45" s="797"/>
    </row>
    <row r="46" spans="1:19" s="897" customFormat="1" ht="13.95" customHeight="1">
      <c r="A46" s="794"/>
      <c r="B46" s="813"/>
      <c r="C46" s="813"/>
      <c r="D46" s="855"/>
      <c r="E46" s="944"/>
      <c r="F46" s="866"/>
      <c r="G46" s="813"/>
      <c r="H46" s="869"/>
      <c r="I46" s="945"/>
      <c r="J46" s="797"/>
      <c r="K46" s="797"/>
      <c r="L46" s="797"/>
      <c r="M46" s="797"/>
      <c r="N46" s="819"/>
    </row>
    <row r="47" spans="1:19">
      <c r="A47" s="796"/>
      <c r="B47" s="856"/>
      <c r="C47" s="856"/>
      <c r="D47" s="855"/>
      <c r="E47" s="813"/>
      <c r="F47" s="866"/>
      <c r="G47" s="813"/>
      <c r="N47" s="933"/>
      <c r="S47" s="797"/>
    </row>
    <row r="48" spans="1:19" ht="17.25" customHeight="1">
      <c r="A48" s="796"/>
      <c r="B48" s="813"/>
      <c r="C48" s="813"/>
      <c r="D48" s="855"/>
      <c r="E48" s="813"/>
      <c r="F48" s="866"/>
      <c r="G48" s="813"/>
      <c r="I48" s="886"/>
      <c r="N48" s="936"/>
      <c r="O48" s="941"/>
      <c r="P48" s="941"/>
      <c r="Q48" s="941"/>
      <c r="R48" s="941"/>
    </row>
    <row r="49" spans="1:18" ht="17.25" customHeight="1">
      <c r="A49" s="796"/>
      <c r="B49" s="946"/>
      <c r="C49" s="947"/>
      <c r="D49" s="948"/>
      <c r="E49" s="947"/>
      <c r="F49" s="949"/>
      <c r="G49" s="813"/>
      <c r="I49" s="886"/>
      <c r="J49" s="796"/>
      <c r="K49" s="796"/>
      <c r="L49" s="796"/>
      <c r="N49" s="936"/>
      <c r="O49" s="941"/>
      <c r="P49" s="941"/>
      <c r="Q49" s="941"/>
      <c r="R49" s="941"/>
    </row>
    <row r="50" spans="1:18" ht="27" customHeight="1">
      <c r="A50" s="796"/>
      <c r="B50" s="856"/>
      <c r="C50" s="813"/>
      <c r="D50" s="911"/>
      <c r="E50" s="813"/>
      <c r="F50" s="950"/>
      <c r="G50" s="813"/>
      <c r="I50" s="886"/>
      <c r="J50" s="796"/>
      <c r="K50" s="796"/>
      <c r="L50" s="796"/>
      <c r="N50" s="951"/>
      <c r="O50" s="952"/>
      <c r="P50" s="929"/>
      <c r="Q50" s="953"/>
      <c r="R50" s="954"/>
    </row>
    <row r="51" spans="1:18" ht="21.75" customHeight="1">
      <c r="B51" s="856"/>
      <c r="C51" s="813"/>
      <c r="D51" s="911"/>
      <c r="E51" s="813"/>
      <c r="F51" s="955"/>
      <c r="G51" s="813"/>
      <c r="I51" s="886"/>
      <c r="J51" s="796"/>
      <c r="K51" s="796"/>
      <c r="L51" s="796"/>
      <c r="N51" s="813"/>
      <c r="O51" s="819"/>
      <c r="P51" s="819"/>
      <c r="Q51" s="819"/>
      <c r="R51" s="956"/>
    </row>
    <row r="52" spans="1:18" ht="18" customHeight="1">
      <c r="B52" s="856"/>
      <c r="C52" s="856"/>
      <c r="D52" s="957"/>
      <c r="E52" s="924"/>
      <c r="F52" s="950"/>
      <c r="G52" s="813"/>
      <c r="I52" s="886"/>
      <c r="J52" s="796"/>
      <c r="K52" s="796"/>
      <c r="L52" s="796"/>
      <c r="N52" s="813"/>
      <c r="O52" s="819"/>
      <c r="P52" s="819"/>
      <c r="Q52" s="819"/>
      <c r="R52" s="956"/>
    </row>
    <row r="53" spans="1:18">
      <c r="B53" s="958"/>
      <c r="C53" s="959"/>
      <c r="D53" s="960"/>
      <c r="E53" s="961"/>
      <c r="F53" s="962"/>
      <c r="G53" s="813"/>
      <c r="I53" s="886"/>
      <c r="J53" s="796"/>
      <c r="K53" s="796"/>
      <c r="L53" s="796"/>
      <c r="N53" s="813"/>
      <c r="O53" s="829"/>
      <c r="P53" s="963"/>
      <c r="Q53" s="830"/>
      <c r="R53" s="932"/>
    </row>
    <row r="54" spans="1:18">
      <c r="B54" s="856"/>
      <c r="C54" s="813"/>
      <c r="D54" s="911"/>
      <c r="E54" s="813"/>
      <c r="F54" s="950"/>
      <c r="G54" s="813"/>
      <c r="I54" s="886"/>
      <c r="N54" s="936"/>
      <c r="O54" s="834"/>
      <c r="P54" s="819"/>
      <c r="Q54" s="835"/>
      <c r="R54" s="866"/>
    </row>
    <row r="55" spans="1:18" ht="14.4" customHeight="1">
      <c r="B55" s="856"/>
      <c r="C55" s="813"/>
      <c r="D55" s="911"/>
      <c r="E55" s="813"/>
      <c r="F55" s="955"/>
      <c r="G55" s="813"/>
      <c r="I55" s="886"/>
      <c r="N55" s="813"/>
      <c r="O55" s="834"/>
      <c r="P55" s="819"/>
      <c r="Q55" s="964"/>
      <c r="R55" s="934"/>
    </row>
    <row r="56" spans="1:18">
      <c r="B56" s="813"/>
      <c r="C56" s="813"/>
      <c r="D56" s="911"/>
      <c r="E56" s="813"/>
      <c r="F56" s="813"/>
      <c r="G56" s="813"/>
      <c r="I56" s="886"/>
      <c r="N56" s="813"/>
      <c r="O56" s="937"/>
      <c r="P56" s="937"/>
      <c r="Q56" s="965"/>
      <c r="R56" s="939"/>
    </row>
    <row r="57" spans="1:18">
      <c r="B57" s="813"/>
      <c r="C57" s="813"/>
      <c r="D57" s="813"/>
      <c r="E57" s="856"/>
      <c r="F57" s="950"/>
      <c r="G57" s="813"/>
      <c r="I57" s="886"/>
      <c r="N57" s="813"/>
      <c r="O57" s="951"/>
      <c r="P57" s="966"/>
      <c r="Q57" s="951"/>
      <c r="R57" s="926"/>
    </row>
    <row r="58" spans="1:18">
      <c r="B58" s="813"/>
      <c r="C58" s="813"/>
      <c r="D58" s="813"/>
      <c r="E58" s="856"/>
      <c r="F58" s="967"/>
      <c r="G58" s="813"/>
      <c r="I58" s="886"/>
      <c r="N58" s="856"/>
      <c r="O58" s="813"/>
      <c r="P58" s="855"/>
      <c r="Q58" s="862"/>
      <c r="R58" s="866"/>
    </row>
    <row r="59" spans="1:18">
      <c r="B59" s="813"/>
      <c r="C59" s="813"/>
      <c r="D59" s="813"/>
      <c r="E59" s="856"/>
      <c r="F59" s="924"/>
      <c r="G59" s="813"/>
      <c r="I59" s="886"/>
      <c r="N59" s="813"/>
      <c r="O59" s="813"/>
      <c r="P59" s="855"/>
      <c r="Q59" s="813"/>
      <c r="R59" s="926"/>
    </row>
    <row r="60" spans="1:18">
      <c r="B60" s="813"/>
      <c r="C60" s="813"/>
      <c r="D60" s="813"/>
      <c r="E60" s="813"/>
      <c r="F60" s="968"/>
      <c r="G60" s="813"/>
      <c r="I60" s="886"/>
      <c r="N60" s="856"/>
      <c r="O60" s="937"/>
      <c r="P60" s="942"/>
      <c r="Q60" s="937"/>
      <c r="R60" s="939"/>
    </row>
    <row r="61" spans="1:18">
      <c r="B61" s="813"/>
      <c r="C61" s="813"/>
      <c r="D61" s="969"/>
      <c r="E61" s="969"/>
      <c r="F61" s="970"/>
      <c r="G61" s="813"/>
      <c r="I61" s="886"/>
      <c r="N61" s="856"/>
      <c r="O61" s="813"/>
      <c r="P61" s="855"/>
      <c r="Q61" s="829"/>
      <c r="R61" s="926"/>
    </row>
    <row r="62" spans="1:18">
      <c r="B62" s="813"/>
      <c r="C62" s="813"/>
      <c r="D62" s="969"/>
      <c r="E62" s="969"/>
      <c r="F62" s="969"/>
      <c r="G62" s="970"/>
      <c r="I62" s="886"/>
      <c r="N62" s="856"/>
      <c r="O62" s="813"/>
      <c r="P62" s="855"/>
      <c r="Q62" s="971"/>
      <c r="R62" s="866"/>
    </row>
    <row r="63" spans="1:18">
      <c r="B63" s="813"/>
      <c r="C63" s="813"/>
      <c r="D63" s="969"/>
      <c r="E63" s="969"/>
      <c r="F63" s="969"/>
      <c r="G63" s="969"/>
      <c r="I63" s="886"/>
      <c r="N63" s="813"/>
      <c r="O63" s="813"/>
      <c r="P63" s="855"/>
      <c r="Q63" s="971"/>
      <c r="R63" s="949"/>
    </row>
    <row r="64" spans="1:18">
      <c r="B64" s="813"/>
      <c r="C64" s="813"/>
      <c r="D64" s="969"/>
      <c r="E64" s="969"/>
      <c r="F64" s="969"/>
      <c r="G64" s="969"/>
      <c r="I64" s="886"/>
      <c r="N64" s="796"/>
      <c r="O64" s="856"/>
      <c r="P64" s="855"/>
      <c r="Q64" s="813"/>
      <c r="R64" s="866"/>
    </row>
    <row r="65" spans="1:29" s="796" customFormat="1">
      <c r="A65" s="797"/>
      <c r="B65" s="813"/>
      <c r="C65" s="813"/>
      <c r="D65" s="813"/>
      <c r="E65" s="813"/>
      <c r="F65" s="926"/>
      <c r="G65" s="969"/>
      <c r="I65" s="886"/>
      <c r="J65" s="797"/>
      <c r="K65" s="797"/>
      <c r="L65" s="797"/>
      <c r="M65" s="797"/>
      <c r="N65" s="797"/>
      <c r="O65" s="813"/>
      <c r="P65" s="855"/>
      <c r="Q65" s="813"/>
      <c r="R65" s="866"/>
      <c r="T65" s="797"/>
      <c r="U65" s="797"/>
      <c r="V65" s="797"/>
      <c r="W65" s="797"/>
      <c r="X65" s="797"/>
      <c r="Y65" s="797"/>
      <c r="Z65" s="797"/>
      <c r="AA65" s="797"/>
      <c r="AB65" s="797"/>
      <c r="AC65" s="797"/>
    </row>
    <row r="66" spans="1:29" s="796" customFormat="1">
      <c r="A66" s="797"/>
      <c r="B66" s="813"/>
      <c r="C66" s="813"/>
      <c r="D66" s="813"/>
      <c r="E66" s="813"/>
      <c r="F66" s="926"/>
      <c r="G66" s="813"/>
      <c r="I66" s="813"/>
      <c r="J66" s="797"/>
      <c r="K66" s="797"/>
      <c r="L66" s="797"/>
      <c r="M66" s="797"/>
      <c r="N66" s="797"/>
      <c r="O66" s="813"/>
      <c r="P66" s="911"/>
      <c r="Q66" s="813"/>
      <c r="R66" s="950"/>
      <c r="T66" s="797"/>
      <c r="U66" s="797"/>
      <c r="V66" s="797"/>
      <c r="W66" s="797"/>
      <c r="X66" s="797"/>
      <c r="Y66" s="797"/>
      <c r="Z66" s="797"/>
      <c r="AA66" s="797"/>
      <c r="AB66" s="797"/>
      <c r="AC66" s="797"/>
    </row>
    <row r="67" spans="1:29" s="796" customFormat="1">
      <c r="B67" s="813"/>
      <c r="C67" s="813"/>
      <c r="D67" s="813"/>
      <c r="E67" s="813"/>
      <c r="F67" s="926"/>
      <c r="G67" s="813"/>
      <c r="I67" s="813"/>
      <c r="J67" s="797"/>
      <c r="K67" s="797"/>
      <c r="L67" s="797"/>
      <c r="M67" s="797"/>
      <c r="N67" s="797"/>
      <c r="O67" s="813"/>
      <c r="P67" s="911"/>
      <c r="Q67" s="813"/>
      <c r="R67" s="955"/>
    </row>
    <row r="68" spans="1:29" s="796" customFormat="1">
      <c r="B68" s="813"/>
      <c r="C68" s="813"/>
      <c r="D68" s="813"/>
      <c r="E68" s="813"/>
      <c r="F68" s="972"/>
      <c r="G68" s="813"/>
      <c r="I68" s="813"/>
      <c r="J68" s="797"/>
      <c r="K68" s="797"/>
      <c r="L68" s="797"/>
      <c r="M68" s="797"/>
      <c r="N68" s="797"/>
      <c r="O68" s="856"/>
      <c r="P68" s="957"/>
      <c r="Q68" s="924"/>
      <c r="R68" s="967"/>
    </row>
    <row r="69" spans="1:29" s="796" customFormat="1">
      <c r="B69" s="813"/>
      <c r="C69" s="813"/>
      <c r="D69" s="813"/>
      <c r="E69" s="813"/>
      <c r="F69" s="926"/>
      <c r="G69" s="813"/>
      <c r="I69" s="813"/>
      <c r="J69" s="797"/>
      <c r="K69" s="797"/>
      <c r="L69" s="797"/>
      <c r="M69" s="797"/>
      <c r="N69" s="797"/>
      <c r="O69" s="813"/>
      <c r="P69" s="948"/>
      <c r="Q69" s="813"/>
      <c r="R69" s="967"/>
    </row>
    <row r="70" spans="1:29" s="796" customFormat="1">
      <c r="B70" s="813"/>
      <c r="C70" s="813"/>
      <c r="D70" s="813"/>
      <c r="E70" s="813"/>
      <c r="F70" s="926"/>
      <c r="G70" s="813"/>
      <c r="I70" s="886"/>
      <c r="J70" s="797"/>
      <c r="K70" s="797"/>
      <c r="L70" s="797"/>
      <c r="M70" s="797"/>
      <c r="N70" s="797"/>
    </row>
    <row r="71" spans="1:29" s="796" customFormat="1">
      <c r="A71" s="797"/>
      <c r="B71" s="813"/>
      <c r="C71" s="813"/>
      <c r="D71" s="813"/>
      <c r="E71" s="813"/>
      <c r="F71" s="926"/>
      <c r="G71" s="813"/>
      <c r="I71" s="797"/>
      <c r="J71" s="797"/>
      <c r="K71" s="797"/>
      <c r="L71" s="797"/>
      <c r="M71" s="797"/>
      <c r="N71" s="797"/>
      <c r="O71" s="797"/>
      <c r="P71" s="797"/>
      <c r="Q71" s="797"/>
      <c r="R71" s="797"/>
      <c r="T71" s="797"/>
      <c r="U71" s="797"/>
      <c r="V71" s="797"/>
      <c r="W71" s="797"/>
      <c r="X71" s="797"/>
      <c r="Y71" s="797"/>
      <c r="Z71" s="797"/>
      <c r="AA71" s="797"/>
      <c r="AB71" s="797"/>
      <c r="AC71" s="797"/>
    </row>
    <row r="72" spans="1:29">
      <c r="B72" s="813"/>
      <c r="C72" s="813"/>
      <c r="D72" s="813"/>
      <c r="E72" s="813"/>
      <c r="F72" s="926"/>
      <c r="G72" s="813"/>
    </row>
    <row r="73" spans="1:29">
      <c r="B73" s="813"/>
      <c r="C73" s="813"/>
      <c r="D73" s="813"/>
      <c r="E73" s="813"/>
      <c r="F73" s="926"/>
      <c r="G73" s="813"/>
    </row>
    <row r="74" spans="1:29" s="796" customFormat="1">
      <c r="A74" s="797"/>
      <c r="B74" s="797"/>
      <c r="C74" s="797"/>
      <c r="D74" s="797"/>
      <c r="E74" s="797"/>
      <c r="F74" s="919"/>
      <c r="G74" s="813"/>
      <c r="I74" s="797"/>
      <c r="J74" s="797"/>
      <c r="K74" s="797"/>
      <c r="L74" s="797"/>
      <c r="M74" s="797"/>
      <c r="N74" s="797"/>
      <c r="O74" s="797"/>
      <c r="P74" s="797"/>
      <c r="Q74" s="797"/>
      <c r="R74" s="797"/>
      <c r="T74" s="797"/>
      <c r="U74" s="797"/>
      <c r="V74" s="797"/>
      <c r="W74" s="797"/>
      <c r="X74" s="797"/>
      <c r="Y74" s="797"/>
      <c r="Z74" s="797"/>
      <c r="AA74" s="797"/>
      <c r="AB74" s="797"/>
      <c r="AC74" s="797"/>
    </row>
    <row r="75" spans="1:29" s="796" customFormat="1">
      <c r="A75" s="797"/>
      <c r="B75" s="797"/>
      <c r="C75" s="797"/>
      <c r="D75" s="797"/>
      <c r="E75" s="797"/>
      <c r="F75" s="919"/>
      <c r="G75" s="797"/>
      <c r="I75" s="797"/>
      <c r="J75" s="797"/>
      <c r="K75" s="797"/>
      <c r="L75" s="797"/>
      <c r="M75" s="797"/>
      <c r="N75" s="797"/>
      <c r="O75" s="797"/>
      <c r="P75" s="797"/>
      <c r="Q75" s="797"/>
      <c r="R75" s="797"/>
      <c r="T75" s="797"/>
      <c r="U75" s="797"/>
      <c r="V75" s="797"/>
      <c r="W75" s="797"/>
      <c r="X75" s="797"/>
      <c r="Y75" s="797"/>
      <c r="Z75" s="797"/>
      <c r="AA75" s="797"/>
      <c r="AB75" s="797"/>
      <c r="AC75" s="797"/>
    </row>
    <row r="76" spans="1:29" s="796" customFormat="1">
      <c r="A76" s="797"/>
      <c r="B76" s="797"/>
      <c r="C76" s="797"/>
      <c r="D76" s="797"/>
      <c r="E76" s="797"/>
      <c r="F76" s="919"/>
      <c r="G76" s="797"/>
      <c r="I76" s="797"/>
      <c r="J76" s="797"/>
      <c r="K76" s="797"/>
      <c r="L76" s="797"/>
      <c r="M76" s="797"/>
      <c r="N76" s="797"/>
      <c r="O76" s="797"/>
      <c r="P76" s="797"/>
      <c r="Q76" s="797"/>
      <c r="R76" s="797"/>
      <c r="T76" s="797"/>
      <c r="U76" s="797"/>
      <c r="V76" s="797"/>
      <c r="W76" s="797"/>
      <c r="X76" s="797"/>
      <c r="Y76" s="797"/>
      <c r="Z76" s="797"/>
      <c r="AA76" s="797"/>
      <c r="AB76" s="797"/>
      <c r="AC76" s="797"/>
    </row>
    <row r="77" spans="1:29" s="796" customFormat="1">
      <c r="A77" s="797"/>
      <c r="B77" s="797"/>
      <c r="C77" s="797"/>
      <c r="D77" s="797"/>
      <c r="E77" s="797"/>
      <c r="F77" s="919"/>
      <c r="G77" s="797"/>
      <c r="I77" s="797"/>
      <c r="J77" s="797"/>
      <c r="K77" s="797"/>
      <c r="L77" s="797"/>
      <c r="M77" s="797"/>
      <c r="N77" s="797"/>
      <c r="O77" s="797"/>
      <c r="P77" s="797"/>
      <c r="Q77" s="797"/>
      <c r="R77" s="797"/>
      <c r="T77" s="797"/>
      <c r="U77" s="797"/>
      <c r="V77" s="797"/>
      <c r="W77" s="797"/>
      <c r="X77" s="797"/>
      <c r="Y77" s="797"/>
      <c r="Z77" s="797"/>
      <c r="AA77" s="797"/>
      <c r="AB77" s="797"/>
      <c r="AC77" s="797"/>
    </row>
  </sheetData>
  <mergeCells count="6">
    <mergeCell ref="B4:F4"/>
    <mergeCell ref="J4:L4"/>
    <mergeCell ref="J5:K5"/>
    <mergeCell ref="J10:K10"/>
    <mergeCell ref="J23:L29"/>
    <mergeCell ref="B33:F33"/>
  </mergeCells>
  <pageMargins left="0.25" right="0.25" top="0.25" bottom="0.25" header="0.3" footer="0.3"/>
  <pageSetup scale="77" orientation="landscape" r:id="rId1"/>
  <headerFooter alignWithMargins="0">
    <oddFooter>&amp;R&amp;10CONFIDENTIAL - FOR THE PURPOSES OF POLICY DISCUSSION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90" zoomScaleNormal="90" workbookViewId="0">
      <selection activeCell="H23" sqref="H23"/>
    </sheetView>
  </sheetViews>
  <sheetFormatPr defaultRowHeight="14.4"/>
  <cols>
    <col min="1" max="1" width="23.109375" style="661" customWidth="1"/>
    <col min="2" max="2" width="22.21875" style="973" customWidth="1"/>
    <col min="3" max="3" width="10.6640625" style="974" customWidth="1"/>
    <col min="4" max="4" width="48" style="973" customWidth="1"/>
    <col min="5" max="5" width="17.77734375" style="973" customWidth="1"/>
    <col min="6" max="6" width="16.5546875" style="973" customWidth="1"/>
    <col min="7" max="7" width="15.109375" style="973" customWidth="1"/>
    <col min="8" max="8" width="17.77734375" style="973" customWidth="1"/>
    <col min="9" max="9" width="15" style="973" bestFit="1" customWidth="1"/>
    <col min="10" max="11" width="14.44140625" style="973" customWidth="1"/>
    <col min="12" max="12" width="24.6640625" style="661" customWidth="1"/>
    <col min="13" max="13" width="25.88671875" style="661" customWidth="1"/>
    <col min="14" max="14" width="14.6640625" style="661" customWidth="1"/>
    <col min="15" max="15" width="12" style="661" bestFit="1" customWidth="1"/>
    <col min="16" max="16" width="8.88671875" style="661"/>
    <col min="17" max="17" width="8.88671875" style="661" customWidth="1"/>
    <col min="18" max="19" width="8.88671875" style="661"/>
    <col min="20" max="21" width="10" style="661" bestFit="1" customWidth="1"/>
    <col min="22" max="16384" width="8.88671875" style="661"/>
  </cols>
  <sheetData>
    <row r="1" spans="1:13" ht="15" thickBot="1"/>
    <row r="2" spans="1:13" ht="18">
      <c r="A2" s="975" t="s">
        <v>392</v>
      </c>
      <c r="B2" s="976"/>
      <c r="C2" s="977"/>
      <c r="D2" s="976"/>
      <c r="E2" s="976"/>
      <c r="F2" s="976"/>
      <c r="G2" s="976"/>
      <c r="H2" s="976"/>
      <c r="I2" s="976"/>
      <c r="J2" s="976"/>
      <c r="K2" s="976"/>
      <c r="L2" s="978"/>
      <c r="M2" s="979"/>
    </row>
    <row r="3" spans="1:13" ht="18">
      <c r="A3" s="980"/>
      <c r="B3" s="981"/>
      <c r="C3" s="981"/>
      <c r="D3" s="981"/>
      <c r="E3" s="981"/>
      <c r="F3" s="981"/>
      <c r="G3" s="981"/>
      <c r="H3" s="981"/>
      <c r="I3" s="981"/>
      <c r="J3" s="981"/>
      <c r="K3" s="981"/>
      <c r="L3" s="981"/>
      <c r="M3" s="982"/>
    </row>
    <row r="4" spans="1:13" ht="15.75" customHeight="1" thickBot="1">
      <c r="A4" s="980"/>
      <c r="B4" s="983"/>
      <c r="C4" s="984"/>
      <c r="D4" s="661"/>
      <c r="E4" s="661"/>
      <c r="F4" s="661"/>
      <c r="G4" s="661"/>
      <c r="H4" s="661"/>
      <c r="I4" s="661"/>
      <c r="J4" s="661"/>
      <c r="K4" s="661"/>
    </row>
    <row r="5" spans="1:13" ht="15" thickBot="1">
      <c r="A5" s="985"/>
      <c r="B5" s="986" t="s">
        <v>85</v>
      </c>
      <c r="C5" s="987" t="s">
        <v>71</v>
      </c>
      <c r="D5" s="988"/>
      <c r="E5" s="661"/>
      <c r="F5" s="661"/>
      <c r="G5" s="661"/>
      <c r="H5" s="661"/>
      <c r="I5" s="661"/>
      <c r="J5" s="661"/>
      <c r="K5" s="661"/>
    </row>
    <row r="6" spans="1:13">
      <c r="A6" s="989" t="s">
        <v>77</v>
      </c>
      <c r="B6" s="990">
        <f>'[11]Chart BLS'!C6</f>
        <v>34927.359999999993</v>
      </c>
      <c r="C6" s="991" t="s">
        <v>348</v>
      </c>
      <c r="D6" s="992"/>
      <c r="E6" s="661"/>
      <c r="F6" s="661"/>
      <c r="G6" s="661"/>
      <c r="H6" s="661"/>
      <c r="I6" s="661"/>
      <c r="J6" s="661"/>
      <c r="K6" s="661"/>
    </row>
    <row r="7" spans="1:13">
      <c r="A7" s="993" t="s">
        <v>374</v>
      </c>
      <c r="B7" s="994">
        <v>0.224</v>
      </c>
      <c r="C7" s="995" t="s">
        <v>404</v>
      </c>
      <c r="D7" s="996"/>
      <c r="E7" s="661"/>
      <c r="F7" s="661"/>
      <c r="G7" s="661"/>
      <c r="H7" s="661"/>
      <c r="I7" s="661"/>
      <c r="J7" s="661"/>
      <c r="K7" s="661"/>
    </row>
    <row r="8" spans="1:13">
      <c r="A8" s="993" t="s">
        <v>393</v>
      </c>
      <c r="B8" s="997">
        <f>B6*B7</f>
        <v>7823.7286399999984</v>
      </c>
      <c r="C8" s="995"/>
      <c r="D8" s="996"/>
      <c r="E8" s="661"/>
      <c r="F8" s="661"/>
      <c r="G8" s="661"/>
      <c r="H8" s="998"/>
      <c r="I8" s="661"/>
      <c r="J8" s="661"/>
      <c r="K8" s="661"/>
    </row>
    <row r="9" spans="1:13">
      <c r="A9" s="993" t="s">
        <v>394</v>
      </c>
      <c r="B9" s="997">
        <f>B6+B8</f>
        <v>42751.088639999994</v>
      </c>
      <c r="C9" s="995"/>
      <c r="D9" s="996"/>
      <c r="E9" s="661"/>
      <c r="F9" s="661"/>
      <c r="G9" s="661"/>
      <c r="H9" s="661"/>
      <c r="I9" s="661"/>
      <c r="J9" s="661"/>
      <c r="K9" s="661"/>
    </row>
    <row r="10" spans="1:13">
      <c r="A10" s="999" t="s">
        <v>61</v>
      </c>
      <c r="B10" s="1000">
        <f>B6*C10</f>
        <v>129.23123199999998</v>
      </c>
      <c r="C10" s="1001">
        <v>3.7000000000000002E-3</v>
      </c>
      <c r="D10" s="1002" t="s">
        <v>125</v>
      </c>
      <c r="E10" s="661"/>
      <c r="F10" s="661"/>
      <c r="G10" s="661"/>
      <c r="H10" s="661"/>
      <c r="I10" s="661"/>
      <c r="J10" s="661"/>
      <c r="K10" s="661"/>
    </row>
    <row r="11" spans="1:13">
      <c r="A11" s="993" t="s">
        <v>200</v>
      </c>
      <c r="B11" s="997">
        <f>B10+B9</f>
        <v>42880.319871999993</v>
      </c>
      <c r="C11" s="995"/>
      <c r="D11" s="996"/>
      <c r="E11" s="661"/>
      <c r="F11" s="661"/>
      <c r="G11" s="661"/>
      <c r="H11" s="661"/>
      <c r="I11" s="661"/>
      <c r="J11" s="661"/>
      <c r="K11" s="661"/>
    </row>
    <row r="12" spans="1:13">
      <c r="A12" s="993" t="s">
        <v>363</v>
      </c>
      <c r="B12" s="997">
        <f>C12*B11</f>
        <v>455.98097486885462</v>
      </c>
      <c r="C12" s="1001">
        <f>'[11]CAF Spring 2021'!CF25</f>
        <v>1.0633805350099574E-2</v>
      </c>
      <c r="D12" s="1003" t="s">
        <v>362</v>
      </c>
      <c r="E12" s="661"/>
      <c r="F12" s="661"/>
      <c r="G12" s="661"/>
      <c r="H12" s="661"/>
      <c r="I12" s="661"/>
      <c r="J12" s="661"/>
      <c r="K12" s="661"/>
    </row>
    <row r="13" spans="1:13">
      <c r="A13" s="993" t="s">
        <v>395</v>
      </c>
      <c r="B13" s="1004">
        <f>D24</f>
        <v>1952</v>
      </c>
      <c r="C13" s="1001"/>
      <c r="D13" s="1005"/>
      <c r="E13" s="661"/>
      <c r="F13" s="661"/>
      <c r="G13" s="661"/>
      <c r="H13" s="661"/>
      <c r="I13" s="661"/>
      <c r="J13" s="661"/>
      <c r="K13" s="661"/>
    </row>
    <row r="14" spans="1:13" s="1009" customFormat="1">
      <c r="A14" s="999" t="s">
        <v>396</v>
      </c>
      <c r="B14" s="1006">
        <f>(B11+B12)/B13</f>
        <v>22.200973794502485</v>
      </c>
      <c r="C14" s="1007"/>
      <c r="D14" s="1008"/>
    </row>
    <row r="15" spans="1:13" ht="15" thickBot="1">
      <c r="A15" s="1010" t="s">
        <v>397</v>
      </c>
      <c r="B15" s="1011">
        <f>22.04*0.25</f>
        <v>5.51</v>
      </c>
      <c r="C15" s="1012"/>
      <c r="D15" s="1013"/>
      <c r="E15" s="661"/>
      <c r="F15" s="661"/>
      <c r="G15" s="661"/>
      <c r="H15" s="661"/>
      <c r="I15" s="661"/>
      <c r="J15" s="661"/>
      <c r="K15" s="661"/>
    </row>
    <row r="16" spans="1:13">
      <c r="A16" s="1014"/>
      <c r="B16" s="1015"/>
      <c r="C16" s="1016"/>
      <c r="D16" s="1015"/>
      <c r="E16" s="1015"/>
      <c r="F16" s="1015"/>
      <c r="G16" s="1015"/>
      <c r="H16" s="1015"/>
      <c r="I16" s="1015"/>
      <c r="J16" s="1015"/>
      <c r="K16" s="1015"/>
      <c r="L16" s="1017"/>
      <c r="M16" s="1018"/>
    </row>
    <row r="17" spans="1:17">
      <c r="B17" s="1019"/>
      <c r="C17" s="1020"/>
      <c r="D17" s="661"/>
      <c r="E17" s="661"/>
      <c r="F17" s="661"/>
      <c r="G17" s="661"/>
      <c r="H17" s="661"/>
      <c r="I17" s="661"/>
      <c r="J17" s="661"/>
      <c r="K17" s="661"/>
    </row>
    <row r="19" spans="1:17" ht="15" thickBot="1">
      <c r="A19" s="1021" t="s">
        <v>398</v>
      </c>
      <c r="B19" s="1022"/>
      <c r="C19" s="1023"/>
      <c r="D19" s="1022"/>
      <c r="E19" s="1022"/>
      <c r="G19" s="1024"/>
      <c r="H19" s="1025"/>
      <c r="I19" s="1025"/>
      <c r="J19" s="1025"/>
      <c r="K19" s="1025"/>
    </row>
    <row r="20" spans="1:17">
      <c r="A20" s="1026"/>
      <c r="B20" s="1027"/>
      <c r="C20" s="1028" t="s">
        <v>399</v>
      </c>
      <c r="D20" s="1029" t="s">
        <v>340</v>
      </c>
      <c r="E20" s="1030"/>
      <c r="G20" s="1031"/>
      <c r="H20" s="1031"/>
      <c r="I20" s="1031"/>
      <c r="J20" s="1032"/>
      <c r="K20" s="1030"/>
    </row>
    <row r="21" spans="1:17">
      <c r="A21" s="1033"/>
      <c r="B21" s="1034" t="s">
        <v>400</v>
      </c>
      <c r="C21" s="1035">
        <v>15</v>
      </c>
      <c r="D21" s="1036">
        <f>C21*8</f>
        <v>120</v>
      </c>
      <c r="E21" s="1035"/>
      <c r="F21" s="1037"/>
      <c r="G21" s="1038"/>
      <c r="H21" s="1034"/>
      <c r="I21" s="1034"/>
      <c r="J21" s="1039"/>
      <c r="K21" s="1035"/>
      <c r="L21" s="1037"/>
      <c r="M21" s="1017"/>
    </row>
    <row r="22" spans="1:17">
      <c r="A22" s="1040"/>
      <c r="B22" s="1041" t="s">
        <v>401</v>
      </c>
      <c r="C22" s="1042">
        <v>1</v>
      </c>
      <c r="D22" s="1043">
        <f>C22*8</f>
        <v>8</v>
      </c>
      <c r="E22" s="1044"/>
      <c r="F22" s="1045"/>
      <c r="G22" s="1046"/>
      <c r="H22" s="1047"/>
      <c r="I22" s="1047"/>
      <c r="J22" s="1048"/>
      <c r="K22" s="1035"/>
      <c r="L22" s="1037"/>
    </row>
    <row r="23" spans="1:17">
      <c r="A23" s="1033"/>
      <c r="B23" s="1038"/>
      <c r="C23" s="1034" t="s">
        <v>402</v>
      </c>
      <c r="D23" s="1049">
        <f>SUM(D21:D22)</f>
        <v>128</v>
      </c>
      <c r="E23" s="1044"/>
      <c r="G23" s="1038"/>
      <c r="H23" s="1038"/>
      <c r="I23" s="1038"/>
      <c r="J23" s="1034"/>
      <c r="K23" s="1035"/>
    </row>
    <row r="24" spans="1:17" ht="15" thickBot="1">
      <c r="A24" s="1050"/>
      <c r="B24" s="1051"/>
      <c r="C24" s="1052" t="s">
        <v>395</v>
      </c>
      <c r="D24" s="1053">
        <f>2080-D23</f>
        <v>1952</v>
      </c>
      <c r="E24" s="1044"/>
      <c r="G24" s="1038"/>
      <c r="H24" s="1038"/>
      <c r="I24" s="1038"/>
      <c r="J24" s="1034"/>
      <c r="K24" s="1035"/>
    </row>
    <row r="25" spans="1:17">
      <c r="G25" s="1025"/>
      <c r="H25" s="1025"/>
      <c r="I25" s="1025"/>
      <c r="J25" s="1025"/>
      <c r="K25" s="1025"/>
    </row>
    <row r="26" spans="1:17">
      <c r="G26" s="1025"/>
      <c r="H26" s="1025"/>
      <c r="I26" s="1025"/>
      <c r="J26" s="1025"/>
      <c r="K26" s="1025"/>
    </row>
    <row r="27" spans="1:17">
      <c r="G27" s="1054"/>
      <c r="H27" s="1055"/>
      <c r="I27" s="1054"/>
      <c r="J27" s="1055"/>
      <c r="K27" s="1025"/>
    </row>
    <row r="28" spans="1:17">
      <c r="G28" s="1056"/>
      <c r="H28" s="1057"/>
      <c r="I28" s="1056"/>
      <c r="J28" s="1055"/>
    </row>
    <row r="29" spans="1:17">
      <c r="G29" s="1056"/>
      <c r="H29" s="1058"/>
      <c r="I29" s="1056"/>
      <c r="J29" s="1057"/>
    </row>
    <row r="30" spans="1:17">
      <c r="G30" s="1056"/>
      <c r="H30" s="1057"/>
      <c r="I30" s="1056"/>
      <c r="J30" s="1057"/>
    </row>
    <row r="31" spans="1:17" s="973" customFormat="1">
      <c r="A31" s="661"/>
      <c r="C31" s="974"/>
      <c r="G31" s="1056"/>
      <c r="H31" s="1057"/>
      <c r="I31" s="1056"/>
      <c r="J31" s="1057"/>
      <c r="L31" s="661"/>
      <c r="M31" s="661"/>
      <c r="N31" s="661"/>
      <c r="O31" s="661"/>
      <c r="P31" s="661"/>
      <c r="Q31" s="661"/>
    </row>
    <row r="32" spans="1:17" s="973" customFormat="1">
      <c r="A32" s="661"/>
      <c r="C32" s="974"/>
      <c r="G32" s="1056"/>
      <c r="H32" s="1057"/>
      <c r="I32" s="1056"/>
      <c r="J32" s="1057"/>
      <c r="L32" s="661"/>
      <c r="M32" s="661"/>
      <c r="N32" s="661"/>
      <c r="O32" s="661"/>
      <c r="P32" s="661"/>
      <c r="Q32" s="661"/>
    </row>
    <row r="33" spans="1:17" s="973" customFormat="1">
      <c r="A33" s="661"/>
      <c r="C33" s="974"/>
      <c r="G33" s="1056"/>
      <c r="H33" s="1057"/>
      <c r="I33" s="1056"/>
      <c r="J33" s="1057"/>
      <c r="L33" s="661"/>
      <c r="M33" s="661"/>
      <c r="N33" s="661"/>
      <c r="O33" s="661"/>
      <c r="P33" s="661"/>
      <c r="Q33" s="661"/>
    </row>
    <row r="34" spans="1:17" s="973" customFormat="1">
      <c r="A34" s="661"/>
      <c r="C34" s="974"/>
      <c r="G34" s="1056"/>
      <c r="H34" s="1057"/>
      <c r="I34" s="1056"/>
      <c r="J34" s="1022"/>
      <c r="L34" s="661"/>
      <c r="M34" s="661"/>
      <c r="N34" s="661"/>
      <c r="O34" s="661"/>
      <c r="P34" s="661"/>
      <c r="Q34" s="661"/>
    </row>
    <row r="35" spans="1:17" s="973" customFormat="1">
      <c r="A35" s="661"/>
      <c r="C35" s="974"/>
      <c r="G35" s="1022"/>
      <c r="H35" s="1022"/>
      <c r="I35" s="1022"/>
      <c r="J35" s="1022"/>
      <c r="L35" s="661"/>
      <c r="M35" s="661"/>
      <c r="N35" s="661"/>
      <c r="O35" s="661"/>
      <c r="P35" s="661"/>
      <c r="Q35" s="661"/>
    </row>
    <row r="36" spans="1:17" s="973" customFormat="1">
      <c r="A36" s="661"/>
      <c r="C36" s="974"/>
      <c r="G36" s="1022"/>
      <c r="H36" s="1022"/>
      <c r="I36" s="1022"/>
      <c r="J36" s="1022"/>
      <c r="L36" s="661"/>
      <c r="M36" s="661"/>
      <c r="N36" s="661"/>
      <c r="O36" s="661"/>
      <c r="P36" s="661"/>
      <c r="Q36" s="661"/>
    </row>
  </sheetData>
  <mergeCells count="7">
    <mergeCell ref="C11:D11"/>
    <mergeCell ref="B3:M3"/>
    <mergeCell ref="C5:D5"/>
    <mergeCell ref="C6:D6"/>
    <mergeCell ref="C7:D7"/>
    <mergeCell ref="C8:D8"/>
    <mergeCell ref="C9:D9"/>
  </mergeCells>
  <pageMargins left="0.25" right="0.25"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Chart BLS</vt:lpstr>
      <vt:lpstr>1. O&amp;M Model </vt:lpstr>
      <vt:lpstr>4. VR Assistant</vt:lpstr>
      <vt:lpstr>2. HCA</vt:lpstr>
      <vt:lpstr>3. ATIL</vt:lpstr>
      <vt:lpstr>5. DBCAN Model - 2405</vt:lpstr>
      <vt:lpstr>6. BI Community Outreach</vt:lpstr>
      <vt:lpstr>7. BI Site Based</vt:lpstr>
      <vt:lpstr>8. BI Direct Care Add-on</vt:lpstr>
      <vt:lpstr>CAF Spring 2021</vt:lpstr>
      <vt:lpstr>'1. O&amp;M Model '!Print_Area</vt:lpstr>
      <vt:lpstr>'2. HCA'!Print_Area</vt:lpstr>
      <vt:lpstr>'3. ATIL'!Print_Area</vt:lpstr>
      <vt:lpstr>'4. VR Assistant'!Print_Area</vt:lpstr>
      <vt:lpstr>'5. DBCAN Model - 2405'!Print_Area</vt:lpstr>
      <vt:lpstr>'6. BI Community Outreach'!Print_Area</vt:lpstr>
      <vt:lpstr>'7. BI Site Based'!Print_Area</vt:lpstr>
      <vt:lpstr>'8. BI Direct Care Add-on'!Print_Area</vt:lpstr>
      <vt:lpstr>'Chart BLS'!Print_Area</vt:lpstr>
      <vt:lpstr>'CAF Spring 2021'!Print_Titles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kara</cp:lastModifiedBy>
  <dcterms:created xsi:type="dcterms:W3CDTF">2021-09-29T15:12:14Z</dcterms:created>
  <dcterms:modified xsi:type="dcterms:W3CDTF">2021-09-29T15:22:21Z</dcterms:modified>
</cp:coreProperties>
</file>