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X:\Administrative Services-POS Policy Office\Rate Setting\Rate Projects\General Programs - MCB &amp; MRC-CMR 422\2024 Rate Review\3. Signoff\Website\"/>
    </mc:Choice>
  </mc:AlternateContent>
  <xr:revisionPtr revIDLastSave="0" documentId="8_{DE7C0ACA-C2B5-4B30-856D-4C20098AEE40}" xr6:coauthVersionLast="47" xr6:coauthVersionMax="47" xr10:uidLastSave="{00000000-0000-0000-0000-000000000000}"/>
  <bookViews>
    <workbookView xWindow="28680" yWindow="-120" windowWidth="29040" windowHeight="15840" tabRatio="885" xr2:uid="{475DA18E-A6A7-4259-81ED-1F608513141D}"/>
  </bookViews>
  <sheets>
    <sheet name="M2022 BLS SALARY CHART (53_PCT)" sheetId="1" r:id="rId1"/>
    <sheet name="1. O&amp;M Model " sheetId="2" r:id="rId2"/>
    <sheet name="2. HCA" sheetId="3" r:id="rId3"/>
    <sheet name="3. ATIL" sheetId="4" r:id="rId4"/>
    <sheet name="4. VR Assistant" sheetId="5" r:id="rId5"/>
    <sheet name="5. DBCAN Model - 2405" sheetId="6" r:id="rId6"/>
    <sheet name="6. BI Community Outreach" sheetId="10" r:id="rId7"/>
    <sheet name="7. BI Site Based" sheetId="11" r:id="rId8"/>
    <sheet name="8. BI Direct Care Add-on" sheetId="12" r:id="rId9"/>
    <sheet name="Rate Chart" sheetId="7" r:id="rId10"/>
    <sheet name="CAF Spring 2023" sheetId="8" r:id="rId11"/>
    <sheet name="UFR DATA" sheetId="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Key1" localSheetId="10" hidden="1">#REF!</definedName>
    <definedName name="_Key1" hidden="1">#REF!</definedName>
    <definedName name="_Sort" localSheetId="10" hidden="1">#REF!</definedName>
    <definedName name="_Sort" hidden="1">#REF!</definedName>
    <definedName name="alldata" localSheetId="10">#REF!</definedName>
    <definedName name="alldata" localSheetId="0">#REF!</definedName>
    <definedName name="alldata">#REF!</definedName>
    <definedName name="alled" localSheetId="0">#REF!</definedName>
    <definedName name="alled">#REF!</definedName>
    <definedName name="allstem" localSheetId="0">#REF!</definedName>
    <definedName name="allstem">#REF!</definedName>
    <definedName name="Area">[4]Sheet2!$A$2:$A$28</definedName>
    <definedName name="ARENEW">[5]amendA!$B$1:$U$51</definedName>
    <definedName name="asdfasd" localSheetId="10">'[6]Complete UFR List'!#REF!</definedName>
    <definedName name="asdfasd" localSheetId="0">'[6]Complete UFR List'!#REF!</definedName>
    <definedName name="asdfasd">'[6]Complete UFR List'!#REF!</definedName>
    <definedName name="asdfasdf" localSheetId="8">#REF!</definedName>
    <definedName name="asdfasdf" localSheetId="10">'[6]Complete UFR List'!#REF!</definedName>
    <definedName name="asdfasdf" localSheetId="0">'[6]Complete UFR List'!#REF!</definedName>
    <definedName name="asdfasdf">#REF!</definedName>
    <definedName name="ATTABOY">[5]amendA!$B$2:$S$2</definedName>
    <definedName name="AutoInsurance">[7]Universal!$C$19</definedName>
    <definedName name="autsupp2" localSheetId="10">#REF!</definedName>
    <definedName name="autsupp2" localSheetId="0">#REF!</definedName>
    <definedName name="autsupp2">#REF!</definedName>
    <definedName name="Average" localSheetId="8">#REF!</definedName>
    <definedName name="Average" localSheetId="10">#REF!</definedName>
    <definedName name="Average" localSheetId="0">#REF!</definedName>
    <definedName name="Average">#REF!</definedName>
    <definedName name="BB6_4" localSheetId="10">#REF!</definedName>
    <definedName name="BB6_4">#REF!</definedName>
    <definedName name="CAF_NEW" localSheetId="10">[8]RawDataCalcs!$L$70:$DB$70</definedName>
    <definedName name="CAF_NEW" localSheetId="0">[8]RawDataCalcs!$L$70:$DB$70</definedName>
    <definedName name="CAF_NEW">[9]RawDataCalcs!$L$70:$DB$70</definedName>
    <definedName name="Cap" localSheetId="1">[10]RawDataCalcs!$L$13:$DB$13</definedName>
    <definedName name="Cap" localSheetId="4">[10]RawDataCalcs!$L$13:$DB$13</definedName>
    <definedName name="Cap" localSheetId="7">'[20]RawDataCalcs3386&amp;3401'!$L$66:$DB$66</definedName>
    <definedName name="Cap" localSheetId="10">[11]RawDataCalcs!$L$17:$DB$17</definedName>
    <definedName name="Cap" localSheetId="0">[12]RawDataCalcs!$L$35:$DB$35</definedName>
    <definedName name="Cap">[13]RawDataCalcs!$L$13:$DB$13</definedName>
    <definedName name="capa">[11]RawDataCalcs!$L$17:$DB$17</definedName>
    <definedName name="COLA">[7]Universal!$C$12</definedName>
    <definedName name="Data" localSheetId="8">#REF!</definedName>
    <definedName name="Data" localSheetId="10">#REF!</definedName>
    <definedName name="Data" localSheetId="0">#REF!</definedName>
    <definedName name="Data">#REF!</definedName>
    <definedName name="Electricity">[7]Universal!$C$21</definedName>
    <definedName name="Fisc" localSheetId="10">'[6]Complete UFR List'!#REF!</definedName>
    <definedName name="Fisc">'[6]Complete UFR List'!#REF!</definedName>
    <definedName name="FiveDay">[7]Universal!$C$17</definedName>
    <definedName name="Floor" localSheetId="1">[10]RawDataCalcs!$L$12:$DB$12</definedName>
    <definedName name="Floor" localSheetId="4">[10]RawDataCalcs!$L$12:$DB$12</definedName>
    <definedName name="Floor" localSheetId="7">'[20]RawDataCalcs3386&amp;3401'!$L$65:$DB$65</definedName>
    <definedName name="Floor" localSheetId="10">[11]RawDataCalcs!$L$16:$DB$16</definedName>
    <definedName name="Floor" localSheetId="0">[12]RawDataCalcs!$L$34:$DB$34</definedName>
    <definedName name="Floor">[13]RawDataCalcs!$L$12:$DB$12</definedName>
    <definedName name="Fringe">[7]Universal!$C$8</definedName>
    <definedName name="FROM">[5]amendA!$G$7</definedName>
    <definedName name="Funds" localSheetId="10">'[14]RawDataCalcs3386&amp;3401'!$L$68:$DB$68</definedName>
    <definedName name="Funds" localSheetId="0">'[14]RawDataCalcs3386&amp;3401'!$L$68:$DB$68</definedName>
    <definedName name="Funds">'[15]RawDataCalcs3386&amp;3401'!$L$68:$DB$68</definedName>
    <definedName name="GA">[7]Universal!$C$13</definedName>
    <definedName name="Gas">[7]Universal!$C$22</definedName>
    <definedName name="gk" localSheetId="1">#REF!</definedName>
    <definedName name="gk" localSheetId="3">#REF!</definedName>
    <definedName name="gk" localSheetId="4">#REF!</definedName>
    <definedName name="gk" localSheetId="5">#REF!</definedName>
    <definedName name="gk" localSheetId="7">#REF!</definedName>
    <definedName name="gk" localSheetId="8">#REF!</definedName>
    <definedName name="gk">#REF!</definedName>
    <definedName name="hhh" localSheetId="8">#REF!</definedName>
    <definedName name="hhh">#REF!</definedName>
    <definedName name="Holidays">[7]Universal!$C$49:$C$59</definedName>
    <definedName name="JailDAverage" localSheetId="8">#REF!</definedName>
    <definedName name="JailDAverage" localSheetId="10">#REF!</definedName>
    <definedName name="JailDAverage" localSheetId="0">#REF!</definedName>
    <definedName name="JailDAverage">#REF!</definedName>
    <definedName name="JailDCap" localSheetId="10">[16]ALLRawDataCalcs!$L$80:$DB$80</definedName>
    <definedName name="JailDCap" localSheetId="0">[16]ALLRawDataCalcs!$L$80:$DB$80</definedName>
    <definedName name="JailDCap">[17]ALLRawDataCalcs!$L$80:$DB$80</definedName>
    <definedName name="JailDFloor" localSheetId="10">[16]ALLRawDataCalcs!$L$79:$DB$79</definedName>
    <definedName name="JailDFloor" localSheetId="0">[16]ALLRawDataCalcs!$L$79:$DB$79</definedName>
    <definedName name="JailDFloor">[17]ALLRawDataCalcs!$L$79:$DB$79</definedName>
    <definedName name="JailDgk" localSheetId="8">#REF!</definedName>
    <definedName name="JailDgk" localSheetId="10">#REF!</definedName>
    <definedName name="JailDgk" localSheetId="0">#REF!</definedName>
    <definedName name="JailDgk">#REF!</definedName>
    <definedName name="JailDMax" localSheetId="8">#REF!</definedName>
    <definedName name="JailDMax" localSheetId="10">#REF!</definedName>
    <definedName name="JailDMax" localSheetId="0">#REF!</definedName>
    <definedName name="JailDMax">#REF!</definedName>
    <definedName name="JailDMedian" localSheetId="8">#REF!</definedName>
    <definedName name="JailDMedian" localSheetId="10">#REF!</definedName>
    <definedName name="JailDMedian" localSheetId="0">#REF!</definedName>
    <definedName name="JailDMedian">#REF!</definedName>
    <definedName name="jm" localSheetId="10">'[6]Complete UFR List'!#REF!</definedName>
    <definedName name="jm" localSheetId="0">'[6]Complete UFR List'!#REF!</definedName>
    <definedName name="jm">'[6]Complete UFR List'!#REF!</definedName>
    <definedName name="kls" localSheetId="8">#REF!</definedName>
    <definedName name="kls" localSheetId="10">#REF!</definedName>
    <definedName name="kls" localSheetId="0">#REF!</definedName>
    <definedName name="kls">#REF!</definedName>
    <definedName name="ListProviders">'[18]List of Programs'!$A$24:$A$29</definedName>
    <definedName name="Max" localSheetId="8">#REF!</definedName>
    <definedName name="Max" localSheetId="10">#REF!</definedName>
    <definedName name="Max" localSheetId="0">#REF!</definedName>
    <definedName name="Max">#REF!</definedName>
    <definedName name="Median" localSheetId="8">#REF!</definedName>
    <definedName name="Median" localSheetId="10">#REF!</definedName>
    <definedName name="Median" localSheetId="0">#REF!</definedName>
    <definedName name="Median">#REF!</definedName>
    <definedName name="Min" localSheetId="8">#REF!</definedName>
    <definedName name="Min" localSheetId="10">#REF!</definedName>
    <definedName name="Min" localSheetId="0">#REF!</definedName>
    <definedName name="Min">#REF!</definedName>
    <definedName name="mr">#REF!</definedName>
    <definedName name="MT" localSheetId="8">#REF!</definedName>
    <definedName name="MT">#REF!</definedName>
    <definedName name="new" localSheetId="8">#REF!</definedName>
    <definedName name="new">#REF!</definedName>
    <definedName name="Oil">[7]Universal!$C$23</definedName>
    <definedName name="ok" localSheetId="8">#REF!</definedName>
    <definedName name="ok" localSheetId="10">#REF!</definedName>
    <definedName name="ok" localSheetId="0">#REF!</definedName>
    <definedName name="ok">#REF!</definedName>
    <definedName name="Paydays">[7]Universal!$C$33:$N$33</definedName>
    <definedName name="Phone">[7]Universal!$C$25</definedName>
    <definedName name="_xlnm.Print_Area" localSheetId="1">'1. O&amp;M Model '!$I$2:$U$38</definedName>
    <definedName name="_xlnm.Print_Area" localSheetId="2">'2. HCA'!$A$1:$G$17</definedName>
    <definedName name="_xlnm.Print_Area" localSheetId="3">'3. ATIL'!$J$2:$Q$33</definedName>
    <definedName name="_xlnm.Print_Area" localSheetId="4">'4. VR Assistant'!$B$2:$J$25</definedName>
    <definedName name="_xlnm.Print_Area" localSheetId="5">'5. DBCAN Model - 2405'!$B$2:$M$31</definedName>
    <definedName name="_xlnm.Print_Area" localSheetId="6">'6. BI Community Outreach'!$B$1:$N$24</definedName>
    <definedName name="_xlnm.Print_Area" localSheetId="7">'7. BI Site Based'!$A$1:$Q$31</definedName>
    <definedName name="_xlnm.Print_Area" localSheetId="8">'8. BI Direct Care Add-on'!$B$1:$N$25</definedName>
    <definedName name="_xlnm.Print_Area" localSheetId="0">'M2022 BLS SALARY CHART (53_PCT)'!$B$1:$E$46</definedName>
    <definedName name="_xlnm.Print_Titles" localSheetId="10">'CAF Spring 2023'!$A:$A</definedName>
    <definedName name="Program_File" localSheetId="8">#REF!</definedName>
    <definedName name="Program_File" localSheetId="10">#REF!</definedName>
    <definedName name="Program_File" localSheetId="0">#REF!</definedName>
    <definedName name="Program_File">#REF!</definedName>
    <definedName name="Programs">'[18]List of Programs'!$B$3:$B$19</definedName>
    <definedName name="PropInsurance">[7]Universal!$C$20</definedName>
    <definedName name="ProvFTE" localSheetId="8">'[21]FTE Data'!$A$3:$AW$56</definedName>
    <definedName name="ProvFTE">'[19]FTE Data'!$A$3:$AW$56</definedName>
    <definedName name="PTO_Hours">[7]Universal!$F$72:$F$78</definedName>
    <definedName name="PTO_Years">[7]Universal!$B$72:$B$78</definedName>
    <definedName name="PurchasedBy" localSheetId="8">'[21]FTE Data'!$C$263:$AZ$657</definedName>
    <definedName name="PurchasedBy">'[19]FTE Data'!$C$263:$AZ$657</definedName>
    <definedName name="REGION">[4]Sheet2!$B$1:$B$5</definedName>
    <definedName name="Relief">[7]Universal!$C$14</definedName>
    <definedName name="resmay2007" localSheetId="8">#REF!</definedName>
    <definedName name="resmay2007" localSheetId="10">#REF!</definedName>
    <definedName name="resmay2007" localSheetId="0">#REF!</definedName>
    <definedName name="resmay2007">#REF!</definedName>
    <definedName name="SevenDay">[7]Universal!$C$18</definedName>
    <definedName name="sheet1" localSheetId="10">#REF!</definedName>
    <definedName name="sheet1" localSheetId="0">#REF!</definedName>
    <definedName name="sheet1">#REF!</definedName>
    <definedName name="Site_list" localSheetId="8">[21]Lists!$A$2:$A$53</definedName>
    <definedName name="Site_list">[19]Lists!$A$2:$A$53</definedName>
    <definedName name="Source" localSheetId="8">#REF!</definedName>
    <definedName name="Source" localSheetId="10">#REF!</definedName>
    <definedName name="Source" localSheetId="0">#REF!</definedName>
    <definedName name="Source">#REF!</definedName>
    <definedName name="Source_2" localSheetId="7">#REF!</definedName>
    <definedName name="Source_2" localSheetId="8">#REF!</definedName>
    <definedName name="Source_2" localSheetId="10">#REF!</definedName>
    <definedName name="Source_2" localSheetId="0">#REF!</definedName>
    <definedName name="Source_2">#REF!</definedName>
    <definedName name="SourcePathAndFileName" localSheetId="8">#REF!</definedName>
    <definedName name="SourcePathAndFileName" localSheetId="10">#REF!</definedName>
    <definedName name="SourcePathAndFileName" localSheetId="0">#REF!</definedName>
    <definedName name="SourcePathAndFileName">#REF!</definedName>
    <definedName name="StaffApp">[7]Universal!$C$11</definedName>
    <definedName name="Tax">[7]Universal!$C$7</definedName>
    <definedName name="TO">[5]amendA!$K$7:$O$7</definedName>
    <definedName name="Total_UFR" localSheetId="1">#REF!</definedName>
    <definedName name="Total_UFR" localSheetId="3">#REF!</definedName>
    <definedName name="Total_UFR" localSheetId="4">#REF!</definedName>
    <definedName name="Total_UFR" localSheetId="5">#REF!</definedName>
    <definedName name="Total_UFR" localSheetId="7">#REF!</definedName>
    <definedName name="Total_UFR" localSheetId="8">#REF!</definedName>
    <definedName name="Total_UFR">#REF!</definedName>
    <definedName name="Total_UFRs" localSheetId="8">#REF!</definedName>
    <definedName name="Total_UFRs">#REF!</definedName>
    <definedName name="Total_UFRs_" localSheetId="8">#REF!</definedName>
    <definedName name="Total_UFRs_">#REF!</definedName>
    <definedName name="TotalDays">[7]Universal!$C$30:$N$30</definedName>
    <definedName name="UFR" localSheetId="8">'[6]Complete UFR List'!#REF!</definedName>
    <definedName name="UFR" localSheetId="10">'[6]Complete UFR List'!#REF!</definedName>
    <definedName name="UFR" localSheetId="0">'[6]Complete UFR List'!#REF!</definedName>
    <definedName name="UFR">'[6]Complete UFR List'!#REF!</definedName>
    <definedName name="UFRS" localSheetId="8">'[6]Complete UFR List'!#REF!</definedName>
    <definedName name="UFRS" localSheetId="10">'[6]Complete UFR List'!#REF!</definedName>
    <definedName name="UFRS" localSheetId="0">'[6]Complete UFR List'!#REF!</definedName>
    <definedName name="UFRS">'[6]Complete UFR List'!#REF!</definedName>
    <definedName name="UPDATE" localSheetId="10">'[6]Complete UFR List'!#REF!</definedName>
    <definedName name="UPDATE">'[6]Complete UFR List'!#REF!</definedName>
    <definedName name="VacAccr">[7]Universal!$C$9</definedName>
    <definedName name="VBB">[7]Universal!$C$10</definedName>
    <definedName name="VBBDist">[7]Universal!$B$35:$N$35</definedName>
    <definedName name="VBBLines">[7]Universal!$B$85:$B$97</definedName>
    <definedName name="Wages5">[7]Universal!$C$37:$N$37</definedName>
    <definedName name="Wages7">[7]Universal!$C$38:$N$38</definedName>
    <definedName name="Water">[7]Universal!$C$24</definedName>
    <definedName name="Weekdays">[7]Universal!$C$31:$N$31</definedName>
    <definedName name="wefqwerqwe" localSheetId="10">'[6]Complete UFR List'!#REF!</definedName>
    <definedName name="wefqwerqwe">'[6]Complete UFR List'!#REF!</definedName>
    <definedName name="yes" localSheetId="10">'[6]Complete UFR List'!#REF!</definedName>
    <definedName name="yes">'[6]Complete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7" l="1"/>
  <c r="H19" i="7"/>
  <c r="H18" i="7"/>
  <c r="E24" i="12"/>
  <c r="C13" i="12" s="1"/>
  <c r="E23" i="12"/>
  <c r="E22" i="12"/>
  <c r="E21" i="12"/>
  <c r="D12" i="12"/>
  <c r="C12" i="12" s="1"/>
  <c r="C8" i="12"/>
  <c r="C7" i="12"/>
  <c r="C6" i="12"/>
  <c r="C9" i="12" s="1"/>
  <c r="C11" i="12" s="1"/>
  <c r="P40" i="11"/>
  <c r="E5" i="11" s="1"/>
  <c r="J22" i="11"/>
  <c r="D22" i="11"/>
  <c r="J20" i="11"/>
  <c r="L20" i="11" s="1"/>
  <c r="D20" i="11"/>
  <c r="P19" i="11"/>
  <c r="J24" i="11" s="1"/>
  <c r="L19" i="11"/>
  <c r="J19" i="11"/>
  <c r="J18" i="11"/>
  <c r="L18" i="11" s="1"/>
  <c r="E18" i="11"/>
  <c r="F18" i="11" s="1"/>
  <c r="P17" i="11"/>
  <c r="J15" i="11" s="1"/>
  <c r="F17" i="11"/>
  <c r="K13" i="11"/>
  <c r="E12" i="11"/>
  <c r="J11" i="11"/>
  <c r="L11" i="11" s="1"/>
  <c r="H11" i="11"/>
  <c r="B11" i="11"/>
  <c r="H12" i="11" s="1"/>
  <c r="P10" i="11"/>
  <c r="J12" i="11" s="1"/>
  <c r="L12" i="11" s="1"/>
  <c r="B10" i="11"/>
  <c r="P9" i="11"/>
  <c r="D10" i="11" s="1"/>
  <c r="F10" i="11" s="1"/>
  <c r="D9" i="11"/>
  <c r="F9" i="11" s="1"/>
  <c r="B9" i="11"/>
  <c r="H10" i="11" s="1"/>
  <c r="P8" i="11"/>
  <c r="J10" i="11" s="1"/>
  <c r="L10" i="11" s="1"/>
  <c r="J8" i="11"/>
  <c r="L8" i="11" s="1"/>
  <c r="D8" i="11"/>
  <c r="F8" i="11" s="1"/>
  <c r="B8" i="11"/>
  <c r="H8" i="11" s="1"/>
  <c r="P7" i="11"/>
  <c r="J9" i="11" s="1"/>
  <c r="L9" i="11" s="1"/>
  <c r="P6" i="11"/>
  <c r="C21" i="10"/>
  <c r="C19" i="10"/>
  <c r="B19" i="10"/>
  <c r="H17" i="10"/>
  <c r="C17" i="10"/>
  <c r="E17" i="10" s="1"/>
  <c r="C16" i="10"/>
  <c r="E16" i="10" s="1"/>
  <c r="H15" i="10"/>
  <c r="C13" i="10" s="1"/>
  <c r="E15" i="10"/>
  <c r="C15" i="10"/>
  <c r="B15" i="10"/>
  <c r="B13" i="10"/>
  <c r="V11" i="10"/>
  <c r="U11" i="10"/>
  <c r="D11" i="10"/>
  <c r="O10" i="10"/>
  <c r="E10" i="10"/>
  <c r="C10" i="10"/>
  <c r="B10" i="10"/>
  <c r="H9" i="10"/>
  <c r="O8" i="10"/>
  <c r="H8" i="10"/>
  <c r="C9" i="10" s="1"/>
  <c r="E9" i="10" s="1"/>
  <c r="C8" i="10"/>
  <c r="E8" i="10" s="1"/>
  <c r="B8" i="10"/>
  <c r="O7" i="10"/>
  <c r="H7" i="10"/>
  <c r="C7" i="10"/>
  <c r="E7" i="10" s="1"/>
  <c r="B7" i="10"/>
  <c r="M6" i="10"/>
  <c r="O6" i="10" s="1"/>
  <c r="H6" i="10"/>
  <c r="O5" i="10"/>
  <c r="CG24" i="8"/>
  <c r="CF24" i="8"/>
  <c r="CE24" i="8"/>
  <c r="CD24" i="8"/>
  <c r="CC24" i="8"/>
  <c r="CB24" i="8"/>
  <c r="CA24" i="8"/>
  <c r="BZ24" i="8"/>
  <c r="CI24" i="8" s="1"/>
  <c r="BZ20" i="8"/>
  <c r="CI20" i="8" s="1"/>
  <c r="BZ19" i="8"/>
  <c r="C22" i="6"/>
  <c r="I20" i="6" s="1"/>
  <c r="H18" i="6"/>
  <c r="K17" i="6"/>
  <c r="H17" i="6"/>
  <c r="C17" i="6"/>
  <c r="K16" i="6"/>
  <c r="H15" i="6"/>
  <c r="B15" i="6"/>
  <c r="B14" i="6"/>
  <c r="I13" i="6"/>
  <c r="B13" i="6"/>
  <c r="B12" i="6"/>
  <c r="B11" i="6"/>
  <c r="H10" i="6"/>
  <c r="H9" i="6"/>
  <c r="H8" i="6"/>
  <c r="J7" i="6"/>
  <c r="J11" i="6" s="1"/>
  <c r="H7" i="6"/>
  <c r="H6" i="6"/>
  <c r="K4" i="6"/>
  <c r="K19" i="5"/>
  <c r="G15" i="5"/>
  <c r="I13" i="5"/>
  <c r="C10" i="5"/>
  <c r="C9" i="5"/>
  <c r="I12" i="5" s="1"/>
  <c r="C8" i="5"/>
  <c r="I11" i="5" s="1"/>
  <c r="C7" i="5"/>
  <c r="G9" i="5" s="1"/>
  <c r="I4" i="5"/>
  <c r="L22" i="4"/>
  <c r="M19" i="4"/>
  <c r="N19" i="4" s="1"/>
  <c r="M18" i="4"/>
  <c r="N18" i="4" s="1"/>
  <c r="C17" i="4"/>
  <c r="L16" i="4"/>
  <c r="M14" i="4"/>
  <c r="K13" i="4"/>
  <c r="K12" i="4"/>
  <c r="K11" i="4"/>
  <c r="K7" i="4"/>
  <c r="K6" i="4"/>
  <c r="S33" i="2"/>
  <c r="S25" i="2"/>
  <c r="C21" i="2"/>
  <c r="K22" i="2" s="1"/>
  <c r="L19" i="2"/>
  <c r="I19" i="2"/>
  <c r="I18" i="2"/>
  <c r="L17" i="2"/>
  <c r="I17" i="2"/>
  <c r="C17" i="2"/>
  <c r="B15" i="2"/>
  <c r="I10" i="2" s="1"/>
  <c r="K14" i="2"/>
  <c r="B14" i="2"/>
  <c r="I9" i="2" s="1"/>
  <c r="B13" i="2"/>
  <c r="B12" i="2"/>
  <c r="R11" i="2"/>
  <c r="R12" i="2" s="1"/>
  <c r="R14" i="2" s="1"/>
  <c r="M4" i="2" s="1"/>
  <c r="B11" i="2"/>
  <c r="S10" i="2"/>
  <c r="L10" i="2"/>
  <c r="L11" i="2" s="1"/>
  <c r="K10" i="2"/>
  <c r="M10" i="2" s="1"/>
  <c r="S9" i="2"/>
  <c r="K9" i="2"/>
  <c r="C8" i="2" s="1"/>
  <c r="C9" i="2"/>
  <c r="I8" i="2"/>
  <c r="I7" i="2"/>
  <c r="I6" i="2"/>
  <c r="C52" i="1"/>
  <c r="C51" i="1"/>
  <c r="C50" i="1"/>
  <c r="C48" i="1"/>
  <c r="C46" i="1"/>
  <c r="K36" i="1"/>
  <c r="K35" i="1"/>
  <c r="K34" i="1"/>
  <c r="C34" i="1"/>
  <c r="K33" i="1"/>
  <c r="K37" i="1" s="1"/>
  <c r="K38" i="1" s="1"/>
  <c r="C33" i="1"/>
  <c r="C32" i="1"/>
  <c r="C60" i="1" s="1"/>
  <c r="C31" i="1"/>
  <c r="C29" i="1"/>
  <c r="C30" i="1" s="1"/>
  <c r="C28" i="1"/>
  <c r="C27" i="1"/>
  <c r="C26" i="1"/>
  <c r="C25" i="1"/>
  <c r="C24" i="1"/>
  <c r="C23" i="1"/>
  <c r="C21" i="1"/>
  <c r="C22" i="1" s="1"/>
  <c r="C20" i="1"/>
  <c r="C19" i="1"/>
  <c r="C18" i="1"/>
  <c r="C17" i="1"/>
  <c r="C16" i="1"/>
  <c r="C15" i="1"/>
  <c r="C13" i="1"/>
  <c r="C14" i="1" s="1"/>
  <c r="C7" i="4" s="1"/>
  <c r="L11" i="4" s="1"/>
  <c r="N11" i="4" s="1"/>
  <c r="C12" i="1"/>
  <c r="C11" i="1"/>
  <c r="C10" i="1"/>
  <c r="C9" i="1"/>
  <c r="C8" i="1"/>
  <c r="C7" i="6" s="1"/>
  <c r="I8" i="6" s="1"/>
  <c r="K8" i="6" s="1"/>
  <c r="C7" i="1"/>
  <c r="C6" i="1"/>
  <c r="C47" i="1" s="1"/>
  <c r="E11" i="10" l="1"/>
  <c r="E13" i="10"/>
  <c r="K5" i="11"/>
  <c r="L5" i="11" s="1"/>
  <c r="F5" i="11"/>
  <c r="L13" i="11"/>
  <c r="C14" i="12"/>
  <c r="C15" i="12" s="1"/>
  <c r="C17" i="12" s="1"/>
  <c r="D14" i="11"/>
  <c r="M9" i="10"/>
  <c r="O9" i="10" s="1"/>
  <c r="O12" i="10" s="1"/>
  <c r="O13" i="10" s="1"/>
  <c r="O15" i="10" s="1"/>
  <c r="E5" i="10" s="1"/>
  <c r="D11" i="11"/>
  <c r="F11" i="11" s="1"/>
  <c r="F12" i="11" s="1"/>
  <c r="M18" i="2"/>
  <c r="M17" i="2"/>
  <c r="M19" i="2"/>
  <c r="K15" i="6"/>
  <c r="K18" i="6"/>
  <c r="C6" i="6"/>
  <c r="I7" i="6" s="1"/>
  <c r="K7" i="6" s="1"/>
  <c r="K11" i="6" s="1"/>
  <c r="C5" i="4"/>
  <c r="L6" i="4" s="1"/>
  <c r="N6" i="4" s="1"/>
  <c r="K7" i="2"/>
  <c r="CI26" i="8"/>
  <c r="C49" i="1"/>
  <c r="M9" i="2"/>
  <c r="C36" i="1"/>
  <c r="C6" i="5"/>
  <c r="G6" i="5" s="1"/>
  <c r="I6" i="5" s="1"/>
  <c r="I7" i="5" s="1"/>
  <c r="I9" i="5" s="1"/>
  <c r="I10" i="5" s="1"/>
  <c r="I14" i="5" s="1"/>
  <c r="I15" i="5" s="1"/>
  <c r="I16" i="5" s="1"/>
  <c r="C6" i="4"/>
  <c r="L7" i="4" s="1"/>
  <c r="N7" i="4" s="1"/>
  <c r="C8" i="4"/>
  <c r="L12" i="4" s="1"/>
  <c r="N12" i="4" s="1"/>
  <c r="C9" i="4"/>
  <c r="L13" i="4" s="1"/>
  <c r="N13" i="4" s="1"/>
  <c r="C9" i="6"/>
  <c r="I10" i="6" s="1"/>
  <c r="K10" i="6" s="1"/>
  <c r="F14" i="11" l="1"/>
  <c r="F15" i="11" s="1"/>
  <c r="F19" i="11" s="1"/>
  <c r="L16" i="11"/>
  <c r="L21" i="11" s="1"/>
  <c r="L15" i="11"/>
  <c r="E14" i="10"/>
  <c r="E18" i="10" s="1"/>
  <c r="E19" i="10" s="1"/>
  <c r="E20" i="10" s="1"/>
  <c r="E21" i="10" s="1"/>
  <c r="E22" i="10" s="1"/>
  <c r="E23" i="10" s="1"/>
  <c r="E24" i="10" s="1"/>
  <c r="I18" i="5"/>
  <c r="I19" i="5" s="1"/>
  <c r="N14" i="4"/>
  <c r="K13" i="6"/>
  <c r="K14" i="6" s="1"/>
  <c r="K19" i="6" s="1"/>
  <c r="K25" i="2"/>
  <c r="C14" i="5"/>
  <c r="G18" i="5" s="1"/>
  <c r="C24" i="6"/>
  <c r="I23" i="6" s="1"/>
  <c r="C23" i="2"/>
  <c r="D6" i="3"/>
  <c r="C22" i="4"/>
  <c r="L25" i="4" s="1"/>
  <c r="C6" i="2"/>
  <c r="M7" i="2"/>
  <c r="M11" i="2" s="1"/>
  <c r="F20" i="11" l="1"/>
  <c r="F21" i="11" s="1"/>
  <c r="F22" i="11" s="1"/>
  <c r="F24" i="11" s="1"/>
  <c r="F25" i="11" s="1"/>
  <c r="F26" i="11" s="1"/>
  <c r="F27" i="11" s="1"/>
  <c r="F29" i="11" s="1"/>
  <c r="E26" i="10"/>
  <c r="W11" i="10"/>
  <c r="L23" i="11"/>
  <c r="L24" i="11" s="1"/>
  <c r="L26" i="11" s="1"/>
  <c r="L27" i="11" s="1"/>
  <c r="L28" i="11" s="1"/>
  <c r="L29" i="11" s="1"/>
  <c r="L31" i="11" s="1"/>
  <c r="L22" i="11"/>
  <c r="K20" i="6"/>
  <c r="K21" i="6" s="1"/>
  <c r="K23" i="6" s="1"/>
  <c r="K24" i="6" s="1"/>
  <c r="N16" i="4"/>
  <c r="N17" i="4" s="1"/>
  <c r="N21" i="4" s="1"/>
  <c r="E8" i="3"/>
  <c r="E11" i="3"/>
  <c r="E9" i="3"/>
  <c r="E10" i="3"/>
  <c r="E7" i="3"/>
  <c r="H17" i="7"/>
  <c r="M14" i="2"/>
  <c r="M15" i="2" s="1"/>
  <c r="M21" i="2" s="1"/>
  <c r="H8" i="7" l="1"/>
  <c r="N23" i="4"/>
  <c r="N25" i="4" s="1"/>
  <c r="N26" i="4" s="1"/>
  <c r="N22" i="4"/>
  <c r="M22" i="2"/>
  <c r="M23" i="2" s="1"/>
  <c r="M25" i="2" s="1"/>
  <c r="M26" i="2" s="1"/>
  <c r="H14" i="7"/>
  <c r="H16" i="7"/>
  <c r="H13" i="7"/>
  <c r="H12" i="7"/>
  <c r="H15" i="7"/>
  <c r="M28" i="2" l="1"/>
  <c r="S18" i="2"/>
  <c r="M27" i="2"/>
  <c r="H9" i="7"/>
  <c r="S35" i="2" l="1"/>
  <c r="U18" i="2"/>
  <c r="S27" i="2"/>
  <c r="S36" i="2" l="1"/>
  <c r="S20" i="2"/>
  <c r="U20" i="2" s="1"/>
  <c r="S28" i="2"/>
  <c r="S19" i="2"/>
  <c r="U19" i="2" s="1"/>
  <c r="H5" i="7"/>
  <c r="H7" i="7" l="1"/>
  <c r="H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F28617A7-5199-4CD5-B2BB-3B00B885CAF0}">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Farrell, Conor (EHS)</author>
  </authors>
  <commentList>
    <comment ref="I4" authorId="0" shapeId="0" xr:uid="{EF79AED8-7C94-46DC-A200-F2D60C5FFD8B}">
      <text>
        <r>
          <rPr>
            <b/>
            <sz val="9"/>
            <color indexed="81"/>
            <rFont val="Tahoma"/>
            <family val="2"/>
          </rPr>
          <t>kara:</t>
        </r>
        <r>
          <rPr>
            <sz val="9"/>
            <color indexed="81"/>
            <rFont val="Tahoma"/>
            <family val="2"/>
          </rPr>
          <t xml:space="preserve">
Per conversation on 3/1/17 with MCB, they chose to move the participants from 74 to 70 and apply caf to rate
</t>
        </r>
        <r>
          <rPr>
            <b/>
            <sz val="9"/>
            <color indexed="81"/>
            <rFont val="Tahoma"/>
            <family val="2"/>
          </rPr>
          <t>6/25/21 kara -</t>
        </r>
        <r>
          <rPr>
            <sz val="9"/>
            <color indexed="81"/>
            <rFont val="Tahoma"/>
            <family val="2"/>
          </rPr>
          <t xml:space="preserve">  updated per FY20 UFR which showed 12,132 units
that divided by 16 hours per person  divided by 12 months  = 63 participants rounded down for consistency</t>
        </r>
      </text>
    </comment>
    <comment ref="C18" authorId="1" shapeId="0" xr:uid="{96BDE266-0E17-470F-83EC-A9021D984486}">
      <text>
        <r>
          <rPr>
            <sz val="9"/>
            <color indexed="81"/>
            <rFont val="Tahoma"/>
            <charset val="1"/>
          </rPr>
          <t>$25,834 FY22 YFR</t>
        </r>
      </text>
    </comment>
  </commentList>
</comments>
</file>

<file path=xl/sharedStrings.xml><?xml version="1.0" encoding="utf-8"?>
<sst xmlns="http://schemas.openxmlformats.org/spreadsheetml/2006/main" count="755" uniqueCount="486">
  <si>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</si>
  <si>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</si>
  <si>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</si>
  <si>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</si>
  <si>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</si>
  <si>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</si>
  <si>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</si>
  <si>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</si>
  <si>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</si>
  <si>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</si>
  <si>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r>
      <rPr>
        <b/>
        <sz val="20"/>
        <color rgb="FFFF0000"/>
        <rFont val="Calibri"/>
        <family val="2"/>
        <scheme val="minor"/>
      </rPr>
      <t>**PLEASE SEE NOTE BELOW</t>
    </r>
    <r>
      <rPr>
        <sz val="20"/>
        <color theme="1"/>
        <rFont val="Calibri"/>
        <family val="2"/>
        <scheme val="minor"/>
      </rPr>
      <t xml:space="preserve">
21-1093, 31-1120, 31-2022, 31-9099</t>
    </r>
  </si>
  <si>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</si>
  <si>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</si>
  <si>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</si>
  <si>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</si>
  <si>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</si>
  <si>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</si>
  <si>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</si>
  <si>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</si>
  <si>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</si>
  <si>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</si>
  <si>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</si>
  <si>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</si>
  <si>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</si>
  <si>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</si>
  <si>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</si>
  <si>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</si>
  <si>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</si>
  <si>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</si>
  <si>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</si>
  <si>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</si>
  <si>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</si>
  <si>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</si>
  <si>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</si>
  <si>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</si>
  <si>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</si>
  <si>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</si>
  <si>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</si>
  <si>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</si>
  <si>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</si>
  <si>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</si>
  <si>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</si>
  <si>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</si>
  <si>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</si>
  <si>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</si>
  <si>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</si>
  <si>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</si>
  <si>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</si>
  <si>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</si>
  <si>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</si>
  <si>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</si>
  <si>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</si>
  <si>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</si>
  <si>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</si>
  <si>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</si>
  <si>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</si>
  <si>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</si>
  <si>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</si>
  <si>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</si>
  <si>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</si>
  <si>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</si>
  <si>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</si>
  <si>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</si>
  <si>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</si>
  <si>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</si>
  <si>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</si>
  <si>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</si>
  <si>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</si>
  <si>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</si>
  <si>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</si>
  <si>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t>Registerd Nurse (BA) (hourly)</t>
  </si>
  <si>
    <t>Minimum of an associates degree in nursing, a diploma from an approved nursing program, or a Bachelors of Science in Nursing</t>
  </si>
  <si>
    <t>29-1141</t>
  </si>
  <si>
    <t>Relief Assumptions:</t>
  </si>
  <si>
    <t>Model</t>
  </si>
  <si>
    <t>Registered Nurse (BA) (annual)</t>
  </si>
  <si>
    <t>Days</t>
  </si>
  <si>
    <t>Hours</t>
  </si>
  <si>
    <t>Registerd Nurse (MA / APRN) (hourly)</t>
  </si>
  <si>
    <t>Minimum of a Masters of Science in one of the APRN roles. Must be licensed</t>
  </si>
  <si>
    <t>29-1171</t>
  </si>
  <si>
    <t>vacation</t>
  </si>
  <si>
    <t>Registered Nurse (MA / APRN) (annual)</t>
  </si>
  <si>
    <t>sick/ personal</t>
  </si>
  <si>
    <t>holidays</t>
  </si>
  <si>
    <r>
      <t xml:space="preserve">Clerical, Support &amp; Direct Care Relief Staff are benched to Direct Care </t>
    </r>
    <r>
      <rPr>
        <b/>
        <i/>
        <sz val="20"/>
        <color theme="1"/>
        <rFont val="Calibri"/>
        <family val="2"/>
        <scheme val="minor"/>
      </rPr>
      <t>**</t>
    </r>
  </si>
  <si>
    <t>training</t>
  </si>
  <si>
    <t>Total Hours per FTE:</t>
  </si>
  <si>
    <t xml:space="preserve">Tax and Fringe =  </t>
  </si>
  <si>
    <t xml:space="preserve">Benchmarked to FY23 (approved) Commonwealth (office of the Comptroller) T&amp;F rate, less </t>
  </si>
  <si>
    <t>% of FTE:</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</si>
  <si>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</si>
  <si>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</si>
  <si>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</si>
  <si>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</si>
  <si>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</si>
  <si>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</si>
  <si>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</si>
  <si>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</si>
  <si>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</si>
  <si>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</si>
  <si>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</si>
  <si>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</si>
  <si>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</si>
  <si>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</si>
  <si>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</si>
  <si>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</si>
  <si>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</si>
  <si>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</si>
  <si>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</si>
  <si>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</si>
  <si>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</si>
  <si>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</si>
  <si>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</si>
  <si>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</si>
  <si>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</si>
  <si>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</si>
  <si>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</si>
  <si>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NURSING BLEND</t>
  </si>
  <si>
    <t>orientation &amp; mobility Services</t>
  </si>
  <si>
    <t>Master Data Look-up Table</t>
  </si>
  <si>
    <t>MCB O&amp;M  Model Budget - 101 CMR 422</t>
  </si>
  <si>
    <t>Productivity Standard - Average per COMS</t>
  </si>
  <si>
    <t>Total Yearly Available COMS Hours</t>
  </si>
  <si>
    <t>Number</t>
  </si>
  <si>
    <t>Unit</t>
  </si>
  <si>
    <t>Benchmark Salaries</t>
  </si>
  <si>
    <t>Source</t>
  </si>
  <si>
    <t>Capacity</t>
  </si>
  <si>
    <t>Total Hours</t>
  </si>
  <si>
    <t>40 hours</t>
  </si>
  <si>
    <t>52 Weeks</t>
  </si>
  <si>
    <t>Management</t>
  </si>
  <si>
    <t>Salary</t>
  </si>
  <si>
    <t>FTE</t>
  </si>
  <si>
    <t>Expense</t>
  </si>
  <si>
    <t>Vacation</t>
  </si>
  <si>
    <t>Day</t>
  </si>
  <si>
    <t xml:space="preserve">  Program Management</t>
  </si>
  <si>
    <t>BLS 2022 Benchmark</t>
  </si>
  <si>
    <t>Sick &amp; Personal</t>
  </si>
  <si>
    <t>Direct Care</t>
  </si>
  <si>
    <t>Training</t>
  </si>
  <si>
    <t xml:space="preserve">  Certified O&amp;M Specialist</t>
  </si>
  <si>
    <t>Holidays</t>
  </si>
  <si>
    <t xml:space="preserve">  Secretarial / Clerical</t>
  </si>
  <si>
    <t>Travel</t>
  </si>
  <si>
    <t>Hrs/Wk</t>
  </si>
  <si>
    <t>Benchmark FTEs</t>
  </si>
  <si>
    <t>Indirect Client Service</t>
  </si>
  <si>
    <t>Total Program Staff</t>
  </si>
  <si>
    <t>Subtotal Unproductive Hours</t>
  </si>
  <si>
    <t>Provider Recccomendation</t>
  </si>
  <si>
    <t>Total Yearly Available Hours Per COMS</t>
  </si>
  <si>
    <t>Certified O&amp;M Specialists (COMS)</t>
  </si>
  <si>
    <t>Tax and Fringe</t>
  </si>
  <si>
    <t xml:space="preserve">Total Available Client Hours </t>
  </si>
  <si>
    <t>Total Compensation</t>
  </si>
  <si>
    <t>Benchmark Expenses</t>
  </si>
  <si>
    <t>Taxes &amp; Fringe</t>
  </si>
  <si>
    <t>TRANSPORTATION RATES</t>
  </si>
  <si>
    <t>Hourly</t>
  </si>
  <si>
    <t>CURRENT</t>
  </si>
  <si>
    <t>Occupancy</t>
  </si>
  <si>
    <t>FY22 UFR Data</t>
  </si>
  <si>
    <t>DDS</t>
  </si>
  <si>
    <t xml:space="preserve">Level I - </t>
  </si>
  <si>
    <t>1-30 miles</t>
  </si>
  <si>
    <t>per 15 minutes</t>
  </si>
  <si>
    <t>Transportation</t>
  </si>
  <si>
    <t xml:space="preserve">Level II - </t>
  </si>
  <si>
    <t>31-60 miles</t>
  </si>
  <si>
    <t>Program Supplies &amp; Expenses</t>
  </si>
  <si>
    <t>Level III -</t>
  </si>
  <si>
    <t>61+ miles</t>
  </si>
  <si>
    <t>Admin. Allocation</t>
  </si>
  <si>
    <t>Total Reimb excl M&amp;G</t>
  </si>
  <si>
    <t>Level II      (31 - 60 miles)</t>
  </si>
  <si>
    <t>CAF Rate</t>
  </si>
  <si>
    <t>Base 2021Q2 -Prospective FY21 &amp; FY22</t>
  </si>
  <si>
    <t>TOTAL</t>
  </si>
  <si>
    <t>15 mile (50%of the difference in 29 miles)</t>
  </si>
  <si>
    <t>Prior CAF</t>
  </si>
  <si>
    <t>* .45 per mile</t>
  </si>
  <si>
    <t>CAF:</t>
  </si>
  <si>
    <t>*2 to find the rate for the hour</t>
  </si>
  <si>
    <t>Per hour</t>
  </si>
  <si>
    <t>RATE:</t>
  </si>
  <si>
    <t>25% to find 15 minute rate</t>
  </si>
  <si>
    <t>Per 15 min</t>
  </si>
  <si>
    <t>Utilization Rate:</t>
  </si>
  <si>
    <t>Level I rate  + 15 min rate for Level II (3.38)=</t>
  </si>
  <si>
    <t>per 15 min</t>
  </si>
  <si>
    <t>$25.60 * 4 units (15 minute unit)</t>
  </si>
  <si>
    <t>per hour</t>
  </si>
  <si>
    <t>Level III    (61 + miles)</t>
  </si>
  <si>
    <t>30 mile (50%of the difference in miles)</t>
  </si>
  <si>
    <t>Level I rate  + 15 min rate for Level II (6.75)=</t>
  </si>
  <si>
    <t>$28.97 * 4 units (15 minute unit)</t>
  </si>
  <si>
    <t>[1]</t>
  </si>
  <si>
    <t>HOMECARE ASST.</t>
  </si>
  <si>
    <t>Current Rates</t>
  </si>
  <si>
    <t>FY24 Rate Review</t>
  </si>
  <si>
    <t>Region</t>
  </si>
  <si>
    <t>PROPOSED</t>
  </si>
  <si>
    <t>RATES</t>
  </si>
  <si>
    <t>FY22 CAF</t>
  </si>
  <si>
    <t>West</t>
  </si>
  <si>
    <t>Central</t>
  </si>
  <si>
    <t>Metro</t>
  </si>
  <si>
    <t>North</t>
  </si>
  <si>
    <t>South</t>
  </si>
  <si>
    <t xml:space="preserve">MRC Assistive Technology Independent Living  -  101 CMR 422 </t>
  </si>
  <si>
    <t>Productivity Standard - Average per DC FTE</t>
  </si>
  <si>
    <t>Total FTE Hours</t>
  </si>
  <si>
    <t>Client Hours Per Site</t>
  </si>
  <si>
    <t>Director</t>
  </si>
  <si>
    <t>Postion</t>
  </si>
  <si>
    <t xml:space="preserve"> FTEs</t>
  </si>
  <si>
    <t>Direct Client Interaction</t>
  </si>
  <si>
    <t>Assistive Technology Specialist</t>
  </si>
  <si>
    <t>Equipment Tech/Specialist/Designer</t>
  </si>
  <si>
    <t xml:space="preserve">          Medical Titles from UFR:  Speech Pathologist, </t>
  </si>
  <si>
    <t>Support</t>
  </si>
  <si>
    <t xml:space="preserve">          DC Consultant, AAC Specialist, Audiologist, </t>
  </si>
  <si>
    <t xml:space="preserve">          Client Services Coordinator </t>
  </si>
  <si>
    <t>Provider Reccomendation</t>
  </si>
  <si>
    <t>Clinical/Medical</t>
  </si>
  <si>
    <t>Total Yearly Available Hours Per DC FTE</t>
  </si>
  <si>
    <t>Average DC FTEs Per Office</t>
  </si>
  <si>
    <t>Equipment Tech/Equipment Specialist</t>
  </si>
  <si>
    <t>TOTAL PROGRAM STAFF</t>
  </si>
  <si>
    <t>Total Available Client Hours Per Site</t>
  </si>
  <si>
    <t>C.257 benchmark</t>
  </si>
  <si>
    <t>TOTAL COMPENSATION</t>
  </si>
  <si>
    <t>2022 UFR Data</t>
  </si>
  <si>
    <t>Staff Training &amp; Mileage</t>
  </si>
  <si>
    <t>MA EOHHS C.257 Benchmark</t>
  </si>
  <si>
    <t>TOTAL REIMB EXP EXCL M&amp;G</t>
  </si>
  <si>
    <t>CAF rate</t>
  </si>
  <si>
    <t>Base 2023Q4 -CY2023-CY2024</t>
  </si>
  <si>
    <t>Unit Rate Per Available Client Hour</t>
  </si>
  <si>
    <t>NOTES:</t>
  </si>
  <si>
    <r>
      <t xml:space="preserve"> - </t>
    </r>
    <r>
      <rPr>
        <b/>
        <i/>
        <sz val="10"/>
        <color theme="1"/>
        <rFont val="Calibri"/>
        <family val="2"/>
        <scheme val="minor"/>
      </rPr>
      <t xml:space="preserve">Direct Client Interaction </t>
    </r>
    <r>
      <rPr>
        <sz val="10"/>
        <color theme="1"/>
        <rFont val="Calibri"/>
        <family val="2"/>
      </rPr>
      <t>incorporates all Direct Care staff positions</t>
    </r>
  </si>
  <si>
    <r>
      <t xml:space="preserve"> - </t>
    </r>
    <r>
      <rPr>
        <b/>
        <i/>
        <sz val="10"/>
        <color theme="1"/>
        <rFont val="Calibri"/>
        <family val="2"/>
        <scheme val="minor"/>
      </rPr>
      <t xml:space="preserve">Productivity Standard </t>
    </r>
    <r>
      <rPr>
        <sz val="10"/>
        <color theme="1"/>
        <rFont val="Calibri"/>
        <family val="2"/>
      </rPr>
      <t>calculation based on combination of Direct Client Interaction, Assistive</t>
    </r>
  </si>
  <si>
    <t xml:space="preserve">          Technology Specialist, and Equipment Tech/Specialist/Designer</t>
  </si>
  <si>
    <t xml:space="preserve">VR Assistant Model Budget </t>
  </si>
  <si>
    <t>Master Look-Up Table</t>
  </si>
  <si>
    <t>Benchmarks</t>
  </si>
  <si>
    <t>VR Assistant</t>
  </si>
  <si>
    <t>BLS 2020 Benchmark</t>
  </si>
  <si>
    <t xml:space="preserve">VR Assistant </t>
  </si>
  <si>
    <t>Total Staff</t>
  </si>
  <si>
    <t>UFR FY20 data</t>
  </si>
  <si>
    <t>Travel / Misc Expenses</t>
  </si>
  <si>
    <t>Program Support</t>
  </si>
  <si>
    <t>TotalCompensation</t>
  </si>
  <si>
    <t>Admin. Alloc. (M &amp; G)</t>
  </si>
  <si>
    <t>Program Supplies &amp; materials</t>
  </si>
  <si>
    <t>15 minutes</t>
  </si>
  <si>
    <t>Hourly RATE:</t>
  </si>
  <si>
    <t xml:space="preserve">MCB DBCAN Model Budget - 101 CMR 422 </t>
  </si>
  <si>
    <t>Particpants:</t>
  </si>
  <si>
    <t>Total Hours:</t>
  </si>
  <si>
    <t>Mgmt supervision</t>
  </si>
  <si>
    <t xml:space="preserve">  Assistant Program Director</t>
  </si>
  <si>
    <t xml:space="preserve">  Program Staff</t>
  </si>
  <si>
    <t>Contract Data</t>
  </si>
  <si>
    <t>DC Consultant</t>
  </si>
  <si>
    <t>Prior Rate w CAF</t>
  </si>
  <si>
    <t>DC Consultant (per hour)</t>
  </si>
  <si>
    <t>DC Consultant Training and Interperter services</t>
  </si>
  <si>
    <t>Purchaser Recommendation - 48 Consultants</t>
  </si>
  <si>
    <t>All other Program Supplies &amp; Materials</t>
  </si>
  <si>
    <t>Base 2023Q4 -Prospective CY24 &amp; CY25</t>
  </si>
  <si>
    <t>Service Classification</t>
  </si>
  <si>
    <t xml:space="preserve">Rate </t>
  </si>
  <si>
    <t xml:space="preserve">Unit </t>
  </si>
  <si>
    <t>Orientation and Mobility (Level 1)</t>
  </si>
  <si>
    <t>Per Hour</t>
  </si>
  <si>
    <t>Orientation and Mobility (Level 2)</t>
  </si>
  <si>
    <t>Orientation and Mobility (Level 3)</t>
  </si>
  <si>
    <t>Deaf/Blind Community Access Network</t>
  </si>
  <si>
    <t>Assistive Technology Independent Living</t>
  </si>
  <si>
    <t>Device</t>
  </si>
  <si>
    <t>Home Care Assistance</t>
  </si>
  <si>
    <t>Metropolitan Boston</t>
  </si>
  <si>
    <t>Vocational Rehabilitation Assistant</t>
  </si>
  <si>
    <t>Brain Injury Community Outreach Service</t>
  </si>
  <si>
    <t>Per ¼ hour</t>
  </si>
  <si>
    <t>Brain Injury Site-based Service</t>
  </si>
  <si>
    <t>Brain Injury Direct Care Add-on</t>
  </si>
  <si>
    <t>Massachusetts Economic Indicators</t>
  </si>
  <si>
    <t>S&amp;P Global Market Intelligence, Spring 2023 Forecast</t>
  </si>
  <si>
    <t>Prepared by Michael Lynch, 781-301-9129</t>
  </si>
  <si>
    <t>FY21</t>
  </si>
  <si>
    <t>FY23</t>
  </si>
  <si>
    <t>FY24</t>
  </si>
  <si>
    <t>FY25</t>
  </si>
  <si>
    <t>FY26</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</si>
  <si>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</si>
  <si>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</si>
  <si>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</si>
  <si>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</si>
  <si>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</si>
  <si>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</si>
  <si>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</si>
  <si>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</si>
  <si>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</si>
  <si>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</si>
  <si>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</si>
  <si>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</si>
  <si>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</si>
  <si>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</si>
  <si>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</si>
  <si>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</si>
  <si>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</si>
  <si>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</si>
  <si>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</si>
  <si>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</si>
  <si>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</si>
  <si>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</si>
  <si>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</si>
  <si>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</si>
  <si>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</si>
  <si>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</si>
  <si>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</si>
  <si>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</si>
  <si>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</si>
  <si>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</si>
  <si>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</si>
  <si>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</si>
  <si>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</si>
  <si>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</si>
  <si>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</si>
  <si>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</si>
  <si>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</si>
  <si>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</si>
  <si>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</si>
  <si>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</si>
  <si>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</si>
  <si>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</si>
  <si>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</si>
  <si>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</si>
  <si>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</si>
  <si>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</si>
  <si>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</si>
  <si>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</si>
  <si>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</si>
  <si>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</si>
  <si>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</si>
  <si>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</si>
  <si>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</si>
  <si>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</si>
  <si>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</si>
  <si>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</si>
  <si>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</si>
  <si>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</si>
  <si>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</si>
  <si>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</si>
  <si>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</si>
  <si>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</si>
  <si>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</si>
  <si>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</si>
  <si>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</si>
  <si>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</si>
  <si>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</si>
  <si>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</si>
  <si>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</si>
  <si>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</si>
  <si>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</si>
  <si>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</si>
  <si>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</si>
  <si>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</si>
  <si>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</si>
  <si>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</si>
  <si>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</si>
  <si>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</si>
  <si>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</si>
  <si>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</si>
  <si>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</si>
  <si>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</si>
  <si>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</si>
  <si>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</si>
  <si>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</si>
  <si>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</si>
  <si>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</si>
  <si>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</si>
  <si>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</si>
  <si>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</si>
  <si>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</si>
  <si>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</si>
  <si>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</si>
  <si>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</si>
  <si>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</si>
  <si>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</si>
  <si>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</si>
  <si>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</si>
  <si>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</si>
  <si>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</si>
  <si>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</si>
  <si>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CPI--BASELINE SCENARIO (1982-84=1)</t>
  </si>
  <si>
    <t>CPIBASEMA</t>
  </si>
  <si>
    <t>CPI--OPTIMISTIC SCENARIO (1982-84=1)</t>
  </si>
  <si>
    <t>CPIOPTMA</t>
  </si>
  <si>
    <t>CPI--PESSIMISTIC SCENARIO (1982-84=1)</t>
  </si>
  <si>
    <t>CPIPESSMA</t>
  </si>
  <si>
    <t>New Rates</t>
  </si>
  <si>
    <t>Assumption for new rates that are to be promulgated January 2024</t>
  </si>
  <si>
    <t xml:space="preserve">Base period: </t>
  </si>
  <si>
    <t>Average</t>
  </si>
  <si>
    <t xml:space="preserve">Prospective rate period: </t>
  </si>
  <si>
    <t>January 1, 2024 - December 31, 2025</t>
  </si>
  <si>
    <t xml:space="preserve"> </t>
  </si>
  <si>
    <t>Program Expenses</t>
  </si>
  <si>
    <t>Staff Training</t>
  </si>
  <si>
    <t>Staff Mileage</t>
  </si>
  <si>
    <t>Other Expense (per DC FTE)</t>
  </si>
  <si>
    <t>MRC Brain injury Centers - Effective January 2024</t>
  </si>
  <si>
    <t>Brain Injury Community Outreach Services</t>
  </si>
  <si>
    <t>Community Outreach Master Data Lookup Table</t>
  </si>
  <si>
    <t>BILLABLE UNITS</t>
  </si>
  <si>
    <t>Weeks</t>
  </si>
  <si>
    <t>Total</t>
  </si>
  <si>
    <t>Service Unit - Per Hour</t>
  </si>
  <si>
    <t>Total Units</t>
  </si>
  <si>
    <t>Benchmark Salary</t>
  </si>
  <si>
    <t>Maximum Available DC Hours</t>
  </si>
  <si>
    <t xml:space="preserve">2022 BLS Benchmark </t>
  </si>
  <si>
    <t>Non-direct service hours</t>
  </si>
  <si>
    <t>Direct Care III</t>
  </si>
  <si>
    <t>Vacation/Sick/Personal</t>
  </si>
  <si>
    <t xml:space="preserve">Direct Care </t>
  </si>
  <si>
    <t>Holidays (10 Days)</t>
  </si>
  <si>
    <t>Clerical / Support</t>
  </si>
  <si>
    <t>travel</t>
  </si>
  <si>
    <t>UNITS</t>
  </si>
  <si>
    <t>6/1/22-12/31/22</t>
  </si>
  <si>
    <t>ANNUALIZED</t>
  </si>
  <si>
    <t>Other Expenses</t>
  </si>
  <si>
    <t>Subtotal non-direct hours</t>
  </si>
  <si>
    <t>Total Available Hours per DC FTE</t>
  </si>
  <si>
    <t>Total DC FTEs</t>
  </si>
  <si>
    <t xml:space="preserve">C.257 Benchmark </t>
  </si>
  <si>
    <t>TOTAL PRODUCTIVE HOURS</t>
  </si>
  <si>
    <t>Base period FY2022 - Prospective period FY22 &amp; FY23</t>
  </si>
  <si>
    <t>CAF</t>
  </si>
  <si>
    <t>Total With CAF:</t>
  </si>
  <si>
    <t xml:space="preserve">Hourly Rate </t>
  </si>
  <si>
    <t>15 Minute Rate</t>
  </si>
  <si>
    <r>
      <rPr>
        <b/>
        <sz val="10"/>
        <color theme="1"/>
        <rFont val="Calibri"/>
        <family val="2"/>
        <scheme val="minor"/>
      </rPr>
      <t>Brain Injury Site-based Centers and Community Outreach Services:</t>
    </r>
    <r>
      <rPr>
        <sz val="10"/>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</si>
  <si>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Brain Injury Site-based and Community  Services</t>
  </si>
  <si>
    <t>Brain Injury: Site-based and Community  Services</t>
  </si>
  <si>
    <t xml:space="preserve">Site Based- Master Data Look-up Table  </t>
  </si>
  <si>
    <t xml:space="preserve"> Avg Daily Attendance:</t>
  </si>
  <si>
    <t>Days:</t>
  </si>
  <si>
    <t>Title</t>
  </si>
  <si>
    <t>Case Manager</t>
  </si>
  <si>
    <t>Clerical / Support Staff</t>
  </si>
  <si>
    <t>Occupancy (per FTE)</t>
  </si>
  <si>
    <t>Total Staffing Costs</t>
  </si>
  <si>
    <t>Supplies &amp; Materials</t>
  </si>
  <si>
    <t>Unit Cost</t>
  </si>
  <si>
    <t>Tax &amp; Fringe</t>
  </si>
  <si>
    <t xml:space="preserve">Other Program Exp. </t>
  </si>
  <si>
    <t>Administrative Allocation</t>
  </si>
  <si>
    <t>Total Reimbursable Exp. Excl. Admin.</t>
  </si>
  <si>
    <t xml:space="preserve">CAF </t>
  </si>
  <si>
    <t xml:space="preserve">Supplies &amp; Materials </t>
  </si>
  <si>
    <t xml:space="preserve">Total </t>
  </si>
  <si>
    <t>ANNUAL TOTAL</t>
  </si>
  <si>
    <t xml:space="preserve"> Rate - Per person per day</t>
  </si>
  <si>
    <r>
      <rPr>
        <b/>
        <sz val="9"/>
        <color theme="1"/>
        <rFont val="Calibri"/>
        <family val="2"/>
        <scheme val="minor"/>
      </rPr>
      <t>Brain Injury Site-based Centers and Community Outreach Services:</t>
    </r>
    <r>
      <rPr>
        <sz val="9"/>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</si>
  <si>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Per person per hour (based on 5 hours)</t>
  </si>
  <si>
    <t>15 minute unit Rate per person</t>
  </si>
  <si>
    <t>Days in a Year</t>
  </si>
  <si>
    <t>Weekends</t>
  </si>
  <si>
    <t xml:space="preserve">  </t>
  </si>
  <si>
    <t xml:space="preserve">2020 BLS Benchmark </t>
  </si>
  <si>
    <t>Total Tax &amp; Fringe</t>
  </si>
  <si>
    <t>Subtotal Compensation</t>
  </si>
  <si>
    <t>Billable Hours</t>
  </si>
  <si>
    <t>Hourly Rate</t>
  </si>
  <si>
    <t>Direct Care Productivity Chart</t>
  </si>
  <si>
    <t>Paid Time Off (PTO)</t>
  </si>
  <si>
    <t>Training (not 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</si>
</sst>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
    <numFmt numFmtId="168" formatCode="0.0"/>
    <numFmt numFmtId="169" formatCode="0.0%"/>
    <numFmt numFmtId="170" formatCode="&quot;$&quot;#,##0.0000"/>
    <numFmt numFmtId="171" formatCode="_(&quot;$&quot;* #,##0_);_(&quot;$&quot;* \(#,##0\);_(&quot;$&quot;* &quot;-&quot;??_);_(@_)"/>
    <numFmt numFmtId="172" formatCode="\$#,##0.00"/>
    <numFmt numFmtId="173" formatCode="0.0000"/>
    <numFmt numFmtId="174" formatCode="_(&quot;$&quot;* #,##0.0000_);_(&quot;$&quot;* \(#,##0.0000\);_(&quot;$&quot;* &quot;-&quot;??_);_(@_)"/>
    <numFmt numFmtId="175" formatCode="_(&quot;$&quot;* #,##0.000_);_(&quot;$&quot;* \(#,##0.000\);_(&quot;$&quot;* &quot;-&quot;??_);_(@_)"/>
    <numFmt numFmtId="176" formatCode="0.000"/>
    <numFmt numFmtId="177" formatCode="#,##0.0"/>
    <numFmt numFmtId="178" formatCode="_(* #,##0_);_(* \(#,##0\);_(* &quot;-&quot;??_);_(@_)"/>
    <numFmt numFmtId="179" formatCode="_(* #,##0.0_);_(* \(#,##0.0\);_(* &quot;-&quot;??_);_(@_)"/>
    <numFmt numFmtId="180" formatCode="_(&quot;$&quot;* #,##0.00_);_(&quot;$&quot;* \(#,##0.00\);_(&quot;$&quot;* &quot;-&quot;_);_(@_)"/>
    <numFmt numFmtId="181" formatCode="&quot;$&quot;#,##0.000"/>
  </numFmts>
  <fonts count="97" x14ac:knownFonts="1">
    <font>
      <sz val="11"/>
      <color theme="1"/>
      <name val="Calibri"/>
      <family val="2"/>
    </font>
    <font>
      <sz val="11"/>
      <color theme="1"/>
      <name val="Calibri"/>
      <family val="2"/>
      <scheme val="minor"/>
    </font>
    <font>
      <sz val="11"/>
      <color theme="1"/>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sz val="20"/>
      <color rgb="FFFF0000"/>
      <name val="Calibri"/>
      <family val="2"/>
      <scheme val="minor"/>
    </font>
    <font>
      <b/>
      <sz val="14"/>
      <name val="Arial"/>
      <family val="2"/>
    </font>
    <font>
      <b/>
      <u/>
      <sz val="14"/>
      <name val="Arial"/>
      <family val="2"/>
    </font>
    <font>
      <sz val="14"/>
      <name val="Arial"/>
      <family val="2"/>
    </font>
    <font>
      <i/>
      <sz val="20"/>
      <color theme="1"/>
      <name val="Calibri"/>
      <family val="2"/>
      <scheme val="minor"/>
    </font>
    <font>
      <sz val="11"/>
      <color indexed="8"/>
      <name val="Calibri"/>
      <family val="2"/>
    </font>
    <font>
      <sz val="14"/>
      <color theme="1"/>
      <name val="Calibri"/>
      <family val="2"/>
      <scheme val="minor"/>
    </font>
    <font>
      <b/>
      <sz val="12"/>
      <color indexed="81"/>
      <name val="Tahoma"/>
      <family val="2"/>
    </font>
    <font>
      <sz val="10"/>
      <color indexed="81"/>
      <name val="Tahoma"/>
      <family val="2"/>
    </font>
    <font>
      <sz val="11"/>
      <color theme="1"/>
      <name val="Calibri"/>
      <family val="2"/>
    </font>
    <font>
      <b/>
      <sz val="10"/>
      <name val="Calibri"/>
      <family val="2"/>
    </font>
    <font>
      <sz val="10"/>
      <color indexed="8"/>
      <name val="Calibri"/>
      <family val="2"/>
    </font>
    <font>
      <sz val="10"/>
      <color theme="1"/>
      <name val="Calibri"/>
      <family val="2"/>
    </font>
    <font>
      <b/>
      <sz val="10"/>
      <color indexed="8"/>
      <name val="Calibri"/>
      <family val="2"/>
    </font>
    <font>
      <b/>
      <sz val="10"/>
      <color theme="1"/>
      <name val="Calibri"/>
      <family val="2"/>
    </font>
    <font>
      <sz val="10"/>
      <color rgb="FF000000"/>
      <name val="Calibri"/>
      <family val="2"/>
    </font>
    <font>
      <sz val="10"/>
      <name val="Calibri"/>
      <family val="2"/>
    </font>
    <font>
      <sz val="10"/>
      <color indexed="17"/>
      <name val="Calibri"/>
      <family val="2"/>
    </font>
    <font>
      <sz val="10"/>
      <color indexed="30"/>
      <name val="Calibri"/>
      <family val="2"/>
    </font>
    <font>
      <sz val="11"/>
      <name val="Arial"/>
      <family val="2"/>
    </font>
    <font>
      <sz val="10"/>
      <color indexed="62"/>
      <name val="Calibri"/>
      <family val="2"/>
    </font>
    <font>
      <sz val="10"/>
      <color rgb="FFFF0000"/>
      <name val="Calibri"/>
      <family val="2"/>
    </font>
    <font>
      <sz val="10"/>
      <color theme="0" tint="-4.9989318521683403E-2"/>
      <name val="Calibri"/>
      <family val="2"/>
    </font>
    <font>
      <b/>
      <sz val="10"/>
      <color theme="1"/>
      <name val="Calibri"/>
      <family val="2"/>
      <scheme val="minor"/>
    </font>
    <font>
      <sz val="10"/>
      <color theme="1"/>
      <name val="Calibri"/>
      <family val="2"/>
      <scheme val="minor"/>
    </font>
    <font>
      <b/>
      <sz val="12"/>
      <color theme="1"/>
      <name val="Calibri"/>
      <family val="2"/>
      <scheme val="minor"/>
    </font>
    <font>
      <sz val="10"/>
      <color rgb="FFFF0000"/>
      <name val="Calibri"/>
      <family val="2"/>
      <scheme val="minor"/>
    </font>
    <font>
      <b/>
      <sz val="14"/>
      <color theme="1"/>
      <name val="Calibri"/>
      <family val="2"/>
      <scheme val="minor"/>
    </font>
    <font>
      <i/>
      <sz val="10"/>
      <color theme="1"/>
      <name val="Calibri"/>
      <family val="2"/>
      <scheme val="minor"/>
    </font>
    <font>
      <b/>
      <sz val="10"/>
      <color theme="0"/>
      <name val="Calibri"/>
      <family val="2"/>
      <scheme val="minor"/>
    </font>
    <font>
      <b/>
      <sz val="10"/>
      <name val="Calibri"/>
      <family val="2"/>
      <scheme val="minor"/>
    </font>
    <font>
      <b/>
      <sz val="10"/>
      <color theme="0" tint="-4.9989318521683403E-2"/>
      <name val="Calibri"/>
      <family val="2"/>
      <scheme val="minor"/>
    </font>
    <font>
      <sz val="10"/>
      <name val="Calibri"/>
      <family val="2"/>
      <scheme val="minor"/>
    </font>
    <font>
      <sz val="10"/>
      <color rgb="FF000000"/>
      <name val="Calibri"/>
      <family val="2"/>
      <scheme val="minor"/>
    </font>
    <font>
      <sz val="10"/>
      <color theme="0" tint="-4.9989318521683403E-2"/>
      <name val="Calibri"/>
      <family val="2"/>
      <scheme val="minor"/>
    </font>
    <font>
      <sz val="10"/>
      <color theme="3" tint="0.39997558519241921"/>
      <name val="Calibri"/>
      <family val="2"/>
      <scheme val="minor"/>
    </font>
    <font>
      <b/>
      <i/>
      <sz val="10"/>
      <color theme="1"/>
      <name val="Calibri"/>
      <family val="2"/>
      <scheme val="minor"/>
    </font>
    <font>
      <sz val="9"/>
      <name val="Calibri"/>
      <family val="2"/>
    </font>
    <font>
      <sz val="9"/>
      <color indexed="8"/>
      <name val="Calibri"/>
      <family val="2"/>
    </font>
    <font>
      <sz val="12"/>
      <color theme="1"/>
      <name val="Calibri"/>
      <family val="2"/>
    </font>
    <font>
      <b/>
      <sz val="10"/>
      <color indexed="12"/>
      <name val="Calibri"/>
      <family val="2"/>
    </font>
    <font>
      <b/>
      <u/>
      <sz val="10"/>
      <color indexed="8"/>
      <name val="Calibri"/>
      <family val="2"/>
    </font>
    <font>
      <sz val="10"/>
      <color theme="0"/>
      <name val="Calibri"/>
      <family val="2"/>
    </font>
    <font>
      <i/>
      <sz val="10"/>
      <color theme="0" tint="-4.9989318521683403E-2"/>
      <name val="Calibri"/>
      <family val="2"/>
    </font>
    <font>
      <b/>
      <sz val="12"/>
      <color theme="1"/>
      <name val="Calibri"/>
      <family val="2"/>
    </font>
    <font>
      <sz val="12"/>
      <color indexed="8"/>
      <name val="Calibri"/>
      <family val="2"/>
    </font>
    <font>
      <b/>
      <sz val="16"/>
      <color theme="1"/>
      <name val="Calibri"/>
      <family val="2"/>
    </font>
    <font>
      <b/>
      <sz val="9"/>
      <color indexed="81"/>
      <name val="Tahoma"/>
      <family val="2"/>
    </font>
    <font>
      <sz val="9"/>
      <color indexed="81"/>
      <name val="Tahoma"/>
      <family val="2"/>
    </font>
    <font>
      <sz val="9"/>
      <color indexed="81"/>
      <name val="Tahoma"/>
      <charset val="1"/>
    </font>
    <font>
      <b/>
      <sz val="11"/>
      <color rgb="FF000000"/>
      <name val="Times New Roman"/>
      <family val="1"/>
    </font>
    <font>
      <sz val="11"/>
      <color theme="1"/>
      <name val="Times New Roman"/>
      <family val="1"/>
    </font>
    <font>
      <sz val="11"/>
      <color rgb="FF000000"/>
      <name val="Times New Roman"/>
      <family val="1"/>
    </font>
    <font>
      <sz val="10"/>
      <name val="Arial"/>
      <family val="2"/>
    </font>
    <font>
      <b/>
      <sz val="12"/>
      <name val="Arial"/>
      <family val="2"/>
    </font>
    <font>
      <b/>
      <sz val="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b/>
      <sz val="10"/>
      <color rgb="FFFF0000"/>
      <name val="Calibri"/>
      <family val="2"/>
      <scheme val="minor"/>
    </font>
    <font>
      <sz val="10"/>
      <color theme="1"/>
      <name val="Tahoma"/>
      <family val="2"/>
    </font>
    <font>
      <b/>
      <sz val="8"/>
      <name val="Calibri"/>
      <family val="2"/>
      <scheme val="minor"/>
    </font>
    <font>
      <sz val="11"/>
      <name val="Calibri"/>
      <family val="2"/>
      <scheme val="minor"/>
    </font>
    <font>
      <b/>
      <sz val="8"/>
      <color indexed="8"/>
      <name val="Calibri"/>
      <family val="2"/>
      <scheme val="minor"/>
    </font>
    <font>
      <b/>
      <sz val="8"/>
      <color rgb="FF000000"/>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indexed="30"/>
      <name val="Calibri"/>
      <family val="2"/>
      <scheme val="minor"/>
    </font>
    <font>
      <sz val="8"/>
      <color indexed="8"/>
      <name val="Calibri"/>
      <family val="2"/>
      <scheme val="minor"/>
    </font>
    <font>
      <sz val="8"/>
      <color rgb="FF0070C0"/>
      <name val="Calibri"/>
      <family val="2"/>
      <scheme val="minor"/>
    </font>
    <font>
      <sz val="9"/>
      <name val="Calibri"/>
      <family val="2"/>
      <scheme val="minor"/>
    </font>
    <font>
      <b/>
      <sz val="9"/>
      <name val="Calibri"/>
      <family val="2"/>
      <scheme val="minor"/>
    </font>
    <font>
      <u/>
      <sz val="9"/>
      <name val="Calibri"/>
      <family val="2"/>
      <scheme val="minor"/>
    </font>
    <font>
      <i/>
      <sz val="9"/>
      <color rgb="FFFF0000"/>
      <name val="Calibri"/>
      <family val="2"/>
      <scheme val="minor"/>
    </font>
    <font>
      <b/>
      <sz val="9"/>
      <color indexed="8"/>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sz val="9"/>
      <color rgb="FFFF0000"/>
      <name val="Calibri"/>
      <family val="2"/>
      <scheme val="minor"/>
    </font>
    <font>
      <sz val="9"/>
      <color theme="0" tint="-0.499984740745262"/>
      <name val="Calibri"/>
      <family val="2"/>
      <scheme val="minor"/>
    </font>
    <font>
      <b/>
      <sz val="14"/>
      <color rgb="FF7030A0"/>
      <name val="Calibri"/>
      <family val="2"/>
    </font>
    <font>
      <b/>
      <sz val="11"/>
      <color rgb="FF7030A0"/>
      <name val="Calibri"/>
      <family val="2"/>
    </font>
    <font>
      <i/>
      <sz val="9"/>
      <name val="Calibri"/>
      <family val="2"/>
    </font>
    <font>
      <b/>
      <sz val="11"/>
      <name val="Calibri"/>
      <family val="2"/>
      <scheme val="minor"/>
    </font>
    <font>
      <sz val="9"/>
      <color theme="3" tint="0.39997558519241921"/>
      <name val="Calibri"/>
      <family val="2"/>
      <scheme val="minor"/>
    </font>
  </fonts>
  <fills count="14">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indexed="22"/>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6"/>
        <bgColor indexed="64"/>
      </patternFill>
    </fill>
    <fill>
      <patternFill patternType="solid">
        <fgColor theme="7" tint="0.39997558519241921"/>
        <bgColor indexed="64"/>
      </patternFill>
    </fill>
    <fill>
      <patternFill patternType="solid">
        <fgColor theme="6" tint="0.39997558519241921"/>
        <bgColor indexed="64"/>
      </patternFill>
    </fill>
  </fills>
  <borders count="86">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58"/>
      </top>
      <bottom style="thin">
        <color indexed="58"/>
      </bottom>
      <diagonal/>
    </border>
    <border>
      <left style="medium">
        <color indexed="64"/>
      </left>
      <right/>
      <top style="thin">
        <color theme="0" tint="-0.14999847407452621"/>
      </top>
      <bottom style="double">
        <color indexed="64"/>
      </bottom>
      <diagonal/>
    </border>
    <border>
      <left/>
      <right/>
      <top style="thin">
        <color theme="0" tint="-0.14999847407452621"/>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4">
    <xf numFmtId="0" fontId="0" fillId="0" borderId="0"/>
    <xf numFmtId="44" fontId="17"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9" fontId="13" fillId="0" borderId="0" applyFont="0" applyFill="0" applyBorder="0" applyAlignment="0" applyProtection="0"/>
    <xf numFmtId="0" fontId="1" fillId="0" borderId="0"/>
    <xf numFmtId="0" fontId="1" fillId="0" borderId="0"/>
    <xf numFmtId="9" fontId="27" fillId="0" borderId="0" applyFont="0" applyFill="0" applyBorder="0" applyAlignment="0" applyProtection="0"/>
    <xf numFmtId="44" fontId="13" fillId="0" borderId="0" applyFont="0" applyFill="0" applyBorder="0" applyAlignment="0" applyProtection="0"/>
    <xf numFmtId="0" fontId="1" fillId="0" borderId="0"/>
    <xf numFmtId="44" fontId="1" fillId="0" borderId="0" applyFont="0" applyFill="0" applyBorder="0" applyAlignment="0" applyProtection="0"/>
    <xf numFmtId="0" fontId="17" fillId="0" borderId="0"/>
    <xf numFmtId="44" fontId="1" fillId="0" borderId="0" applyFont="0" applyFill="0" applyBorder="0" applyAlignment="0" applyProtection="0"/>
    <xf numFmtId="9" fontId="1" fillId="0" borderId="0" applyFont="0" applyFill="0" applyBorder="0" applyAlignment="0" applyProtection="0"/>
    <xf numFmtId="0" fontId="61" fillId="0" borderId="0"/>
    <xf numFmtId="0" fontId="61" fillId="0" borderId="0"/>
    <xf numFmtId="3" fontId="61" fillId="0" borderId="0">
      <alignment horizontal="left" vertical="top" wrapText="1"/>
    </xf>
    <xf numFmtId="0" fontId="66" fillId="0" borderId="0">
      <alignment horizontal="left" vertical="center" wrapText="1"/>
    </xf>
    <xf numFmtId="9" fontId="66" fillId="0" borderId="0" applyFont="0" applyFill="0" applyBorder="0" applyAlignment="0" applyProtection="0"/>
    <xf numFmtId="0" fontId="27" fillId="0" borderId="0"/>
    <xf numFmtId="0" fontId="7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61" fillId="0" borderId="0"/>
    <xf numFmtId="43" fontId="27" fillId="0" borderId="0" applyFont="0" applyFill="0" applyBorder="0" applyAlignment="0" applyProtection="0"/>
    <xf numFmtId="43" fontId="1"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0" fontId="1" fillId="0" borderId="0"/>
  </cellStyleXfs>
  <cellXfs count="1015">
    <xf numFmtId="0" fontId="0" fillId="0" borderId="0" xfId="0"/>
    <xf numFmtId="0" fontId="3" fillId="0" borderId="0" xfId="3" applyFont="1"/>
    <xf numFmtId="0" fontId="4" fillId="0" borderId="0" xfId="3" applyFont="1" applyAlignment="1">
      <alignment horizontal="center"/>
    </xf>
    <xf numFmtId="0" fontId="3" fillId="0" borderId="0" xfId="3" applyFont="1" applyAlignment="1">
      <alignment wrapText="1"/>
    </xf>
    <xf numFmtId="17" fontId="5" fillId="0" borderId="0" xfId="3" applyNumberFormat="1" applyFont="1" applyAlignment="1">
      <alignment horizontal="center"/>
    </xf>
    <xf numFmtId="164" fontId="6" fillId="0" borderId="0" xfId="3" applyNumberFormat="1" applyFont="1" applyAlignment="1">
      <alignment horizontal="left" vertical="top"/>
    </xf>
    <xf numFmtId="0" fontId="6" fillId="0" borderId="0" xfId="3" applyFont="1" applyAlignment="1">
      <alignment horizontal="center"/>
    </xf>
    <xf numFmtId="0" fontId="6" fillId="0" borderId="0" xfId="3" applyFont="1"/>
    <xf numFmtId="9" fontId="6" fillId="0" borderId="0" xfId="3" applyNumberFormat="1" applyFont="1" applyAlignment="1">
      <alignment horizontal="center" wrapText="1"/>
    </xf>
    <xf numFmtId="0" fontId="6" fillId="0" borderId="0" xfId="3" applyFont="1" applyAlignment="1">
      <alignment horizontal="left" wrapText="1"/>
    </xf>
    <xf numFmtId="0" fontId="7" fillId="0" borderId="1" xfId="3" applyFont="1" applyBorder="1"/>
    <xf numFmtId="165" fontId="3" fillId="0" borderId="2" xfId="3" applyNumberFormat="1" applyFont="1" applyBorder="1" applyAlignment="1">
      <alignment horizontal="center"/>
    </xf>
    <xf numFmtId="0" fontId="3" fillId="0" borderId="3" xfId="3" applyFont="1" applyBorder="1" applyAlignment="1">
      <alignment horizontal="left" vertical="top" wrapText="1"/>
    </xf>
    <xf numFmtId="0" fontId="3" fillId="0" borderId="4" xfId="3" applyFont="1" applyBorder="1" applyAlignment="1">
      <alignment horizontal="left" vertical="center" wrapText="1"/>
    </xf>
    <xf numFmtId="0" fontId="7" fillId="0" borderId="5" xfId="3" applyFont="1" applyBorder="1"/>
    <xf numFmtId="166" fontId="3" fillId="0" borderId="6" xfId="3" applyNumberFormat="1" applyFont="1" applyBorder="1" applyAlignment="1">
      <alignment horizontal="center"/>
    </xf>
    <xf numFmtId="0" fontId="3" fillId="0" borderId="6" xfId="3" applyFont="1" applyBorder="1" applyAlignment="1">
      <alignment horizontal="left" vertical="top" wrapText="1"/>
    </xf>
    <xf numFmtId="0" fontId="3" fillId="0" borderId="7" xfId="3" applyFont="1" applyBorder="1" applyAlignment="1">
      <alignment horizontal="left" vertical="center" wrapText="1"/>
    </xf>
    <xf numFmtId="0" fontId="3" fillId="0" borderId="1" xfId="3" applyFont="1" applyBorder="1"/>
    <xf numFmtId="0" fontId="3" fillId="0" borderId="3" xfId="3" applyFont="1" applyBorder="1"/>
    <xf numFmtId="0" fontId="3" fillId="0" borderId="8" xfId="3" applyFont="1" applyBorder="1"/>
    <xf numFmtId="166" fontId="3" fillId="0" borderId="0" xfId="3" applyNumberFormat="1" applyFont="1" applyAlignment="1">
      <alignment horizontal="center"/>
    </xf>
    <xf numFmtId="0" fontId="3" fillId="0" borderId="9" xfId="3" applyFont="1" applyBorder="1" applyAlignment="1">
      <alignment horizontal="left" vertical="center" wrapText="1"/>
    </xf>
    <xf numFmtId="0" fontId="3" fillId="0" borderId="5" xfId="3" applyFont="1" applyBorder="1"/>
    <xf numFmtId="0" fontId="3" fillId="0" borderId="6" xfId="3" applyFont="1" applyBorder="1"/>
    <xf numFmtId="0" fontId="3" fillId="0" borderId="1" xfId="3" applyFont="1" applyBorder="1" applyAlignment="1">
      <alignment wrapText="1"/>
    </xf>
    <xf numFmtId="0" fontId="3" fillId="0" borderId="5" xfId="3" applyFont="1" applyBorder="1" applyAlignment="1">
      <alignment wrapText="1"/>
    </xf>
    <xf numFmtId="166" fontId="8" fillId="0" borderId="6" xfId="3" applyNumberFormat="1" applyFont="1" applyBorder="1" applyAlignment="1">
      <alignment horizontal="center"/>
    </xf>
    <xf numFmtId="165" fontId="3" fillId="0" borderId="3" xfId="3" applyNumberFormat="1" applyFont="1" applyBorder="1" applyAlignment="1">
      <alignment horizontal="center"/>
    </xf>
    <xf numFmtId="165" fontId="3" fillId="0" borderId="0" xfId="3" applyNumberFormat="1" applyFont="1" applyAlignment="1">
      <alignment horizontal="center"/>
    </xf>
    <xf numFmtId="49" fontId="3" fillId="0" borderId="4" xfId="3" applyNumberFormat="1" applyFont="1" applyBorder="1" applyAlignment="1">
      <alignment horizontal="left" vertical="center" wrapText="1"/>
    </xf>
    <xf numFmtId="49" fontId="3" fillId="0" borderId="7" xfId="3" applyNumberFormat="1" applyFont="1" applyBorder="1" applyAlignment="1">
      <alignment horizontal="left" vertical="center" wrapText="1"/>
    </xf>
    <xf numFmtId="0" fontId="7" fillId="0" borderId="8" xfId="3" applyFont="1" applyBorder="1"/>
    <xf numFmtId="0" fontId="3" fillId="0" borderId="3" xfId="3" applyFont="1" applyBorder="1" applyAlignment="1">
      <alignment vertical="top" wrapText="1"/>
    </xf>
    <xf numFmtId="0" fontId="3" fillId="0" borderId="6" xfId="3" applyFont="1" applyBorder="1" applyAlignment="1">
      <alignment vertical="top" wrapText="1"/>
    </xf>
    <xf numFmtId="0" fontId="9" fillId="0" borderId="1" xfId="3" applyFont="1" applyBorder="1"/>
    <xf numFmtId="0" fontId="10" fillId="0" borderId="3" xfId="3" applyFont="1" applyBorder="1" applyAlignment="1">
      <alignment horizontal="center"/>
    </xf>
    <xf numFmtId="0" fontId="10" fillId="0" borderId="4" xfId="3" applyFont="1" applyBorder="1"/>
    <xf numFmtId="0" fontId="9" fillId="0" borderId="8" xfId="3" applyFont="1" applyBorder="1"/>
    <xf numFmtId="0" fontId="9" fillId="0" borderId="0" xfId="3" applyFont="1" applyAlignment="1">
      <alignment horizontal="center"/>
    </xf>
    <xf numFmtId="167" fontId="9" fillId="0" borderId="0" xfId="3" applyNumberFormat="1" applyFont="1" applyAlignment="1">
      <alignment horizontal="center"/>
    </xf>
    <xf numFmtId="1" fontId="9" fillId="0" borderId="9" xfId="3" applyNumberFormat="1" applyFont="1" applyBorder="1" applyAlignment="1">
      <alignment horizontal="right"/>
    </xf>
    <xf numFmtId="0" fontId="11" fillId="0" borderId="8" xfId="3" applyFont="1" applyBorder="1"/>
    <xf numFmtId="0" fontId="11" fillId="0" borderId="0" xfId="3" applyFont="1" applyAlignment="1">
      <alignment horizontal="center"/>
    </xf>
    <xf numFmtId="0" fontId="12" fillId="0" borderId="0" xfId="3" applyFont="1" applyAlignment="1">
      <alignment horizontal="right" wrapText="1"/>
    </xf>
    <xf numFmtId="0" fontId="11" fillId="0" borderId="10" xfId="3" applyFont="1" applyBorder="1"/>
    <xf numFmtId="0" fontId="11" fillId="0" borderId="11" xfId="3" applyFont="1" applyBorder="1" applyAlignment="1">
      <alignment horizontal="center"/>
    </xf>
    <xf numFmtId="1" fontId="9" fillId="0" borderId="12" xfId="3" applyNumberFormat="1" applyFont="1" applyBorder="1" applyAlignment="1">
      <alignment horizontal="right"/>
    </xf>
    <xf numFmtId="0" fontId="3" fillId="0" borderId="0" xfId="3" applyFont="1" applyAlignment="1">
      <alignment horizontal="center"/>
    </xf>
    <xf numFmtId="0" fontId="11" fillId="0" borderId="0" xfId="3" applyFont="1" applyAlignment="1">
      <alignment horizontal="right"/>
    </xf>
    <xf numFmtId="168" fontId="9" fillId="0" borderId="9" xfId="3" applyNumberFormat="1" applyFont="1" applyBorder="1" applyAlignment="1">
      <alignment horizontal="right"/>
    </xf>
    <xf numFmtId="0" fontId="3" fillId="0" borderId="0" xfId="3" applyFont="1" applyAlignment="1">
      <alignment horizontal="right"/>
    </xf>
    <xf numFmtId="10" fontId="3" fillId="0" borderId="0" xfId="4" applyNumberFormat="1" applyFont="1" applyAlignment="1">
      <alignment horizontal="center"/>
    </xf>
    <xf numFmtId="0" fontId="11" fillId="0" borderId="5" xfId="3" applyFont="1" applyBorder="1"/>
    <xf numFmtId="0" fontId="11" fillId="0" borderId="6" xfId="3" applyFont="1" applyBorder="1" applyAlignment="1">
      <alignment horizontal="right"/>
    </xf>
    <xf numFmtId="169" fontId="11" fillId="0" borderId="6" xfId="5" applyNumberFormat="1" applyFont="1" applyBorder="1" applyAlignment="1">
      <alignment horizontal="center"/>
    </xf>
    <xf numFmtId="169" fontId="11" fillId="0" borderId="7" xfId="5" quotePrefix="1" applyNumberFormat="1" applyFont="1" applyBorder="1" applyAlignment="1">
      <alignment horizontal="center"/>
    </xf>
    <xf numFmtId="0" fontId="3" fillId="0" borderId="0" xfId="3" applyFont="1" applyAlignment="1">
      <alignment horizontal="left" vertical="top" wrapText="1"/>
    </xf>
    <xf numFmtId="9" fontId="3" fillId="0" borderId="0" xfId="4" applyFont="1" applyAlignment="1">
      <alignment horizontal="center"/>
    </xf>
    <xf numFmtId="9" fontId="3" fillId="0" borderId="0" xfId="4" applyFont="1"/>
    <xf numFmtId="0" fontId="3" fillId="0" borderId="0" xfId="3" applyFont="1" applyAlignment="1">
      <alignment horizontal="center"/>
    </xf>
    <xf numFmtId="0" fontId="7" fillId="0" borderId="0" xfId="3" applyFont="1" applyAlignment="1">
      <alignment horizontal="right"/>
    </xf>
    <xf numFmtId="6" fontId="3" fillId="0" borderId="0" xfId="3" applyNumberFormat="1" applyFont="1" applyAlignment="1">
      <alignment horizontal="center"/>
    </xf>
    <xf numFmtId="0" fontId="5" fillId="0" borderId="0" xfId="3" applyFont="1" applyAlignment="1">
      <alignment horizontal="center"/>
    </xf>
    <xf numFmtId="0" fontId="6" fillId="0" borderId="0" xfId="3" applyFont="1" applyAlignment="1">
      <alignment horizontal="right"/>
    </xf>
    <xf numFmtId="0" fontId="6" fillId="0" borderId="0" xfId="3" applyFont="1" applyAlignment="1">
      <alignment horizontal="right" vertical="top"/>
    </xf>
    <xf numFmtId="0" fontId="14" fillId="0" borderId="0" xfId="3" applyFont="1"/>
    <xf numFmtId="165" fontId="14" fillId="0" borderId="0" xfId="3" applyNumberFormat="1" applyFont="1"/>
    <xf numFmtId="167" fontId="18" fillId="0" borderId="0" xfId="0" applyNumberFormat="1" applyFont="1" applyAlignment="1">
      <alignment horizontal="center"/>
    </xf>
    <xf numFmtId="0" fontId="19" fillId="0" borderId="0" xfId="0" applyFont="1"/>
    <xf numFmtId="0" fontId="20" fillId="0" borderId="0" xfId="0" applyFont="1"/>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wrapText="1"/>
    </xf>
    <xf numFmtId="0" fontId="18" fillId="2" borderId="16"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0" borderId="0" xfId="0" applyFont="1" applyAlignment="1">
      <alignment horizontal="center" vertical="center"/>
    </xf>
    <xf numFmtId="167" fontId="21" fillId="0" borderId="17" xfId="0" applyNumberFormat="1" applyFont="1" applyBorder="1" applyAlignment="1">
      <alignment horizontal="center"/>
    </xf>
    <xf numFmtId="167" fontId="21" fillId="0" borderId="18" xfId="0" applyNumberFormat="1" applyFont="1" applyBorder="1" applyAlignment="1">
      <alignment horizontal="center"/>
    </xf>
    <xf numFmtId="0" fontId="21" fillId="0" borderId="19" xfId="0" applyFont="1" applyBorder="1" applyAlignment="1">
      <alignment horizontal="center"/>
    </xf>
    <xf numFmtId="0" fontId="21" fillId="0" borderId="2" xfId="0" applyFont="1" applyBorder="1" applyAlignment="1">
      <alignment horizontal="center"/>
    </xf>
    <xf numFmtId="0" fontId="21" fillId="0" borderId="20" xfId="0" applyFont="1" applyBorder="1" applyAlignment="1">
      <alignment horizontal="center"/>
    </xf>
    <xf numFmtId="0" fontId="21" fillId="0" borderId="0" xfId="0" applyFont="1" applyAlignment="1">
      <alignment horizontal="center"/>
    </xf>
    <xf numFmtId="0" fontId="21" fillId="0" borderId="1" xfId="0" applyFont="1" applyBorder="1"/>
    <xf numFmtId="0" fontId="21" fillId="0" borderId="3" xfId="0" applyFont="1" applyBorder="1"/>
    <xf numFmtId="3" fontId="21" fillId="0" borderId="9" xfId="0" applyNumberFormat="1" applyFont="1" applyBorder="1" applyAlignment="1">
      <alignment horizontal="center" vertical="center"/>
    </xf>
    <xf numFmtId="3" fontId="21" fillId="0" borderId="0" xfId="0" applyNumberFormat="1" applyFont="1" applyAlignment="1">
      <alignment horizontal="center" vertical="center"/>
    </xf>
    <xf numFmtId="3" fontId="22" fillId="0" borderId="13" xfId="0" applyNumberFormat="1" applyFont="1" applyBorder="1" applyAlignment="1">
      <alignment wrapText="1"/>
    </xf>
    <xf numFmtId="3" fontId="22" fillId="0" borderId="6" xfId="0" applyNumberFormat="1" applyFont="1" applyBorder="1" applyAlignment="1">
      <alignment wrapText="1"/>
    </xf>
    <xf numFmtId="3" fontId="22" fillId="0" borderId="21" xfId="0" applyNumberFormat="1" applyFont="1" applyBorder="1" applyAlignment="1">
      <alignment horizontal="center"/>
    </xf>
    <xf numFmtId="0" fontId="20" fillId="0" borderId="22" xfId="0" applyFont="1" applyBorder="1" applyAlignment="1">
      <alignment horizontal="center"/>
    </xf>
    <xf numFmtId="0" fontId="20" fillId="0" borderId="21" xfId="0" applyFont="1" applyBorder="1" applyAlignment="1">
      <alignment horizontal="center"/>
    </xf>
    <xf numFmtId="0" fontId="20" fillId="0" borderId="0" xfId="0" applyFont="1" applyAlignment="1">
      <alignment horizontal="center"/>
    </xf>
    <xf numFmtId="0" fontId="21" fillId="0" borderId="8" xfId="0" applyFont="1" applyBorder="1"/>
    <xf numFmtId="10" fontId="18" fillId="0" borderId="23" xfId="2" applyNumberFormat="1" applyFont="1" applyFill="1" applyBorder="1" applyAlignment="1">
      <alignment horizontal="center"/>
    </xf>
    <xf numFmtId="0" fontId="19" fillId="0" borderId="24" xfId="0" applyFont="1" applyBorder="1"/>
    <xf numFmtId="0" fontId="19" fillId="0" borderId="9" xfId="0" applyFont="1" applyBorder="1"/>
    <xf numFmtId="0" fontId="21" fillId="0" borderId="10" xfId="0" applyFont="1" applyBorder="1"/>
    <xf numFmtId="0" fontId="21" fillId="0" borderId="11" xfId="0" applyFont="1" applyBorder="1"/>
    <xf numFmtId="0" fontId="21" fillId="0" borderId="11" xfId="0" applyFont="1" applyBorder="1" applyAlignment="1">
      <alignment horizontal="center"/>
    </xf>
    <xf numFmtId="0" fontId="21" fillId="0" borderId="12" xfId="0" applyFont="1" applyBorder="1" applyAlignment="1">
      <alignment horizontal="center"/>
    </xf>
    <xf numFmtId="0" fontId="20" fillId="0" borderId="10" xfId="0" applyFont="1" applyBorder="1" applyAlignment="1">
      <alignment wrapText="1"/>
    </xf>
    <xf numFmtId="0" fontId="20" fillId="0" borderId="0" xfId="0" applyFont="1" applyAlignment="1">
      <alignment wrapText="1"/>
    </xf>
    <xf numFmtId="3" fontId="20" fillId="3" borderId="25" xfId="0" applyNumberFormat="1" applyFont="1" applyFill="1" applyBorder="1" applyAlignment="1">
      <alignment horizontal="center"/>
    </xf>
    <xf numFmtId="0" fontId="23" fillId="0" borderId="26" xfId="0" applyFont="1" applyBorder="1" applyAlignment="1">
      <alignment horizontal="center" vertical="center"/>
    </xf>
    <xf numFmtId="0" fontId="20" fillId="0" borderId="25" xfId="0" applyFont="1" applyBorder="1" applyAlignment="1">
      <alignment horizontal="center"/>
    </xf>
    <xf numFmtId="167" fontId="24" fillId="0" borderId="8" xfId="0" applyNumberFormat="1" applyFont="1" applyBorder="1"/>
    <xf numFmtId="167" fontId="24" fillId="0" borderId="27" xfId="0" applyNumberFormat="1" applyFont="1" applyBorder="1" applyAlignment="1">
      <alignment horizontal="center"/>
    </xf>
    <xf numFmtId="167" fontId="18" fillId="0" borderId="8" xfId="0" applyNumberFormat="1" applyFont="1" applyBorder="1"/>
    <xf numFmtId="167" fontId="18" fillId="0" borderId="0" xfId="0" applyNumberFormat="1" applyFont="1"/>
    <xf numFmtId="0" fontId="21" fillId="0" borderId="9" xfId="0" applyFont="1" applyBorder="1" applyAlignment="1">
      <alignment horizontal="center"/>
    </xf>
    <xf numFmtId="0" fontId="20" fillId="0" borderId="28" xfId="0" applyFont="1" applyBorder="1" applyAlignment="1">
      <alignment vertical="center" wrapText="1"/>
    </xf>
    <xf numFmtId="0" fontId="20" fillId="0" borderId="29" xfId="0" applyFont="1" applyBorder="1" applyAlignment="1">
      <alignment vertical="center" wrapText="1"/>
    </xf>
    <xf numFmtId="3" fontId="20" fillId="3" borderId="30" xfId="0" applyNumberFormat="1" applyFont="1" applyFill="1" applyBorder="1" applyAlignment="1">
      <alignment horizontal="center" vertical="center"/>
    </xf>
    <xf numFmtId="0" fontId="23" fillId="0" borderId="31" xfId="0" applyFont="1" applyBorder="1" applyAlignment="1">
      <alignment horizontal="center" vertical="center"/>
    </xf>
    <xf numFmtId="0" fontId="20" fillId="0" borderId="30" xfId="0" applyFont="1" applyBorder="1" applyAlignment="1">
      <alignment horizontal="center" vertical="center"/>
    </xf>
    <xf numFmtId="0" fontId="20" fillId="0" borderId="0" xfId="0" applyFont="1" applyAlignment="1">
      <alignment horizontal="center" vertical="center"/>
    </xf>
    <xf numFmtId="167" fontId="24" fillId="0" borderId="0" xfId="0" applyNumberFormat="1" applyFont="1"/>
    <xf numFmtId="42" fontId="25" fillId="0" borderId="0" xfId="0" applyNumberFormat="1" applyFont="1"/>
    <xf numFmtId="4" fontId="26" fillId="0" borderId="0" xfId="0" applyNumberFormat="1" applyFont="1" applyAlignment="1">
      <alignment horizontal="center"/>
    </xf>
    <xf numFmtId="42" fontId="19" fillId="0" borderId="9" xfId="0" applyNumberFormat="1" applyFont="1" applyBorder="1"/>
    <xf numFmtId="42" fontId="19" fillId="0" borderId="0" xfId="0" applyNumberFormat="1" applyFont="1"/>
    <xf numFmtId="0" fontId="20" fillId="0" borderId="28" xfId="0" applyFont="1" applyBorder="1" applyAlignment="1">
      <alignment wrapText="1"/>
    </xf>
    <xf numFmtId="0" fontId="20" fillId="0" borderId="29" xfId="0" applyFont="1" applyBorder="1" applyAlignment="1">
      <alignment wrapText="1"/>
    </xf>
    <xf numFmtId="3" fontId="20" fillId="3" borderId="30" xfId="0" applyNumberFormat="1" applyFont="1" applyFill="1" applyBorder="1" applyAlignment="1">
      <alignment horizontal="center"/>
    </xf>
    <xf numFmtId="0" fontId="20" fillId="0" borderId="30" xfId="0" applyFont="1" applyBorder="1" applyAlignment="1">
      <alignment horizontal="center"/>
    </xf>
    <xf numFmtId="167" fontId="24" fillId="0" borderId="10" xfId="0" applyNumberFormat="1" applyFont="1" applyBorder="1"/>
    <xf numFmtId="167" fontId="24" fillId="0" borderId="32" xfId="0" applyNumberFormat="1" applyFont="1" applyBorder="1" applyAlignment="1">
      <alignment horizontal="center"/>
    </xf>
    <xf numFmtId="0" fontId="19" fillId="0" borderId="11" xfId="0" applyFont="1" applyBorder="1"/>
    <xf numFmtId="0" fontId="19" fillId="0" borderId="12" xfId="0" applyFont="1" applyBorder="1"/>
    <xf numFmtId="0" fontId="20" fillId="3" borderId="28" xfId="6" applyFont="1" applyFill="1" applyBorder="1"/>
    <xf numFmtId="0" fontId="20" fillId="3" borderId="29" xfId="6" applyFont="1" applyFill="1" applyBorder="1"/>
    <xf numFmtId="4" fontId="20" fillId="3" borderId="31" xfId="0" applyNumberFormat="1" applyFont="1" applyFill="1" applyBorder="1" applyAlignment="1">
      <alignment horizontal="center"/>
    </xf>
    <xf numFmtId="0" fontId="18" fillId="0" borderId="8" xfId="0" applyFont="1" applyBorder="1" applyAlignment="1">
      <alignment horizontal="center"/>
    </xf>
    <xf numFmtId="0" fontId="18" fillId="0" borderId="27" xfId="0" applyFont="1" applyBorder="1" applyAlignment="1">
      <alignment horizontal="center"/>
    </xf>
    <xf numFmtId="0" fontId="23" fillId="3" borderId="33" xfId="6" applyFont="1" applyFill="1" applyBorder="1" applyAlignment="1">
      <alignment vertical="center" wrapText="1"/>
    </xf>
    <xf numFmtId="0" fontId="23" fillId="3" borderId="34" xfId="6" applyFont="1" applyFill="1" applyBorder="1" applyAlignment="1">
      <alignment vertical="center" wrapText="1"/>
    </xf>
    <xf numFmtId="3" fontId="20" fillId="3" borderId="35" xfId="0" applyNumberFormat="1" applyFont="1" applyFill="1" applyBorder="1" applyAlignment="1">
      <alignment horizontal="center"/>
    </xf>
    <xf numFmtId="4" fontId="20" fillId="3" borderId="36" xfId="0" applyNumberFormat="1" applyFont="1" applyFill="1" applyBorder="1" applyAlignment="1">
      <alignment horizontal="center"/>
    </xf>
    <xf numFmtId="0" fontId="20" fillId="0" borderId="37" xfId="0" applyFont="1" applyBorder="1" applyAlignment="1">
      <alignment horizontal="center"/>
    </xf>
    <xf numFmtId="0" fontId="18" fillId="0" borderId="27" xfId="0" quotePrefix="1" applyFont="1" applyBorder="1" applyAlignment="1">
      <alignment horizontal="center"/>
    </xf>
    <xf numFmtId="0" fontId="21" fillId="0" borderId="28" xfId="0" applyFont="1" applyBorder="1"/>
    <xf numFmtId="0" fontId="21" fillId="0" borderId="29" xfId="0" applyFont="1" applyBorder="1"/>
    <xf numFmtId="4" fontId="21" fillId="0" borderId="29" xfId="0" applyNumberFormat="1" applyFont="1" applyBorder="1" applyAlignment="1">
      <alignment horizontal="center"/>
    </xf>
    <xf numFmtId="42" fontId="21" fillId="0" borderId="38" xfId="0" applyNumberFormat="1" applyFont="1" applyBorder="1"/>
    <xf numFmtId="0" fontId="22" fillId="0" borderId="13" xfId="0" applyFont="1" applyBorder="1" applyAlignment="1">
      <alignment wrapText="1"/>
    </xf>
    <xf numFmtId="0" fontId="22" fillId="0" borderId="6" xfId="0" applyFont="1" applyBorder="1" applyAlignment="1">
      <alignment wrapText="1"/>
    </xf>
    <xf numFmtId="2" fontId="24" fillId="0" borderId="27" xfId="0" applyNumberFormat="1" applyFont="1" applyBorder="1" applyAlignment="1">
      <alignment horizontal="center"/>
    </xf>
    <xf numFmtId="0" fontId="19" fillId="0" borderId="0" xfId="0" applyFont="1" applyAlignment="1">
      <alignment horizontal="center"/>
    </xf>
    <xf numFmtId="42" fontId="21" fillId="0" borderId="0" xfId="0" applyNumberFormat="1" applyFont="1"/>
    <xf numFmtId="0" fontId="22" fillId="0" borderId="10" xfId="0" applyFont="1" applyBorder="1" applyAlignment="1">
      <alignment wrapText="1"/>
    </xf>
    <xf numFmtId="0" fontId="22" fillId="0" borderId="0" xfId="0" applyFont="1" applyAlignment="1">
      <alignment wrapText="1"/>
    </xf>
    <xf numFmtId="3" fontId="22" fillId="0" borderId="25" xfId="0" applyNumberFormat="1" applyFont="1" applyBorder="1" applyAlignment="1">
      <alignment horizontal="center"/>
    </xf>
    <xf numFmtId="170" fontId="20" fillId="0" borderId="0" xfId="0" applyNumberFormat="1" applyFont="1"/>
    <xf numFmtId="0" fontId="19" fillId="0" borderId="8" xfId="0" applyFont="1" applyBorder="1"/>
    <xf numFmtId="0" fontId="21" fillId="0" borderId="0" xfId="0" applyFont="1"/>
    <xf numFmtId="10" fontId="21" fillId="0" borderId="0" xfId="0" applyNumberFormat="1" applyFont="1"/>
    <xf numFmtId="171" fontId="19" fillId="0" borderId="9" xfId="0" applyNumberFormat="1" applyFont="1" applyBorder="1"/>
    <xf numFmtId="0" fontId="20" fillId="0" borderId="8" xfId="0" applyFont="1" applyBorder="1" applyAlignment="1">
      <alignment wrapText="1"/>
    </xf>
    <xf numFmtId="0" fontId="20" fillId="0" borderId="34" xfId="0" applyFont="1" applyBorder="1" applyAlignment="1">
      <alignment wrapText="1"/>
    </xf>
    <xf numFmtId="4" fontId="20" fillId="0" borderId="39" xfId="0" applyNumberFormat="1" applyFont="1" applyBorder="1" applyAlignment="1">
      <alignment horizontal="center"/>
    </xf>
    <xf numFmtId="10" fontId="25" fillId="0" borderId="0" xfId="0" applyNumberFormat="1" applyFont="1"/>
    <xf numFmtId="2" fontId="24" fillId="0" borderId="32" xfId="0" applyNumberFormat="1" applyFont="1" applyBorder="1" applyAlignment="1">
      <alignment horizontal="center"/>
    </xf>
    <xf numFmtId="44" fontId="21" fillId="0" borderId="29" xfId="0" applyNumberFormat="1" applyFont="1" applyBorder="1" applyAlignment="1">
      <alignment horizontal="center"/>
    </xf>
    <xf numFmtId="3" fontId="22" fillId="0" borderId="0" xfId="0" applyNumberFormat="1" applyFont="1" applyAlignment="1">
      <alignment horizontal="center"/>
    </xf>
    <xf numFmtId="0" fontId="21" fillId="0" borderId="8" xfId="0" applyFont="1" applyBorder="1" applyAlignment="1">
      <alignment horizontal="center"/>
    </xf>
    <xf numFmtId="0" fontId="18" fillId="0" borderId="24" xfId="0" applyFont="1" applyBorder="1" applyAlignment="1">
      <alignment horizontal="center"/>
    </xf>
    <xf numFmtId="0" fontId="19" fillId="0" borderId="40" xfId="0" applyFont="1" applyBorder="1"/>
    <xf numFmtId="0" fontId="24" fillId="0" borderId="8" xfId="0" applyFont="1" applyBorder="1"/>
    <xf numFmtId="10" fontId="24" fillId="0" borderId="24" xfId="0" applyNumberFormat="1" applyFont="1" applyBorder="1" applyAlignment="1">
      <alignment horizontal="center"/>
    </xf>
    <xf numFmtId="49" fontId="23" fillId="0" borderId="27" xfId="7" applyNumberFormat="1" applyFont="1" applyBorder="1"/>
    <xf numFmtId="171" fontId="19" fillId="0" borderId="0" xfId="0" applyNumberFormat="1" applyFont="1" applyAlignment="1">
      <alignment horizontal="center"/>
    </xf>
    <xf numFmtId="0" fontId="22" fillId="0" borderId="1" xfId="0" applyFont="1" applyBorder="1"/>
    <xf numFmtId="0" fontId="22" fillId="0" borderId="3" xfId="0" applyFont="1" applyBorder="1"/>
    <xf numFmtId="0" fontId="20" fillId="0" borderId="3" xfId="0" applyFont="1" applyBorder="1"/>
    <xf numFmtId="0" fontId="22" fillId="0" borderId="16" xfId="0" applyFont="1" applyBorder="1" applyAlignment="1">
      <alignment horizontal="center"/>
    </xf>
    <xf numFmtId="0" fontId="19" fillId="0" borderId="8" xfId="6" applyFont="1" applyBorder="1"/>
    <xf numFmtId="167" fontId="24" fillId="0" borderId="24" xfId="0" applyNumberFormat="1" applyFont="1" applyBorder="1" applyAlignment="1">
      <alignment horizontal="center"/>
    </xf>
    <xf numFmtId="0" fontId="19" fillId="0" borderId="0" xfId="0" applyFont="1" applyAlignment="1">
      <alignment horizontal="right"/>
    </xf>
    <xf numFmtId="9" fontId="19" fillId="0" borderId="0" xfId="0" applyNumberFormat="1" applyFont="1" applyAlignment="1">
      <alignment horizontal="right"/>
    </xf>
    <xf numFmtId="171" fontId="19" fillId="0" borderId="0" xfId="0" applyNumberFormat="1" applyFont="1"/>
    <xf numFmtId="0" fontId="21" fillId="0" borderId="28" xfId="0" applyFont="1" applyBorder="1" applyAlignment="1">
      <alignment horizontal="left"/>
    </xf>
    <xf numFmtId="0" fontId="21" fillId="0" borderId="41" xfId="0" applyFont="1" applyBorder="1" applyAlignment="1">
      <alignment horizontal="left"/>
    </xf>
    <xf numFmtId="166" fontId="21" fillId="0" borderId="42" xfId="0" applyNumberFormat="1" applyFont="1" applyBorder="1"/>
    <xf numFmtId="165" fontId="21" fillId="0" borderId="42" xfId="0" applyNumberFormat="1" applyFont="1" applyBorder="1" applyAlignment="1">
      <alignment horizontal="center"/>
    </xf>
    <xf numFmtId="0" fontId="21" fillId="0" borderId="42" xfId="0" applyFont="1" applyBorder="1"/>
    <xf numFmtId="165" fontId="21" fillId="5" borderId="25" xfId="0" applyNumberFormat="1" applyFont="1" applyFill="1" applyBorder="1" applyAlignment="1">
      <alignment horizontal="center"/>
    </xf>
    <xf numFmtId="10" fontId="20" fillId="0" borderId="0" xfId="2" applyNumberFormat="1" applyFont="1"/>
    <xf numFmtId="165" fontId="21" fillId="5" borderId="30" xfId="0" applyNumberFormat="1" applyFont="1" applyFill="1" applyBorder="1" applyAlignment="1">
      <alignment horizontal="center"/>
    </xf>
    <xf numFmtId="0" fontId="21" fillId="0" borderId="44" xfId="0" applyFont="1" applyBorder="1" applyAlignment="1">
      <alignment horizontal="left"/>
    </xf>
    <xf numFmtId="0" fontId="21" fillId="0" borderId="45" xfId="0" applyFont="1" applyBorder="1" applyAlignment="1">
      <alignment horizontal="left"/>
    </xf>
    <xf numFmtId="0" fontId="21" fillId="0" borderId="46" xfId="0" applyFont="1" applyBorder="1"/>
    <xf numFmtId="165" fontId="21" fillId="0" borderId="46" xfId="0" applyNumberFormat="1" applyFont="1" applyBorder="1" applyAlignment="1">
      <alignment horizontal="center"/>
    </xf>
    <xf numFmtId="165" fontId="21" fillId="5" borderId="37" xfId="0" applyNumberFormat="1" applyFont="1" applyFill="1" applyBorder="1" applyAlignment="1">
      <alignment horizontal="center"/>
    </xf>
    <xf numFmtId="49" fontId="23" fillId="0" borderId="24" xfId="7" applyNumberFormat="1" applyFont="1" applyBorder="1"/>
    <xf numFmtId="0" fontId="21" fillId="0" borderId="29" xfId="0" applyFont="1" applyBorder="1" applyAlignment="1">
      <alignment horizontal="center"/>
    </xf>
    <xf numFmtId="0" fontId="24" fillId="0" borderId="10" xfId="0" applyFont="1" applyBorder="1"/>
    <xf numFmtId="10" fontId="24" fillId="0" borderId="48" xfId="0" applyNumberFormat="1" applyFont="1" applyBorder="1" applyAlignment="1">
      <alignment horizontal="center"/>
    </xf>
    <xf numFmtId="0" fontId="24" fillId="0" borderId="48" xfId="0" applyFont="1" applyBorder="1"/>
    <xf numFmtId="0" fontId="24" fillId="0" borderId="11" xfId="0" applyFont="1" applyBorder="1"/>
    <xf numFmtId="0" fontId="24" fillId="0" borderId="49" xfId="0" applyFont="1" applyBorder="1"/>
    <xf numFmtId="0" fontId="24" fillId="0" borderId="50" xfId="0" applyFont="1" applyBorder="1"/>
    <xf numFmtId="10" fontId="24" fillId="0" borderId="50" xfId="0" applyNumberFormat="1" applyFont="1" applyBorder="1"/>
    <xf numFmtId="0" fontId="24" fillId="0" borderId="50" xfId="0" applyFont="1" applyBorder="1" applyAlignment="1">
      <alignment horizontal="center"/>
    </xf>
    <xf numFmtId="42" fontId="24" fillId="0" borderId="51" xfId="0" applyNumberFormat="1" applyFont="1" applyBorder="1"/>
    <xf numFmtId="166" fontId="19" fillId="0" borderId="0" xfId="0" applyNumberFormat="1" applyFont="1"/>
    <xf numFmtId="165" fontId="19" fillId="0" borderId="0" xfId="0" applyNumberFormat="1" applyFont="1" applyAlignment="1">
      <alignment horizontal="center"/>
    </xf>
    <xf numFmtId="0" fontId="24" fillId="0" borderId="44" xfId="0" applyFont="1" applyBorder="1"/>
    <xf numFmtId="10" fontId="28" fillId="0" borderId="46" xfId="8" applyNumberFormat="1" applyFont="1" applyFill="1" applyBorder="1" applyAlignment="1">
      <alignment horizontal="center"/>
    </xf>
    <xf numFmtId="0" fontId="19" fillId="0" borderId="52" xfId="0" applyFont="1" applyBorder="1"/>
    <xf numFmtId="0" fontId="19" fillId="0" borderId="34" xfId="0" applyFont="1" applyBorder="1"/>
    <xf numFmtId="0" fontId="19" fillId="0" borderId="53" xfId="0" applyFont="1" applyBorder="1"/>
    <xf numFmtId="0" fontId="21" fillId="0" borderId="54" xfId="0" applyFont="1" applyBorder="1"/>
    <xf numFmtId="0" fontId="21" fillId="0" borderId="55" xfId="0" applyFont="1" applyBorder="1"/>
    <xf numFmtId="0" fontId="19" fillId="0" borderId="55" xfId="0" applyFont="1" applyBorder="1"/>
    <xf numFmtId="0" fontId="19" fillId="0" borderId="55" xfId="0" applyFont="1" applyBorder="1" applyAlignment="1">
      <alignment horizontal="center"/>
    </xf>
    <xf numFmtId="42" fontId="21" fillId="0" borderId="56" xfId="0" applyNumberFormat="1" applyFont="1" applyBorder="1"/>
    <xf numFmtId="171" fontId="29" fillId="0" borderId="0" xfId="0" applyNumberFormat="1" applyFont="1"/>
    <xf numFmtId="0" fontId="19" fillId="0" borderId="17" xfId="0" applyFont="1" applyBorder="1"/>
    <xf numFmtId="0" fontId="19" fillId="0" borderId="2" xfId="0" applyFont="1" applyBorder="1"/>
    <xf numFmtId="0" fontId="19" fillId="0" borderId="2" xfId="0" applyFont="1" applyBorder="1" applyAlignment="1">
      <alignment horizontal="center"/>
    </xf>
    <xf numFmtId="0" fontId="19" fillId="0" borderId="20" xfId="0" applyFont="1" applyBorder="1"/>
    <xf numFmtId="10" fontId="30" fillId="0" borderId="0" xfId="8" applyNumberFormat="1" applyFont="1" applyFill="1" applyBorder="1" applyAlignment="1">
      <alignment horizontal="center"/>
    </xf>
    <xf numFmtId="0" fontId="30" fillId="0" borderId="0" xfId="0" applyFont="1"/>
    <xf numFmtId="166" fontId="19" fillId="0" borderId="28" xfId="0" applyNumberFormat="1" applyFont="1" applyBorder="1"/>
    <xf numFmtId="166" fontId="19" fillId="0" borderId="29" xfId="0" applyNumberFormat="1" applyFont="1" applyBorder="1"/>
    <xf numFmtId="166" fontId="19" fillId="0" borderId="29" xfId="0" applyNumberFormat="1" applyFont="1" applyBorder="1" applyAlignment="1">
      <alignment horizontal="center"/>
    </xf>
    <xf numFmtId="166" fontId="19" fillId="0" borderId="38" xfId="0" applyNumberFormat="1" applyFont="1" applyBorder="1"/>
    <xf numFmtId="165" fontId="20" fillId="0" borderId="0" xfId="0" applyNumberFormat="1" applyFont="1"/>
    <xf numFmtId="0" fontId="24" fillId="0" borderId="0" xfId="0" applyFont="1"/>
    <xf numFmtId="10" fontId="30" fillId="0" borderId="0" xfId="2" applyNumberFormat="1" applyFont="1" applyFill="1" applyAlignment="1">
      <alignment horizontal="center"/>
    </xf>
    <xf numFmtId="10" fontId="26" fillId="0" borderId="0" xfId="0" applyNumberFormat="1" applyFont="1"/>
    <xf numFmtId="171" fontId="19" fillId="0" borderId="9" xfId="9" applyNumberFormat="1" applyFont="1" applyBorder="1"/>
    <xf numFmtId="165" fontId="20" fillId="0" borderId="42" xfId="0" applyNumberFormat="1" applyFont="1" applyBorder="1" applyAlignment="1">
      <alignment horizontal="center"/>
    </xf>
    <xf numFmtId="0" fontId="20" fillId="0" borderId="30" xfId="0" applyFont="1" applyBorder="1"/>
    <xf numFmtId="10" fontId="30" fillId="0" borderId="0" xfId="0" applyNumberFormat="1" applyFont="1" applyAlignment="1">
      <alignment horizontal="center"/>
    </xf>
    <xf numFmtId="0" fontId="19" fillId="0" borderId="10" xfId="0" applyFont="1" applyBorder="1"/>
    <xf numFmtId="9" fontId="19" fillId="0" borderId="11" xfId="0" applyNumberFormat="1" applyFont="1" applyBorder="1"/>
    <xf numFmtId="44" fontId="19" fillId="0" borderId="11" xfId="9" applyFont="1" applyBorder="1" applyAlignment="1">
      <alignment horizontal="center"/>
    </xf>
    <xf numFmtId="44" fontId="21" fillId="5" borderId="12" xfId="9" applyFont="1" applyFill="1" applyBorder="1"/>
    <xf numFmtId="172" fontId="24" fillId="0" borderId="33" xfId="0" applyNumberFormat="1" applyFont="1" applyBorder="1"/>
    <xf numFmtId="172" fontId="24" fillId="0" borderId="57" xfId="0" applyNumberFormat="1" applyFont="1" applyBorder="1"/>
    <xf numFmtId="9" fontId="24" fillId="0" borderId="57" xfId="0" applyNumberFormat="1" applyFont="1" applyBorder="1"/>
    <xf numFmtId="44" fontId="24" fillId="0" borderId="57" xfId="9" applyFont="1" applyFill="1" applyBorder="1" applyAlignment="1">
      <alignment horizontal="center"/>
    </xf>
    <xf numFmtId="44" fontId="24" fillId="0" borderId="58" xfId="9" applyFont="1" applyFill="1" applyBorder="1" applyAlignment="1"/>
    <xf numFmtId="172" fontId="24" fillId="0" borderId="5" xfId="0" applyNumberFormat="1" applyFont="1" applyBorder="1"/>
    <xf numFmtId="172" fontId="24" fillId="0" borderId="6" xfId="0" applyNumberFormat="1" applyFont="1" applyBorder="1"/>
    <xf numFmtId="9" fontId="24" fillId="0" borderId="6" xfId="0" applyNumberFormat="1" applyFont="1" applyBorder="1"/>
    <xf numFmtId="44" fontId="24" fillId="0" borderId="6" xfId="9" applyFont="1" applyBorder="1" applyAlignment="1">
      <alignment horizontal="center"/>
    </xf>
    <xf numFmtId="44" fontId="24" fillId="0" borderId="7" xfId="9" applyFont="1" applyBorder="1" applyAlignment="1"/>
    <xf numFmtId="171" fontId="19" fillId="0" borderId="0" xfId="9" applyNumberFormat="1" applyFont="1" applyFill="1" applyBorder="1"/>
    <xf numFmtId="166" fontId="19" fillId="0" borderId="44" xfId="0" applyNumberFormat="1" applyFont="1" applyBorder="1"/>
    <xf numFmtId="166" fontId="19" fillId="0" borderId="34" xfId="0" applyNumberFormat="1" applyFont="1" applyBorder="1"/>
    <xf numFmtId="165" fontId="20" fillId="0" borderId="46" xfId="0" applyNumberFormat="1" applyFont="1" applyBorder="1" applyAlignment="1">
      <alignment horizontal="center"/>
    </xf>
    <xf numFmtId="0" fontId="20" fillId="0" borderId="37" xfId="0" applyFont="1" applyBorder="1"/>
    <xf numFmtId="44" fontId="21" fillId="0" borderId="0" xfId="9" applyFont="1" applyFill="1" applyBorder="1"/>
    <xf numFmtId="44" fontId="24" fillId="0" borderId="0" xfId="9" applyFont="1" applyFill="1" applyBorder="1" applyAlignment="1"/>
    <xf numFmtId="165" fontId="19" fillId="0" borderId="0" xfId="0" applyNumberFormat="1" applyFont="1"/>
    <xf numFmtId="44" fontId="20" fillId="0" borderId="0" xfId="0" applyNumberFormat="1" applyFont="1"/>
    <xf numFmtId="0" fontId="22" fillId="0" borderId="0" xfId="0" applyFont="1"/>
    <xf numFmtId="0" fontId="31" fillId="0" borderId="0" xfId="10" applyFont="1"/>
    <xf numFmtId="0" fontId="32" fillId="0" borderId="6" xfId="10" applyFont="1" applyBorder="1" applyAlignment="1">
      <alignment horizontal="center"/>
    </xf>
    <xf numFmtId="0" fontId="32" fillId="0" borderId="0" xfId="10" applyFont="1"/>
    <xf numFmtId="0" fontId="32" fillId="0" borderId="0" xfId="10" applyFont="1" applyAlignment="1">
      <alignment horizontal="center"/>
    </xf>
    <xf numFmtId="0" fontId="33" fillId="0" borderId="13" xfId="10" applyFont="1" applyBorder="1" applyAlignment="1">
      <alignment horizontal="center" vertical="center"/>
    </xf>
    <xf numFmtId="0" fontId="33" fillId="0" borderId="15" xfId="10" applyFont="1" applyBorder="1" applyAlignment="1">
      <alignment horizontal="center" vertical="center"/>
    </xf>
    <xf numFmtId="0" fontId="33" fillId="0" borderId="13" xfId="10" applyFont="1" applyBorder="1" applyAlignment="1">
      <alignment horizontal="center"/>
    </xf>
    <xf numFmtId="0" fontId="33" fillId="0" borderId="15" xfId="10" applyFont="1" applyBorder="1" applyAlignment="1">
      <alignment horizontal="center"/>
    </xf>
    <xf numFmtId="0" fontId="31" fillId="0" borderId="59" xfId="10" applyFont="1" applyBorder="1" applyAlignment="1">
      <alignment horizontal="center" vertical="center"/>
    </xf>
    <xf numFmtId="0" fontId="31" fillId="3" borderId="60" xfId="10" applyFont="1" applyFill="1" applyBorder="1" applyAlignment="1">
      <alignment horizontal="center"/>
    </xf>
    <xf numFmtId="0" fontId="31" fillId="3" borderId="61" xfId="10" applyFont="1" applyFill="1" applyBorder="1" applyAlignment="1">
      <alignment horizontal="center"/>
    </xf>
    <xf numFmtId="0" fontId="31" fillId="3" borderId="62" xfId="10" applyFont="1" applyFill="1" applyBorder="1" applyAlignment="1">
      <alignment horizontal="center"/>
    </xf>
    <xf numFmtId="0" fontId="34" fillId="0" borderId="0" xfId="10" applyFont="1"/>
    <xf numFmtId="10" fontId="32" fillId="0" borderId="0" xfId="2" applyNumberFormat="1" applyFont="1" applyFill="1" applyBorder="1"/>
    <xf numFmtId="0" fontId="31" fillId="0" borderId="8" xfId="10" applyFont="1" applyBorder="1" applyAlignment="1">
      <alignment horizontal="center" vertical="center"/>
    </xf>
    <xf numFmtId="0" fontId="31" fillId="3" borderId="24" xfId="10" applyFont="1" applyFill="1" applyBorder="1" applyAlignment="1">
      <alignment horizontal="center"/>
    </xf>
    <xf numFmtId="0" fontId="31" fillId="3" borderId="39" xfId="10" applyFont="1" applyFill="1" applyBorder="1" applyAlignment="1">
      <alignment horizontal="center"/>
    </xf>
    <xf numFmtId="0" fontId="31" fillId="3" borderId="43" xfId="10" applyFont="1" applyFill="1" applyBorder="1" applyAlignment="1">
      <alignment horizontal="center"/>
    </xf>
    <xf numFmtId="0" fontId="31" fillId="0" borderId="63" xfId="10" applyFont="1" applyBorder="1" applyAlignment="1">
      <alignment horizontal="center" vertical="center"/>
    </xf>
    <xf numFmtId="0" fontId="32" fillId="0" borderId="64" xfId="10" applyFont="1" applyBorder="1"/>
    <xf numFmtId="10" fontId="31" fillId="0" borderId="65" xfId="2" applyNumberFormat="1" applyFont="1" applyFill="1" applyBorder="1" applyAlignment="1">
      <alignment horizontal="center"/>
    </xf>
    <xf numFmtId="9" fontId="32" fillId="0" borderId="0" xfId="2" applyFont="1"/>
    <xf numFmtId="0" fontId="32" fillId="0" borderId="26" xfId="10" applyFont="1" applyBorder="1" applyAlignment="1">
      <alignment horizontal="center"/>
    </xf>
    <xf numFmtId="165" fontId="32" fillId="0" borderId="48" xfId="10" applyNumberFormat="1" applyFont="1" applyBorder="1" applyAlignment="1">
      <alignment horizontal="center"/>
    </xf>
    <xf numFmtId="170" fontId="32" fillId="0" borderId="48" xfId="10" applyNumberFormat="1" applyFont="1" applyBorder="1" applyAlignment="1">
      <alignment horizontal="center"/>
    </xf>
    <xf numFmtId="165" fontId="31" fillId="5" borderId="66" xfId="10" applyNumberFormat="1" applyFont="1" applyFill="1" applyBorder="1" applyAlignment="1">
      <alignment horizontal="center"/>
    </xf>
    <xf numFmtId="10" fontId="32" fillId="0" borderId="0" xfId="2" applyNumberFormat="1" applyFont="1"/>
    <xf numFmtId="165" fontId="32" fillId="0" borderId="0" xfId="10" applyNumberFormat="1" applyFont="1"/>
    <xf numFmtId="0" fontId="32" fillId="0" borderId="31" xfId="10" applyFont="1" applyBorder="1" applyAlignment="1">
      <alignment horizontal="center"/>
    </xf>
    <xf numFmtId="165" fontId="31" fillId="5" borderId="67" xfId="10" applyNumberFormat="1" applyFont="1" applyFill="1" applyBorder="1" applyAlignment="1">
      <alignment horizontal="center"/>
    </xf>
    <xf numFmtId="0" fontId="32" fillId="0" borderId="36" xfId="10" applyFont="1" applyBorder="1" applyAlignment="1">
      <alignment horizontal="center"/>
    </xf>
    <xf numFmtId="165" fontId="32" fillId="0" borderId="52" xfId="10" applyNumberFormat="1" applyFont="1" applyBorder="1" applyAlignment="1">
      <alignment horizontal="center"/>
    </xf>
    <xf numFmtId="170" fontId="32" fillId="0" borderId="52" xfId="10" applyNumberFormat="1" applyFont="1" applyBorder="1" applyAlignment="1">
      <alignment horizontal="center"/>
    </xf>
    <xf numFmtId="165" fontId="31" fillId="5" borderId="68" xfId="10" applyNumberFormat="1" applyFont="1" applyFill="1" applyBorder="1" applyAlignment="1">
      <alignment horizontal="center"/>
    </xf>
    <xf numFmtId="10" fontId="35" fillId="0" borderId="0" xfId="2" applyNumberFormat="1" applyFont="1" applyFill="1" applyBorder="1" applyAlignment="1">
      <alignment horizontal="center"/>
    </xf>
    <xf numFmtId="0" fontId="32" fillId="0" borderId="0" xfId="10" applyFont="1" applyAlignment="1">
      <alignment horizontal="right"/>
    </xf>
    <xf numFmtId="10" fontId="32" fillId="0" borderId="0" xfId="10" applyNumberFormat="1" applyFont="1"/>
    <xf numFmtId="165" fontId="32" fillId="0" borderId="0" xfId="10" applyNumberFormat="1" applyFont="1" applyAlignment="1">
      <alignment horizontal="center"/>
    </xf>
    <xf numFmtId="171" fontId="32" fillId="0" borderId="0" xfId="11" applyNumberFormat="1" applyFont="1"/>
    <xf numFmtId="14" fontId="36" fillId="0" borderId="0" xfId="10" applyNumberFormat="1" applyFont="1" applyAlignment="1">
      <alignment horizontal="left"/>
    </xf>
    <xf numFmtId="0" fontId="37" fillId="0" borderId="13" xfId="10" applyFont="1" applyBorder="1" applyAlignment="1">
      <alignment horizontal="center" vertical="center"/>
    </xf>
    <xf numFmtId="0" fontId="37" fillId="0" borderId="14" xfId="10" applyFont="1" applyBorder="1" applyAlignment="1">
      <alignment horizontal="center" vertical="center"/>
    </xf>
    <xf numFmtId="0" fontId="37" fillId="0" borderId="15" xfId="10" applyFont="1" applyBorder="1" applyAlignment="1">
      <alignment horizontal="center" vertical="center"/>
    </xf>
    <xf numFmtId="0" fontId="38" fillId="0" borderId="0" xfId="10" applyFont="1"/>
    <xf numFmtId="0" fontId="37" fillId="6" borderId="13" xfId="10" applyFont="1" applyFill="1" applyBorder="1" applyAlignment="1">
      <alignment horizontal="center" vertical="center"/>
    </xf>
    <xf numFmtId="0" fontId="37" fillId="6" borderId="14" xfId="10" applyFont="1" applyFill="1" applyBorder="1" applyAlignment="1">
      <alignment horizontal="center" vertical="center"/>
    </xf>
    <xf numFmtId="0" fontId="37" fillId="6" borderId="15" xfId="10" applyFont="1" applyFill="1" applyBorder="1" applyAlignment="1">
      <alignment horizontal="center" vertical="center"/>
    </xf>
    <xf numFmtId="0" fontId="37" fillId="6" borderId="22" xfId="10" applyFont="1" applyFill="1" applyBorder="1" applyAlignment="1">
      <alignment horizontal="center" vertical="center" wrapText="1"/>
    </xf>
    <xf numFmtId="0" fontId="39" fillId="6" borderId="69" xfId="10" applyFont="1" applyFill="1" applyBorder="1" applyAlignment="1">
      <alignment horizontal="center" vertical="center" wrapText="1"/>
    </xf>
    <xf numFmtId="0" fontId="37" fillId="6" borderId="16" xfId="10" applyFont="1" applyFill="1" applyBorder="1" applyAlignment="1">
      <alignment horizontal="center" vertical="center" wrapText="1"/>
    </xf>
    <xf numFmtId="0" fontId="37" fillId="6" borderId="16" xfId="10" applyFont="1" applyFill="1" applyBorder="1" applyAlignment="1">
      <alignment horizontal="center" vertical="center"/>
    </xf>
    <xf numFmtId="0" fontId="38" fillId="0" borderId="10" xfId="10" applyFont="1" applyBorder="1" applyAlignment="1">
      <alignment horizontal="center" vertical="center"/>
    </xf>
    <xf numFmtId="0" fontId="38" fillId="0" borderId="70" xfId="10" applyFont="1" applyBorder="1" applyAlignment="1">
      <alignment horizontal="center" vertical="center"/>
    </xf>
    <xf numFmtId="0" fontId="38" fillId="0" borderId="48" xfId="10" applyFont="1" applyBorder="1" applyAlignment="1">
      <alignment horizontal="center" vertical="center"/>
    </xf>
    <xf numFmtId="0" fontId="38" fillId="0" borderId="11" xfId="10" applyFont="1" applyBorder="1" applyAlignment="1">
      <alignment horizontal="center" vertical="center"/>
    </xf>
    <xf numFmtId="0" fontId="38" fillId="0" borderId="12" xfId="10" applyFont="1" applyBorder="1" applyAlignment="1">
      <alignment horizontal="center" vertical="center"/>
    </xf>
    <xf numFmtId="0" fontId="31" fillId="0" borderId="1" xfId="10" applyFont="1" applyBorder="1"/>
    <xf numFmtId="0" fontId="31" fillId="0" borderId="3" xfId="10" applyFont="1" applyBorder="1"/>
    <xf numFmtId="0" fontId="31" fillId="0" borderId="1" xfId="10" applyFont="1" applyBorder="1" applyAlignment="1">
      <alignment horizontal="right"/>
    </xf>
    <xf numFmtId="37" fontId="31" fillId="0" borderId="4" xfId="10" applyNumberFormat="1" applyFont="1" applyBorder="1" applyAlignment="1">
      <alignment horizontal="center"/>
    </xf>
    <xf numFmtId="3" fontId="31" fillId="0" borderId="22" xfId="10" applyNumberFormat="1" applyFont="1" applyBorder="1" applyAlignment="1">
      <alignment wrapText="1"/>
    </xf>
    <xf numFmtId="3" fontId="31" fillId="0" borderId="21" xfId="10" applyNumberFormat="1" applyFont="1" applyBorder="1" applyAlignment="1">
      <alignment horizontal="center"/>
    </xf>
    <xf numFmtId="0" fontId="31" fillId="0" borderId="22" xfId="10" applyFont="1" applyBorder="1" applyAlignment="1">
      <alignment horizontal="center"/>
    </xf>
    <xf numFmtId="0" fontId="31" fillId="0" borderId="21" xfId="10" applyFont="1" applyBorder="1" applyAlignment="1">
      <alignment horizontal="center"/>
    </xf>
    <xf numFmtId="167" fontId="40" fillId="0" borderId="8" xfId="10" applyNumberFormat="1" applyFont="1" applyBorder="1" applyAlignment="1">
      <alignment horizontal="left"/>
    </xf>
    <xf numFmtId="167" fontId="40" fillId="0" borderId="23" xfId="10" applyNumberFormat="1" applyFont="1" applyBorder="1" applyAlignment="1">
      <alignment horizontal="center"/>
    </xf>
    <xf numFmtId="49" fontId="32" fillId="0" borderId="24" xfId="10" applyNumberFormat="1" applyFont="1" applyBorder="1"/>
    <xf numFmtId="49" fontId="32" fillId="0" borderId="0" xfId="10" applyNumberFormat="1" applyFont="1"/>
    <xf numFmtId="49" fontId="32" fillId="0" borderId="9" xfId="10" applyNumberFormat="1" applyFont="1" applyBorder="1"/>
    <xf numFmtId="10" fontId="20" fillId="0" borderId="0" xfId="2" applyNumberFormat="1" applyFont="1" applyBorder="1"/>
    <xf numFmtId="0" fontId="38" fillId="0" borderId="28" xfId="10" applyFont="1" applyBorder="1" applyAlignment="1">
      <alignment horizontal="center" vertical="center"/>
    </xf>
    <xf numFmtId="0" fontId="38" fillId="0" borderId="29" xfId="10" applyFont="1" applyBorder="1" applyAlignment="1">
      <alignment horizontal="center" vertical="center"/>
    </xf>
    <xf numFmtId="0" fontId="38" fillId="0" borderId="38" xfId="10" applyFont="1" applyBorder="1" applyAlignment="1">
      <alignment horizontal="center" vertical="center"/>
    </xf>
    <xf numFmtId="0" fontId="32" fillId="0" borderId="26" xfId="10" applyFont="1" applyBorder="1" applyAlignment="1">
      <alignment wrapText="1"/>
    </xf>
    <xf numFmtId="3" fontId="32" fillId="3" borderId="25" xfId="10" applyNumberFormat="1" applyFont="1" applyFill="1" applyBorder="1" applyAlignment="1">
      <alignment horizontal="center"/>
    </xf>
    <xf numFmtId="0" fontId="41" fillId="0" borderId="26" xfId="10" applyFont="1" applyBorder="1" applyAlignment="1">
      <alignment horizontal="center" vertical="center"/>
    </xf>
    <xf numFmtId="0" fontId="32" fillId="0" borderId="25" xfId="10" applyFont="1" applyBorder="1" applyAlignment="1">
      <alignment horizontal="center"/>
    </xf>
    <xf numFmtId="167" fontId="40" fillId="0" borderId="27" xfId="10" applyNumberFormat="1" applyFont="1" applyBorder="1" applyAlignment="1">
      <alignment horizontal="center"/>
    </xf>
    <xf numFmtId="0" fontId="32" fillId="0" borderId="0" xfId="10" applyFont="1" applyAlignment="1">
      <alignment vertical="center"/>
    </xf>
    <xf numFmtId="167" fontId="31" fillId="0" borderId="8" xfId="10" applyNumberFormat="1" applyFont="1" applyBorder="1"/>
    <xf numFmtId="171" fontId="20" fillId="0" borderId="0" xfId="11" applyNumberFormat="1" applyFont="1" applyBorder="1"/>
    <xf numFmtId="39" fontId="32" fillId="0" borderId="0" xfId="10" applyNumberFormat="1" applyFont="1"/>
    <xf numFmtId="171" fontId="20" fillId="0" borderId="9" xfId="11" applyNumberFormat="1" applyFont="1" applyFill="1" applyBorder="1"/>
    <xf numFmtId="0" fontId="32" fillId="0" borderId="31" xfId="10" applyFont="1" applyBorder="1" applyAlignment="1">
      <alignment vertical="center" wrapText="1"/>
    </xf>
    <xf numFmtId="3" fontId="32" fillId="3" borderId="30" xfId="10" applyNumberFormat="1" applyFont="1" applyFill="1" applyBorder="1" applyAlignment="1">
      <alignment horizontal="center" vertical="center"/>
    </xf>
    <xf numFmtId="0" fontId="41" fillId="0" borderId="31" xfId="10" applyFont="1" applyBorder="1" applyAlignment="1">
      <alignment horizontal="center" vertical="center"/>
    </xf>
    <xf numFmtId="0" fontId="32" fillId="0" borderId="30" xfId="10" applyFont="1" applyBorder="1" applyAlignment="1">
      <alignment horizontal="center" vertical="center"/>
    </xf>
    <xf numFmtId="9" fontId="20" fillId="0" borderId="0" xfId="2" applyFont="1" applyBorder="1"/>
    <xf numFmtId="171" fontId="20" fillId="0" borderId="9" xfId="11" applyNumberFormat="1" applyFont="1" applyBorder="1"/>
    <xf numFmtId="0" fontId="32" fillId="0" borderId="31" xfId="10" applyFont="1" applyBorder="1" applyAlignment="1">
      <alignment wrapText="1"/>
    </xf>
    <xf numFmtId="3" fontId="32" fillId="3" borderId="30" xfId="10" applyNumberFormat="1" applyFont="1" applyFill="1" applyBorder="1" applyAlignment="1">
      <alignment horizontal="center"/>
    </xf>
    <xf numFmtId="0" fontId="32" fillId="0" borderId="30" xfId="10" applyFont="1" applyBorder="1" applyAlignment="1">
      <alignment horizontal="center"/>
    </xf>
    <xf numFmtId="0" fontId="32" fillId="0" borderId="8" xfId="10" applyFont="1" applyBorder="1"/>
    <xf numFmtId="167" fontId="40" fillId="0" borderId="10" xfId="10" applyNumberFormat="1" applyFont="1" applyBorder="1" applyAlignment="1">
      <alignment horizontal="left"/>
    </xf>
    <xf numFmtId="167" fontId="40" fillId="0" borderId="32" xfId="10" applyNumberFormat="1" applyFont="1" applyBorder="1" applyAlignment="1">
      <alignment horizontal="center"/>
    </xf>
    <xf numFmtId="49" fontId="32" fillId="0" borderId="11" xfId="10" applyNumberFormat="1" applyFont="1" applyBorder="1"/>
    <xf numFmtId="49" fontId="32" fillId="0" borderId="12" xfId="10" applyNumberFormat="1" applyFont="1" applyBorder="1"/>
    <xf numFmtId="0" fontId="32" fillId="0" borderId="8" xfId="10" applyFont="1" applyBorder="1" applyAlignment="1">
      <alignment horizontal="left"/>
    </xf>
    <xf numFmtId="0" fontId="20" fillId="3" borderId="31" xfId="12" applyFont="1" applyFill="1" applyBorder="1"/>
    <xf numFmtId="4" fontId="32" fillId="3" borderId="31" xfId="10" applyNumberFormat="1" applyFont="1" applyFill="1" applyBorder="1" applyAlignment="1">
      <alignment horizontal="center"/>
    </xf>
    <xf numFmtId="167" fontId="38" fillId="0" borderId="28" xfId="10" applyNumberFormat="1" applyFont="1" applyBorder="1" applyAlignment="1">
      <alignment horizontal="center"/>
    </xf>
    <xf numFmtId="167" fontId="38" fillId="0" borderId="41" xfId="10" applyNumberFormat="1" applyFont="1" applyBorder="1" applyAlignment="1">
      <alignment horizontal="center"/>
    </xf>
    <xf numFmtId="49" fontId="32" fillId="0" borderId="71" xfId="10" applyNumberFormat="1" applyFont="1" applyBorder="1"/>
    <xf numFmtId="49" fontId="32" fillId="0" borderId="29" xfId="10" applyNumberFormat="1" applyFont="1" applyBorder="1"/>
    <xf numFmtId="49" fontId="32" fillId="0" borderId="38" xfId="10" applyNumberFormat="1" applyFont="1" applyBorder="1"/>
    <xf numFmtId="0" fontId="32" fillId="0" borderId="8" xfId="10" applyFont="1" applyBorder="1" applyAlignment="1">
      <alignment horizontal="left" wrapText="1"/>
    </xf>
    <xf numFmtId="0" fontId="41" fillId="3" borderId="72" xfId="12" applyFont="1" applyFill="1" applyBorder="1" applyAlignment="1">
      <alignment vertical="center" wrapText="1"/>
    </xf>
    <xf numFmtId="3" fontId="32" fillId="3" borderId="35" xfId="10" applyNumberFormat="1" applyFont="1" applyFill="1" applyBorder="1" applyAlignment="1">
      <alignment horizontal="center"/>
    </xf>
    <xf numFmtId="4" fontId="32" fillId="3" borderId="36" xfId="10" applyNumberFormat="1" applyFont="1" applyFill="1" applyBorder="1" applyAlignment="1">
      <alignment horizontal="center"/>
    </xf>
    <xf numFmtId="0" fontId="32" fillId="0" borderId="37" xfId="10" applyFont="1" applyBorder="1" applyAlignment="1">
      <alignment horizontal="center"/>
    </xf>
    <xf numFmtId="2" fontId="40" fillId="0" borderId="27" xfId="10" applyNumberFormat="1" applyFont="1" applyBorder="1" applyAlignment="1">
      <alignment horizontal="center"/>
    </xf>
    <xf numFmtId="0" fontId="31" fillId="0" borderId="22" xfId="10" applyFont="1" applyBorder="1" applyAlignment="1">
      <alignment wrapText="1"/>
    </xf>
    <xf numFmtId="0" fontId="31" fillId="0" borderId="26" xfId="10" applyFont="1" applyBorder="1" applyAlignment="1">
      <alignment wrapText="1"/>
    </xf>
    <xf numFmtId="3" fontId="31" fillId="0" borderId="25" xfId="10" applyNumberFormat="1" applyFont="1" applyBorder="1" applyAlignment="1">
      <alignment horizontal="center"/>
    </xf>
    <xf numFmtId="171" fontId="20" fillId="0" borderId="0" xfId="11" applyNumberFormat="1" applyFont="1" applyFill="1" applyBorder="1"/>
    <xf numFmtId="0" fontId="32" fillId="0" borderId="73" xfId="10" applyFont="1" applyBorder="1" applyAlignment="1">
      <alignment wrapText="1"/>
    </xf>
    <xf numFmtId="4" fontId="32" fillId="0" borderId="39" xfId="10" applyNumberFormat="1" applyFont="1" applyBorder="1" applyAlignment="1">
      <alignment horizontal="center"/>
    </xf>
    <xf numFmtId="0" fontId="31" fillId="0" borderId="28" xfId="10" applyFont="1" applyBorder="1"/>
    <xf numFmtId="37" fontId="31" fillId="0" borderId="29" xfId="10" applyNumberFormat="1" applyFont="1" applyBorder="1"/>
    <xf numFmtId="39" fontId="31" fillId="0" borderId="29" xfId="10" applyNumberFormat="1" applyFont="1" applyBorder="1"/>
    <xf numFmtId="171" fontId="31" fillId="0" borderId="38" xfId="11" applyNumberFormat="1" applyFont="1" applyBorder="1"/>
    <xf numFmtId="2" fontId="40" fillId="0" borderId="32" xfId="10" applyNumberFormat="1" applyFont="1" applyBorder="1" applyAlignment="1">
      <alignment horizontal="center"/>
    </xf>
    <xf numFmtId="10" fontId="32" fillId="0" borderId="0" xfId="2" applyNumberFormat="1" applyFont="1" applyBorder="1"/>
    <xf numFmtId="39" fontId="31" fillId="0" borderId="0" xfId="10" applyNumberFormat="1" applyFont="1"/>
    <xf numFmtId="0" fontId="38" fillId="0" borderId="28" xfId="10" applyFont="1" applyBorder="1" applyAlignment="1">
      <alignment horizontal="center"/>
    </xf>
    <xf numFmtId="0" fontId="38" fillId="0" borderId="41" xfId="10" applyFont="1" applyBorder="1" applyAlignment="1">
      <alignment horizontal="center"/>
    </xf>
    <xf numFmtId="0" fontId="32" fillId="0" borderId="29" xfId="10" applyFont="1" applyBorder="1" applyAlignment="1">
      <alignment horizontal="left"/>
    </xf>
    <xf numFmtId="0" fontId="32" fillId="0" borderId="38" xfId="10" applyFont="1" applyBorder="1" applyAlignment="1">
      <alignment horizontal="left"/>
    </xf>
    <xf numFmtId="0" fontId="32" fillId="0" borderId="54" xfId="10" applyFont="1" applyBorder="1"/>
    <xf numFmtId="10" fontId="32" fillId="0" borderId="55" xfId="10" applyNumberFormat="1" applyFont="1" applyBorder="1"/>
    <xf numFmtId="37" fontId="32" fillId="0" borderId="55" xfId="10" applyNumberFormat="1" applyFont="1" applyBorder="1"/>
    <xf numFmtId="171" fontId="20" fillId="0" borderId="56" xfId="11" applyNumberFormat="1" applyFont="1" applyBorder="1"/>
    <xf numFmtId="0" fontId="40" fillId="0" borderId="8" xfId="10" applyFont="1" applyBorder="1" applyAlignment="1">
      <alignment horizontal="left"/>
    </xf>
    <xf numFmtId="10" fontId="40" fillId="0" borderId="27" xfId="10" applyNumberFormat="1" applyFont="1" applyBorder="1" applyAlignment="1">
      <alignment horizontal="center" vertical="center"/>
    </xf>
    <xf numFmtId="10" fontId="24" fillId="0" borderId="0" xfId="0" applyNumberFormat="1" applyFont="1"/>
    <xf numFmtId="0" fontId="32" fillId="0" borderId="0" xfId="10" applyFont="1" applyAlignment="1">
      <alignment horizontal="left"/>
    </xf>
    <xf numFmtId="0" fontId="32" fillId="0" borderId="9" xfId="10" applyFont="1" applyBorder="1" applyAlignment="1">
      <alignment horizontal="left"/>
    </xf>
    <xf numFmtId="0" fontId="31" fillId="0" borderId="54" xfId="10" applyFont="1" applyBorder="1"/>
    <xf numFmtId="37" fontId="31" fillId="0" borderId="55" xfId="10" applyNumberFormat="1" applyFont="1" applyBorder="1"/>
    <xf numFmtId="171" fontId="31" fillId="0" borderId="56" xfId="11" applyNumberFormat="1" applyFont="1" applyBorder="1"/>
    <xf numFmtId="49" fontId="32" fillId="0" borderId="24" xfId="10" applyNumberFormat="1" applyFont="1" applyBorder="1" applyAlignment="1">
      <alignment horizontal="left"/>
    </xf>
    <xf numFmtId="49" fontId="32" fillId="0" borderId="0" xfId="10" applyNumberFormat="1" applyFont="1" applyAlignment="1">
      <alignment horizontal="left"/>
    </xf>
    <xf numFmtId="37" fontId="32" fillId="0" borderId="0" xfId="10" applyNumberFormat="1" applyFont="1"/>
    <xf numFmtId="0" fontId="40" fillId="0" borderId="8" xfId="10" applyFont="1" applyBorder="1"/>
    <xf numFmtId="0" fontId="40" fillId="0" borderId="10" xfId="10" applyFont="1" applyBorder="1"/>
    <xf numFmtId="10" fontId="40" fillId="0" borderId="32" xfId="10" applyNumberFormat="1" applyFont="1" applyBorder="1" applyAlignment="1">
      <alignment horizontal="center" vertical="center"/>
    </xf>
    <xf numFmtId="0" fontId="32" fillId="0" borderId="11" xfId="10" applyFont="1" applyBorder="1" applyAlignment="1">
      <alignment horizontal="left"/>
    </xf>
    <xf numFmtId="0" fontId="32" fillId="0" borderId="12" xfId="10" applyFont="1" applyBorder="1" applyAlignment="1">
      <alignment horizontal="left"/>
    </xf>
    <xf numFmtId="0" fontId="40" fillId="0" borderId="71" xfId="10" applyFont="1" applyBorder="1" applyAlignment="1">
      <alignment horizontal="left"/>
    </xf>
    <xf numFmtId="173" fontId="32" fillId="0" borderId="0" xfId="10" applyNumberFormat="1" applyFont="1"/>
    <xf numFmtId="0" fontId="40" fillId="0" borderId="7" xfId="10" applyFont="1" applyBorder="1" applyAlignment="1">
      <alignment horizontal="left"/>
    </xf>
    <xf numFmtId="0" fontId="42" fillId="0" borderId="44" xfId="10" applyFont="1" applyBorder="1"/>
    <xf numFmtId="10" fontId="42" fillId="0" borderId="46" xfId="8" applyNumberFormat="1" applyFont="1" applyFill="1" applyBorder="1" applyAlignment="1">
      <alignment horizontal="center"/>
    </xf>
    <xf numFmtId="0" fontId="40" fillId="0" borderId="6" xfId="10" applyFont="1" applyBorder="1" applyAlignment="1">
      <alignment horizontal="left"/>
    </xf>
    <xf numFmtId="0" fontId="32" fillId="0" borderId="7" xfId="10" applyFont="1" applyBorder="1" applyAlignment="1">
      <alignment horizontal="left"/>
    </xf>
    <xf numFmtId="0" fontId="42" fillId="0" borderId="0" xfId="10" applyFont="1"/>
    <xf numFmtId="10" fontId="42" fillId="0" borderId="0" xfId="2" applyNumberFormat="1" applyFont="1" applyFill="1" applyBorder="1" applyAlignment="1">
      <alignment horizontal="center"/>
    </xf>
    <xf numFmtId="10" fontId="42" fillId="0" borderId="0" xfId="10" applyNumberFormat="1" applyFont="1" applyAlignment="1">
      <alignment horizontal="center"/>
    </xf>
    <xf numFmtId="0" fontId="31" fillId="0" borderId="8" xfId="10" applyFont="1" applyBorder="1"/>
    <xf numFmtId="171" fontId="31" fillId="0" borderId="9" xfId="11" applyNumberFormat="1" applyFont="1" applyBorder="1"/>
    <xf numFmtId="0" fontId="31" fillId="0" borderId="44" xfId="10" applyFont="1" applyBorder="1"/>
    <xf numFmtId="0" fontId="31" fillId="0" borderId="34" xfId="10" applyFont="1" applyBorder="1"/>
    <xf numFmtId="39" fontId="31" fillId="0" borderId="34" xfId="10" applyNumberFormat="1" applyFont="1" applyBorder="1"/>
    <xf numFmtId="44" fontId="31" fillId="5" borderId="53" xfId="11" applyFont="1" applyFill="1" applyBorder="1"/>
    <xf numFmtId="174" fontId="32" fillId="0" borderId="0" xfId="10" applyNumberFormat="1" applyFont="1"/>
    <xf numFmtId="0" fontId="32" fillId="4" borderId="0" xfId="10" applyFont="1" applyFill="1"/>
    <xf numFmtId="0" fontId="37" fillId="0" borderId="0" xfId="10" applyFont="1" applyAlignment="1">
      <alignment horizontal="center" vertical="center"/>
    </xf>
    <xf numFmtId="0" fontId="31" fillId="0" borderId="0" xfId="10" applyFont="1" applyAlignment="1">
      <alignment horizontal="center"/>
    </xf>
    <xf numFmtId="44" fontId="32" fillId="0" borderId="0" xfId="11" applyFont="1"/>
    <xf numFmtId="0" fontId="31" fillId="0" borderId="40" xfId="10" applyFont="1" applyBorder="1"/>
    <xf numFmtId="10" fontId="43" fillId="0" borderId="57" xfId="8" applyNumberFormat="1" applyFont="1" applyFill="1" applyBorder="1" applyAlignment="1">
      <alignment horizontal="right"/>
    </xf>
    <xf numFmtId="0" fontId="32" fillId="0" borderId="57" xfId="10" applyFont="1" applyBorder="1" applyAlignment="1">
      <alignment horizontal="left"/>
    </xf>
    <xf numFmtId="0" fontId="32" fillId="0" borderId="74" xfId="10" applyFont="1" applyBorder="1" applyAlignment="1">
      <alignment horizontal="left"/>
    </xf>
    <xf numFmtId="0" fontId="32" fillId="0" borderId="24" xfId="10" applyFont="1" applyBorder="1"/>
    <xf numFmtId="0" fontId="32" fillId="0" borderId="75" xfId="10" applyFont="1" applyBorder="1"/>
    <xf numFmtId="0" fontId="32" fillId="0" borderId="0" xfId="10" applyFont="1" applyAlignment="1">
      <alignment horizontal="center" vertical="center"/>
    </xf>
    <xf numFmtId="0" fontId="32" fillId="0" borderId="48" xfId="10" applyFont="1" applyBorder="1"/>
    <xf numFmtId="0" fontId="32" fillId="0" borderId="11" xfId="10" applyFont="1" applyBorder="1"/>
    <xf numFmtId="0" fontId="32" fillId="0" borderId="70" xfId="10" applyFont="1" applyBorder="1"/>
    <xf numFmtId="0" fontId="31" fillId="0" borderId="0" xfId="10" applyFont="1" applyAlignment="1">
      <alignment horizontal="right"/>
    </xf>
    <xf numFmtId="0" fontId="32" fillId="0" borderId="0" xfId="0" applyFont="1"/>
    <xf numFmtId="0" fontId="32" fillId="4" borderId="13" xfId="0" applyFont="1" applyFill="1" applyBorder="1" applyAlignment="1">
      <alignment horizontal="center"/>
    </xf>
    <xf numFmtId="0" fontId="32" fillId="4" borderId="14" xfId="0" applyFont="1" applyFill="1" applyBorder="1" applyAlignment="1">
      <alignment horizontal="center"/>
    </xf>
    <xf numFmtId="0" fontId="32" fillId="4" borderId="15" xfId="0" applyFont="1" applyFill="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31" fillId="0" borderId="15" xfId="0" applyFont="1" applyBorder="1" applyAlignment="1">
      <alignment horizontal="center"/>
    </xf>
    <xf numFmtId="0" fontId="32" fillId="0" borderId="17" xfId="0" applyFont="1" applyBorder="1"/>
    <xf numFmtId="0" fontId="32" fillId="0" borderId="2" xfId="0" applyFont="1" applyBorder="1"/>
    <xf numFmtId="3" fontId="32" fillId="0" borderId="20" xfId="0" applyNumberFormat="1" applyFont="1" applyBorder="1"/>
    <xf numFmtId="0" fontId="31" fillId="0" borderId="16" xfId="0" applyFont="1" applyBorder="1" applyAlignment="1">
      <alignment horizontal="center"/>
    </xf>
    <xf numFmtId="0" fontId="32" fillId="0" borderId="10" xfId="0" applyFont="1" applyBorder="1"/>
    <xf numFmtId="0" fontId="32" fillId="0" borderId="11" xfId="0" applyFont="1" applyBorder="1"/>
    <xf numFmtId="0" fontId="32" fillId="0" borderId="11" xfId="0" applyFont="1" applyBorder="1" applyAlignment="1">
      <alignment horizontal="center"/>
    </xf>
    <xf numFmtId="0" fontId="32" fillId="0" borderId="12" xfId="0" applyFont="1" applyBorder="1"/>
    <xf numFmtId="0" fontId="32" fillId="0" borderId="8" xfId="0" applyFont="1" applyBorder="1"/>
    <xf numFmtId="171" fontId="32" fillId="0" borderId="76" xfId="13" applyNumberFormat="1" applyFont="1" applyFill="1" applyBorder="1"/>
    <xf numFmtId="171" fontId="32" fillId="0" borderId="0" xfId="0" applyNumberFormat="1" applyFont="1"/>
    <xf numFmtId="2" fontId="32" fillId="0" borderId="0" xfId="0" applyNumberFormat="1" applyFont="1" applyAlignment="1">
      <alignment horizontal="center"/>
    </xf>
    <xf numFmtId="171" fontId="32" fillId="0" borderId="38" xfId="0" applyNumberFormat="1" applyFont="1" applyBorder="1"/>
    <xf numFmtId="10" fontId="32" fillId="0" borderId="27" xfId="14" applyNumberFormat="1" applyFont="1" applyFill="1" applyBorder="1"/>
    <xf numFmtId="0" fontId="32" fillId="0" borderId="5" xfId="0" applyFont="1" applyBorder="1"/>
    <xf numFmtId="0" fontId="32" fillId="0" borderId="6" xfId="0" applyFont="1" applyBorder="1"/>
    <xf numFmtId="171" fontId="32" fillId="0" borderId="7" xfId="0" applyNumberFormat="1" applyFont="1" applyBorder="1"/>
    <xf numFmtId="171" fontId="32" fillId="0" borderId="27" xfId="13" applyNumberFormat="1" applyFont="1" applyFill="1" applyBorder="1"/>
    <xf numFmtId="0" fontId="32" fillId="0" borderId="9" xfId="0" applyFont="1" applyBorder="1"/>
    <xf numFmtId="0" fontId="40" fillId="0" borderId="8" xfId="0" applyFont="1" applyBorder="1"/>
    <xf numFmtId="10" fontId="32" fillId="0" borderId="3" xfId="0" applyNumberFormat="1" applyFont="1" applyBorder="1"/>
    <xf numFmtId="0" fontId="32" fillId="0" borderId="3" xfId="0" applyFont="1" applyBorder="1"/>
    <xf numFmtId="171" fontId="32" fillId="0" borderId="4" xfId="0" applyNumberFormat="1" applyFont="1" applyBorder="1"/>
    <xf numFmtId="0" fontId="32" fillId="0" borderId="49" xfId="0" applyFont="1" applyBorder="1"/>
    <xf numFmtId="10" fontId="32" fillId="0" borderId="50" xfId="2" applyNumberFormat="1" applyFont="1" applyBorder="1"/>
    <xf numFmtId="0" fontId="32" fillId="0" borderId="50" xfId="0" applyFont="1" applyBorder="1"/>
    <xf numFmtId="171" fontId="32" fillId="0" borderId="51" xfId="0" applyNumberFormat="1" applyFont="1" applyBorder="1"/>
    <xf numFmtId="10" fontId="24" fillId="0" borderId="27" xfId="2" applyNumberFormat="1" applyFont="1" applyFill="1" applyBorder="1" applyAlignment="1">
      <alignment horizontal="right"/>
    </xf>
    <xf numFmtId="49" fontId="23" fillId="0" borderId="9" xfId="7" applyNumberFormat="1" applyFont="1" applyBorder="1"/>
    <xf numFmtId="171" fontId="32" fillId="0" borderId="9" xfId="0" applyNumberFormat="1" applyFont="1" applyBorder="1"/>
    <xf numFmtId="0" fontId="45" fillId="0" borderId="8" xfId="0" applyFont="1" applyBorder="1"/>
    <xf numFmtId="10" fontId="32" fillId="0" borderId="27" xfId="2" applyNumberFormat="1" applyFont="1" applyFill="1" applyBorder="1"/>
    <xf numFmtId="0" fontId="24" fillId="0" borderId="9" xfId="0" applyFont="1" applyBorder="1"/>
    <xf numFmtId="9" fontId="32" fillId="0" borderId="0" xfId="2" applyFont="1" applyBorder="1"/>
    <xf numFmtId="10" fontId="32" fillId="0" borderId="77" xfId="14" applyNumberFormat="1" applyFont="1" applyFill="1" applyBorder="1"/>
    <xf numFmtId="49" fontId="23" fillId="0" borderId="7" xfId="7" applyNumberFormat="1" applyFont="1" applyBorder="1"/>
    <xf numFmtId="10" fontId="32" fillId="0" borderId="6" xfId="14" applyNumberFormat="1" applyFont="1" applyFill="1" applyBorder="1"/>
    <xf numFmtId="0" fontId="46" fillId="0" borderId="37" xfId="0" applyFont="1" applyBorder="1"/>
    <xf numFmtId="0" fontId="32" fillId="0" borderId="28" xfId="0" applyFont="1" applyBorder="1"/>
    <xf numFmtId="10" fontId="32" fillId="0" borderId="29" xfId="0" applyNumberFormat="1" applyFont="1" applyBorder="1"/>
    <xf numFmtId="0" fontId="32" fillId="0" borderId="29" xfId="0" applyFont="1" applyBorder="1"/>
    <xf numFmtId="0" fontId="32" fillId="0" borderId="13" xfId="0" applyFont="1" applyBorder="1"/>
    <xf numFmtId="0" fontId="32" fillId="0" borderId="14" xfId="0" applyFont="1" applyBorder="1"/>
    <xf numFmtId="171" fontId="32" fillId="0" borderId="15" xfId="0" applyNumberFormat="1" applyFont="1" applyBorder="1"/>
    <xf numFmtId="10" fontId="32" fillId="0" borderId="0" xfId="0" applyNumberFormat="1" applyFont="1"/>
    <xf numFmtId="0" fontId="42" fillId="0" borderId="0" xfId="0" applyFont="1"/>
    <xf numFmtId="44" fontId="32" fillId="5" borderId="15" xfId="0" applyNumberFormat="1" applyFont="1" applyFill="1" applyBorder="1"/>
    <xf numFmtId="44" fontId="42" fillId="0" borderId="0" xfId="0" applyNumberFormat="1" applyFont="1"/>
    <xf numFmtId="44" fontId="32" fillId="0" borderId="0" xfId="0" applyNumberFormat="1" applyFont="1"/>
    <xf numFmtId="44" fontId="32" fillId="4" borderId="0" xfId="0" applyNumberFormat="1" applyFont="1" applyFill="1"/>
    <xf numFmtId="175" fontId="32" fillId="0" borderId="0" xfId="0" applyNumberFormat="1" applyFont="1"/>
    <xf numFmtId="2" fontId="32" fillId="0" borderId="0" xfId="0" applyNumberFormat="1" applyFont="1"/>
    <xf numFmtId="0" fontId="47" fillId="0" borderId="0" xfId="0" applyFont="1"/>
    <xf numFmtId="0" fontId="24" fillId="0" borderId="0" xfId="0" applyFont="1" applyAlignment="1">
      <alignment horizontal="center"/>
    </xf>
    <xf numFmtId="1" fontId="48" fillId="0" borderId="0" xfId="0" applyNumberFormat="1" applyFont="1" applyAlignment="1">
      <alignment horizontal="right"/>
    </xf>
    <xf numFmtId="0" fontId="21" fillId="7" borderId="13" xfId="0" applyFont="1" applyFill="1" applyBorder="1" applyAlignment="1">
      <alignment horizontal="center" vertical="center"/>
    </xf>
    <xf numFmtId="0" fontId="21" fillId="7" borderId="14" xfId="0" applyFont="1" applyFill="1" applyBorder="1" applyAlignment="1">
      <alignment horizontal="center" vertical="center"/>
    </xf>
    <xf numFmtId="0" fontId="21" fillId="7" borderId="15" xfId="0" applyFont="1" applyFill="1" applyBorder="1" applyAlignment="1">
      <alignment horizontal="center" vertical="center"/>
    </xf>
    <xf numFmtId="167" fontId="21" fillId="0" borderId="17" xfId="0" applyNumberFormat="1" applyFont="1" applyBorder="1" applyAlignment="1">
      <alignment horizontal="center"/>
    </xf>
    <xf numFmtId="167" fontId="21" fillId="0" borderId="2" xfId="0" applyNumberFormat="1" applyFont="1" applyBorder="1" applyAlignment="1">
      <alignment horizontal="center"/>
    </xf>
    <xf numFmtId="167" fontId="21" fillId="0" borderId="19" xfId="0" applyNumberFormat="1" applyFont="1" applyBorder="1" applyAlignment="1">
      <alignment horizontal="center"/>
    </xf>
    <xf numFmtId="167" fontId="21" fillId="0" borderId="2" xfId="0" applyNumberFormat="1" applyFont="1" applyBorder="1" applyAlignment="1">
      <alignment horizontal="center"/>
    </xf>
    <xf numFmtId="167" fontId="21" fillId="0" borderId="20" xfId="0" applyNumberFormat="1" applyFont="1" applyBorder="1" applyAlignment="1">
      <alignment horizontal="center"/>
    </xf>
    <xf numFmtId="0" fontId="21" fillId="0" borderId="3" xfId="0" applyFont="1" applyBorder="1" applyAlignment="1">
      <alignment horizontal="center"/>
    </xf>
    <xf numFmtId="3" fontId="21" fillId="0" borderId="4" xfId="0" applyNumberFormat="1" applyFont="1" applyBorder="1" applyAlignment="1">
      <alignment horizontal="center"/>
    </xf>
    <xf numFmtId="0" fontId="18" fillId="0" borderId="8" xfId="0" applyFont="1" applyBorder="1"/>
    <xf numFmtId="167" fontId="18" fillId="0" borderId="27" xfId="0" applyNumberFormat="1" applyFont="1" applyBorder="1" applyAlignment="1">
      <alignment horizontal="center"/>
    </xf>
    <xf numFmtId="167" fontId="21" fillId="0" borderId="0" xfId="0" applyNumberFormat="1" applyFont="1" applyAlignment="1">
      <alignment horizontal="center"/>
    </xf>
    <xf numFmtId="167" fontId="21" fillId="0" borderId="9" xfId="0" applyNumberFormat="1" applyFont="1" applyBorder="1" applyAlignment="1">
      <alignment horizontal="center"/>
    </xf>
    <xf numFmtId="167" fontId="24" fillId="0" borderId="9" xfId="0" applyNumberFormat="1" applyFont="1" applyBorder="1"/>
    <xf numFmtId="42" fontId="24" fillId="0" borderId="9" xfId="0" applyNumberFormat="1" applyFont="1" applyBorder="1"/>
    <xf numFmtId="167" fontId="24" fillId="0" borderId="11" xfId="0" applyNumberFormat="1" applyFont="1" applyBorder="1"/>
    <xf numFmtId="167" fontId="24" fillId="0" borderId="12" xfId="0" applyNumberFormat="1" applyFont="1" applyBorder="1"/>
    <xf numFmtId="0" fontId="18" fillId="0" borderId="28" xfId="0" applyFont="1" applyBorder="1" applyAlignment="1">
      <alignment horizontal="center"/>
    </xf>
    <xf numFmtId="0" fontId="18" fillId="0" borderId="41" xfId="0" applyFont="1" applyBorder="1" applyAlignment="1">
      <alignment horizontal="center"/>
    </xf>
    <xf numFmtId="0" fontId="18" fillId="0" borderId="29" xfId="0" quotePrefix="1" applyFont="1" applyBorder="1" applyAlignment="1">
      <alignment horizontal="center"/>
    </xf>
    <xf numFmtId="0" fontId="18" fillId="0" borderId="38" xfId="0" quotePrefix="1" applyFont="1" applyBorder="1" applyAlignment="1">
      <alignment horizontal="center"/>
    </xf>
    <xf numFmtId="0" fontId="18" fillId="0" borderId="0" xfId="0" quotePrefix="1" applyFont="1" applyAlignment="1">
      <alignment horizontal="center"/>
    </xf>
    <xf numFmtId="0" fontId="18" fillId="0" borderId="9" xfId="0" quotePrefix="1" applyFont="1" applyBorder="1" applyAlignment="1">
      <alignment horizontal="center"/>
    </xf>
    <xf numFmtId="0" fontId="18" fillId="0" borderId="29" xfId="0" applyFont="1" applyBorder="1"/>
    <xf numFmtId="4" fontId="18" fillId="0" borderId="29" xfId="0" applyNumberFormat="1" applyFont="1" applyBorder="1" applyAlignment="1">
      <alignment horizontal="center"/>
    </xf>
    <xf numFmtId="42" fontId="18" fillId="0" borderId="38" xfId="0" applyNumberFormat="1" applyFont="1" applyBorder="1"/>
    <xf numFmtId="171" fontId="24" fillId="0" borderId="9" xfId="0" applyNumberFormat="1" applyFont="1" applyBorder="1"/>
    <xf numFmtId="2" fontId="24" fillId="0" borderId="24" xfId="0" applyNumberFormat="1" applyFont="1" applyBorder="1" applyAlignment="1">
      <alignment horizontal="center"/>
    </xf>
    <xf numFmtId="2" fontId="24" fillId="0" borderId="0" xfId="0" applyNumberFormat="1" applyFont="1" applyAlignment="1">
      <alignment horizontal="center"/>
    </xf>
    <xf numFmtId="2" fontId="24" fillId="0" borderId="9" xfId="0" applyNumberFormat="1" applyFont="1" applyBorder="1" applyAlignment="1">
      <alignment horizontal="center"/>
    </xf>
    <xf numFmtId="44" fontId="18" fillId="0" borderId="29" xfId="0" applyNumberFormat="1" applyFont="1" applyBorder="1" applyAlignment="1">
      <alignment horizontal="center"/>
    </xf>
    <xf numFmtId="167" fontId="24" fillId="0" borderId="48" xfId="0" applyNumberFormat="1" applyFont="1" applyBorder="1"/>
    <xf numFmtId="0" fontId="21" fillId="0" borderId="28" xfId="0" applyFont="1" applyBorder="1" applyAlignment="1">
      <alignment horizontal="center"/>
    </xf>
    <xf numFmtId="0" fontId="21" fillId="0" borderId="41" xfId="0" applyFont="1" applyBorder="1" applyAlignment="1">
      <alignment horizontal="center"/>
    </xf>
    <xf numFmtId="0" fontId="49" fillId="0" borderId="29" xfId="0" applyFont="1" applyBorder="1" applyAlignment="1">
      <alignment horizontal="center"/>
    </xf>
    <xf numFmtId="0" fontId="49" fillId="0" borderId="38" xfId="0" applyFont="1" applyBorder="1" applyAlignment="1">
      <alignment horizontal="center"/>
    </xf>
    <xf numFmtId="10" fontId="24" fillId="0" borderId="23" xfId="0" applyNumberFormat="1" applyFont="1" applyBorder="1" applyAlignment="1">
      <alignment horizontal="center"/>
    </xf>
    <xf numFmtId="10" fontId="24" fillId="0" borderId="9" xfId="0" applyNumberFormat="1" applyFont="1" applyBorder="1"/>
    <xf numFmtId="1" fontId="24" fillId="0" borderId="0" xfId="0" applyNumberFormat="1" applyFont="1"/>
    <xf numFmtId="1" fontId="24" fillId="0" borderId="9" xfId="0" applyNumberFormat="1" applyFont="1" applyBorder="1"/>
    <xf numFmtId="44" fontId="47" fillId="0" borderId="0" xfId="1" applyFont="1"/>
    <xf numFmtId="172" fontId="24" fillId="0" borderId="27" xfId="0" applyNumberFormat="1" applyFont="1" applyBorder="1" applyAlignment="1">
      <alignment horizontal="center"/>
    </xf>
    <xf numFmtId="0" fontId="18" fillId="0" borderId="29" xfId="0" applyFont="1" applyBorder="1" applyAlignment="1">
      <alignment horizontal="center"/>
    </xf>
    <xf numFmtId="10" fontId="24" fillId="0" borderId="27" xfId="0" applyNumberFormat="1" applyFont="1" applyBorder="1" applyAlignment="1">
      <alignment horizontal="center"/>
    </xf>
    <xf numFmtId="171" fontId="21" fillId="0" borderId="9" xfId="9" applyNumberFormat="1" applyFont="1" applyBorder="1"/>
    <xf numFmtId="0" fontId="24" fillId="0" borderId="8" xfId="6" applyFont="1" applyBorder="1"/>
    <xf numFmtId="10" fontId="24" fillId="0" borderId="32" xfId="0" applyNumberFormat="1" applyFont="1" applyBorder="1" applyAlignment="1">
      <alignment horizontal="center"/>
    </xf>
    <xf numFmtId="1" fontId="24" fillId="0" borderId="48" xfId="0" applyNumberFormat="1" applyFont="1" applyBorder="1"/>
    <xf numFmtId="1" fontId="24" fillId="0" borderId="11" xfId="0" applyNumberFormat="1" applyFont="1" applyBorder="1"/>
    <xf numFmtId="1" fontId="24" fillId="0" borderId="12" xfId="0" applyNumberFormat="1" applyFont="1" applyBorder="1"/>
    <xf numFmtId="0" fontId="19" fillId="0" borderId="13" xfId="0" applyFont="1" applyBorder="1"/>
    <xf numFmtId="0" fontId="19" fillId="0" borderId="14" xfId="0" applyFont="1" applyBorder="1"/>
    <xf numFmtId="44" fontId="19" fillId="0" borderId="14" xfId="9" applyFont="1" applyBorder="1" applyAlignment="1">
      <alignment horizontal="center"/>
    </xf>
    <xf numFmtId="44" fontId="21" fillId="5" borderId="15" xfId="9" applyFont="1" applyFill="1" applyBorder="1"/>
    <xf numFmtId="0" fontId="50" fillId="0" borderId="44" xfId="0" applyFont="1" applyBorder="1"/>
    <xf numFmtId="10" fontId="50" fillId="0" borderId="77" xfId="8" applyNumberFormat="1" applyFont="1" applyFill="1" applyBorder="1" applyAlignment="1">
      <alignment horizontal="center"/>
    </xf>
    <xf numFmtId="0" fontId="24" fillId="0" borderId="52" xfId="0" applyFont="1" applyBorder="1"/>
    <xf numFmtId="10" fontId="24" fillId="0" borderId="6" xfId="0" applyNumberFormat="1" applyFont="1" applyBorder="1"/>
    <xf numFmtId="10" fontId="24" fillId="0" borderId="7" xfId="0" applyNumberFormat="1" applyFont="1" applyBorder="1"/>
    <xf numFmtId="0" fontId="22" fillId="0" borderId="0" xfId="0" applyFont="1" applyAlignment="1">
      <alignment horizontal="center"/>
    </xf>
    <xf numFmtId="6" fontId="22" fillId="0" borderId="0" xfId="0" applyNumberFormat="1" applyFont="1" applyAlignment="1">
      <alignment horizontal="center"/>
    </xf>
    <xf numFmtId="44" fontId="20" fillId="0" borderId="0" xfId="0" applyNumberFormat="1" applyFont="1" applyAlignment="1">
      <alignment horizontal="center"/>
    </xf>
    <xf numFmtId="0" fontId="51" fillId="0" borderId="0" xfId="0" applyFont="1"/>
    <xf numFmtId="10" fontId="51" fillId="0" borderId="0" xfId="2" applyNumberFormat="1" applyFont="1" applyFill="1" applyAlignment="1">
      <alignment horizontal="center"/>
    </xf>
    <xf numFmtId="0" fontId="52" fillId="0" borderId="0" xfId="0" applyFont="1" applyAlignment="1">
      <alignment horizontal="center"/>
    </xf>
    <xf numFmtId="3" fontId="52" fillId="0" borderId="0" xfId="0" applyNumberFormat="1" applyFont="1" applyAlignment="1">
      <alignment horizontal="center"/>
    </xf>
    <xf numFmtId="0" fontId="47" fillId="0" borderId="0" xfId="0" applyFont="1" applyAlignment="1">
      <alignment horizontal="center"/>
    </xf>
    <xf numFmtId="10" fontId="20" fillId="0" borderId="0" xfId="2" applyNumberFormat="1" applyFont="1" applyAlignment="1">
      <alignment horizontal="center"/>
    </xf>
    <xf numFmtId="171" fontId="52" fillId="0" borderId="0" xfId="0" applyNumberFormat="1" applyFont="1" applyAlignment="1">
      <alignment horizontal="center"/>
    </xf>
    <xf numFmtId="4" fontId="52" fillId="0" borderId="0" xfId="2" applyNumberFormat="1" applyFont="1" applyBorder="1" applyAlignment="1">
      <alignment horizontal="center"/>
    </xf>
    <xf numFmtId="0" fontId="52" fillId="0" borderId="0" xfId="0" applyFont="1" applyAlignment="1">
      <alignment horizontal="left"/>
    </xf>
    <xf numFmtId="0" fontId="53" fillId="0" borderId="0" xfId="0" applyFont="1"/>
    <xf numFmtId="0" fontId="52" fillId="0" borderId="0" xfId="0" applyFont="1" applyAlignment="1">
      <alignment horizontal="right"/>
    </xf>
    <xf numFmtId="6" fontId="52" fillId="0" borderId="0" xfId="0" applyNumberFormat="1" applyFont="1" applyAlignment="1">
      <alignment horizontal="center"/>
    </xf>
    <xf numFmtId="10" fontId="52" fillId="0" borderId="0" xfId="2" applyNumberFormat="1" applyFont="1" applyBorder="1" applyAlignment="1">
      <alignment horizontal="center"/>
    </xf>
    <xf numFmtId="38" fontId="52" fillId="0" borderId="0" xfId="0" applyNumberFormat="1" applyFont="1" applyAlignment="1">
      <alignment horizontal="center"/>
    </xf>
    <xf numFmtId="0" fontId="54" fillId="0" borderId="0" xfId="0" applyFont="1"/>
    <xf numFmtId="0" fontId="0" fillId="4" borderId="62" xfId="0" applyFill="1" applyBorder="1" applyAlignment="1">
      <alignment horizontal="center"/>
    </xf>
    <xf numFmtId="0" fontId="58" fillId="0" borderId="13" xfId="0" applyFont="1" applyBorder="1" applyAlignment="1">
      <alignment horizontal="center" vertical="center"/>
    </xf>
    <xf numFmtId="0" fontId="58" fillId="0" borderId="14" xfId="0" applyFont="1" applyBorder="1" applyAlignment="1">
      <alignment horizontal="center" vertical="center" wrapText="1"/>
    </xf>
    <xf numFmtId="0" fontId="58" fillId="4" borderId="62" xfId="0" applyFont="1" applyFill="1" applyBorder="1" applyAlignment="1">
      <alignment horizontal="center" vertical="center" wrapText="1"/>
    </xf>
    <xf numFmtId="0" fontId="59" fillId="0" borderId="78" xfId="0" applyFont="1" applyBorder="1" applyAlignment="1">
      <alignment vertical="center"/>
    </xf>
    <xf numFmtId="0" fontId="60" fillId="0" borderId="6" xfId="0" applyFont="1" applyBorder="1" applyAlignment="1">
      <alignment horizontal="center" vertical="center"/>
    </xf>
    <xf numFmtId="44" fontId="0" fillId="0" borderId="66" xfId="1" applyFont="1" applyBorder="1"/>
    <xf numFmtId="44" fontId="0" fillId="0" borderId="67" xfId="1" applyFont="1" applyBorder="1"/>
    <xf numFmtId="44" fontId="0" fillId="0" borderId="67" xfId="0" applyNumberFormat="1" applyBorder="1"/>
    <xf numFmtId="0" fontId="0" fillId="0" borderId="67" xfId="0" applyBorder="1"/>
    <xf numFmtId="0" fontId="59" fillId="0" borderId="78" xfId="0" applyFont="1" applyBorder="1" applyAlignment="1">
      <alignment vertical="center" wrapText="1"/>
    </xf>
    <xf numFmtId="0" fontId="59" fillId="0" borderId="78" xfId="0" applyFont="1" applyBorder="1" applyAlignment="1">
      <alignment horizontal="left" vertical="center" wrapText="1" indent="2"/>
    </xf>
    <xf numFmtId="0" fontId="9" fillId="8" borderId="3" xfId="15" applyFont="1" applyFill="1" applyBorder="1" applyAlignment="1">
      <alignment horizontal="left"/>
    </xf>
    <xf numFmtId="0" fontId="9" fillId="8" borderId="4" xfId="15" applyFont="1" applyFill="1" applyBorder="1" applyAlignment="1">
      <alignment horizontal="left"/>
    </xf>
    <xf numFmtId="0" fontId="61" fillId="0" borderId="0" xfId="15"/>
    <xf numFmtId="0" fontId="62" fillId="8" borderId="0" xfId="15" applyFont="1" applyFill="1"/>
    <xf numFmtId="0" fontId="63" fillId="8" borderId="9" xfId="15" applyFont="1" applyFill="1" applyBorder="1"/>
    <xf numFmtId="0" fontId="64" fillId="8" borderId="6" xfId="15" applyFont="1" applyFill="1" applyBorder="1"/>
    <xf numFmtId="0" fontId="63" fillId="8" borderId="7" xfId="15" applyFont="1" applyFill="1" applyBorder="1"/>
    <xf numFmtId="0" fontId="63" fillId="0" borderId="0" xfId="15" applyFont="1"/>
    <xf numFmtId="0" fontId="65" fillId="0" borderId="0" xfId="16" applyFont="1"/>
    <xf numFmtId="0" fontId="65" fillId="6" borderId="0" xfId="16" applyFont="1" applyFill="1"/>
    <xf numFmtId="3" fontId="65" fillId="9" borderId="0" xfId="17" applyFont="1" applyFill="1" applyAlignment="1">
      <alignment horizontal="center"/>
    </xf>
    <xf numFmtId="3" fontId="65" fillId="10" borderId="0" xfId="17" applyFont="1" applyFill="1" applyAlignment="1">
      <alignment horizontal="center"/>
    </xf>
    <xf numFmtId="3" fontId="65" fillId="11" borderId="0" xfId="17" applyFont="1" applyFill="1" applyAlignment="1">
      <alignment horizontal="center"/>
    </xf>
    <xf numFmtId="14" fontId="63" fillId="0" borderId="0" xfId="15" applyNumberFormat="1" applyFont="1"/>
    <xf numFmtId="176" fontId="61" fillId="0" borderId="0" xfId="15" applyNumberFormat="1"/>
    <xf numFmtId="2" fontId="61" fillId="0" borderId="0" xfId="15" applyNumberFormat="1"/>
    <xf numFmtId="0" fontId="63" fillId="0" borderId="0" xfId="18" applyFont="1" applyAlignment="1"/>
    <xf numFmtId="0" fontId="66" fillId="0" borderId="0" xfId="18" applyAlignment="1"/>
    <xf numFmtId="0" fontId="67" fillId="0" borderId="0" xfId="18" applyFont="1" applyAlignment="1"/>
    <xf numFmtId="0" fontId="68" fillId="0" borderId="0" xfId="18" applyFont="1" applyAlignment="1"/>
    <xf numFmtId="168" fontId="61" fillId="0" borderId="0" xfId="15" applyNumberFormat="1"/>
    <xf numFmtId="0" fontId="66" fillId="0" borderId="40" xfId="18" applyBorder="1" applyAlignment="1"/>
    <xf numFmtId="0" fontId="66" fillId="0" borderId="57" xfId="18" applyBorder="1" applyAlignment="1"/>
    <xf numFmtId="0" fontId="66" fillId="0" borderId="74" xfId="18" applyBorder="1" applyAlignment="1"/>
    <xf numFmtId="0" fontId="66" fillId="0" borderId="24" xfId="18" applyBorder="1" applyAlignment="1"/>
    <xf numFmtId="0" fontId="66" fillId="0" borderId="0" xfId="18" applyAlignment="1">
      <alignment horizontal="right"/>
    </xf>
    <xf numFmtId="0" fontId="63" fillId="0" borderId="0" xfId="18" applyFont="1" applyAlignment="1">
      <alignment horizontal="center"/>
    </xf>
    <xf numFmtId="0" fontId="66" fillId="0" borderId="75" xfId="18" applyBorder="1" applyAlignment="1"/>
    <xf numFmtId="3" fontId="63" fillId="0" borderId="0" xfId="17" applyFont="1" applyAlignment="1"/>
    <xf numFmtId="0" fontId="69" fillId="0" borderId="75" xfId="18" applyFont="1" applyBorder="1" applyAlignment="1">
      <alignment horizontal="center"/>
    </xf>
    <xf numFmtId="176" fontId="61" fillId="0" borderId="71" xfId="17" applyNumberFormat="1" applyBorder="1" applyAlignment="1"/>
    <xf numFmtId="176" fontId="61" fillId="0" borderId="0" xfId="17" applyNumberFormat="1" applyAlignment="1"/>
    <xf numFmtId="176" fontId="66" fillId="0" borderId="75" xfId="18" applyNumberFormat="1" applyBorder="1" applyAlignment="1">
      <alignment horizontal="center"/>
    </xf>
    <xf numFmtId="0" fontId="66" fillId="0" borderId="75" xfId="18" applyBorder="1" applyAlignment="1">
      <alignment horizontal="center"/>
    </xf>
    <xf numFmtId="0" fontId="66" fillId="0" borderId="24" xfId="18" applyBorder="1" applyAlignment="1">
      <alignment horizontal="right"/>
    </xf>
    <xf numFmtId="0" fontId="66" fillId="0" borderId="0" xfId="18" applyAlignment="1">
      <alignment horizontal="right"/>
    </xf>
    <xf numFmtId="0" fontId="66" fillId="0" borderId="24" xfId="18" applyBorder="1" applyAlignment="1">
      <alignment horizontal="right"/>
    </xf>
    <xf numFmtId="176" fontId="61" fillId="0" borderId="42" xfId="17" applyNumberFormat="1" applyBorder="1" applyAlignment="1"/>
    <xf numFmtId="0" fontId="63" fillId="5" borderId="0" xfId="18" applyFont="1" applyFill="1" applyAlignment="1">
      <alignment horizontal="right"/>
    </xf>
    <xf numFmtId="10" fontId="63" fillId="5" borderId="75" xfId="19" applyNumberFormat="1" applyFont="1" applyFill="1" applyBorder="1" applyAlignment="1">
      <alignment horizontal="center"/>
    </xf>
    <xf numFmtId="0" fontId="66" fillId="0" borderId="48" xfId="18" applyBorder="1" applyAlignment="1"/>
    <xf numFmtId="0" fontId="66" fillId="0" borderId="11" xfId="18" applyBorder="1" applyAlignment="1"/>
    <xf numFmtId="0" fontId="66" fillId="0" borderId="70" xfId="18" applyBorder="1" applyAlignment="1"/>
    <xf numFmtId="10" fontId="20" fillId="0" borderId="0" xfId="2" applyNumberFormat="1" applyFont="1" applyFill="1" applyBorder="1"/>
    <xf numFmtId="0" fontId="21" fillId="0" borderId="0" xfId="0" applyFont="1" applyBorder="1" applyAlignment="1">
      <alignment horizontal="center"/>
    </xf>
    <xf numFmtId="42" fontId="24" fillId="0" borderId="0" xfId="0" applyNumberFormat="1" applyFont="1" applyBorder="1"/>
    <xf numFmtId="4" fontId="24" fillId="0" borderId="0" xfId="0" applyNumberFormat="1" applyFont="1" applyBorder="1" applyAlignment="1">
      <alignment horizontal="center"/>
    </xf>
    <xf numFmtId="10" fontId="24" fillId="0" borderId="0" xfId="0" applyNumberFormat="1" applyFont="1" applyBorder="1"/>
    <xf numFmtId="0" fontId="18" fillId="0" borderId="0" xfId="0" applyFont="1" applyBorder="1" applyAlignment="1">
      <alignment horizontal="center"/>
    </xf>
    <xf numFmtId="0" fontId="24" fillId="0" borderId="0" xfId="0" applyFont="1" applyBorder="1" applyAlignment="1">
      <alignment horizontal="center"/>
    </xf>
    <xf numFmtId="0" fontId="24" fillId="0" borderId="0" xfId="0" applyFont="1" applyBorder="1"/>
    <xf numFmtId="44" fontId="24" fillId="0" borderId="0" xfId="0" applyNumberFormat="1" applyFont="1" applyBorder="1" applyAlignment="1">
      <alignment horizontal="center"/>
    </xf>
    <xf numFmtId="10" fontId="26" fillId="0" borderId="0" xfId="0" applyNumberFormat="1" applyFont="1" applyBorder="1"/>
    <xf numFmtId="0" fontId="19" fillId="0" borderId="0" xfId="0" applyFont="1" applyBorder="1" applyAlignment="1">
      <alignment horizontal="center"/>
    </xf>
    <xf numFmtId="0" fontId="70" fillId="0" borderId="0" xfId="20" applyFont="1"/>
    <xf numFmtId="0" fontId="1" fillId="0" borderId="0" xfId="7"/>
    <xf numFmtId="0" fontId="38" fillId="0" borderId="0" xfId="20" applyFont="1"/>
    <xf numFmtId="0" fontId="72" fillId="12" borderId="13" xfId="21" applyFont="1" applyFill="1" applyBorder="1" applyAlignment="1">
      <alignment horizontal="center" vertical="center"/>
    </xf>
    <xf numFmtId="0" fontId="72" fillId="12" borderId="14" xfId="21" applyFont="1" applyFill="1" applyBorder="1" applyAlignment="1">
      <alignment horizontal="center" vertical="center"/>
    </xf>
    <xf numFmtId="0" fontId="72" fillId="12" borderId="15" xfId="21" applyFont="1" applyFill="1" applyBorder="1" applyAlignment="1">
      <alignment horizontal="center" vertical="center"/>
    </xf>
    <xf numFmtId="0" fontId="73" fillId="0" borderId="0" xfId="7" applyFont="1"/>
    <xf numFmtId="167" fontId="72" fillId="12" borderId="13" xfId="22" applyNumberFormat="1" applyFont="1" applyFill="1" applyBorder="1" applyAlignment="1">
      <alignment horizontal="center" vertical="center"/>
    </xf>
    <xf numFmtId="167" fontId="72" fillId="12" borderId="14" xfId="22" applyNumberFormat="1" applyFont="1" applyFill="1" applyBorder="1" applyAlignment="1">
      <alignment horizontal="center" vertical="center"/>
    </xf>
    <xf numFmtId="167" fontId="72" fillId="12" borderId="4" xfId="22" applyNumberFormat="1" applyFont="1" applyFill="1" applyBorder="1" applyAlignment="1">
      <alignment horizontal="center" vertical="center"/>
    </xf>
    <xf numFmtId="0" fontId="72" fillId="12" borderId="17" xfId="10" applyFont="1" applyFill="1" applyBorder="1" applyAlignment="1">
      <alignment horizontal="left" vertical="center"/>
    </xf>
    <xf numFmtId="0" fontId="72" fillId="12" borderId="79" xfId="10" applyFont="1" applyFill="1" applyBorder="1" applyAlignment="1">
      <alignment horizontal="right" vertical="center"/>
    </xf>
    <xf numFmtId="2" fontId="72" fillId="12" borderId="4" xfId="10" applyNumberFormat="1" applyFont="1" applyFill="1" applyBorder="1" applyAlignment="1">
      <alignment horizontal="right" vertical="center"/>
    </xf>
    <xf numFmtId="0" fontId="74" fillId="3" borderId="17" xfId="21" applyFont="1" applyFill="1" applyBorder="1" applyAlignment="1">
      <alignment vertical="center"/>
    </xf>
    <xf numFmtId="0" fontId="74" fillId="3" borderId="2" xfId="21" applyFont="1" applyFill="1" applyBorder="1" applyAlignment="1">
      <alignment horizontal="right" vertical="center"/>
    </xf>
    <xf numFmtId="3" fontId="74" fillId="3" borderId="20" xfId="21" applyNumberFormat="1" applyFont="1" applyFill="1" applyBorder="1" applyAlignment="1">
      <alignment horizontal="center" vertical="center"/>
    </xf>
    <xf numFmtId="167" fontId="75" fillId="3" borderId="1" xfId="22" applyNumberFormat="1" applyFont="1" applyFill="1" applyBorder="1" applyAlignment="1">
      <alignment horizontal="center" vertical="center"/>
    </xf>
    <xf numFmtId="167" fontId="75" fillId="3" borderId="3" xfId="22" applyNumberFormat="1" applyFont="1" applyFill="1" applyBorder="1" applyAlignment="1">
      <alignment horizontal="center" vertical="center"/>
    </xf>
    <xf numFmtId="0" fontId="76" fillId="3" borderId="35" xfId="22" applyFont="1" applyFill="1" applyBorder="1" applyAlignment="1">
      <alignment horizontal="center" vertical="center"/>
    </xf>
    <xf numFmtId="0" fontId="72" fillId="3" borderId="33" xfId="10" applyFont="1" applyFill="1" applyBorder="1" applyAlignment="1">
      <alignment horizontal="left" vertical="center"/>
    </xf>
    <xf numFmtId="3" fontId="72" fillId="3" borderId="23" xfId="10" applyNumberFormat="1" applyFont="1" applyFill="1" applyBorder="1" applyAlignment="1">
      <alignment vertical="center"/>
    </xf>
    <xf numFmtId="3" fontId="72" fillId="3" borderId="35" xfId="10" applyNumberFormat="1" applyFont="1" applyFill="1" applyBorder="1" applyAlignment="1">
      <alignment vertical="center"/>
    </xf>
    <xf numFmtId="0" fontId="74" fillId="3" borderId="10" xfId="21" applyFont="1" applyFill="1" applyBorder="1" applyAlignment="1">
      <alignment vertical="center"/>
    </xf>
    <xf numFmtId="0" fontId="74" fillId="3" borderId="11" xfId="21" applyFont="1" applyFill="1" applyBorder="1" applyAlignment="1">
      <alignment horizontal="right" vertical="center"/>
    </xf>
    <xf numFmtId="0" fontId="74" fillId="3" borderId="12" xfId="21" applyFont="1" applyFill="1" applyBorder="1" applyAlignment="1">
      <alignment horizontal="right" vertical="center"/>
    </xf>
    <xf numFmtId="0" fontId="77" fillId="3" borderId="1" xfId="22" applyFont="1" applyFill="1" applyBorder="1" applyAlignment="1">
      <alignment vertical="center"/>
    </xf>
    <xf numFmtId="5" fontId="77" fillId="3" borderId="3" xfId="22" applyNumberFormat="1" applyFont="1" applyFill="1" applyBorder="1" applyAlignment="1">
      <alignment vertical="center"/>
    </xf>
    <xf numFmtId="0" fontId="78" fillId="3" borderId="61" xfId="7" applyFont="1" applyFill="1" applyBorder="1"/>
    <xf numFmtId="0" fontId="77" fillId="3" borderId="33" xfId="10" applyFont="1" applyFill="1" applyBorder="1" applyAlignment="1">
      <alignment horizontal="left" vertical="center"/>
    </xf>
    <xf numFmtId="3" fontId="77" fillId="3" borderId="23" xfId="10" applyNumberFormat="1" applyFont="1" applyFill="1" applyBorder="1" applyAlignment="1">
      <alignment vertical="center"/>
    </xf>
    <xf numFmtId="3" fontId="77" fillId="3" borderId="58" xfId="10" applyNumberFormat="1" applyFont="1" applyFill="1" applyBorder="1" applyAlignment="1">
      <alignment vertical="center"/>
    </xf>
    <xf numFmtId="0" fontId="77" fillId="3" borderId="8" xfId="22" applyFont="1" applyFill="1" applyBorder="1" applyAlignment="1">
      <alignment vertical="center"/>
    </xf>
    <xf numFmtId="5" fontId="77" fillId="3" borderId="0" xfId="21" applyNumberFormat="1" applyFont="1" applyFill="1" applyAlignment="1">
      <alignment vertical="center"/>
    </xf>
    <xf numFmtId="4" fontId="79" fillId="3" borderId="0" xfId="21" applyNumberFormat="1" applyFont="1" applyFill="1" applyAlignment="1">
      <alignment vertical="center"/>
    </xf>
    <xf numFmtId="42" fontId="80" fillId="3" borderId="9" xfId="21" applyNumberFormat="1" applyFont="1" applyFill="1" applyBorder="1" applyAlignment="1">
      <alignment vertical="center"/>
    </xf>
    <xf numFmtId="5" fontId="77" fillId="3" borderId="0" xfId="22" applyNumberFormat="1" applyFont="1" applyFill="1" applyAlignment="1">
      <alignment vertical="center"/>
    </xf>
    <xf numFmtId="0" fontId="78" fillId="3" borderId="39" xfId="7" applyFont="1" applyFill="1" applyBorder="1"/>
    <xf numFmtId="0" fontId="77" fillId="3" borderId="8" xfId="10" applyFont="1" applyFill="1" applyBorder="1" applyAlignment="1">
      <alignment horizontal="left" vertical="center"/>
    </xf>
    <xf numFmtId="177" fontId="77" fillId="3" borderId="27" xfId="10" applyNumberFormat="1" applyFont="1" applyFill="1" applyBorder="1" applyAlignment="1">
      <alignment vertical="center"/>
    </xf>
    <xf numFmtId="3" fontId="77" fillId="3" borderId="27" xfId="10" applyNumberFormat="1" applyFont="1" applyFill="1" applyBorder="1" applyAlignment="1">
      <alignment vertical="center"/>
    </xf>
    <xf numFmtId="3" fontId="77" fillId="3" borderId="9" xfId="10" applyNumberFormat="1" applyFont="1" applyFill="1" applyBorder="1" applyAlignment="1">
      <alignment vertical="center"/>
    </xf>
    <xf numFmtId="0" fontId="77" fillId="3" borderId="8" xfId="10" applyFont="1" applyFill="1" applyBorder="1" applyAlignment="1">
      <alignment horizontal="left" vertical="center" wrapText="1"/>
    </xf>
    <xf numFmtId="0" fontId="77" fillId="3" borderId="5" xfId="22" applyFont="1" applyFill="1" applyBorder="1" applyAlignment="1">
      <alignment vertical="center"/>
    </xf>
    <xf numFmtId="5" fontId="77" fillId="3" borderId="6" xfId="22" applyNumberFormat="1" applyFont="1" applyFill="1" applyBorder="1" applyAlignment="1">
      <alignment vertical="center"/>
    </xf>
    <xf numFmtId="0" fontId="78" fillId="3" borderId="65" xfId="7" applyFont="1" applyFill="1" applyBorder="1"/>
    <xf numFmtId="0" fontId="72" fillId="3" borderId="13" xfId="22" applyFont="1" applyFill="1" applyBorder="1" applyAlignment="1">
      <alignment horizontal="center" vertical="center"/>
    </xf>
    <xf numFmtId="0" fontId="72" fillId="3" borderId="14" xfId="22" applyFont="1" applyFill="1" applyBorder="1" applyAlignment="1">
      <alignment horizontal="center" vertical="center"/>
    </xf>
    <xf numFmtId="0" fontId="78" fillId="3" borderId="21" xfId="22" applyFont="1" applyFill="1" applyBorder="1" applyAlignment="1">
      <alignment horizontal="left" vertical="center"/>
    </xf>
    <xf numFmtId="0" fontId="77" fillId="3" borderId="10" xfId="10" applyFont="1" applyFill="1" applyBorder="1" applyAlignment="1">
      <alignment horizontal="left" vertical="center"/>
    </xf>
    <xf numFmtId="177" fontId="77" fillId="0" borderId="32" xfId="10" applyNumberFormat="1" applyFont="1" applyBorder="1" applyAlignment="1">
      <alignment vertical="center"/>
    </xf>
    <xf numFmtId="3" fontId="77" fillId="0" borderId="32" xfId="10" applyNumberFormat="1" applyFont="1" applyBorder="1" applyAlignment="1">
      <alignment vertical="center"/>
    </xf>
    <xf numFmtId="3" fontId="77" fillId="0" borderId="25" xfId="10" applyNumberFormat="1" applyFont="1" applyBorder="1" applyAlignment="1">
      <alignment vertical="center"/>
    </xf>
    <xf numFmtId="0" fontId="74" fillId="3" borderId="28" xfId="21" applyFont="1" applyFill="1" applyBorder="1" applyAlignment="1">
      <alignment vertical="center"/>
    </xf>
    <xf numFmtId="0" fontId="72" fillId="3" borderId="29" xfId="21" applyFont="1" applyFill="1" applyBorder="1" applyAlignment="1">
      <alignment vertical="center"/>
    </xf>
    <xf numFmtId="4" fontId="74" fillId="3" borderId="29" xfId="21" applyNumberFormat="1" applyFont="1" applyFill="1" applyBorder="1" applyAlignment="1">
      <alignment vertical="center"/>
    </xf>
    <xf numFmtId="42" fontId="74" fillId="3" borderId="38" xfId="21" applyNumberFormat="1" applyFont="1" applyFill="1" applyBorder="1" applyAlignment="1">
      <alignment vertical="center"/>
    </xf>
    <xf numFmtId="0" fontId="77" fillId="3" borderId="39" xfId="22" applyFont="1" applyFill="1" applyBorder="1" applyAlignment="1">
      <alignment vertical="center"/>
    </xf>
    <xf numFmtId="3" fontId="77" fillId="0" borderId="0" xfId="10" applyNumberFormat="1" applyFont="1" applyAlignment="1">
      <alignment vertical="center"/>
    </xf>
    <xf numFmtId="3" fontId="77" fillId="0" borderId="9" xfId="10" applyNumberFormat="1" applyFont="1" applyBorder="1" applyAlignment="1">
      <alignment vertical="center"/>
    </xf>
    <xf numFmtId="44" fontId="1" fillId="0" borderId="0" xfId="7" applyNumberFormat="1"/>
    <xf numFmtId="168" fontId="80" fillId="3" borderId="8" xfId="21" applyNumberFormat="1" applyFont="1" applyFill="1" applyBorder="1" applyAlignment="1">
      <alignment vertical="center"/>
    </xf>
    <xf numFmtId="10" fontId="77" fillId="3" borderId="0" xfId="21" applyNumberFormat="1" applyFont="1" applyFill="1" applyAlignment="1">
      <alignment vertical="center"/>
    </xf>
    <xf numFmtId="0" fontId="74" fillId="3" borderId="0" xfId="21" applyFont="1" applyFill="1" applyAlignment="1">
      <alignment vertical="center"/>
    </xf>
    <xf numFmtId="171" fontId="80" fillId="3" borderId="9" xfId="21" applyNumberFormat="1" applyFont="1" applyFill="1" applyBorder="1" applyAlignment="1">
      <alignment vertical="center"/>
    </xf>
    <xf numFmtId="0" fontId="72" fillId="3" borderId="8" xfId="10" applyFont="1" applyFill="1" applyBorder="1" applyAlignment="1">
      <alignment horizontal="left" vertical="center"/>
    </xf>
    <xf numFmtId="3" fontId="72" fillId="3" borderId="0" xfId="10" applyNumberFormat="1" applyFont="1" applyFill="1" applyAlignment="1">
      <alignment vertical="center"/>
    </xf>
    <xf numFmtId="3" fontId="72" fillId="3" borderId="9" xfId="10" applyNumberFormat="1" applyFont="1" applyFill="1" applyBorder="1" applyAlignment="1">
      <alignment vertical="center"/>
    </xf>
    <xf numFmtId="0" fontId="80" fillId="3" borderId="8" xfId="21" applyFont="1" applyFill="1" applyBorder="1" applyAlignment="1">
      <alignment vertical="center"/>
    </xf>
    <xf numFmtId="0" fontId="80" fillId="3" borderId="0" xfId="21" applyFont="1" applyFill="1" applyAlignment="1">
      <alignment vertical="center"/>
    </xf>
    <xf numFmtId="0" fontId="72" fillId="3" borderId="10" xfId="10" applyFont="1" applyFill="1" applyBorder="1" applyAlignment="1">
      <alignment horizontal="left" vertical="center"/>
    </xf>
    <xf numFmtId="3" fontId="77" fillId="3" borderId="11" xfId="10" applyNumberFormat="1" applyFont="1" applyFill="1" applyBorder="1" applyAlignment="1">
      <alignment vertical="center"/>
    </xf>
    <xf numFmtId="3" fontId="77" fillId="3" borderId="12" xfId="10" applyNumberFormat="1" applyFont="1" applyFill="1" applyBorder="1" applyAlignment="1">
      <alignment vertical="center"/>
    </xf>
    <xf numFmtId="0" fontId="74" fillId="3" borderId="49" xfId="21" applyFont="1" applyFill="1" applyBorder="1" applyAlignment="1">
      <alignment vertical="center"/>
    </xf>
    <xf numFmtId="0" fontId="72" fillId="3" borderId="50" xfId="21" applyFont="1" applyFill="1" applyBorder="1" applyAlignment="1">
      <alignment vertical="center"/>
    </xf>
    <xf numFmtId="44" fontId="74" fillId="3" borderId="50" xfId="21" applyNumberFormat="1" applyFont="1" applyFill="1" applyBorder="1" applyAlignment="1">
      <alignment vertical="center"/>
    </xf>
    <xf numFmtId="42" fontId="74" fillId="3" borderId="51" xfId="21" applyNumberFormat="1" applyFont="1" applyFill="1" applyBorder="1" applyAlignment="1">
      <alignment vertical="center"/>
    </xf>
    <xf numFmtId="4" fontId="72" fillId="3" borderId="0" xfId="23" applyNumberFormat="1" applyFont="1" applyFill="1" applyBorder="1" applyAlignment="1">
      <alignment vertical="center"/>
    </xf>
    <xf numFmtId="4" fontId="72" fillId="3" borderId="9" xfId="23" applyNumberFormat="1" applyFont="1" applyFill="1" applyBorder="1" applyAlignment="1">
      <alignment vertical="center"/>
    </xf>
    <xf numFmtId="166" fontId="77" fillId="3" borderId="0" xfId="21" applyNumberFormat="1" applyFont="1" applyFill="1" applyAlignment="1">
      <alignment horizontal="center" vertical="center"/>
    </xf>
    <xf numFmtId="44" fontId="74" fillId="3" borderId="0" xfId="21" applyNumberFormat="1" applyFont="1" applyFill="1" applyAlignment="1">
      <alignment vertical="center"/>
    </xf>
    <xf numFmtId="171" fontId="80" fillId="3" borderId="9" xfId="24" applyNumberFormat="1" applyFont="1" applyFill="1" applyBorder="1" applyAlignment="1">
      <alignment vertical="center"/>
    </xf>
    <xf numFmtId="10" fontId="77" fillId="3" borderId="0" xfId="2" applyNumberFormat="1" applyFont="1" applyFill="1" applyBorder="1" applyAlignment="1">
      <alignment vertical="center"/>
    </xf>
    <xf numFmtId="0" fontId="72" fillId="3" borderId="13" xfId="10" applyFont="1" applyFill="1" applyBorder="1" applyAlignment="1">
      <alignment horizontal="left" vertical="center"/>
    </xf>
    <xf numFmtId="43" fontId="72" fillId="3" borderId="14" xfId="10" applyNumberFormat="1" applyFont="1" applyFill="1" applyBorder="1" applyAlignment="1">
      <alignment vertical="center"/>
    </xf>
    <xf numFmtId="2" fontId="72" fillId="3" borderId="14" xfId="10" applyNumberFormat="1" applyFont="1" applyFill="1" applyBorder="1" applyAlignment="1">
      <alignment vertical="center"/>
    </xf>
    <xf numFmtId="3" fontId="72" fillId="3" borderId="15" xfId="10" applyNumberFormat="1" applyFont="1" applyFill="1" applyBorder="1" applyAlignment="1">
      <alignment vertical="center"/>
    </xf>
    <xf numFmtId="171" fontId="80" fillId="3" borderId="12" xfId="24" applyNumberFormat="1" applyFont="1" applyFill="1" applyBorder="1" applyAlignment="1">
      <alignment vertical="center"/>
    </xf>
    <xf numFmtId="10" fontId="77" fillId="3" borderId="6" xfId="2" applyNumberFormat="1" applyFont="1" applyFill="1" applyBorder="1" applyAlignment="1">
      <alignment vertical="center"/>
    </xf>
    <xf numFmtId="0" fontId="77" fillId="3" borderId="65" xfId="22" applyFont="1" applyFill="1" applyBorder="1" applyAlignment="1">
      <alignment vertical="center"/>
    </xf>
    <xf numFmtId="0" fontId="74" fillId="3" borderId="29" xfId="21" applyFont="1" applyFill="1" applyBorder="1" applyAlignment="1">
      <alignment vertical="center"/>
    </xf>
    <xf numFmtId="0" fontId="1" fillId="0" borderId="0" xfId="7" applyAlignment="1">
      <alignment vertical="center"/>
    </xf>
    <xf numFmtId="0" fontId="74" fillId="3" borderId="54" xfId="21" applyFont="1" applyFill="1" applyBorder="1" applyAlignment="1">
      <alignment vertical="center"/>
    </xf>
    <xf numFmtId="0" fontId="77" fillId="3" borderId="55" xfId="21" applyFont="1" applyFill="1" applyBorder="1" applyAlignment="1">
      <alignment vertical="center"/>
    </xf>
    <xf numFmtId="0" fontId="80" fillId="3" borderId="55" xfId="21" applyFont="1" applyFill="1" applyBorder="1" applyAlignment="1">
      <alignment vertical="center"/>
    </xf>
    <xf numFmtId="42" fontId="74" fillId="3" borderId="56" xfId="21" applyNumberFormat="1" applyFont="1" applyFill="1" applyBorder="1" applyAlignment="1">
      <alignment vertical="center"/>
    </xf>
    <xf numFmtId="0" fontId="74" fillId="3" borderId="8" xfId="21" applyFont="1" applyFill="1" applyBorder="1" applyAlignment="1">
      <alignment vertical="center"/>
    </xf>
    <xf numFmtId="42" fontId="74" fillId="3" borderId="9" xfId="21" applyNumberFormat="1" applyFont="1" applyFill="1" applyBorder="1" applyAlignment="1">
      <alignment vertical="center"/>
    </xf>
    <xf numFmtId="10" fontId="81" fillId="3" borderId="0" xfId="21" applyNumberFormat="1" applyFont="1" applyFill="1" applyAlignment="1">
      <alignment vertical="center"/>
    </xf>
    <xf numFmtId="171" fontId="74" fillId="3" borderId="9" xfId="21" applyNumberFormat="1" applyFont="1" applyFill="1" applyBorder="1" applyAlignment="1">
      <alignment horizontal="right" vertical="center"/>
    </xf>
    <xf numFmtId="0" fontId="80" fillId="3" borderId="13" xfId="21" applyFont="1" applyFill="1" applyBorder="1" applyAlignment="1">
      <alignment vertical="center"/>
    </xf>
    <xf numFmtId="10" fontId="77" fillId="3" borderId="14" xfId="10" applyNumberFormat="1" applyFont="1" applyFill="1" applyBorder="1" applyAlignment="1">
      <alignment vertical="center"/>
    </xf>
    <xf numFmtId="0" fontId="77" fillId="3" borderId="14" xfId="10" applyFont="1" applyFill="1" applyBorder="1" applyAlignment="1">
      <alignment vertical="center"/>
    </xf>
    <xf numFmtId="44" fontId="82" fillId="0" borderId="15" xfId="24" applyFont="1" applyFill="1" applyBorder="1" applyAlignment="1">
      <alignment horizontal="center" vertical="center"/>
    </xf>
    <xf numFmtId="0" fontId="74" fillId="3" borderId="5" xfId="21" applyFont="1" applyFill="1" applyBorder="1" applyAlignment="1">
      <alignment vertical="center"/>
    </xf>
    <xf numFmtId="10" fontId="77" fillId="3" borderId="6" xfId="10" applyNumberFormat="1" applyFont="1" applyFill="1" applyBorder="1" applyAlignment="1">
      <alignment vertical="center"/>
    </xf>
    <xf numFmtId="0" fontId="77" fillId="3" borderId="6" xfId="10" applyFont="1" applyFill="1" applyBorder="1" applyAlignment="1">
      <alignment vertical="center"/>
    </xf>
    <xf numFmtId="44" fontId="83" fillId="5" borderId="47" xfId="24" applyFont="1" applyFill="1" applyBorder="1" applyAlignment="1">
      <alignment horizontal="center" vertical="center"/>
    </xf>
    <xf numFmtId="44" fontId="83" fillId="4" borderId="47" xfId="24" applyFont="1" applyFill="1" applyBorder="1" applyAlignment="1">
      <alignment horizontal="center" vertical="center"/>
    </xf>
    <xf numFmtId="0" fontId="1" fillId="0" borderId="0" xfId="7" applyAlignment="1">
      <alignment vertical="center" wrapText="1"/>
    </xf>
    <xf numFmtId="0" fontId="78" fillId="0" borderId="0" xfId="7" applyFont="1"/>
    <xf numFmtId="8" fontId="78" fillId="0" borderId="0" xfId="7" applyNumberFormat="1" applyFont="1"/>
    <xf numFmtId="10" fontId="78" fillId="0" borderId="0" xfId="2" applyNumberFormat="1" applyFont="1"/>
    <xf numFmtId="44" fontId="0" fillId="0" borderId="0" xfId="24" applyFont="1"/>
    <xf numFmtId="176" fontId="1" fillId="0" borderId="0" xfId="7" applyNumberFormat="1"/>
    <xf numFmtId="0" fontId="32" fillId="0" borderId="0" xfId="7" applyFont="1" applyAlignment="1">
      <alignment horizontal="center" vertical="center" wrapText="1"/>
    </xf>
    <xf numFmtId="0" fontId="32" fillId="0" borderId="13" xfId="7" applyFont="1" applyBorder="1" applyAlignment="1">
      <alignment horizontal="center" vertical="center" wrapText="1"/>
    </xf>
    <xf numFmtId="0" fontId="32" fillId="0" borderId="14" xfId="7" applyFont="1" applyBorder="1" applyAlignment="1">
      <alignment horizontal="center" vertical="center" wrapText="1"/>
    </xf>
    <xf numFmtId="0" fontId="32" fillId="0" borderId="15" xfId="7" applyFont="1" applyBorder="1" applyAlignment="1">
      <alignment horizontal="center" vertical="center" wrapText="1"/>
    </xf>
    <xf numFmtId="0" fontId="32" fillId="0" borderId="0" xfId="7" applyFont="1" applyAlignment="1">
      <alignment horizontal="left" vertical="center" wrapText="1"/>
    </xf>
    <xf numFmtId="0" fontId="83" fillId="0" borderId="0" xfId="20" applyFont="1"/>
    <xf numFmtId="42" fontId="82" fillId="0" borderId="0" xfId="20" applyNumberFormat="1" applyFont="1"/>
    <xf numFmtId="0" fontId="82" fillId="0" borderId="0" xfId="20" applyFont="1"/>
    <xf numFmtId="0" fontId="84" fillId="0" borderId="0" xfId="20" applyFont="1" applyAlignment="1">
      <alignment vertical="center"/>
    </xf>
    <xf numFmtId="14" fontId="85" fillId="0" borderId="0" xfId="20" applyNumberFormat="1" applyFont="1" applyAlignment="1">
      <alignment horizontal="left"/>
    </xf>
    <xf numFmtId="167" fontId="83" fillId="0" borderId="0" xfId="20" applyNumberFormat="1" applyFont="1"/>
    <xf numFmtId="0" fontId="83" fillId="4" borderId="13" xfId="25" applyFont="1" applyFill="1" applyBorder="1" applyAlignment="1">
      <alignment horizontal="center"/>
    </xf>
    <xf numFmtId="0" fontId="83" fillId="4" borderId="14" xfId="25" applyFont="1" applyFill="1" applyBorder="1" applyAlignment="1">
      <alignment horizontal="center"/>
    </xf>
    <xf numFmtId="0" fontId="83" fillId="4" borderId="15" xfId="25" applyFont="1" applyFill="1" applyBorder="1" applyAlignment="1">
      <alignment horizontal="center"/>
    </xf>
    <xf numFmtId="0" fontId="83" fillId="13" borderId="13" xfId="25" applyFont="1" applyFill="1" applyBorder="1" applyAlignment="1">
      <alignment horizontal="center"/>
    </xf>
    <xf numFmtId="0" fontId="83" fillId="13" borderId="14" xfId="25" applyFont="1" applyFill="1" applyBorder="1" applyAlignment="1">
      <alignment horizontal="center"/>
    </xf>
    <xf numFmtId="0" fontId="83" fillId="13" borderId="15" xfId="25" applyFont="1" applyFill="1" applyBorder="1" applyAlignment="1">
      <alignment horizontal="center"/>
    </xf>
    <xf numFmtId="167" fontId="83" fillId="4" borderId="13" xfId="26" applyNumberFormat="1" applyFont="1" applyFill="1" applyBorder="1" applyAlignment="1">
      <alignment horizontal="center" vertical="center"/>
    </xf>
    <xf numFmtId="167" fontId="83" fillId="4" borderId="14" xfId="26" applyNumberFormat="1" applyFont="1" applyFill="1" applyBorder="1" applyAlignment="1">
      <alignment horizontal="center" vertical="center"/>
    </xf>
    <xf numFmtId="167" fontId="83" fillId="4" borderId="15" xfId="26" applyNumberFormat="1" applyFont="1" applyFill="1" applyBorder="1" applyAlignment="1">
      <alignment horizontal="center" vertical="center"/>
    </xf>
    <xf numFmtId="0" fontId="83" fillId="0" borderId="0" xfId="25" applyFont="1" applyAlignment="1">
      <alignment horizontal="center"/>
    </xf>
    <xf numFmtId="0" fontId="82" fillId="0" borderId="13" xfId="20" applyFont="1" applyBorder="1" applyAlignment="1">
      <alignment horizontal="right"/>
    </xf>
    <xf numFmtId="1" fontId="82" fillId="0" borderId="14" xfId="20" applyNumberFormat="1" applyFont="1" applyBorder="1"/>
    <xf numFmtId="0" fontId="82" fillId="0" borderId="14" xfId="20" applyFont="1" applyBorder="1" applyAlignment="1">
      <alignment horizontal="right"/>
    </xf>
    <xf numFmtId="178" fontId="82" fillId="0" borderId="14" xfId="27" applyNumberFormat="1" applyFont="1" applyFill="1" applyBorder="1"/>
    <xf numFmtId="178" fontId="82" fillId="0" borderId="15" xfId="27" applyNumberFormat="1" applyFont="1" applyFill="1" applyBorder="1"/>
    <xf numFmtId="167" fontId="83" fillId="0" borderId="1" xfId="26" applyNumberFormat="1" applyFont="1" applyBorder="1" applyAlignment="1">
      <alignment horizontal="center"/>
    </xf>
    <xf numFmtId="167" fontId="83" fillId="0" borderId="3" xfId="26" applyNumberFormat="1" applyFont="1" applyBorder="1" applyAlignment="1">
      <alignment horizontal="center"/>
    </xf>
    <xf numFmtId="167" fontId="83" fillId="0" borderId="61" xfId="26" applyNumberFormat="1" applyFont="1" applyBorder="1" applyAlignment="1">
      <alignment horizontal="center"/>
    </xf>
    <xf numFmtId="43" fontId="82" fillId="0" borderId="0" xfId="28" applyFont="1" applyFill="1" applyBorder="1"/>
    <xf numFmtId="167" fontId="82" fillId="0" borderId="8" xfId="20" applyNumberFormat="1" applyFont="1" applyBorder="1"/>
    <xf numFmtId="167" fontId="82" fillId="0" borderId="0" xfId="20" applyNumberFormat="1" applyFont="1"/>
    <xf numFmtId="167" fontId="82" fillId="0" borderId="0" xfId="20" applyNumberFormat="1" applyFont="1" applyAlignment="1">
      <alignment horizontal="right"/>
    </xf>
    <xf numFmtId="178" fontId="82" fillId="0" borderId="0" xfId="28" applyNumberFormat="1" applyFont="1" applyFill="1" applyBorder="1"/>
    <xf numFmtId="42" fontId="83" fillId="0" borderId="9" xfId="20" applyNumberFormat="1" applyFont="1" applyBorder="1"/>
    <xf numFmtId="167" fontId="82" fillId="0" borderId="1" xfId="20" applyNumberFormat="1" applyFont="1" applyBorder="1"/>
    <xf numFmtId="6" fontId="82" fillId="0" borderId="3" xfId="26" applyNumberFormat="1" applyFont="1" applyBorder="1" applyAlignment="1">
      <alignment horizontal="center"/>
    </xf>
    <xf numFmtId="167" fontId="82" fillId="0" borderId="39" xfId="26" applyNumberFormat="1" applyFont="1" applyBorder="1"/>
    <xf numFmtId="42" fontId="86" fillId="0" borderId="0" xfId="25" applyNumberFormat="1" applyFont="1"/>
    <xf numFmtId="0" fontId="83" fillId="0" borderId="8" xfId="20" applyFont="1" applyBorder="1"/>
    <xf numFmtId="0" fontId="83" fillId="0" borderId="0" xfId="20" applyFont="1" applyAlignment="1">
      <alignment horizontal="center"/>
    </xf>
    <xf numFmtId="167" fontId="83" fillId="0" borderId="0" xfId="20" applyNumberFormat="1" applyFont="1" applyAlignment="1">
      <alignment horizontal="center"/>
    </xf>
    <xf numFmtId="42" fontId="83" fillId="0" borderId="9" xfId="20" applyNumberFormat="1" applyFont="1" applyBorder="1" applyAlignment="1">
      <alignment horizontal="center"/>
    </xf>
    <xf numFmtId="0" fontId="82" fillId="0" borderId="8" xfId="20" applyFont="1" applyBorder="1"/>
    <xf numFmtId="6" fontId="82" fillId="0" borderId="0" xfId="26" applyNumberFormat="1" applyFont="1" applyAlignment="1">
      <alignment horizontal="center"/>
    </xf>
    <xf numFmtId="42" fontId="83" fillId="0" borderId="0" xfId="25" applyNumberFormat="1" applyFont="1" applyAlignment="1">
      <alignment horizontal="center"/>
    </xf>
    <xf numFmtId="179" fontId="82" fillId="0" borderId="0" xfId="27" applyNumberFormat="1" applyFont="1" applyFill="1" applyBorder="1" applyAlignment="1">
      <alignment horizontal="right"/>
    </xf>
    <xf numFmtId="168" fontId="82" fillId="0" borderId="0" xfId="20" applyNumberFormat="1" applyFont="1" applyAlignment="1">
      <alignment horizontal="right"/>
    </xf>
    <xf numFmtId="42" fontId="82" fillId="0" borderId="9" xfId="29" applyNumberFormat="1" applyFont="1" applyFill="1" applyBorder="1"/>
    <xf numFmtId="2" fontId="82" fillId="0" borderId="0" xfId="20" applyNumberFormat="1" applyFont="1" applyAlignment="1">
      <alignment horizontal="right"/>
    </xf>
    <xf numFmtId="42" fontId="83" fillId="0" borderId="0" xfId="30" applyNumberFormat="1" applyFont="1" applyFill="1" applyBorder="1" applyAlignment="1">
      <alignment horizontal="center"/>
    </xf>
    <xf numFmtId="168" fontId="82" fillId="0" borderId="8" xfId="20" applyNumberFormat="1" applyFont="1" applyBorder="1"/>
    <xf numFmtId="42" fontId="82" fillId="0" borderId="0" xfId="25" applyNumberFormat="1" applyFont="1"/>
    <xf numFmtId="42" fontId="82" fillId="0" borderId="9" xfId="29" applyNumberFormat="1" applyFont="1" applyFill="1" applyBorder="1" applyAlignment="1">
      <alignment horizontal="center"/>
    </xf>
    <xf numFmtId="168" fontId="82" fillId="0" borderId="5" xfId="20" applyNumberFormat="1" applyFont="1" applyBorder="1"/>
    <xf numFmtId="6" fontId="82" fillId="0" borderId="6" xfId="26" applyNumberFormat="1" applyFont="1" applyBorder="1" applyAlignment="1">
      <alignment horizontal="center"/>
    </xf>
    <xf numFmtId="0" fontId="87" fillId="3" borderId="37" xfId="7" applyFont="1" applyFill="1" applyBorder="1"/>
    <xf numFmtId="0" fontId="87" fillId="3" borderId="0" xfId="7" applyFont="1" applyFill="1"/>
    <xf numFmtId="42" fontId="82" fillId="0" borderId="0" xfId="30" applyNumberFormat="1" applyFont="1" applyFill="1" applyBorder="1"/>
    <xf numFmtId="167" fontId="83" fillId="0" borderId="62" xfId="26" applyNumberFormat="1" applyFont="1" applyBorder="1" applyAlignment="1">
      <alignment horizontal="center"/>
    </xf>
    <xf numFmtId="0" fontId="83" fillId="0" borderId="80" xfId="20" applyFont="1" applyBorder="1"/>
    <xf numFmtId="167" fontId="83" fillId="0" borderId="29" xfId="20" applyNumberFormat="1" applyFont="1" applyBorder="1"/>
    <xf numFmtId="179" fontId="83" fillId="0" borderId="29" xfId="27" applyNumberFormat="1" applyFont="1" applyFill="1" applyBorder="1" applyAlignment="1">
      <alignment horizontal="right"/>
    </xf>
    <xf numFmtId="42" fontId="83" fillId="0" borderId="38" xfId="29" applyNumberFormat="1" applyFont="1" applyFill="1" applyBorder="1" applyAlignment="1">
      <alignment horizontal="center"/>
    </xf>
    <xf numFmtId="167" fontId="82" fillId="0" borderId="1" xfId="26" applyNumberFormat="1" applyFont="1" applyBorder="1"/>
    <xf numFmtId="167" fontId="83" fillId="0" borderId="3" xfId="26" applyNumberFormat="1" applyFont="1" applyBorder="1" applyAlignment="1">
      <alignment horizontal="center"/>
    </xf>
    <xf numFmtId="167" fontId="82" fillId="0" borderId="61" xfId="26" applyNumberFormat="1" applyFont="1" applyBorder="1"/>
    <xf numFmtId="10" fontId="82" fillId="0" borderId="0" xfId="20" applyNumberFormat="1" applyFont="1" applyAlignment="1">
      <alignment horizontal="center"/>
    </xf>
    <xf numFmtId="42" fontId="82" fillId="0" borderId="9" xfId="20" applyNumberFormat="1" applyFont="1" applyBorder="1"/>
    <xf numFmtId="0" fontId="82" fillId="0" borderId="8" xfId="26" applyFont="1" applyBorder="1"/>
    <xf numFmtId="171" fontId="82" fillId="0" borderId="0" xfId="26" applyNumberFormat="1" applyFont="1" applyAlignment="1">
      <alignment wrapText="1"/>
    </xf>
    <xf numFmtId="9" fontId="82" fillId="0" borderId="0" xfId="20" applyNumberFormat="1" applyFont="1" applyAlignment="1">
      <alignment horizontal="left"/>
    </xf>
    <xf numFmtId="5" fontId="83" fillId="0" borderId="0" xfId="25" applyNumberFormat="1" applyFont="1"/>
    <xf numFmtId="10" fontId="83" fillId="0" borderId="29" xfId="20" applyNumberFormat="1" applyFont="1" applyBorder="1" applyAlignment="1">
      <alignment horizontal="center"/>
    </xf>
    <xf numFmtId="171" fontId="82" fillId="0" borderId="0" xfId="30" applyNumberFormat="1" applyFont="1" applyFill="1" applyBorder="1"/>
    <xf numFmtId="0" fontId="82" fillId="0" borderId="39" xfId="20" applyFont="1" applyBorder="1"/>
    <xf numFmtId="6" fontId="82" fillId="0" borderId="0" xfId="20" applyNumberFormat="1" applyFont="1"/>
    <xf numFmtId="6" fontId="82" fillId="0" borderId="9" xfId="29" applyNumberFormat="1" applyFont="1" applyFill="1" applyBorder="1"/>
    <xf numFmtId="44" fontId="82" fillId="0" borderId="0" xfId="20" applyNumberFormat="1" applyFont="1"/>
    <xf numFmtId="167" fontId="82" fillId="0" borderId="8" xfId="26" applyNumberFormat="1" applyFont="1" applyBorder="1"/>
    <xf numFmtId="10" fontId="82" fillId="0" borderId="0" xfId="31" applyNumberFormat="1" applyFont="1" applyFill="1" applyBorder="1" applyAlignment="1"/>
    <xf numFmtId="165" fontId="83" fillId="0" borderId="0" xfId="25" applyNumberFormat="1" applyFont="1"/>
    <xf numFmtId="171" fontId="82" fillId="0" borderId="0" xfId="20" applyNumberFormat="1" applyFont="1" applyAlignment="1">
      <alignment horizontal="center"/>
    </xf>
    <xf numFmtId="171" fontId="82" fillId="0" borderId="9" xfId="29" applyNumberFormat="1" applyFont="1" applyFill="1" applyBorder="1"/>
    <xf numFmtId="0" fontId="82" fillId="3" borderId="39" xfId="7" applyFont="1" applyFill="1" applyBorder="1"/>
    <xf numFmtId="0" fontId="83" fillId="0" borderId="28" xfId="20" applyFont="1" applyBorder="1"/>
    <xf numFmtId="0" fontId="83" fillId="0" borderId="29" xfId="20" applyFont="1" applyBorder="1"/>
    <xf numFmtId="10" fontId="82" fillId="0" borderId="29" xfId="20" applyNumberFormat="1" applyFont="1" applyBorder="1" applyAlignment="1">
      <alignment horizontal="center"/>
    </xf>
    <xf numFmtId="0" fontId="82" fillId="0" borderId="29" xfId="20" applyFont="1" applyBorder="1"/>
    <xf numFmtId="42" fontId="82" fillId="0" borderId="38" xfId="29" applyNumberFormat="1" applyFont="1" applyFill="1" applyBorder="1"/>
    <xf numFmtId="171" fontId="82" fillId="0" borderId="0" xfId="20" applyNumberFormat="1" applyFont="1"/>
    <xf numFmtId="167" fontId="82" fillId="0" borderId="5" xfId="26" applyNumberFormat="1" applyFont="1" applyBorder="1"/>
    <xf numFmtId="10" fontId="82" fillId="0" borderId="6" xfId="31" applyNumberFormat="1" applyFont="1" applyFill="1" applyBorder="1" applyAlignment="1"/>
    <xf numFmtId="0" fontId="82" fillId="0" borderId="65" xfId="22" applyFont="1" applyBorder="1" applyAlignment="1">
      <alignment horizontal="left" vertical="center" wrapText="1"/>
    </xf>
    <xf numFmtId="0" fontId="83" fillId="0" borderId="49" xfId="20" applyFont="1" applyBorder="1"/>
    <xf numFmtId="0" fontId="82" fillId="0" borderId="50" xfId="20" applyFont="1" applyBorder="1"/>
    <xf numFmtId="0" fontId="82" fillId="0" borderId="50" xfId="20" applyFont="1" applyBorder="1" applyAlignment="1">
      <alignment horizontal="center"/>
    </xf>
    <xf numFmtId="42" fontId="83" fillId="0" borderId="51" xfId="20" applyNumberFormat="1" applyFont="1" applyBorder="1"/>
    <xf numFmtId="0" fontId="83" fillId="0" borderId="5" xfId="20" applyFont="1" applyBorder="1"/>
    <xf numFmtId="0" fontId="83" fillId="0" borderId="6" xfId="20" applyFont="1" applyBorder="1"/>
    <xf numFmtId="10" fontId="82" fillId="0" borderId="6" xfId="32" applyNumberFormat="1" applyFont="1" applyFill="1" applyBorder="1" applyAlignment="1">
      <alignment horizontal="center"/>
    </xf>
    <xf numFmtId="10" fontId="83" fillId="0" borderId="6" xfId="32" applyNumberFormat="1" applyFont="1" applyFill="1" applyBorder="1"/>
    <xf numFmtId="42" fontId="83" fillId="0" borderId="7" xfId="20" applyNumberFormat="1" applyFont="1" applyBorder="1"/>
    <xf numFmtId="167" fontId="82" fillId="0" borderId="81" xfId="26" applyNumberFormat="1" applyFont="1" applyBorder="1" applyAlignment="1">
      <alignment wrapText="1"/>
    </xf>
    <xf numFmtId="169" fontId="82" fillId="0" borderId="82" xfId="26" applyNumberFormat="1" applyFont="1" applyBorder="1"/>
    <xf numFmtId="10" fontId="82" fillId="0" borderId="83" xfId="32" applyNumberFormat="1" applyFont="1" applyFill="1" applyBorder="1" applyAlignment="1">
      <alignment horizontal="center"/>
    </xf>
    <xf numFmtId="8" fontId="82" fillId="0" borderId="83" xfId="26" applyNumberFormat="1" applyFont="1" applyBorder="1" applyAlignment="1">
      <alignment horizontal="right" wrapText="1"/>
    </xf>
    <xf numFmtId="42" fontId="83" fillId="0" borderId="56" xfId="20" applyNumberFormat="1" applyFont="1" applyBorder="1"/>
    <xf numFmtId="0" fontId="82" fillId="0" borderId="0" xfId="20" applyFont="1" applyAlignment="1">
      <alignment horizontal="center"/>
    </xf>
    <xf numFmtId="44" fontId="82" fillId="0" borderId="9" xfId="29" applyFont="1" applyFill="1" applyBorder="1"/>
    <xf numFmtId="0" fontId="87" fillId="0" borderId="1" xfId="7" applyFont="1" applyBorder="1" applyAlignment="1">
      <alignment horizontal="left" vertical="center" wrapText="1"/>
    </xf>
    <xf numFmtId="0" fontId="87" fillId="0" borderId="3" xfId="7" applyFont="1" applyBorder="1" applyAlignment="1">
      <alignment horizontal="left" vertical="center" wrapText="1"/>
    </xf>
    <xf numFmtId="0" fontId="87" fillId="0" borderId="4" xfId="7" applyFont="1" applyBorder="1" applyAlignment="1">
      <alignment horizontal="left" vertical="center" wrapText="1"/>
    </xf>
    <xf numFmtId="0" fontId="87" fillId="0" borderId="8" xfId="7" applyFont="1" applyBorder="1" applyAlignment="1">
      <alignment horizontal="left" vertical="center" wrapText="1"/>
    </xf>
    <xf numFmtId="0" fontId="87" fillId="0" borderId="0" xfId="7" applyFont="1" applyAlignment="1">
      <alignment horizontal="left" vertical="center" wrapText="1"/>
    </xf>
    <xf numFmtId="0" fontId="87" fillId="0" borderId="9" xfId="7" applyFont="1" applyBorder="1" applyAlignment="1">
      <alignment horizontal="left" vertical="center" wrapText="1"/>
    </xf>
    <xf numFmtId="0" fontId="82" fillId="0" borderId="6" xfId="20" applyFont="1" applyBorder="1"/>
    <xf numFmtId="180" fontId="83" fillId="5" borderId="7" xfId="20" applyNumberFormat="1" applyFont="1" applyFill="1" applyBorder="1"/>
    <xf numFmtId="42" fontId="83" fillId="0" borderId="38" xfId="20" applyNumberFormat="1" applyFont="1" applyBorder="1"/>
    <xf numFmtId="180" fontId="82" fillId="4" borderId="0" xfId="20" applyNumberFormat="1" applyFont="1" applyFill="1"/>
    <xf numFmtId="10" fontId="82" fillId="0" borderId="0" xfId="2" applyNumberFormat="1" applyFont="1" applyFill="1" applyBorder="1"/>
    <xf numFmtId="10" fontId="83" fillId="0" borderId="0" xfId="32" applyNumberFormat="1" applyFont="1" applyFill="1" applyBorder="1"/>
    <xf numFmtId="10" fontId="82" fillId="0" borderId="0" xfId="2" applyNumberFormat="1" applyFont="1"/>
    <xf numFmtId="0" fontId="87" fillId="0" borderId="5" xfId="7" applyFont="1" applyBorder="1" applyAlignment="1">
      <alignment horizontal="left" vertical="center" wrapText="1"/>
    </xf>
    <xf numFmtId="0" fontId="87" fillId="0" borderId="6" xfId="7" applyFont="1" applyBorder="1" applyAlignment="1">
      <alignment horizontal="left" vertical="center" wrapText="1"/>
    </xf>
    <xf numFmtId="0" fontId="87" fillId="0" borderId="7" xfId="7" applyFont="1" applyBorder="1" applyAlignment="1">
      <alignment horizontal="left" vertical="center" wrapText="1"/>
    </xf>
    <xf numFmtId="0" fontId="87" fillId="0" borderId="0" xfId="7" applyFont="1" applyAlignment="1">
      <alignment vertical="center" wrapText="1"/>
    </xf>
    <xf numFmtId="0" fontId="83" fillId="0" borderId="0" xfId="20" applyFont="1" applyAlignment="1">
      <alignment horizontal="center"/>
    </xf>
    <xf numFmtId="44" fontId="82" fillId="0" borderId="0" xfId="1" applyFont="1"/>
    <xf numFmtId="0" fontId="82" fillId="0" borderId="0" xfId="20" applyFont="1" applyAlignment="1">
      <alignment horizontal="right"/>
    </xf>
    <xf numFmtId="178" fontId="82" fillId="0" borderId="0" xfId="27" applyNumberFormat="1" applyFont="1" applyFill="1" applyBorder="1"/>
    <xf numFmtId="42" fontId="83" fillId="0" borderId="0" xfId="20" applyNumberFormat="1" applyFont="1"/>
    <xf numFmtId="42" fontId="83" fillId="0" borderId="0" xfId="20" applyNumberFormat="1" applyFont="1" applyAlignment="1">
      <alignment horizontal="center"/>
    </xf>
    <xf numFmtId="42" fontId="82" fillId="0" borderId="0" xfId="29" applyNumberFormat="1" applyFont="1" applyFill="1" applyBorder="1"/>
    <xf numFmtId="0" fontId="82" fillId="0" borderId="1" xfId="20" applyFont="1" applyBorder="1"/>
    <xf numFmtId="0" fontId="82" fillId="0" borderId="3" xfId="20" applyFont="1" applyBorder="1"/>
    <xf numFmtId="0" fontId="82" fillId="0" borderId="4" xfId="20" applyFont="1" applyBorder="1"/>
    <xf numFmtId="168" fontId="82" fillId="0" borderId="0" xfId="20" applyNumberFormat="1" applyFont="1"/>
    <xf numFmtId="42" fontId="82" fillId="0" borderId="0" xfId="29" applyNumberFormat="1" applyFont="1" applyFill="1" applyBorder="1" applyAlignment="1">
      <alignment horizontal="center"/>
    </xf>
    <xf numFmtId="0" fontId="82" fillId="0" borderId="9" xfId="20" applyFont="1" applyBorder="1"/>
    <xf numFmtId="179" fontId="83" fillId="0" borderId="0" xfId="27" applyNumberFormat="1" applyFont="1" applyFill="1" applyBorder="1"/>
    <xf numFmtId="42" fontId="83" fillId="0" borderId="0" xfId="29" applyNumberFormat="1" applyFont="1" applyFill="1" applyBorder="1" applyAlignment="1">
      <alignment horizontal="center"/>
    </xf>
    <xf numFmtId="0" fontId="82" fillId="0" borderId="55" xfId="20" applyFont="1" applyBorder="1"/>
    <xf numFmtId="0" fontId="82" fillId="0" borderId="5" xfId="20" applyFont="1" applyBorder="1"/>
    <xf numFmtId="0" fontId="82" fillId="0" borderId="7" xfId="20" applyFont="1" applyBorder="1"/>
    <xf numFmtId="9" fontId="82" fillId="0" borderId="0" xfId="20" applyNumberFormat="1" applyFont="1"/>
    <xf numFmtId="0" fontId="89" fillId="0" borderId="0" xfId="25" applyFont="1" applyAlignment="1">
      <alignment horizontal="center"/>
    </xf>
    <xf numFmtId="10" fontId="83" fillId="0" borderId="0" xfId="20" applyNumberFormat="1" applyFont="1" applyAlignment="1">
      <alignment horizontal="center"/>
    </xf>
    <xf numFmtId="8" fontId="82" fillId="0" borderId="0" xfId="20" applyNumberFormat="1" applyFont="1"/>
    <xf numFmtId="7" fontId="82" fillId="0" borderId="0" xfId="20" applyNumberFormat="1" applyFont="1"/>
    <xf numFmtId="165" fontId="83" fillId="0" borderId="0" xfId="20" applyNumberFormat="1" applyFont="1"/>
    <xf numFmtId="167" fontId="90" fillId="0" borderId="0" xfId="20" applyNumberFormat="1" applyFont="1"/>
    <xf numFmtId="0" fontId="90" fillId="0" borderId="0" xfId="20" applyFont="1"/>
    <xf numFmtId="10" fontId="90" fillId="0" borderId="0" xfId="20" applyNumberFormat="1" applyFont="1" applyAlignment="1">
      <alignment horizontal="center"/>
    </xf>
    <xf numFmtId="42" fontId="90" fillId="0" borderId="0" xfId="29" applyNumberFormat="1" applyFont="1" applyFill="1" applyBorder="1"/>
    <xf numFmtId="0" fontId="86" fillId="0" borderId="0" xfId="20" applyFont="1"/>
    <xf numFmtId="1" fontId="90" fillId="0" borderId="0" xfId="20" applyNumberFormat="1" applyFont="1"/>
    <xf numFmtId="178" fontId="90" fillId="0" borderId="0" xfId="27" applyNumberFormat="1" applyFont="1" applyFill="1" applyBorder="1"/>
    <xf numFmtId="43" fontId="82" fillId="0" borderId="0" xfId="27" applyFont="1" applyFill="1" applyBorder="1"/>
    <xf numFmtId="44" fontId="82" fillId="0" borderId="0" xfId="29" applyFont="1" applyFill="1" applyBorder="1"/>
    <xf numFmtId="42" fontId="86" fillId="0" borderId="0" xfId="20" applyNumberFormat="1" applyFont="1"/>
    <xf numFmtId="10" fontId="82" fillId="0" borderId="0" xfId="32" applyNumberFormat="1" applyFont="1" applyFill="1" applyBorder="1" applyAlignment="1">
      <alignment horizontal="center"/>
    </xf>
    <xf numFmtId="167" fontId="90" fillId="0" borderId="0" xfId="26" applyNumberFormat="1" applyFont="1" applyAlignment="1">
      <alignment wrapText="1"/>
    </xf>
    <xf numFmtId="169" fontId="90" fillId="0" borderId="0" xfId="26" applyNumberFormat="1" applyFont="1"/>
    <xf numFmtId="10" fontId="90" fillId="0" borderId="0" xfId="32" applyNumberFormat="1" applyFont="1" applyFill="1" applyBorder="1" applyAlignment="1">
      <alignment horizontal="center"/>
    </xf>
    <xf numFmtId="8" fontId="90" fillId="0" borderId="0" xfId="26" applyNumberFormat="1" applyFont="1" applyAlignment="1">
      <alignment horizontal="right" wrapText="1"/>
    </xf>
    <xf numFmtId="42" fontId="89" fillId="0" borderId="0" xfId="20" applyNumberFormat="1" applyFont="1"/>
    <xf numFmtId="167" fontId="86" fillId="0" borderId="0" xfId="20" applyNumberFormat="1" applyFont="1" applyAlignment="1">
      <alignment horizontal="center"/>
    </xf>
    <xf numFmtId="168" fontId="90" fillId="0" borderId="0" xfId="20" applyNumberFormat="1" applyFont="1" applyAlignment="1">
      <alignment horizontal="right"/>
    </xf>
    <xf numFmtId="179" fontId="89" fillId="0" borderId="0" xfId="27" applyNumberFormat="1" applyFont="1" applyFill="1" applyBorder="1" applyAlignment="1">
      <alignment horizontal="right"/>
    </xf>
    <xf numFmtId="0" fontId="86" fillId="0" borderId="0" xfId="20" applyFont="1" applyAlignment="1">
      <alignment horizontal="center"/>
    </xf>
    <xf numFmtId="180" fontId="83" fillId="0" borderId="0" xfId="20" applyNumberFormat="1" applyFont="1"/>
    <xf numFmtId="180" fontId="82" fillId="0" borderId="0" xfId="20" applyNumberFormat="1" applyFont="1"/>
    <xf numFmtId="42" fontId="91" fillId="0" borderId="0" xfId="20" applyNumberFormat="1" applyFont="1" applyAlignment="1">
      <alignment vertical="top" wrapText="1"/>
    </xf>
    <xf numFmtId="180" fontId="91" fillId="0" borderId="0" xfId="20" applyNumberFormat="1" applyFont="1" applyAlignment="1">
      <alignment vertical="top" wrapText="1"/>
    </xf>
    <xf numFmtId="42" fontId="82" fillId="0" borderId="0" xfId="20" applyNumberFormat="1" applyFont="1" applyAlignment="1">
      <alignment horizontal="right"/>
    </xf>
    <xf numFmtId="0" fontId="92" fillId="0" borderId="0" xfId="7" applyFont="1"/>
    <xf numFmtId="0" fontId="93" fillId="0" borderId="0" xfId="7" applyFont="1" applyAlignment="1">
      <alignment horizontal="center"/>
    </xf>
    <xf numFmtId="0" fontId="93" fillId="0" borderId="0" xfId="7" applyFont="1" applyAlignment="1">
      <alignment horizontal="center" wrapText="1"/>
    </xf>
    <xf numFmtId="0" fontId="93" fillId="0" borderId="0" xfId="7" applyFont="1"/>
    <xf numFmtId="0" fontId="93" fillId="0" borderId="0" xfId="7" applyFont="1" applyAlignment="1">
      <alignment horizontal="left"/>
    </xf>
    <xf numFmtId="14" fontId="94" fillId="0" borderId="0" xfId="7" applyNumberFormat="1" applyFont="1" applyAlignment="1">
      <alignment horizontal="left"/>
    </xf>
    <xf numFmtId="0" fontId="73" fillId="0" borderId="1" xfId="7" applyFont="1" applyBorder="1"/>
    <xf numFmtId="0" fontId="95" fillId="0" borderId="62" xfId="7" applyFont="1" applyBorder="1" applyAlignment="1">
      <alignment horizontal="center"/>
    </xf>
    <xf numFmtId="0" fontId="95" fillId="0" borderId="1" xfId="7" applyFont="1" applyBorder="1" applyAlignment="1">
      <alignment horizontal="center"/>
    </xf>
    <xf numFmtId="0" fontId="73" fillId="0" borderId="4" xfId="7" applyFont="1" applyBorder="1"/>
    <xf numFmtId="0" fontId="73" fillId="0" borderId="17" xfId="7" applyFont="1" applyBorder="1" applyAlignment="1">
      <alignment horizontal="right"/>
    </xf>
    <xf numFmtId="166" fontId="73" fillId="0" borderId="84" xfId="7" applyNumberFormat="1" applyFont="1" applyBorder="1" applyAlignment="1">
      <alignment horizontal="center"/>
    </xf>
    <xf numFmtId="0" fontId="73" fillId="0" borderId="79" xfId="7" applyFont="1" applyBorder="1"/>
    <xf numFmtId="0" fontId="73" fillId="0" borderId="85" xfId="7" applyFont="1" applyBorder="1"/>
    <xf numFmtId="0" fontId="73" fillId="0" borderId="28" xfId="7" applyFont="1" applyBorder="1" applyAlignment="1">
      <alignment horizontal="right"/>
    </xf>
    <xf numFmtId="10" fontId="1" fillId="0" borderId="31" xfId="7" applyNumberFormat="1" applyBorder="1" applyAlignment="1">
      <alignment horizontal="center"/>
    </xf>
    <xf numFmtId="0" fontId="73" fillId="0" borderId="42" xfId="7" applyFont="1" applyBorder="1"/>
    <xf numFmtId="0" fontId="73" fillId="0" borderId="30" xfId="7" applyFont="1" applyBorder="1"/>
    <xf numFmtId="166" fontId="1" fillId="0" borderId="31" xfId="7" applyNumberFormat="1" applyBorder="1" applyAlignment="1">
      <alignment horizontal="center"/>
    </xf>
    <xf numFmtId="10" fontId="1" fillId="0" borderId="0" xfId="7" applyNumberFormat="1"/>
    <xf numFmtId="5" fontId="1" fillId="0" borderId="31" xfId="24" applyNumberFormat="1" applyFont="1" applyFill="1" applyBorder="1" applyAlignment="1">
      <alignment horizontal="center"/>
    </xf>
    <xf numFmtId="10" fontId="73" fillId="0" borderId="42" xfId="7" applyNumberFormat="1" applyFont="1" applyBorder="1" applyAlignment="1">
      <alignment horizontal="center"/>
    </xf>
    <xf numFmtId="0" fontId="73" fillId="0" borderId="30" xfId="7" applyFont="1" applyBorder="1"/>
    <xf numFmtId="0" fontId="73" fillId="0" borderId="30" xfId="22" applyFont="1" applyBorder="1" applyAlignment="1">
      <alignment horizontal="left" vertical="center" wrapText="1"/>
    </xf>
    <xf numFmtId="37" fontId="1" fillId="0" borderId="31" xfId="28" applyNumberFormat="1" applyFont="1" applyBorder="1" applyAlignment="1">
      <alignment horizontal="center"/>
    </xf>
    <xf numFmtId="165" fontId="73" fillId="0" borderId="31" xfId="7" applyNumberFormat="1" applyFont="1" applyBorder="1" applyAlignment="1">
      <alignment horizontal="center"/>
    </xf>
    <xf numFmtId="0" fontId="73" fillId="0" borderId="42" xfId="7" applyFont="1" applyBorder="1"/>
    <xf numFmtId="0" fontId="95" fillId="0" borderId="44" xfId="7" applyFont="1" applyBorder="1" applyAlignment="1">
      <alignment horizontal="right"/>
    </xf>
    <xf numFmtId="7" fontId="95" fillId="5" borderId="36" xfId="24" applyNumberFormat="1" applyFont="1" applyFill="1" applyBorder="1" applyAlignment="1">
      <alignment horizontal="center"/>
    </xf>
    <xf numFmtId="0" fontId="73" fillId="0" borderId="46" xfId="7" applyFont="1" applyBorder="1"/>
    <xf numFmtId="0" fontId="73" fillId="0" borderId="37" xfId="7" applyFont="1" applyBorder="1"/>
    <xf numFmtId="0" fontId="1" fillId="0" borderId="5" xfId="7" applyBorder="1"/>
    <xf numFmtId="7" fontId="95" fillId="4" borderId="36" xfId="24" applyNumberFormat="1" applyFont="1" applyFill="1" applyBorder="1" applyAlignment="1">
      <alignment horizontal="center"/>
    </xf>
    <xf numFmtId="10" fontId="0" fillId="0" borderId="6" xfId="2" applyNumberFormat="1" applyFont="1" applyBorder="1" applyAlignment="1">
      <alignment horizontal="center" wrapText="1"/>
    </xf>
    <xf numFmtId="0" fontId="1" fillId="0" borderId="7" xfId="7" applyBorder="1" applyAlignment="1">
      <alignment horizontal="center"/>
    </xf>
    <xf numFmtId="0" fontId="1" fillId="0" borderId="0" xfId="7" applyAlignment="1">
      <alignment horizontal="center"/>
    </xf>
    <xf numFmtId="0" fontId="1" fillId="0" borderId="9" xfId="7" applyBorder="1"/>
    <xf numFmtId="10" fontId="1" fillId="0" borderId="0" xfId="2" applyNumberFormat="1" applyAlignment="1">
      <alignment horizontal="center"/>
    </xf>
    <xf numFmtId="0" fontId="1" fillId="0" borderId="0" xfId="7" applyAlignment="1">
      <alignment wrapText="1"/>
    </xf>
    <xf numFmtId="0" fontId="1" fillId="0" borderId="0" xfId="7" applyAlignment="1">
      <alignment horizontal="center" wrapText="1"/>
    </xf>
    <xf numFmtId="0" fontId="83" fillId="0" borderId="1" xfId="33" applyFont="1" applyBorder="1"/>
    <xf numFmtId="0" fontId="83" fillId="0" borderId="3" xfId="33" applyFont="1" applyBorder="1"/>
    <xf numFmtId="0" fontId="83" fillId="0" borderId="3" xfId="33" applyFont="1" applyBorder="1" applyAlignment="1">
      <alignment horizontal="center"/>
    </xf>
    <xf numFmtId="167" fontId="83" fillId="0" borderId="4" xfId="33" applyNumberFormat="1" applyFont="1" applyBorder="1" applyAlignment="1">
      <alignment horizontal="center"/>
    </xf>
    <xf numFmtId="167" fontId="83" fillId="0" borderId="0" xfId="33" applyNumberFormat="1" applyFont="1" applyAlignment="1">
      <alignment horizontal="center"/>
    </xf>
    <xf numFmtId="0" fontId="83" fillId="0" borderId="0" xfId="33" applyFont="1"/>
    <xf numFmtId="0" fontId="83" fillId="0" borderId="0" xfId="33" applyFont="1" applyAlignment="1">
      <alignment horizontal="center"/>
    </xf>
    <xf numFmtId="0" fontId="82" fillId="0" borderId="8" xfId="33" applyFont="1" applyBorder="1"/>
    <xf numFmtId="0" fontId="82" fillId="0" borderId="0" xfId="33" applyFont="1" applyAlignment="1">
      <alignment horizontal="right"/>
    </xf>
    <xf numFmtId="0" fontId="82" fillId="0" borderId="0" xfId="33" applyFont="1" applyAlignment="1">
      <alignment horizontal="center"/>
    </xf>
    <xf numFmtId="0" fontId="82" fillId="0" borderId="9" xfId="33" applyFont="1" applyBorder="1" applyAlignment="1">
      <alignment horizontal="center"/>
    </xf>
    <xf numFmtId="0" fontId="87" fillId="0" borderId="0" xfId="7" applyFont="1"/>
    <xf numFmtId="0" fontId="82" fillId="0" borderId="0" xfId="33" applyFont="1"/>
    <xf numFmtId="0" fontId="96" fillId="0" borderId="0" xfId="33" applyFont="1" applyAlignment="1">
      <alignment horizontal="center"/>
    </xf>
    <xf numFmtId="0" fontId="82" fillId="0" borderId="10" xfId="33" applyFont="1" applyBorder="1"/>
    <xf numFmtId="0" fontId="82" fillId="0" borderId="11" xfId="33" applyFont="1" applyBorder="1" applyAlignment="1">
      <alignment horizontal="right"/>
    </xf>
    <xf numFmtId="1" fontId="82" fillId="0" borderId="11" xfId="33" applyNumberFormat="1" applyFont="1" applyBorder="1" applyAlignment="1">
      <alignment horizontal="center"/>
    </xf>
    <xf numFmtId="1" fontId="82" fillId="0" borderId="12" xfId="33" applyNumberFormat="1" applyFont="1" applyBorder="1" applyAlignment="1">
      <alignment horizontal="center"/>
    </xf>
    <xf numFmtId="1" fontId="82" fillId="0" borderId="0" xfId="33" applyNumberFormat="1" applyFont="1" applyAlignment="1">
      <alignment horizontal="center"/>
    </xf>
    <xf numFmtId="0" fontId="87" fillId="0" borderId="0" xfId="7" applyFont="1" applyAlignment="1">
      <alignment horizontal="left"/>
    </xf>
    <xf numFmtId="0" fontId="82" fillId="0" borderId="0" xfId="33" applyFont="1" applyAlignment="1">
      <alignment horizontal="left"/>
    </xf>
    <xf numFmtId="0" fontId="77" fillId="0" borderId="0" xfId="33" applyFont="1" applyAlignment="1">
      <alignment horizontal="right"/>
    </xf>
    <xf numFmtId="1" fontId="96" fillId="0" borderId="0" xfId="33" applyNumberFormat="1" applyFont="1" applyAlignment="1">
      <alignment horizontal="center"/>
    </xf>
    <xf numFmtId="1" fontId="82" fillId="0" borderId="9" xfId="33" applyNumberFormat="1" applyFont="1" applyBorder="1" applyAlignment="1">
      <alignment horizontal="center"/>
    </xf>
    <xf numFmtId="0" fontId="82" fillId="0" borderId="5" xfId="33" applyFont="1" applyBorder="1"/>
    <xf numFmtId="0" fontId="82" fillId="0" borderId="6" xfId="33" applyFont="1" applyBorder="1"/>
    <xf numFmtId="0" fontId="82" fillId="0" borderId="6" xfId="33" applyFont="1" applyBorder="1" applyAlignment="1">
      <alignment horizontal="right"/>
    </xf>
    <xf numFmtId="1" fontId="82" fillId="0" borderId="7" xfId="33" applyNumberFormat="1" applyFont="1" applyBorder="1" applyAlignment="1">
      <alignment horizontal="center"/>
    </xf>
    <xf numFmtId="165" fontId="1" fillId="0" borderId="0" xfId="7" applyNumberFormat="1" applyAlignment="1">
      <alignment horizontal="center"/>
    </xf>
    <xf numFmtId="181" fontId="1" fillId="0" borderId="0" xfId="7" applyNumberFormat="1" applyAlignment="1">
      <alignment horizontal="center"/>
    </xf>
    <xf numFmtId="170" fontId="1" fillId="0" borderId="0" xfId="7" applyNumberFormat="1" applyAlignment="1">
      <alignment horizontal="center"/>
    </xf>
    <xf numFmtId="7" fontId="0" fillId="0" borderId="68" xfId="1" applyNumberFormat="1" applyFont="1" applyBorder="1"/>
  </cellXfs>
  <cellStyles count="34">
    <cellStyle name="Comma 2 2" xfId="28" xr:uid="{C0701CCB-FF13-4D37-9AA8-95BA2952E051}"/>
    <cellStyle name="Comma 3 4" xfId="23" xr:uid="{74811063-2061-4C77-9C5E-A5BFF8DBD8F4}"/>
    <cellStyle name="Comma 9" xfId="27" xr:uid="{36150EA9-6499-4D69-97A5-2896DF909D1A}"/>
    <cellStyle name="Currency" xfId="1" builtinId="4"/>
    <cellStyle name="Currency 10" xfId="24" xr:uid="{9535416F-B229-47A8-B115-BA4AD8634122}"/>
    <cellStyle name="Currency 2 4" xfId="30" xr:uid="{83455269-4D92-43D4-9DF1-7893BC38592C}"/>
    <cellStyle name="Currency 2 5" xfId="29" xr:uid="{1434236F-E44F-494C-A85D-5E5F212446EA}"/>
    <cellStyle name="Currency 4" xfId="9" xr:uid="{DBD0EA06-DED8-4718-986E-1C9824417110}"/>
    <cellStyle name="Currency 4 4" xfId="11" xr:uid="{AD52003D-56A5-4D45-B346-B7F5DAF83C4B}"/>
    <cellStyle name="Currency 7" xfId="13" xr:uid="{7C229704-BDFA-4B1B-A103-E0CF636FBECA}"/>
    <cellStyle name="Normal" xfId="0" builtinId="0"/>
    <cellStyle name="Normal 10" xfId="15" xr:uid="{AB5840CE-66C2-405D-8BA5-E3A7329D9DB0}"/>
    <cellStyle name="Normal 10 2" xfId="7" xr:uid="{FFE3E296-38C8-40CC-BAC3-A0A4E26EA2FE}"/>
    <cellStyle name="Normal 17" xfId="20" xr:uid="{04AB7776-CC4C-48B4-953B-2D7437BC863D}"/>
    <cellStyle name="Normal 2 2 2" xfId="26" xr:uid="{D5C03276-AB41-4DC0-B7E7-94C617E7065D}"/>
    <cellStyle name="Normal 2 2 4" xfId="17" xr:uid="{01972A25-F0C8-4559-8948-496122E5CC15}"/>
    <cellStyle name="Normal 2 4" xfId="25" xr:uid="{A7591FC1-608F-4D52-A12A-5ED2B36FDE21}"/>
    <cellStyle name="Normal 3" xfId="10" xr:uid="{7F955806-2137-4414-8D0D-0015CB0CE023}"/>
    <cellStyle name="Normal 3 2 4" xfId="21" xr:uid="{E98C96DB-9075-4AA5-89EF-8361672AFA5F}"/>
    <cellStyle name="Normal 4" xfId="6" xr:uid="{49736E58-1EA0-4FC4-9AFE-5F2A064F5604}"/>
    <cellStyle name="Normal 4 3" xfId="12" xr:uid="{066475B1-5039-4080-8743-AC76BF18DC7F}"/>
    <cellStyle name="Normal 4 5 6" xfId="18" xr:uid="{42DECF45-7D3C-407A-99BB-8FC7E9E395EF}"/>
    <cellStyle name="Normal 5 10" xfId="3" xr:uid="{988C76BD-1C4A-4449-9C70-398C33DD9CF3}"/>
    <cellStyle name="Normal 6" xfId="22" xr:uid="{AE58DC4E-24D3-46B9-8BA5-E2926F7EBBB7}"/>
    <cellStyle name="Normal 6 2 2" xfId="16" xr:uid="{05F7F2F8-98EC-4D67-8308-5A7A67B6A6B4}"/>
    <cellStyle name="Normal 8 2 2" xfId="33" xr:uid="{C2A3E0B8-97DF-4F23-8F88-FCCB7B83EF28}"/>
    <cellStyle name="Percent" xfId="2" builtinId="5"/>
    <cellStyle name="Percent 2 2 3" xfId="5" xr:uid="{A272D1A9-4C14-435F-8BBF-79D5C8A731A2}"/>
    <cellStyle name="Percent 2 5" xfId="31" xr:uid="{41B1A964-E232-4B2E-8411-58FF6D1FF948}"/>
    <cellStyle name="Percent 2 6" xfId="4" xr:uid="{3EA10D1E-F382-4BEC-8231-AA4DC04039BF}"/>
    <cellStyle name="Percent 2 7" xfId="19" xr:uid="{C40D6F3A-A6A5-4D5C-A5B2-6BBB7D9A6E2F}"/>
    <cellStyle name="Percent 3" xfId="8" xr:uid="{8411EFBF-0402-44B8-9044-A09F46CBE9B1}"/>
    <cellStyle name="Percent 3 2 2" xfId="32" xr:uid="{8A50E42B-0431-41FF-ABD1-6F866C546717}"/>
    <cellStyle name="Percent 7" xfId="14" xr:uid="{6A7653B6-6887-4E37-A2D8-B1727DB87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5E31479A-B8F5-450F-8091-FA8D87EF7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W_Pricing\POS\Year%203%20Projects\Year%203%20Plan\Service%20Classes\Youth%20Intermediate%20Term%20Stabilization\3470%20DPH%20BSAS%20Youth%20Residential\YITS-DPH\YITS_DPH_Yr%203%20review_FY2010-2011_General%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General%20Programs%20-%20MCB%20&amp;%20MRC-CMR%20422\2024%20Rate%20Review\1.%20Strategy%20materials\101%20CMR%20422%20Gen%20Prg%20Models%20v2.xlsx" TargetMode="External"/><Relationship Id="rId1" Type="http://schemas.openxmlformats.org/officeDocument/2006/relationships/externalLinkPath" Target="/Administrative%20Services-POS%20Policy%20Office/Rate%20Setting/Rate%20Projects/General%20Programs%20-%20MCB%20&amp;%20MRC-CMR%20422/2024%20Rate%20Review/1.%20Strategy%20materials/101%20CMR%20422%20Gen%20Prg%20Models%20v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X/Data%20&amp;%20Reporting%20Tools/STARR%20Utilization/STARR%20Utilization%20Tool%20FY10%20Jun"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HS-FP-BOS-081\File_Services\Common\Administrative%20Services-POS%20Policy%20Office\Rate%20Setting\Rate%20Projects\General%20Programs%20-%20MCB%20&amp;%20MRC-CMR%20422\2022%20Rate%20Review\3.%20Proposal,%20Hearing%20&amp;%20Signoff\Website\Gen%20Prog%208.3.21.xlsx?D5C0F70F" TargetMode="External"/><Relationship Id="rId1" Type="http://schemas.openxmlformats.org/officeDocument/2006/relationships/externalLinkPath" Target="file:///\\D5C0F70F\Gen%20Prog%208.3.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scal Impact"/>
      <sheetName val="M2022 BLS SALARY CHART (53_PCT)"/>
      <sheetName val="1. O&amp;M Model "/>
      <sheetName val="2. HCA"/>
      <sheetName val="3. ATIL"/>
      <sheetName val="4. VR Assistant"/>
      <sheetName val="5. DBCAN Model - 2405"/>
      <sheetName val="6. BI Community Outreach"/>
      <sheetName val="7. BI Site Based"/>
      <sheetName val="8. BI Direct Care Add-on"/>
      <sheetName val="9. BI Site Based Start"/>
      <sheetName val="Rate Chart"/>
      <sheetName val="CAF Spring 2023"/>
      <sheetName val="UFR DATA"/>
    </sheetNames>
    <sheetDataSet>
      <sheetData sheetId="0"/>
      <sheetData sheetId="1">
        <row r="6">
          <cell r="C6">
            <v>41600</v>
          </cell>
        </row>
        <row r="8">
          <cell r="C8">
            <v>53206.566400000003</v>
          </cell>
        </row>
        <row r="14">
          <cell r="C14">
            <v>64330.864000000001</v>
          </cell>
        </row>
        <row r="22">
          <cell r="C22">
            <v>79415.232000000018</v>
          </cell>
        </row>
        <row r="38">
          <cell r="C38">
            <v>0.27379999999999999</v>
          </cell>
        </row>
      </sheetData>
      <sheetData sheetId="2"/>
      <sheetData sheetId="3"/>
      <sheetData sheetId="4"/>
      <sheetData sheetId="5"/>
      <sheetData sheetId="6"/>
      <sheetData sheetId="7"/>
      <sheetData sheetId="8"/>
      <sheetData sheetId="9"/>
      <sheetData sheetId="10"/>
      <sheetData sheetId="11"/>
      <sheetData sheetId="12">
        <row r="26">
          <cell r="CI26">
            <v>2.7100379121522307E-2</v>
          </cell>
        </row>
      </sheetData>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L FY16"/>
      <sheetName val="ATIL FY15 FI"/>
      <sheetName val="Fall 2018"/>
      <sheetName val="Fiscal Impact(FY19)"/>
      <sheetName val="Chart BLS"/>
      <sheetName val="Chart for Reg Current"/>
      <sheetName val="Fiscal Impact - wip"/>
      <sheetName val="1. O&amp;M Model Budge current"/>
      <sheetName val="1. O&amp;M Model - 2121"/>
      <sheetName val="Below the line 2121"/>
      <sheetName val="1a. VR Assistant Current"/>
      <sheetName val="1a. VR Assistant- 3253"/>
      <sheetName val="Below the line 3253"/>
      <sheetName val="2. HCA-Post PH Current"/>
      <sheetName val="2. HCA-2220"/>
      <sheetName val="3. ATILSingleSiteModel Current"/>
      <sheetName val="Below the line 2220"/>
      <sheetName val="3. ATILSingleSiteModel- 2218"/>
      <sheetName val="Below the line 2218"/>
      <sheetName val="3. ATIL UFR 2020"/>
      <sheetName val="4. Mobile Eye Model Budget Curr"/>
      <sheetName val="4. Mobile Eye Model - 2406 "/>
      <sheetName val="5. DBCAN Model Budget Current"/>
      <sheetName val="5. DBCAN Model - 2405"/>
      <sheetName val="Below the line 2405"/>
      <sheetName val="FY18 Spend"/>
      <sheetName val="Spring2017 CAF"/>
      <sheetName val="Salary Compare"/>
      <sheetName val="Activity Codes"/>
      <sheetName val="Spring 2019 CAF"/>
      <sheetName val="2020 UFR 2405"/>
      <sheetName val="CMR 422 Master Lookup"/>
      <sheetName val="CAF Spring 2021"/>
      <sheetName val="CMR 422 Master Lookup Current"/>
    </sheetNames>
    <sheetDataSet>
      <sheetData sheetId="0" refreshError="1"/>
      <sheetData sheetId="1" refreshError="1"/>
      <sheetData sheetId="2">
        <row r="26">
          <cell r="BQ26">
            <v>2.5376928471248276E-2</v>
          </cell>
        </row>
      </sheetData>
      <sheetData sheetId="3" refreshError="1"/>
      <sheetData sheetId="4"/>
      <sheetData sheetId="5" refreshError="1"/>
      <sheetData sheetId="6" refreshError="1"/>
      <sheetData sheetId="7">
        <row r="12">
          <cell r="S12">
            <v>1257.5</v>
          </cell>
        </row>
      </sheetData>
      <sheetData sheetId="8"/>
      <sheetData sheetId="9">
        <row r="5">
          <cell r="E5">
            <v>2663.3888048411495</v>
          </cell>
        </row>
      </sheetData>
      <sheetData sheetId="10" refreshError="1"/>
      <sheetData sheetId="11"/>
      <sheetData sheetId="12">
        <row r="12">
          <cell r="E12">
            <v>6030.592485549133</v>
          </cell>
          <cell r="Q12">
            <v>2660.2080924855491</v>
          </cell>
          <cell r="AK12">
            <v>512.64739884393066</v>
          </cell>
        </row>
      </sheetData>
      <sheetData sheetId="13" refreshError="1"/>
      <sheetData sheetId="14"/>
      <sheetData sheetId="15" refreshError="1"/>
      <sheetData sheetId="16" refreshError="1"/>
      <sheetData sheetId="17"/>
      <sheetData sheetId="18" refreshError="1"/>
      <sheetData sheetId="19">
        <row r="5">
          <cell r="E5">
            <v>2881.9809523809522</v>
          </cell>
        </row>
      </sheetData>
      <sheetData sheetId="20" refreshError="1"/>
      <sheetData sheetId="21" refreshError="1"/>
      <sheetData sheetId="22" refreshError="1"/>
      <sheetData sheetId="23"/>
      <sheetData sheetId="24">
        <row r="12">
          <cell r="AJ12">
            <v>3171</v>
          </cell>
        </row>
      </sheetData>
      <sheetData sheetId="25" refreshError="1"/>
      <sheetData sheetId="26" refreshError="1"/>
      <sheetData sheetId="27" refreshError="1"/>
      <sheetData sheetId="28" refreshError="1"/>
      <sheetData sheetId="29" refreshError="1"/>
      <sheetData sheetId="30" refreshError="1"/>
      <sheetData sheetId="31">
        <row r="3">
          <cell r="G3">
            <v>0.224</v>
          </cell>
        </row>
        <row r="4">
          <cell r="G4">
            <v>0.12</v>
          </cell>
        </row>
      </sheetData>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00CE-D352-488C-85CB-A6AB01D0177C}">
  <sheetPr>
    <pageSetUpPr fitToPage="1"/>
  </sheetPr>
  <dimension ref="B1:L60"/>
  <sheetViews>
    <sheetView showGridLines="0" tabSelected="1" zoomScale="50" zoomScaleNormal="50" workbookViewId="0">
      <selection activeCell="N16" sqref="N16"/>
    </sheetView>
  </sheetViews>
  <sheetFormatPr defaultRowHeight="26.25" x14ac:dyDescent="0.4"/>
  <cols>
    <col min="1" max="1" width="5.5703125" style="1" customWidth="1"/>
    <col min="2" max="2" width="78.7109375" style="1" customWidth="1"/>
    <col min="3" max="3" width="25.85546875" style="1" customWidth="1"/>
    <col min="4" max="4" width="71.5703125" style="1" customWidth="1"/>
    <col min="5" max="5" width="69.140625" style="3" customWidth="1"/>
    <col min="6" max="6" width="46.140625" style="3" customWidth="1"/>
    <col min="7" max="7" width="9.140625" style="1"/>
    <col min="8" max="8" width="20.28515625" style="1" customWidth="1"/>
    <col min="9" max="9" width="16.28515625" style="1" customWidth="1"/>
    <col min="10" max="10" width="27.5703125" style="1" customWidth="1"/>
    <col min="11" max="11" width="11.28515625" style="1" customWidth="1"/>
    <col min="12" max="230" width="9.140625" style="1"/>
    <col min="231" max="231" width="5.5703125" style="1" customWidth="1"/>
    <col min="232" max="232" width="58" style="1" customWidth="1"/>
    <col min="233" max="233" width="24.140625" style="1" customWidth="1"/>
    <col min="234" max="235" width="0" style="1" hidden="1" customWidth="1"/>
    <col min="236" max="236" width="61.42578125" style="1" customWidth="1"/>
    <col min="237" max="237" width="62.140625" style="1" customWidth="1"/>
    <col min="238" max="241" width="0" style="1" hidden="1" customWidth="1"/>
    <col min="242" max="486" width="9.140625" style="1"/>
    <col min="487" max="487" width="5.5703125" style="1" customWidth="1"/>
    <col min="488" max="488" width="58" style="1" customWidth="1"/>
    <col min="489" max="489" width="24.140625" style="1" customWidth="1"/>
    <col min="490" max="491" width="0" style="1" hidden="1" customWidth="1"/>
    <col min="492" max="492" width="61.42578125" style="1" customWidth="1"/>
    <col min="493" max="493" width="62.140625" style="1" customWidth="1"/>
    <col min="494" max="497" width="0" style="1" hidden="1" customWidth="1"/>
    <col min="498" max="742" width="9.140625" style="1"/>
    <col min="743" max="743" width="5.5703125" style="1" customWidth="1"/>
    <col min="744" max="744" width="58" style="1" customWidth="1"/>
    <col min="745" max="745" width="24.140625" style="1" customWidth="1"/>
    <col min="746" max="747" width="0" style="1" hidden="1" customWidth="1"/>
    <col min="748" max="748" width="61.42578125" style="1" customWidth="1"/>
    <col min="749" max="749" width="62.140625" style="1" customWidth="1"/>
    <col min="750" max="753" width="0" style="1" hidden="1" customWidth="1"/>
    <col min="754" max="998" width="9.140625" style="1"/>
    <col min="999" max="999" width="5.5703125" style="1" customWidth="1"/>
    <col min="1000" max="1000" width="58" style="1" customWidth="1"/>
    <col min="1001" max="1001" width="24.140625" style="1" customWidth="1"/>
    <col min="1002" max="1003" width="0" style="1" hidden="1" customWidth="1"/>
    <col min="1004" max="1004" width="61.42578125" style="1" customWidth="1"/>
    <col min="1005" max="1005" width="62.140625" style="1" customWidth="1"/>
    <col min="1006" max="1009" width="0" style="1" hidden="1" customWidth="1"/>
    <col min="1010" max="1254" width="9.140625" style="1"/>
    <col min="1255" max="1255" width="5.5703125" style="1" customWidth="1"/>
    <col min="1256" max="1256" width="58" style="1" customWidth="1"/>
    <col min="1257" max="1257" width="24.140625" style="1" customWidth="1"/>
    <col min="1258" max="1259" width="0" style="1" hidden="1" customWidth="1"/>
    <col min="1260" max="1260" width="61.42578125" style="1" customWidth="1"/>
    <col min="1261" max="1261" width="62.140625" style="1" customWidth="1"/>
    <col min="1262" max="1265" width="0" style="1" hidden="1" customWidth="1"/>
    <col min="1266" max="1510" width="9.140625" style="1"/>
    <col min="1511" max="1511" width="5.5703125" style="1" customWidth="1"/>
    <col min="1512" max="1512" width="58" style="1" customWidth="1"/>
    <col min="1513" max="1513" width="24.140625" style="1" customWidth="1"/>
    <col min="1514" max="1515" width="0" style="1" hidden="1" customWidth="1"/>
    <col min="1516" max="1516" width="61.42578125" style="1" customWidth="1"/>
    <col min="1517" max="1517" width="62.140625" style="1" customWidth="1"/>
    <col min="1518" max="1521" width="0" style="1" hidden="1" customWidth="1"/>
    <col min="1522" max="1766" width="9.140625" style="1"/>
    <col min="1767" max="1767" width="5.5703125" style="1" customWidth="1"/>
    <col min="1768" max="1768" width="58" style="1" customWidth="1"/>
    <col min="1769" max="1769" width="24.140625" style="1" customWidth="1"/>
    <col min="1770" max="1771" width="0" style="1" hidden="1" customWidth="1"/>
    <col min="1772" max="1772" width="61.42578125" style="1" customWidth="1"/>
    <col min="1773" max="1773" width="62.140625" style="1" customWidth="1"/>
    <col min="1774" max="1777" width="0" style="1" hidden="1" customWidth="1"/>
    <col min="1778" max="2022" width="9.140625" style="1"/>
    <col min="2023" max="2023" width="5.5703125" style="1" customWidth="1"/>
    <col min="2024" max="2024" width="58" style="1" customWidth="1"/>
    <col min="2025" max="2025" width="24.140625" style="1" customWidth="1"/>
    <col min="2026" max="2027" width="0" style="1" hidden="1" customWidth="1"/>
    <col min="2028" max="2028" width="61.42578125" style="1" customWidth="1"/>
    <col min="2029" max="2029" width="62.140625" style="1" customWidth="1"/>
    <col min="2030" max="2033" width="0" style="1" hidden="1" customWidth="1"/>
    <col min="2034" max="2278" width="9.140625" style="1"/>
    <col min="2279" max="2279" width="5.5703125" style="1" customWidth="1"/>
    <col min="2280" max="2280" width="58" style="1" customWidth="1"/>
    <col min="2281" max="2281" width="24.140625" style="1" customWidth="1"/>
    <col min="2282" max="2283" width="0" style="1" hidden="1" customWidth="1"/>
    <col min="2284" max="2284" width="61.42578125" style="1" customWidth="1"/>
    <col min="2285" max="2285" width="62.140625" style="1" customWidth="1"/>
    <col min="2286" max="2289" width="0" style="1" hidden="1" customWidth="1"/>
    <col min="2290" max="2534" width="9.140625" style="1"/>
    <col min="2535" max="2535" width="5.5703125" style="1" customWidth="1"/>
    <col min="2536" max="2536" width="58" style="1" customWidth="1"/>
    <col min="2537" max="2537" width="24.140625" style="1" customWidth="1"/>
    <col min="2538" max="2539" width="0" style="1" hidden="1" customWidth="1"/>
    <col min="2540" max="2540" width="61.42578125" style="1" customWidth="1"/>
    <col min="2541" max="2541" width="62.140625" style="1" customWidth="1"/>
    <col min="2542" max="2545" width="0" style="1" hidden="1" customWidth="1"/>
    <col min="2546" max="2790" width="9.140625" style="1"/>
    <col min="2791" max="2791" width="5.5703125" style="1" customWidth="1"/>
    <col min="2792" max="2792" width="58" style="1" customWidth="1"/>
    <col min="2793" max="2793" width="24.140625" style="1" customWidth="1"/>
    <col min="2794" max="2795" width="0" style="1" hidden="1" customWidth="1"/>
    <col min="2796" max="2796" width="61.42578125" style="1" customWidth="1"/>
    <col min="2797" max="2797" width="62.140625" style="1" customWidth="1"/>
    <col min="2798" max="2801" width="0" style="1" hidden="1" customWidth="1"/>
    <col min="2802" max="3046" width="9.140625" style="1"/>
    <col min="3047" max="3047" width="5.5703125" style="1" customWidth="1"/>
    <col min="3048" max="3048" width="58" style="1" customWidth="1"/>
    <col min="3049" max="3049" width="24.140625" style="1" customWidth="1"/>
    <col min="3050" max="3051" width="0" style="1" hidden="1" customWidth="1"/>
    <col min="3052" max="3052" width="61.42578125" style="1" customWidth="1"/>
    <col min="3053" max="3053" width="62.140625" style="1" customWidth="1"/>
    <col min="3054" max="3057" width="0" style="1" hidden="1" customWidth="1"/>
    <col min="3058" max="3302" width="9.140625" style="1"/>
    <col min="3303" max="3303" width="5.5703125" style="1" customWidth="1"/>
    <col min="3304" max="3304" width="58" style="1" customWidth="1"/>
    <col min="3305" max="3305" width="24.140625" style="1" customWidth="1"/>
    <col min="3306" max="3307" width="0" style="1" hidden="1" customWidth="1"/>
    <col min="3308" max="3308" width="61.42578125" style="1" customWidth="1"/>
    <col min="3309" max="3309" width="62.140625" style="1" customWidth="1"/>
    <col min="3310" max="3313" width="0" style="1" hidden="1" customWidth="1"/>
    <col min="3314" max="3558" width="9.140625" style="1"/>
    <col min="3559" max="3559" width="5.5703125" style="1" customWidth="1"/>
    <col min="3560" max="3560" width="58" style="1" customWidth="1"/>
    <col min="3561" max="3561" width="24.140625" style="1" customWidth="1"/>
    <col min="3562" max="3563" width="0" style="1" hidden="1" customWidth="1"/>
    <col min="3564" max="3564" width="61.42578125" style="1" customWidth="1"/>
    <col min="3565" max="3565" width="62.140625" style="1" customWidth="1"/>
    <col min="3566" max="3569" width="0" style="1" hidden="1" customWidth="1"/>
    <col min="3570" max="3814" width="9.140625" style="1"/>
    <col min="3815" max="3815" width="5.5703125" style="1" customWidth="1"/>
    <col min="3816" max="3816" width="58" style="1" customWidth="1"/>
    <col min="3817" max="3817" width="24.140625" style="1" customWidth="1"/>
    <col min="3818" max="3819" width="0" style="1" hidden="1" customWidth="1"/>
    <col min="3820" max="3820" width="61.42578125" style="1" customWidth="1"/>
    <col min="3821" max="3821" width="62.140625" style="1" customWidth="1"/>
    <col min="3822" max="3825" width="0" style="1" hidden="1" customWidth="1"/>
    <col min="3826" max="4070" width="9.140625" style="1"/>
    <col min="4071" max="4071" width="5.5703125" style="1" customWidth="1"/>
    <col min="4072" max="4072" width="58" style="1" customWidth="1"/>
    <col min="4073" max="4073" width="24.140625" style="1" customWidth="1"/>
    <col min="4074" max="4075" width="0" style="1" hidden="1" customWidth="1"/>
    <col min="4076" max="4076" width="61.42578125" style="1" customWidth="1"/>
    <col min="4077" max="4077" width="62.140625" style="1" customWidth="1"/>
    <col min="4078" max="4081" width="0" style="1" hidden="1" customWidth="1"/>
    <col min="4082" max="4326" width="9.140625" style="1"/>
    <col min="4327" max="4327" width="5.5703125" style="1" customWidth="1"/>
    <col min="4328" max="4328" width="58" style="1" customWidth="1"/>
    <col min="4329" max="4329" width="24.140625" style="1" customWidth="1"/>
    <col min="4330" max="4331" width="0" style="1" hidden="1" customWidth="1"/>
    <col min="4332" max="4332" width="61.42578125" style="1" customWidth="1"/>
    <col min="4333" max="4333" width="62.140625" style="1" customWidth="1"/>
    <col min="4334" max="4337" width="0" style="1" hidden="1" customWidth="1"/>
    <col min="4338" max="4582" width="9.140625" style="1"/>
    <col min="4583" max="4583" width="5.5703125" style="1" customWidth="1"/>
    <col min="4584" max="4584" width="58" style="1" customWidth="1"/>
    <col min="4585" max="4585" width="24.140625" style="1" customWidth="1"/>
    <col min="4586" max="4587" width="0" style="1" hidden="1" customWidth="1"/>
    <col min="4588" max="4588" width="61.42578125" style="1" customWidth="1"/>
    <col min="4589" max="4589" width="62.140625" style="1" customWidth="1"/>
    <col min="4590" max="4593" width="0" style="1" hidden="1" customWidth="1"/>
    <col min="4594" max="4838" width="9.140625" style="1"/>
    <col min="4839" max="4839" width="5.5703125" style="1" customWidth="1"/>
    <col min="4840" max="4840" width="58" style="1" customWidth="1"/>
    <col min="4841" max="4841" width="24.140625" style="1" customWidth="1"/>
    <col min="4842" max="4843" width="0" style="1" hidden="1" customWidth="1"/>
    <col min="4844" max="4844" width="61.42578125" style="1" customWidth="1"/>
    <col min="4845" max="4845" width="62.140625" style="1" customWidth="1"/>
    <col min="4846" max="4849" width="0" style="1" hidden="1" customWidth="1"/>
    <col min="4850" max="5094" width="9.140625" style="1"/>
    <col min="5095" max="5095" width="5.5703125" style="1" customWidth="1"/>
    <col min="5096" max="5096" width="58" style="1" customWidth="1"/>
    <col min="5097" max="5097" width="24.140625" style="1" customWidth="1"/>
    <col min="5098" max="5099" width="0" style="1" hidden="1" customWidth="1"/>
    <col min="5100" max="5100" width="61.42578125" style="1" customWidth="1"/>
    <col min="5101" max="5101" width="62.140625" style="1" customWidth="1"/>
    <col min="5102" max="5105" width="0" style="1" hidden="1" customWidth="1"/>
    <col min="5106" max="5350" width="9.140625" style="1"/>
    <col min="5351" max="5351" width="5.5703125" style="1" customWidth="1"/>
    <col min="5352" max="5352" width="58" style="1" customWidth="1"/>
    <col min="5353" max="5353" width="24.140625" style="1" customWidth="1"/>
    <col min="5354" max="5355" width="0" style="1" hidden="1" customWidth="1"/>
    <col min="5356" max="5356" width="61.42578125" style="1" customWidth="1"/>
    <col min="5357" max="5357" width="62.140625" style="1" customWidth="1"/>
    <col min="5358" max="5361" width="0" style="1" hidden="1" customWidth="1"/>
    <col min="5362" max="5606" width="9.140625" style="1"/>
    <col min="5607" max="5607" width="5.5703125" style="1" customWidth="1"/>
    <col min="5608" max="5608" width="58" style="1" customWidth="1"/>
    <col min="5609" max="5609" width="24.140625" style="1" customWidth="1"/>
    <col min="5610" max="5611" width="0" style="1" hidden="1" customWidth="1"/>
    <col min="5612" max="5612" width="61.42578125" style="1" customWidth="1"/>
    <col min="5613" max="5613" width="62.140625" style="1" customWidth="1"/>
    <col min="5614" max="5617" width="0" style="1" hidden="1" customWidth="1"/>
    <col min="5618" max="5862" width="9.140625" style="1"/>
    <col min="5863" max="5863" width="5.5703125" style="1" customWidth="1"/>
    <col min="5864" max="5864" width="58" style="1" customWidth="1"/>
    <col min="5865" max="5865" width="24.140625" style="1" customWidth="1"/>
    <col min="5866" max="5867" width="0" style="1" hidden="1" customWidth="1"/>
    <col min="5868" max="5868" width="61.42578125" style="1" customWidth="1"/>
    <col min="5869" max="5869" width="62.140625" style="1" customWidth="1"/>
    <col min="5870" max="5873" width="0" style="1" hidden="1" customWidth="1"/>
    <col min="5874" max="6118" width="9.140625" style="1"/>
    <col min="6119" max="6119" width="5.5703125" style="1" customWidth="1"/>
    <col min="6120" max="6120" width="58" style="1" customWidth="1"/>
    <col min="6121" max="6121" width="24.140625" style="1" customWidth="1"/>
    <col min="6122" max="6123" width="0" style="1" hidden="1" customWidth="1"/>
    <col min="6124" max="6124" width="61.42578125" style="1" customWidth="1"/>
    <col min="6125" max="6125" width="62.140625" style="1" customWidth="1"/>
    <col min="6126" max="6129" width="0" style="1" hidden="1" customWidth="1"/>
    <col min="6130" max="6374" width="9.140625" style="1"/>
    <col min="6375" max="6375" width="5.5703125" style="1" customWidth="1"/>
    <col min="6376" max="6376" width="58" style="1" customWidth="1"/>
    <col min="6377" max="6377" width="24.140625" style="1" customWidth="1"/>
    <col min="6378" max="6379" width="0" style="1" hidden="1" customWidth="1"/>
    <col min="6380" max="6380" width="61.42578125" style="1" customWidth="1"/>
    <col min="6381" max="6381" width="62.140625" style="1" customWidth="1"/>
    <col min="6382" max="6385" width="0" style="1" hidden="1" customWidth="1"/>
    <col min="6386" max="6630" width="9.140625" style="1"/>
    <col min="6631" max="6631" width="5.5703125" style="1" customWidth="1"/>
    <col min="6632" max="6632" width="58" style="1" customWidth="1"/>
    <col min="6633" max="6633" width="24.140625" style="1" customWidth="1"/>
    <col min="6634" max="6635" width="0" style="1" hidden="1" customWidth="1"/>
    <col min="6636" max="6636" width="61.42578125" style="1" customWidth="1"/>
    <col min="6637" max="6637" width="62.140625" style="1" customWidth="1"/>
    <col min="6638" max="6641" width="0" style="1" hidden="1" customWidth="1"/>
    <col min="6642" max="6886" width="9.140625" style="1"/>
    <col min="6887" max="6887" width="5.5703125" style="1" customWidth="1"/>
    <col min="6888" max="6888" width="58" style="1" customWidth="1"/>
    <col min="6889" max="6889" width="24.140625" style="1" customWidth="1"/>
    <col min="6890" max="6891" width="0" style="1" hidden="1" customWidth="1"/>
    <col min="6892" max="6892" width="61.42578125" style="1" customWidth="1"/>
    <col min="6893" max="6893" width="62.140625" style="1" customWidth="1"/>
    <col min="6894" max="6897" width="0" style="1" hidden="1" customWidth="1"/>
    <col min="6898" max="7142" width="9.140625" style="1"/>
    <col min="7143" max="7143" width="5.5703125" style="1" customWidth="1"/>
    <col min="7144" max="7144" width="58" style="1" customWidth="1"/>
    <col min="7145" max="7145" width="24.140625" style="1" customWidth="1"/>
    <col min="7146" max="7147" width="0" style="1" hidden="1" customWidth="1"/>
    <col min="7148" max="7148" width="61.42578125" style="1" customWidth="1"/>
    <col min="7149" max="7149" width="62.140625" style="1" customWidth="1"/>
    <col min="7150" max="7153" width="0" style="1" hidden="1" customWidth="1"/>
    <col min="7154" max="7398" width="9.140625" style="1"/>
    <col min="7399" max="7399" width="5.5703125" style="1" customWidth="1"/>
    <col min="7400" max="7400" width="58" style="1" customWidth="1"/>
    <col min="7401" max="7401" width="24.140625" style="1" customWidth="1"/>
    <col min="7402" max="7403" width="0" style="1" hidden="1" customWidth="1"/>
    <col min="7404" max="7404" width="61.42578125" style="1" customWidth="1"/>
    <col min="7405" max="7405" width="62.140625" style="1" customWidth="1"/>
    <col min="7406" max="7409" width="0" style="1" hidden="1" customWidth="1"/>
    <col min="7410" max="7654" width="9.140625" style="1"/>
    <col min="7655" max="7655" width="5.5703125" style="1" customWidth="1"/>
    <col min="7656" max="7656" width="58" style="1" customWidth="1"/>
    <col min="7657" max="7657" width="24.140625" style="1" customWidth="1"/>
    <col min="7658" max="7659" width="0" style="1" hidden="1" customWidth="1"/>
    <col min="7660" max="7660" width="61.42578125" style="1" customWidth="1"/>
    <col min="7661" max="7661" width="62.140625" style="1" customWidth="1"/>
    <col min="7662" max="7665" width="0" style="1" hidden="1" customWidth="1"/>
    <col min="7666" max="7910" width="9.140625" style="1"/>
    <col min="7911" max="7911" width="5.5703125" style="1" customWidth="1"/>
    <col min="7912" max="7912" width="58" style="1" customWidth="1"/>
    <col min="7913" max="7913" width="24.140625" style="1" customWidth="1"/>
    <col min="7914" max="7915" width="0" style="1" hidden="1" customWidth="1"/>
    <col min="7916" max="7916" width="61.42578125" style="1" customWidth="1"/>
    <col min="7917" max="7917" width="62.140625" style="1" customWidth="1"/>
    <col min="7918" max="7921" width="0" style="1" hidden="1" customWidth="1"/>
    <col min="7922" max="8166" width="9.140625" style="1"/>
    <col min="8167" max="8167" width="5.5703125" style="1" customWidth="1"/>
    <col min="8168" max="8168" width="58" style="1" customWidth="1"/>
    <col min="8169" max="8169" width="24.140625" style="1" customWidth="1"/>
    <col min="8170" max="8171" width="0" style="1" hidden="1" customWidth="1"/>
    <col min="8172" max="8172" width="61.42578125" style="1" customWidth="1"/>
    <col min="8173" max="8173" width="62.140625" style="1" customWidth="1"/>
    <col min="8174" max="8177" width="0" style="1" hidden="1" customWidth="1"/>
    <col min="8178" max="8422" width="9.140625" style="1"/>
    <col min="8423" max="8423" width="5.5703125" style="1" customWidth="1"/>
    <col min="8424" max="8424" width="58" style="1" customWidth="1"/>
    <col min="8425" max="8425" width="24.140625" style="1" customWidth="1"/>
    <col min="8426" max="8427" width="0" style="1" hidden="1" customWidth="1"/>
    <col min="8428" max="8428" width="61.42578125" style="1" customWidth="1"/>
    <col min="8429" max="8429" width="62.140625" style="1" customWidth="1"/>
    <col min="8430" max="8433" width="0" style="1" hidden="1" customWidth="1"/>
    <col min="8434" max="8678" width="9.140625" style="1"/>
    <col min="8679" max="8679" width="5.5703125" style="1" customWidth="1"/>
    <col min="8680" max="8680" width="58" style="1" customWidth="1"/>
    <col min="8681" max="8681" width="24.140625" style="1" customWidth="1"/>
    <col min="8682" max="8683" width="0" style="1" hidden="1" customWidth="1"/>
    <col min="8684" max="8684" width="61.42578125" style="1" customWidth="1"/>
    <col min="8685" max="8685" width="62.140625" style="1" customWidth="1"/>
    <col min="8686" max="8689" width="0" style="1" hidden="1" customWidth="1"/>
    <col min="8690" max="8934" width="9.140625" style="1"/>
    <col min="8935" max="8935" width="5.5703125" style="1" customWidth="1"/>
    <col min="8936" max="8936" width="58" style="1" customWidth="1"/>
    <col min="8937" max="8937" width="24.140625" style="1" customWidth="1"/>
    <col min="8938" max="8939" width="0" style="1" hidden="1" customWidth="1"/>
    <col min="8940" max="8940" width="61.42578125" style="1" customWidth="1"/>
    <col min="8941" max="8941" width="62.140625" style="1" customWidth="1"/>
    <col min="8942" max="8945" width="0" style="1" hidden="1" customWidth="1"/>
    <col min="8946" max="9190" width="9.140625" style="1"/>
    <col min="9191" max="9191" width="5.5703125" style="1" customWidth="1"/>
    <col min="9192" max="9192" width="58" style="1" customWidth="1"/>
    <col min="9193" max="9193" width="24.140625" style="1" customWidth="1"/>
    <col min="9194" max="9195" width="0" style="1" hidden="1" customWidth="1"/>
    <col min="9196" max="9196" width="61.42578125" style="1" customWidth="1"/>
    <col min="9197" max="9197" width="62.140625" style="1" customWidth="1"/>
    <col min="9198" max="9201" width="0" style="1" hidden="1" customWidth="1"/>
    <col min="9202" max="9446" width="9.140625" style="1"/>
    <col min="9447" max="9447" width="5.5703125" style="1" customWidth="1"/>
    <col min="9448" max="9448" width="58" style="1" customWidth="1"/>
    <col min="9449" max="9449" width="24.140625" style="1" customWidth="1"/>
    <col min="9450" max="9451" width="0" style="1" hidden="1" customWidth="1"/>
    <col min="9452" max="9452" width="61.42578125" style="1" customWidth="1"/>
    <col min="9453" max="9453" width="62.140625" style="1" customWidth="1"/>
    <col min="9454" max="9457" width="0" style="1" hidden="1" customWidth="1"/>
    <col min="9458" max="9702" width="9.140625" style="1"/>
    <col min="9703" max="9703" width="5.5703125" style="1" customWidth="1"/>
    <col min="9704" max="9704" width="58" style="1" customWidth="1"/>
    <col min="9705" max="9705" width="24.140625" style="1" customWidth="1"/>
    <col min="9706" max="9707" width="0" style="1" hidden="1" customWidth="1"/>
    <col min="9708" max="9708" width="61.42578125" style="1" customWidth="1"/>
    <col min="9709" max="9709" width="62.140625" style="1" customWidth="1"/>
    <col min="9710" max="9713" width="0" style="1" hidden="1" customWidth="1"/>
    <col min="9714" max="9958" width="9.140625" style="1"/>
    <col min="9959" max="9959" width="5.5703125" style="1" customWidth="1"/>
    <col min="9960" max="9960" width="58" style="1" customWidth="1"/>
    <col min="9961" max="9961" width="24.140625" style="1" customWidth="1"/>
    <col min="9962" max="9963" width="0" style="1" hidden="1" customWidth="1"/>
    <col min="9964" max="9964" width="61.42578125" style="1" customWidth="1"/>
    <col min="9965" max="9965" width="62.140625" style="1" customWidth="1"/>
    <col min="9966" max="9969" width="0" style="1" hidden="1" customWidth="1"/>
    <col min="9970" max="10214" width="9.140625" style="1"/>
    <col min="10215" max="10215" width="5.5703125" style="1" customWidth="1"/>
    <col min="10216" max="10216" width="58" style="1" customWidth="1"/>
    <col min="10217" max="10217" width="24.140625" style="1" customWidth="1"/>
    <col min="10218" max="10219" width="0" style="1" hidden="1" customWidth="1"/>
    <col min="10220" max="10220" width="61.42578125" style="1" customWidth="1"/>
    <col min="10221" max="10221" width="62.140625" style="1" customWidth="1"/>
    <col min="10222" max="10225" width="0" style="1" hidden="1" customWidth="1"/>
    <col min="10226" max="10470" width="9.140625" style="1"/>
    <col min="10471" max="10471" width="5.5703125" style="1" customWidth="1"/>
    <col min="10472" max="10472" width="58" style="1" customWidth="1"/>
    <col min="10473" max="10473" width="24.140625" style="1" customWidth="1"/>
    <col min="10474" max="10475" width="0" style="1" hidden="1" customWidth="1"/>
    <col min="10476" max="10476" width="61.42578125" style="1" customWidth="1"/>
    <col min="10477" max="10477" width="62.140625" style="1" customWidth="1"/>
    <col min="10478" max="10481" width="0" style="1" hidden="1" customWidth="1"/>
    <col min="10482" max="10726" width="9.140625" style="1"/>
    <col min="10727" max="10727" width="5.5703125" style="1" customWidth="1"/>
    <col min="10728" max="10728" width="58" style="1" customWidth="1"/>
    <col min="10729" max="10729" width="24.140625" style="1" customWidth="1"/>
    <col min="10730" max="10731" width="0" style="1" hidden="1" customWidth="1"/>
    <col min="10732" max="10732" width="61.42578125" style="1" customWidth="1"/>
    <col min="10733" max="10733" width="62.140625" style="1" customWidth="1"/>
    <col min="10734" max="10737" width="0" style="1" hidden="1" customWidth="1"/>
    <col min="10738" max="10982" width="9.140625" style="1"/>
    <col min="10983" max="10983" width="5.5703125" style="1" customWidth="1"/>
    <col min="10984" max="10984" width="58" style="1" customWidth="1"/>
    <col min="10985" max="10985" width="24.140625" style="1" customWidth="1"/>
    <col min="10986" max="10987" width="0" style="1" hidden="1" customWidth="1"/>
    <col min="10988" max="10988" width="61.42578125" style="1" customWidth="1"/>
    <col min="10989" max="10989" width="62.140625" style="1" customWidth="1"/>
    <col min="10990" max="10993" width="0" style="1" hidden="1" customWidth="1"/>
    <col min="10994" max="11238" width="9.140625" style="1"/>
    <col min="11239" max="11239" width="5.5703125" style="1" customWidth="1"/>
    <col min="11240" max="11240" width="58" style="1" customWidth="1"/>
    <col min="11241" max="11241" width="24.140625" style="1" customWidth="1"/>
    <col min="11242" max="11243" width="0" style="1" hidden="1" customWidth="1"/>
    <col min="11244" max="11244" width="61.42578125" style="1" customWidth="1"/>
    <col min="11245" max="11245" width="62.140625" style="1" customWidth="1"/>
    <col min="11246" max="11249" width="0" style="1" hidden="1" customWidth="1"/>
    <col min="11250" max="11494" width="9.140625" style="1"/>
    <col min="11495" max="11495" width="5.5703125" style="1" customWidth="1"/>
    <col min="11496" max="11496" width="58" style="1" customWidth="1"/>
    <col min="11497" max="11497" width="24.140625" style="1" customWidth="1"/>
    <col min="11498" max="11499" width="0" style="1" hidden="1" customWidth="1"/>
    <col min="11500" max="11500" width="61.42578125" style="1" customWidth="1"/>
    <col min="11501" max="11501" width="62.140625" style="1" customWidth="1"/>
    <col min="11502" max="11505" width="0" style="1" hidden="1" customWidth="1"/>
    <col min="11506" max="11750" width="9.140625" style="1"/>
    <col min="11751" max="11751" width="5.5703125" style="1" customWidth="1"/>
    <col min="11752" max="11752" width="58" style="1" customWidth="1"/>
    <col min="11753" max="11753" width="24.140625" style="1" customWidth="1"/>
    <col min="11754" max="11755" width="0" style="1" hidden="1" customWidth="1"/>
    <col min="11756" max="11756" width="61.42578125" style="1" customWidth="1"/>
    <col min="11757" max="11757" width="62.140625" style="1" customWidth="1"/>
    <col min="11758" max="11761" width="0" style="1" hidden="1" customWidth="1"/>
    <col min="11762" max="12006" width="9.140625" style="1"/>
    <col min="12007" max="12007" width="5.5703125" style="1" customWidth="1"/>
    <col min="12008" max="12008" width="58" style="1" customWidth="1"/>
    <col min="12009" max="12009" width="24.140625" style="1" customWidth="1"/>
    <col min="12010" max="12011" width="0" style="1" hidden="1" customWidth="1"/>
    <col min="12012" max="12012" width="61.42578125" style="1" customWidth="1"/>
    <col min="12013" max="12013" width="62.140625" style="1" customWidth="1"/>
    <col min="12014" max="12017" width="0" style="1" hidden="1" customWidth="1"/>
    <col min="12018" max="12262" width="9.140625" style="1"/>
    <col min="12263" max="12263" width="5.5703125" style="1" customWidth="1"/>
    <col min="12264" max="12264" width="58" style="1" customWidth="1"/>
    <col min="12265" max="12265" width="24.140625" style="1" customWidth="1"/>
    <col min="12266" max="12267" width="0" style="1" hidden="1" customWidth="1"/>
    <col min="12268" max="12268" width="61.42578125" style="1" customWidth="1"/>
    <col min="12269" max="12269" width="62.140625" style="1" customWidth="1"/>
    <col min="12270" max="12273" width="0" style="1" hidden="1" customWidth="1"/>
    <col min="12274" max="12518" width="9.140625" style="1"/>
    <col min="12519" max="12519" width="5.5703125" style="1" customWidth="1"/>
    <col min="12520" max="12520" width="58" style="1" customWidth="1"/>
    <col min="12521" max="12521" width="24.140625" style="1" customWidth="1"/>
    <col min="12522" max="12523" width="0" style="1" hidden="1" customWidth="1"/>
    <col min="12524" max="12524" width="61.42578125" style="1" customWidth="1"/>
    <col min="12525" max="12525" width="62.140625" style="1" customWidth="1"/>
    <col min="12526" max="12529" width="0" style="1" hidden="1" customWidth="1"/>
    <col min="12530" max="12774" width="9.140625" style="1"/>
    <col min="12775" max="12775" width="5.5703125" style="1" customWidth="1"/>
    <col min="12776" max="12776" width="58" style="1" customWidth="1"/>
    <col min="12777" max="12777" width="24.140625" style="1" customWidth="1"/>
    <col min="12778" max="12779" width="0" style="1" hidden="1" customWidth="1"/>
    <col min="12780" max="12780" width="61.42578125" style="1" customWidth="1"/>
    <col min="12781" max="12781" width="62.140625" style="1" customWidth="1"/>
    <col min="12782" max="12785" width="0" style="1" hidden="1" customWidth="1"/>
    <col min="12786" max="13030" width="9.140625" style="1"/>
    <col min="13031" max="13031" width="5.5703125" style="1" customWidth="1"/>
    <col min="13032" max="13032" width="58" style="1" customWidth="1"/>
    <col min="13033" max="13033" width="24.140625" style="1" customWidth="1"/>
    <col min="13034" max="13035" width="0" style="1" hidden="1" customWidth="1"/>
    <col min="13036" max="13036" width="61.42578125" style="1" customWidth="1"/>
    <col min="13037" max="13037" width="62.140625" style="1" customWidth="1"/>
    <col min="13038" max="13041" width="0" style="1" hidden="1" customWidth="1"/>
    <col min="13042" max="13286" width="9.140625" style="1"/>
    <col min="13287" max="13287" width="5.5703125" style="1" customWidth="1"/>
    <col min="13288" max="13288" width="58" style="1" customWidth="1"/>
    <col min="13289" max="13289" width="24.140625" style="1" customWidth="1"/>
    <col min="13290" max="13291" width="0" style="1" hidden="1" customWidth="1"/>
    <col min="13292" max="13292" width="61.42578125" style="1" customWidth="1"/>
    <col min="13293" max="13293" width="62.140625" style="1" customWidth="1"/>
    <col min="13294" max="13297" width="0" style="1" hidden="1" customWidth="1"/>
    <col min="13298" max="13542" width="9.140625" style="1"/>
    <col min="13543" max="13543" width="5.5703125" style="1" customWidth="1"/>
    <col min="13544" max="13544" width="58" style="1" customWidth="1"/>
    <col min="13545" max="13545" width="24.140625" style="1" customWidth="1"/>
    <col min="13546" max="13547" width="0" style="1" hidden="1" customWidth="1"/>
    <col min="13548" max="13548" width="61.42578125" style="1" customWidth="1"/>
    <col min="13549" max="13549" width="62.140625" style="1" customWidth="1"/>
    <col min="13550" max="13553" width="0" style="1" hidden="1" customWidth="1"/>
    <col min="13554" max="13798" width="9.140625" style="1"/>
    <col min="13799" max="13799" width="5.5703125" style="1" customWidth="1"/>
    <col min="13800" max="13800" width="58" style="1" customWidth="1"/>
    <col min="13801" max="13801" width="24.140625" style="1" customWidth="1"/>
    <col min="13802" max="13803" width="0" style="1" hidden="1" customWidth="1"/>
    <col min="13804" max="13804" width="61.42578125" style="1" customWidth="1"/>
    <col min="13805" max="13805" width="62.140625" style="1" customWidth="1"/>
    <col min="13806" max="13809" width="0" style="1" hidden="1" customWidth="1"/>
    <col min="13810" max="14054" width="9.140625" style="1"/>
    <col min="14055" max="14055" width="5.5703125" style="1" customWidth="1"/>
    <col min="14056" max="14056" width="58" style="1" customWidth="1"/>
    <col min="14057" max="14057" width="24.140625" style="1" customWidth="1"/>
    <col min="14058" max="14059" width="0" style="1" hidden="1" customWidth="1"/>
    <col min="14060" max="14060" width="61.42578125" style="1" customWidth="1"/>
    <col min="14061" max="14061" width="62.140625" style="1" customWidth="1"/>
    <col min="14062" max="14065" width="0" style="1" hidden="1" customWidth="1"/>
    <col min="14066" max="14310" width="9.140625" style="1"/>
    <col min="14311" max="14311" width="5.5703125" style="1" customWidth="1"/>
    <col min="14312" max="14312" width="58" style="1" customWidth="1"/>
    <col min="14313" max="14313" width="24.140625" style="1" customWidth="1"/>
    <col min="14314" max="14315" width="0" style="1" hidden="1" customWidth="1"/>
    <col min="14316" max="14316" width="61.42578125" style="1" customWidth="1"/>
    <col min="14317" max="14317" width="62.140625" style="1" customWidth="1"/>
    <col min="14318" max="14321" width="0" style="1" hidden="1" customWidth="1"/>
    <col min="14322" max="14566" width="9.140625" style="1"/>
    <col min="14567" max="14567" width="5.5703125" style="1" customWidth="1"/>
    <col min="14568" max="14568" width="58" style="1" customWidth="1"/>
    <col min="14569" max="14569" width="24.140625" style="1" customWidth="1"/>
    <col min="14570" max="14571" width="0" style="1" hidden="1" customWidth="1"/>
    <col min="14572" max="14572" width="61.42578125" style="1" customWidth="1"/>
    <col min="14573" max="14573" width="62.140625" style="1" customWidth="1"/>
    <col min="14574" max="14577" width="0" style="1" hidden="1" customWidth="1"/>
    <col min="14578" max="14822" width="9.140625" style="1"/>
    <col min="14823" max="14823" width="5.5703125" style="1" customWidth="1"/>
    <col min="14824" max="14824" width="58" style="1" customWidth="1"/>
    <col min="14825" max="14825" width="24.140625" style="1" customWidth="1"/>
    <col min="14826" max="14827" width="0" style="1" hidden="1" customWidth="1"/>
    <col min="14828" max="14828" width="61.42578125" style="1" customWidth="1"/>
    <col min="14829" max="14829" width="62.140625" style="1" customWidth="1"/>
    <col min="14830" max="14833" width="0" style="1" hidden="1" customWidth="1"/>
    <col min="14834" max="15078" width="9.140625" style="1"/>
    <col min="15079" max="15079" width="5.5703125" style="1" customWidth="1"/>
    <col min="15080" max="15080" width="58" style="1" customWidth="1"/>
    <col min="15081" max="15081" width="24.140625" style="1" customWidth="1"/>
    <col min="15082" max="15083" width="0" style="1" hidden="1" customWidth="1"/>
    <col min="15084" max="15084" width="61.42578125" style="1" customWidth="1"/>
    <col min="15085" max="15085" width="62.140625" style="1" customWidth="1"/>
    <col min="15086" max="15089" width="0" style="1" hidden="1" customWidth="1"/>
    <col min="15090" max="15334" width="9.140625" style="1"/>
    <col min="15335" max="15335" width="5.5703125" style="1" customWidth="1"/>
    <col min="15336" max="15336" width="58" style="1" customWidth="1"/>
    <col min="15337" max="15337" width="24.140625" style="1" customWidth="1"/>
    <col min="15338" max="15339" width="0" style="1" hidden="1" customWidth="1"/>
    <col min="15340" max="15340" width="61.42578125" style="1" customWidth="1"/>
    <col min="15341" max="15341" width="62.140625" style="1" customWidth="1"/>
    <col min="15342" max="15345" width="0" style="1" hidden="1" customWidth="1"/>
    <col min="15346" max="15590" width="9.140625" style="1"/>
    <col min="15591" max="15591" width="5.5703125" style="1" customWidth="1"/>
    <col min="15592" max="15592" width="58" style="1" customWidth="1"/>
    <col min="15593" max="15593" width="24.140625" style="1" customWidth="1"/>
    <col min="15594" max="15595" width="0" style="1" hidden="1" customWidth="1"/>
    <col min="15596" max="15596" width="61.42578125" style="1" customWidth="1"/>
    <col min="15597" max="15597" width="62.140625" style="1" customWidth="1"/>
    <col min="15598" max="15601" width="0" style="1" hidden="1" customWidth="1"/>
    <col min="15602" max="15846" width="9.140625" style="1"/>
    <col min="15847" max="15847" width="5.5703125" style="1" customWidth="1"/>
    <col min="15848" max="15848" width="58" style="1" customWidth="1"/>
    <col min="15849" max="15849" width="24.140625" style="1" customWidth="1"/>
    <col min="15850" max="15851" width="0" style="1" hidden="1" customWidth="1"/>
    <col min="15852" max="15852" width="61.42578125" style="1" customWidth="1"/>
    <col min="15853" max="15853" width="62.140625" style="1" customWidth="1"/>
    <col min="15854" max="15857" width="0" style="1" hidden="1" customWidth="1"/>
    <col min="15858" max="16102" width="9.140625" style="1"/>
    <col min="16103" max="16103" width="5.5703125" style="1" customWidth="1"/>
    <col min="16104" max="16104" width="58" style="1" customWidth="1"/>
    <col min="16105" max="16105" width="24.140625" style="1" customWidth="1"/>
    <col min="16106" max="16107" width="0" style="1" hidden="1" customWidth="1"/>
    <col min="16108" max="16108" width="61.42578125" style="1" customWidth="1"/>
    <col min="16109" max="16109" width="62.140625" style="1" customWidth="1"/>
    <col min="16110" max="16113" width="0" style="1" hidden="1" customWidth="1"/>
    <col min="16114" max="16357" width="9.140625" style="1"/>
    <col min="16358" max="16384" width="8.85546875" style="1" customWidth="1"/>
  </cols>
  <sheetData>
    <row r="1" spans="2:6" x14ac:dyDescent="0.4">
      <c r="C1" s="2" t="s">
        <v>0</v>
      </c>
    </row>
    <row r="2" spans="2:6" x14ac:dyDescent="0.4">
      <c r="C2" s="4">
        <v>44682</v>
      </c>
    </row>
    <row r="3" spans="2:6" x14ac:dyDescent="0.4">
      <c r="B3" s="5"/>
      <c r="C3" s="6" t="s">
        <v>1</v>
      </c>
    </row>
    <row r="4" spans="2:6" ht="24.95" customHeight="1" thickBot="1" x14ac:dyDescent="0.45">
      <c r="B4" s="7" t="s">
        <v>2</v>
      </c>
      <c r="C4" s="8" t="s">
        <v>3</v>
      </c>
      <c r="D4" s="7" t="s">
        <v>4</v>
      </c>
      <c r="E4" s="9" t="s">
        <v>5</v>
      </c>
      <c r="F4" s="9" t="s">
        <v>6</v>
      </c>
    </row>
    <row r="5" spans="2:6" ht="39.950000000000003" customHeight="1" x14ac:dyDescent="0.4">
      <c r="B5" s="10" t="s">
        <v>7</v>
      </c>
      <c r="C5" s="11">
        <v>20</v>
      </c>
      <c r="D5" s="12" t="s">
        <v>8</v>
      </c>
      <c r="E5" s="13" t="s">
        <v>9</v>
      </c>
      <c r="F5" s="13" t="s">
        <v>10</v>
      </c>
    </row>
    <row r="6" spans="2:6" ht="42.6" customHeight="1" thickBot="1" x14ac:dyDescent="0.45">
      <c r="B6" s="14" t="s">
        <v>11</v>
      </c>
      <c r="C6" s="15">
        <f>C5*2080</f>
        <v>41600</v>
      </c>
      <c r="D6" s="16"/>
      <c r="E6" s="17"/>
      <c r="F6" s="17"/>
    </row>
    <row r="7" spans="2:6" x14ac:dyDescent="0.4">
      <c r="B7" s="18" t="s">
        <v>12</v>
      </c>
      <c r="C7" s="11">
        <f>'[1]DC  CNA  DC III'!I19</f>
        <v>25.580080000000002</v>
      </c>
      <c r="D7" s="19" t="s">
        <v>13</v>
      </c>
      <c r="E7" s="13" t="s">
        <v>14</v>
      </c>
      <c r="F7" s="13" t="s">
        <v>15</v>
      </c>
    </row>
    <row r="8" spans="2:6" ht="46.5" customHeight="1" thickBot="1" x14ac:dyDescent="0.45">
      <c r="B8" s="20" t="s">
        <v>16</v>
      </c>
      <c r="C8" s="21">
        <f>C7*2080</f>
        <v>53206.566400000003</v>
      </c>
      <c r="D8" s="3" t="s">
        <v>17</v>
      </c>
      <c r="E8" s="22"/>
      <c r="F8" s="22"/>
    </row>
    <row r="9" spans="2:6" ht="26.1" customHeight="1" x14ac:dyDescent="0.4">
      <c r="B9" s="18" t="s">
        <v>18</v>
      </c>
      <c r="C9" s="11">
        <f>'[1]DC  CNA  DC III'!I11</f>
        <v>19.121599999999997</v>
      </c>
      <c r="D9" s="19"/>
      <c r="E9" s="13" t="s">
        <v>19</v>
      </c>
      <c r="F9" s="13" t="s">
        <v>20</v>
      </c>
    </row>
    <row r="10" spans="2:6" ht="27" thickBot="1" x14ac:dyDescent="0.45">
      <c r="B10" s="23" t="s">
        <v>21</v>
      </c>
      <c r="C10" s="15">
        <f>'[1]DC  CNA  DC III'!J11</f>
        <v>39772.927999999993</v>
      </c>
      <c r="D10" s="24"/>
      <c r="E10" s="17"/>
      <c r="F10" s="17"/>
    </row>
    <row r="11" spans="2:6" x14ac:dyDescent="0.4">
      <c r="B11" s="18" t="s">
        <v>22</v>
      </c>
      <c r="C11" s="11">
        <f>'[1]Case Social Worker.Manager'!J4</f>
        <v>28.180799999999998</v>
      </c>
      <c r="D11" s="19" t="s">
        <v>23</v>
      </c>
      <c r="E11" s="13" t="s">
        <v>24</v>
      </c>
      <c r="F11" s="13" t="s">
        <v>25</v>
      </c>
    </row>
    <row r="12" spans="2:6" ht="27" thickBot="1" x14ac:dyDescent="0.45">
      <c r="B12" s="20" t="s">
        <v>26</v>
      </c>
      <c r="C12" s="21">
        <f>C11*2080</f>
        <v>58616.063999999998</v>
      </c>
      <c r="D12" s="1" t="s">
        <v>27</v>
      </c>
      <c r="E12" s="22"/>
      <c r="F12" s="22"/>
    </row>
    <row r="13" spans="2:6" ht="52.5" x14ac:dyDescent="0.4">
      <c r="B13" s="25" t="s">
        <v>28</v>
      </c>
      <c r="C13" s="11">
        <f>'[1]Case Social Worker.Manager'!J11</f>
        <v>30.9283</v>
      </c>
      <c r="D13" s="19" t="s">
        <v>29</v>
      </c>
      <c r="E13" s="13" t="s">
        <v>30</v>
      </c>
      <c r="F13" s="13" t="s">
        <v>31</v>
      </c>
    </row>
    <row r="14" spans="2:6" ht="53.25" thickBot="1" x14ac:dyDescent="0.45">
      <c r="B14" s="26" t="s">
        <v>32</v>
      </c>
      <c r="C14" s="15">
        <f>C13*2080</f>
        <v>64330.864000000001</v>
      </c>
      <c r="D14" s="24" t="s">
        <v>33</v>
      </c>
      <c r="E14" s="17"/>
      <c r="F14" s="17"/>
    </row>
    <row r="15" spans="2:6" x14ac:dyDescent="0.4">
      <c r="B15" s="18" t="s">
        <v>34</v>
      </c>
      <c r="C15" s="11">
        <f>[1]Nursing!J2</f>
        <v>31.575200000000002</v>
      </c>
      <c r="D15" s="19"/>
      <c r="E15" s="13" t="s">
        <v>35</v>
      </c>
      <c r="F15" s="13" t="s">
        <v>36</v>
      </c>
    </row>
    <row r="16" spans="2:6" ht="27" thickBot="1" x14ac:dyDescent="0.45">
      <c r="B16" s="23" t="s">
        <v>37</v>
      </c>
      <c r="C16" s="27">
        <f>C15*2080</f>
        <v>65676.416000000012</v>
      </c>
      <c r="D16" s="24" t="s">
        <v>38</v>
      </c>
      <c r="E16" s="17"/>
      <c r="F16" s="17"/>
    </row>
    <row r="17" spans="2:12" x14ac:dyDescent="0.4">
      <c r="B17" s="18" t="s">
        <v>39</v>
      </c>
      <c r="C17" s="11">
        <f>[1]Clinical!J6</f>
        <v>38.753100000000003</v>
      </c>
      <c r="D17" s="19" t="s">
        <v>40</v>
      </c>
      <c r="E17" s="13" t="s">
        <v>41</v>
      </c>
      <c r="F17" s="13" t="s">
        <v>42</v>
      </c>
    </row>
    <row r="18" spans="2:12" ht="27" thickBot="1" x14ac:dyDescent="0.45">
      <c r="B18" s="23" t="s">
        <v>43</v>
      </c>
      <c r="C18" s="15">
        <f>C17*2080</f>
        <v>80606.448000000004</v>
      </c>
      <c r="D18" s="24"/>
      <c r="E18" s="17"/>
      <c r="F18" s="17"/>
    </row>
    <row r="19" spans="2:12" x14ac:dyDescent="0.4">
      <c r="B19" s="18" t="s">
        <v>44</v>
      </c>
      <c r="C19" s="28">
        <f>[1]Therapies!M2</f>
        <v>32.740400000000001</v>
      </c>
      <c r="D19" s="19"/>
      <c r="E19" s="13" t="s">
        <v>45</v>
      </c>
      <c r="F19" s="13" t="s">
        <v>46</v>
      </c>
    </row>
    <row r="20" spans="2:12" ht="27" thickBot="1" x14ac:dyDescent="0.45">
      <c r="B20" s="23" t="s">
        <v>47</v>
      </c>
      <c r="C20" s="15">
        <f>C19*2080</f>
        <v>68100.032000000007</v>
      </c>
      <c r="D20" s="24"/>
      <c r="E20" s="17"/>
      <c r="F20" s="17"/>
    </row>
    <row r="21" spans="2:12" x14ac:dyDescent="0.4">
      <c r="B21" s="20" t="s">
        <v>48</v>
      </c>
      <c r="C21" s="29">
        <f>[1]Management!J2</f>
        <v>38.180400000000006</v>
      </c>
      <c r="D21" s="1" t="s">
        <v>49</v>
      </c>
      <c r="E21" s="13" t="s">
        <v>50</v>
      </c>
      <c r="F21" s="30" t="s">
        <v>51</v>
      </c>
    </row>
    <row r="22" spans="2:12" ht="27" thickBot="1" x14ac:dyDescent="0.45">
      <c r="B22" s="23" t="s">
        <v>52</v>
      </c>
      <c r="C22" s="15">
        <f>C21*2080</f>
        <v>79415.232000000018</v>
      </c>
      <c r="D22" s="24" t="s">
        <v>53</v>
      </c>
      <c r="E22" s="17"/>
      <c r="F22" s="31"/>
    </row>
    <row r="23" spans="2:12" ht="39.950000000000003" customHeight="1" x14ac:dyDescent="0.4">
      <c r="B23" s="32" t="s">
        <v>54</v>
      </c>
      <c r="C23" s="29">
        <f>[1]Therapies!M8</f>
        <v>38.017499999999998</v>
      </c>
      <c r="D23" s="1" t="s">
        <v>55</v>
      </c>
      <c r="E23" s="13" t="s">
        <v>30</v>
      </c>
      <c r="F23" s="13" t="s">
        <v>56</v>
      </c>
    </row>
    <row r="24" spans="2:12" ht="39.950000000000003" customHeight="1" thickBot="1" x14ac:dyDescent="0.45">
      <c r="B24" s="14" t="s">
        <v>57</v>
      </c>
      <c r="C24" s="15">
        <f>C23*2080</f>
        <v>79076.399999999994</v>
      </c>
      <c r="D24" s="24"/>
      <c r="E24" s="17"/>
      <c r="F24" s="17"/>
    </row>
    <row r="25" spans="2:12" x14ac:dyDescent="0.4">
      <c r="B25" s="20" t="s">
        <v>58</v>
      </c>
      <c r="C25" s="29">
        <f>[1]Therapies!M14</f>
        <v>41.25168</v>
      </c>
      <c r="D25" s="1" t="s">
        <v>59</v>
      </c>
      <c r="E25" s="13" t="s">
        <v>30</v>
      </c>
      <c r="F25" s="13" t="s">
        <v>60</v>
      </c>
    </row>
    <row r="26" spans="2:12" ht="27" thickBot="1" x14ac:dyDescent="0.45">
      <c r="B26" s="23" t="s">
        <v>61</v>
      </c>
      <c r="C26" s="21">
        <f>C25*2080</f>
        <v>85803.494399999996</v>
      </c>
      <c r="E26" s="17"/>
      <c r="F26" s="17"/>
    </row>
    <row r="27" spans="2:12" x14ac:dyDescent="0.4">
      <c r="B27" s="18" t="s">
        <v>62</v>
      </c>
      <c r="C27" s="11">
        <f>[1]Clinical!J12</f>
        <v>48.742200000000004</v>
      </c>
      <c r="D27" s="33" t="s">
        <v>63</v>
      </c>
      <c r="E27" s="13" t="s">
        <v>64</v>
      </c>
      <c r="F27" s="13" t="s">
        <v>65</v>
      </c>
    </row>
    <row r="28" spans="2:12" ht="34.5" customHeight="1" thickBot="1" x14ac:dyDescent="0.45">
      <c r="B28" s="23" t="s">
        <v>66</v>
      </c>
      <c r="C28" s="15">
        <f>C27*2080</f>
        <v>101383.77600000001</v>
      </c>
      <c r="D28" s="34"/>
      <c r="E28" s="17"/>
      <c r="F28" s="17"/>
    </row>
    <row r="29" spans="2:12" x14ac:dyDescent="0.4">
      <c r="B29" s="10" t="s">
        <v>67</v>
      </c>
      <c r="C29" s="11">
        <f>[1]Therapies!M18</f>
        <v>42.756720000000001</v>
      </c>
      <c r="D29" s="19"/>
      <c r="E29" s="13" t="s">
        <v>30</v>
      </c>
      <c r="F29" s="13" t="s">
        <v>68</v>
      </c>
    </row>
    <row r="30" spans="2:12" ht="27" thickBot="1" x14ac:dyDescent="0.45">
      <c r="B30" s="14" t="s">
        <v>69</v>
      </c>
      <c r="C30" s="15">
        <f>C29*2080</f>
        <v>88933.977599999998</v>
      </c>
      <c r="D30" s="24"/>
      <c r="E30" s="17"/>
      <c r="F30" s="17"/>
    </row>
    <row r="31" spans="2:12" x14ac:dyDescent="0.4">
      <c r="B31" s="18" t="s">
        <v>70</v>
      </c>
      <c r="C31" s="11">
        <f>[1]Nursing!J6</f>
        <v>49.162799999999997</v>
      </c>
      <c r="D31" s="19"/>
      <c r="E31" s="13" t="s">
        <v>71</v>
      </c>
      <c r="F31" s="13" t="s">
        <v>72</v>
      </c>
      <c r="I31" s="35" t="s">
        <v>73</v>
      </c>
      <c r="J31" s="36" t="s">
        <v>74</v>
      </c>
      <c r="K31" s="36"/>
      <c r="L31" s="37"/>
    </row>
    <row r="32" spans="2:12" ht="38.450000000000003" customHeight="1" thickBot="1" x14ac:dyDescent="0.45">
      <c r="B32" s="23" t="s">
        <v>75</v>
      </c>
      <c r="C32" s="27">
        <f>C31*2080</f>
        <v>102258.624</v>
      </c>
      <c r="D32" s="24"/>
      <c r="E32" s="17"/>
      <c r="F32" s="17"/>
      <c r="I32" s="38"/>
      <c r="J32" s="39" t="s">
        <v>76</v>
      </c>
      <c r="K32" s="40" t="s">
        <v>77</v>
      </c>
      <c r="L32" s="41"/>
    </row>
    <row r="33" spans="2:12" x14ac:dyDescent="0.4">
      <c r="B33" s="18" t="s">
        <v>78</v>
      </c>
      <c r="C33" s="11">
        <f>[1]Nursing!J11</f>
        <v>65.162400000000005</v>
      </c>
      <c r="D33" s="19"/>
      <c r="E33" s="13" t="s">
        <v>79</v>
      </c>
      <c r="F33" s="13" t="s">
        <v>80</v>
      </c>
      <c r="I33" s="42" t="s">
        <v>81</v>
      </c>
      <c r="J33" s="43">
        <v>15</v>
      </c>
      <c r="K33" s="43">
        <f>J33*8</f>
        <v>120</v>
      </c>
      <c r="L33" s="41"/>
    </row>
    <row r="34" spans="2:12" ht="27" thickBot="1" x14ac:dyDescent="0.45">
      <c r="B34" s="23" t="s">
        <v>82</v>
      </c>
      <c r="C34" s="15">
        <f>C33*2080</f>
        <v>135537.79200000002</v>
      </c>
      <c r="D34" s="24"/>
      <c r="E34" s="17"/>
      <c r="F34" s="17"/>
      <c r="I34" s="42" t="s">
        <v>83</v>
      </c>
      <c r="J34" s="43">
        <v>10</v>
      </c>
      <c r="K34" s="43">
        <f>J34*8</f>
        <v>80</v>
      </c>
      <c r="L34" s="41"/>
    </row>
    <row r="35" spans="2:12" x14ac:dyDescent="0.4">
      <c r="I35" s="42" t="s">
        <v>84</v>
      </c>
      <c r="J35" s="43">
        <v>11</v>
      </c>
      <c r="K35" s="43">
        <f>J35*8</f>
        <v>88</v>
      </c>
      <c r="L35" s="41"/>
    </row>
    <row r="36" spans="2:12" ht="52.5" x14ac:dyDescent="0.4">
      <c r="B36" s="44" t="s">
        <v>85</v>
      </c>
      <c r="C36" s="21">
        <f>C6</f>
        <v>41600</v>
      </c>
      <c r="I36" s="45" t="s">
        <v>86</v>
      </c>
      <c r="J36" s="46">
        <v>5</v>
      </c>
      <c r="K36" s="46">
        <f>J36*8</f>
        <v>40</v>
      </c>
      <c r="L36" s="47"/>
    </row>
    <row r="37" spans="2:12" x14ac:dyDescent="0.4">
      <c r="C37" s="48"/>
      <c r="I37" s="42"/>
      <c r="J37" s="49" t="s">
        <v>87</v>
      </c>
      <c r="K37" s="43">
        <f>SUM(K33:K36)</f>
        <v>328</v>
      </c>
      <c r="L37" s="50"/>
    </row>
    <row r="38" spans="2:12" ht="27" thickBot="1" x14ac:dyDescent="0.45">
      <c r="B38" s="51" t="s">
        <v>88</v>
      </c>
      <c r="C38" s="52">
        <v>0.27379999999999999</v>
      </c>
      <c r="D38" s="1" t="s">
        <v>89</v>
      </c>
      <c r="I38" s="53"/>
      <c r="J38" s="54" t="s">
        <v>90</v>
      </c>
      <c r="K38" s="55">
        <f>K37/(52*40)</f>
        <v>0.15769230769230769</v>
      </c>
      <c r="L38" s="56"/>
    </row>
    <row r="39" spans="2:12" ht="34.35" customHeight="1" x14ac:dyDescent="0.4">
      <c r="B39" s="51"/>
      <c r="C39" s="48"/>
      <c r="D39" s="57" t="s">
        <v>91</v>
      </c>
      <c r="E39" s="57"/>
      <c r="F39" s="1"/>
    </row>
    <row r="40" spans="2:12" x14ac:dyDescent="0.4">
      <c r="C40" s="48"/>
    </row>
    <row r="41" spans="2:12" x14ac:dyDescent="0.4">
      <c r="B41" s="51" t="s">
        <v>92</v>
      </c>
      <c r="C41" s="58">
        <v>0.12</v>
      </c>
      <c r="D41" s="1" t="s">
        <v>93</v>
      </c>
    </row>
    <row r="42" spans="2:12" x14ac:dyDescent="0.4">
      <c r="B42" s="51"/>
      <c r="C42" s="59"/>
    </row>
    <row r="43" spans="2:12" x14ac:dyDescent="0.4">
      <c r="B43" s="60" t="s">
        <v>94</v>
      </c>
      <c r="C43" s="60"/>
      <c r="D43" s="60"/>
    </row>
    <row r="44" spans="2:12" x14ac:dyDescent="0.4">
      <c r="B44" s="61" t="s">
        <v>95</v>
      </c>
      <c r="C44" s="21">
        <v>247470</v>
      </c>
      <c r="D44" s="1" t="s">
        <v>96</v>
      </c>
    </row>
    <row r="45" spans="2:12" x14ac:dyDescent="0.4">
      <c r="B45" s="51" t="s">
        <v>97</v>
      </c>
      <c r="C45" s="21">
        <v>252850</v>
      </c>
      <c r="D45" s="1" t="s">
        <v>98</v>
      </c>
    </row>
    <row r="46" spans="2:12" x14ac:dyDescent="0.4">
      <c r="B46" s="51" t="s">
        <v>99</v>
      </c>
      <c r="C46" s="21">
        <f>'[1]M2022 53_PCT'!N33</f>
        <v>135424.64000000001</v>
      </c>
      <c r="D46" s="1" t="s">
        <v>100</v>
      </c>
    </row>
    <row r="47" spans="2:12" x14ac:dyDescent="0.4">
      <c r="B47" s="51" t="s">
        <v>101</v>
      </c>
      <c r="C47" s="62">
        <f>C6</f>
        <v>41600</v>
      </c>
      <c r="D47" s="1" t="s">
        <v>102</v>
      </c>
    </row>
    <row r="48" spans="2:12" x14ac:dyDescent="0.4">
      <c r="B48" s="51" t="s">
        <v>103</v>
      </c>
      <c r="C48" s="62">
        <f>AVERAGE(C6,C8)</f>
        <v>47403.283200000005</v>
      </c>
      <c r="D48" s="1" t="s">
        <v>104</v>
      </c>
    </row>
    <row r="49" spans="2:6" x14ac:dyDescent="0.4">
      <c r="B49" s="51" t="s">
        <v>105</v>
      </c>
      <c r="C49" s="21">
        <f>C8</f>
        <v>53206.566400000003</v>
      </c>
      <c r="D49" s="1" t="s">
        <v>106</v>
      </c>
    </row>
    <row r="50" spans="2:6" x14ac:dyDescent="0.4">
      <c r="B50" s="51" t="s">
        <v>107</v>
      </c>
      <c r="C50" s="21">
        <f>'[1]M2022 53_PCT'!N34</f>
        <v>40890.303999999996</v>
      </c>
      <c r="D50" s="1" t="s">
        <v>108</v>
      </c>
    </row>
    <row r="51" spans="2:6" x14ac:dyDescent="0.4">
      <c r="B51" s="51" t="s">
        <v>109</v>
      </c>
      <c r="C51" s="62">
        <f>'[1]M2022 53_PCT'!N37</f>
        <v>50652.160000000003</v>
      </c>
      <c r="D51" s="1" t="s">
        <v>110</v>
      </c>
    </row>
    <row r="52" spans="2:6" x14ac:dyDescent="0.4">
      <c r="B52" s="51" t="s">
        <v>111</v>
      </c>
      <c r="C52" s="62">
        <f>AVERAGE('[1]M2022 53_PCT'!N35,'[1]M2022 53_PCT'!N36)</f>
        <v>57014.464000000007</v>
      </c>
      <c r="D52" s="1" t="s">
        <v>112</v>
      </c>
    </row>
    <row r="53" spans="2:6" x14ac:dyDescent="0.4">
      <c r="B53" s="51"/>
      <c r="C53" s="62"/>
    </row>
    <row r="54" spans="2:6" x14ac:dyDescent="0.4">
      <c r="B54" s="51"/>
      <c r="C54" s="62"/>
    </row>
    <row r="55" spans="2:6" x14ac:dyDescent="0.4">
      <c r="B55" s="63" t="s">
        <v>113</v>
      </c>
      <c r="C55" s="63"/>
      <c r="D55" s="63"/>
      <c r="E55" s="63"/>
      <c r="F55" s="63"/>
    </row>
    <row r="56" spans="2:6" x14ac:dyDescent="0.4">
      <c r="B56" s="64" t="s">
        <v>114</v>
      </c>
      <c r="C56" s="1" t="s">
        <v>115</v>
      </c>
    </row>
    <row r="57" spans="2:6" ht="66.599999999999994" customHeight="1" x14ac:dyDescent="0.4">
      <c r="B57" s="65" t="s">
        <v>116</v>
      </c>
      <c r="C57" s="57" t="s">
        <v>117</v>
      </c>
      <c r="D57" s="57"/>
      <c r="E57" s="57"/>
      <c r="F57" s="57"/>
    </row>
    <row r="60" spans="2:6" x14ac:dyDescent="0.4">
      <c r="B60" s="66" t="s">
        <v>118</v>
      </c>
      <c r="C60" s="67">
        <f>(C32*0.5)+(C16*0.5)</f>
        <v>83967.52</v>
      </c>
    </row>
  </sheetData>
  <mergeCells count="37">
    <mergeCell ref="D39:E39"/>
    <mergeCell ref="B43:D43"/>
    <mergeCell ref="B55:F55"/>
    <mergeCell ref="C57:F57"/>
    <mergeCell ref="E29:E30"/>
    <mergeCell ref="F29:F30"/>
    <mergeCell ref="E31:E32"/>
    <mergeCell ref="F31:F32"/>
    <mergeCell ref="J31:K31"/>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D5:D6"/>
    <mergeCell ref="E5:E6"/>
    <mergeCell ref="F5:F6"/>
    <mergeCell ref="E7:E8"/>
    <mergeCell ref="F7:F8"/>
    <mergeCell ref="E9:E10"/>
    <mergeCell ref="F9:F10"/>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09590-AEF9-41B6-B08C-5FA8982409E7}">
  <dimension ref="F2:H20"/>
  <sheetViews>
    <sheetView workbookViewId="0">
      <selection activeCell="K22" sqref="K22"/>
    </sheetView>
  </sheetViews>
  <sheetFormatPr defaultRowHeight="15" x14ac:dyDescent="0.25"/>
  <cols>
    <col min="6" max="6" width="41.42578125" customWidth="1"/>
    <col min="7" max="7" width="11.140625" customWidth="1"/>
    <col min="8" max="8" width="11" customWidth="1"/>
  </cols>
  <sheetData>
    <row r="2" spans="6:8" ht="15.75" thickBot="1" x14ac:dyDescent="0.3"/>
    <row r="3" spans="6:8" ht="15.75" thickBot="1" x14ac:dyDescent="0.3">
      <c r="H3" s="587" t="s">
        <v>204</v>
      </c>
    </row>
    <row r="4" spans="6:8" ht="15.75" thickBot="1" x14ac:dyDescent="0.3">
      <c r="F4" s="588" t="s">
        <v>275</v>
      </c>
      <c r="G4" s="589" t="s">
        <v>277</v>
      </c>
      <c r="H4" s="590" t="s">
        <v>276</v>
      </c>
    </row>
    <row r="5" spans="6:8" ht="15.75" thickBot="1" x14ac:dyDescent="0.3">
      <c r="F5" s="591" t="s">
        <v>278</v>
      </c>
      <c r="G5" s="592" t="s">
        <v>279</v>
      </c>
      <c r="H5" s="593">
        <f>'1. O&amp;M Model '!U18</f>
        <v>101.44257412465691</v>
      </c>
    </row>
    <row r="6" spans="6:8" ht="15.75" thickBot="1" x14ac:dyDescent="0.3">
      <c r="F6" s="591" t="s">
        <v>280</v>
      </c>
      <c r="G6" s="592" t="s">
        <v>279</v>
      </c>
      <c r="H6" s="594">
        <f>'1. O&amp;M Model '!U19</f>
        <v>115.32785805781457</v>
      </c>
    </row>
    <row r="7" spans="6:8" ht="15.75" thickBot="1" x14ac:dyDescent="0.3">
      <c r="F7" s="591" t="s">
        <v>281</v>
      </c>
      <c r="G7" s="592" t="s">
        <v>279</v>
      </c>
      <c r="H7" s="594">
        <f>'1. O&amp;M Model '!U20</f>
        <v>129.20437979267311</v>
      </c>
    </row>
    <row r="8" spans="6:8" ht="15.75" thickBot="1" x14ac:dyDescent="0.3">
      <c r="F8" s="591" t="s">
        <v>282</v>
      </c>
      <c r="G8" s="592" t="s">
        <v>279</v>
      </c>
      <c r="H8" s="595">
        <f>'5. DBCAN Model - 2405'!K24</f>
        <v>47.982914211868774</v>
      </c>
    </row>
    <row r="9" spans="6:8" ht="15.75" thickBot="1" x14ac:dyDescent="0.3">
      <c r="F9" s="591" t="s">
        <v>283</v>
      </c>
      <c r="G9" s="592" t="s">
        <v>279</v>
      </c>
      <c r="H9" s="595">
        <f>'3. ATIL'!N26</f>
        <v>174.49871439992583</v>
      </c>
    </row>
    <row r="10" spans="6:8" ht="15.75" thickBot="1" x14ac:dyDescent="0.3">
      <c r="F10" s="591" t="s">
        <v>283</v>
      </c>
      <c r="G10" s="592" t="s">
        <v>284</v>
      </c>
      <c r="H10" s="596"/>
    </row>
    <row r="11" spans="6:8" ht="15.75" thickBot="1" x14ac:dyDescent="0.3">
      <c r="F11" s="597" t="s">
        <v>285</v>
      </c>
      <c r="G11" s="592"/>
      <c r="H11" s="596"/>
    </row>
    <row r="12" spans="6:8" ht="15.75" thickBot="1" x14ac:dyDescent="0.3">
      <c r="F12" s="598" t="s">
        <v>207</v>
      </c>
      <c r="G12" s="592" t="s">
        <v>279</v>
      </c>
      <c r="H12" s="594">
        <f>'2. HCA'!E7</f>
        <v>27.403790426182209</v>
      </c>
    </row>
    <row r="13" spans="6:8" ht="15.75" thickBot="1" x14ac:dyDescent="0.3">
      <c r="F13" s="598" t="s">
        <v>208</v>
      </c>
      <c r="G13" s="592" t="s">
        <v>279</v>
      </c>
      <c r="H13" s="594">
        <f>'2. HCA'!E8</f>
        <v>25.784475537362354</v>
      </c>
    </row>
    <row r="14" spans="6:8" ht="15.75" thickBot="1" x14ac:dyDescent="0.3">
      <c r="F14" s="598" t="s">
        <v>286</v>
      </c>
      <c r="G14" s="592" t="s">
        <v>279</v>
      </c>
      <c r="H14" s="594">
        <f>'2. HCA'!E9</f>
        <v>25.909038221117729</v>
      </c>
    </row>
    <row r="15" spans="6:8" ht="15.75" thickBot="1" x14ac:dyDescent="0.3">
      <c r="F15" s="598" t="s">
        <v>210</v>
      </c>
      <c r="G15" s="592" t="s">
        <v>279</v>
      </c>
      <c r="H15" s="594">
        <f>'2. HCA'!E10</f>
        <v>26.697935218235092</v>
      </c>
    </row>
    <row r="16" spans="6:8" ht="15.75" thickBot="1" x14ac:dyDescent="0.3">
      <c r="F16" s="598" t="s">
        <v>211</v>
      </c>
      <c r="G16" s="592" t="s">
        <v>279</v>
      </c>
      <c r="H16" s="594">
        <f>'2. HCA'!E11</f>
        <v>26.614893429064846</v>
      </c>
    </row>
    <row r="17" spans="6:8" ht="15.75" thickBot="1" x14ac:dyDescent="0.3">
      <c r="F17" s="597" t="s">
        <v>287</v>
      </c>
      <c r="G17" s="592" t="s">
        <v>279</v>
      </c>
      <c r="H17" s="595">
        <f>'4. VR Assistant'!I19</f>
        <v>70.438924078011681</v>
      </c>
    </row>
    <row r="18" spans="6:8" ht="15.75" thickBot="1" x14ac:dyDescent="0.3">
      <c r="F18" s="597" t="s">
        <v>288</v>
      </c>
      <c r="G18" s="592" t="s">
        <v>289</v>
      </c>
      <c r="H18" s="595">
        <f>'6. BI Community Outreach'!E24</f>
        <v>24.520259443995197</v>
      </c>
    </row>
    <row r="19" spans="6:8" ht="15.75" thickBot="1" x14ac:dyDescent="0.3">
      <c r="F19" s="597" t="s">
        <v>290</v>
      </c>
      <c r="G19" s="592" t="s">
        <v>289</v>
      </c>
      <c r="H19" s="595">
        <f>'7. BI Site Based'!L29</f>
        <v>7.8444579850771827</v>
      </c>
    </row>
    <row r="20" spans="6:8" ht="15.75" thickBot="1" x14ac:dyDescent="0.3">
      <c r="F20" s="597" t="s">
        <v>291</v>
      </c>
      <c r="G20" s="592" t="s">
        <v>289</v>
      </c>
      <c r="H20" s="1014">
        <f>'8. BI Direct Care Add-on'!C15</f>
        <v>6.9705598434528433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814F-529E-4BFC-B398-E168DB06367E}">
  <dimension ref="A1:CX30"/>
  <sheetViews>
    <sheetView topLeftCell="BV8" workbookViewId="0">
      <selection activeCell="B21" sqref="B21"/>
    </sheetView>
  </sheetViews>
  <sheetFormatPr defaultRowHeight="12.75" x14ac:dyDescent="0.2"/>
  <cols>
    <col min="1" max="1" width="38.42578125" style="601" customWidth="1"/>
    <col min="2" max="2" width="12.85546875" style="606" customWidth="1"/>
    <col min="3" max="82" width="7.7109375" style="601" customWidth="1"/>
    <col min="83" max="94" width="9.140625" style="601"/>
    <col min="95" max="102" width="0" style="601" hidden="1" customWidth="1"/>
    <col min="103" max="256" width="9.140625" style="601"/>
    <col min="257" max="257" width="38.42578125" style="601" customWidth="1"/>
    <col min="258" max="258" width="12.85546875" style="601" customWidth="1"/>
    <col min="259" max="338" width="7.7109375" style="601" customWidth="1"/>
    <col min="339" max="512" width="9.140625" style="601"/>
    <col min="513" max="513" width="38.42578125" style="601" customWidth="1"/>
    <col min="514" max="514" width="12.85546875" style="601" customWidth="1"/>
    <col min="515" max="594" width="7.7109375" style="601" customWidth="1"/>
    <col min="595" max="768" width="9.140625" style="601"/>
    <col min="769" max="769" width="38.42578125" style="601" customWidth="1"/>
    <col min="770" max="770" width="12.85546875" style="601" customWidth="1"/>
    <col min="771" max="850" width="7.7109375" style="601" customWidth="1"/>
    <col min="851" max="1024" width="9.140625" style="601"/>
    <col min="1025" max="1025" width="38.42578125" style="601" customWidth="1"/>
    <col min="1026" max="1026" width="12.85546875" style="601" customWidth="1"/>
    <col min="1027" max="1106" width="7.7109375" style="601" customWidth="1"/>
    <col min="1107" max="1280" width="9.140625" style="601"/>
    <col min="1281" max="1281" width="38.42578125" style="601" customWidth="1"/>
    <col min="1282" max="1282" width="12.85546875" style="601" customWidth="1"/>
    <col min="1283" max="1362" width="7.7109375" style="601" customWidth="1"/>
    <col min="1363" max="1536" width="9.140625" style="601"/>
    <col min="1537" max="1537" width="38.42578125" style="601" customWidth="1"/>
    <col min="1538" max="1538" width="12.85546875" style="601" customWidth="1"/>
    <col min="1539" max="1618" width="7.7109375" style="601" customWidth="1"/>
    <col min="1619" max="1792" width="9.140625" style="601"/>
    <col min="1793" max="1793" width="38.42578125" style="601" customWidth="1"/>
    <col min="1794" max="1794" width="12.85546875" style="601" customWidth="1"/>
    <col min="1795" max="1874" width="7.7109375" style="601" customWidth="1"/>
    <col min="1875" max="2048" width="9.140625" style="601"/>
    <col min="2049" max="2049" width="38.42578125" style="601" customWidth="1"/>
    <col min="2050" max="2050" width="12.85546875" style="601" customWidth="1"/>
    <col min="2051" max="2130" width="7.7109375" style="601" customWidth="1"/>
    <col min="2131" max="2304" width="9.140625" style="601"/>
    <col min="2305" max="2305" width="38.42578125" style="601" customWidth="1"/>
    <col min="2306" max="2306" width="12.85546875" style="601" customWidth="1"/>
    <col min="2307" max="2386" width="7.7109375" style="601" customWidth="1"/>
    <col min="2387" max="2560" width="9.140625" style="601"/>
    <col min="2561" max="2561" width="38.42578125" style="601" customWidth="1"/>
    <col min="2562" max="2562" width="12.85546875" style="601" customWidth="1"/>
    <col min="2563" max="2642" width="7.7109375" style="601" customWidth="1"/>
    <col min="2643" max="2816" width="9.140625" style="601"/>
    <col min="2817" max="2817" width="38.42578125" style="601" customWidth="1"/>
    <col min="2818" max="2818" width="12.85546875" style="601" customWidth="1"/>
    <col min="2819" max="2898" width="7.7109375" style="601" customWidth="1"/>
    <col min="2899" max="3072" width="9.140625" style="601"/>
    <col min="3073" max="3073" width="38.42578125" style="601" customWidth="1"/>
    <col min="3074" max="3074" width="12.85546875" style="601" customWidth="1"/>
    <col min="3075" max="3154" width="7.7109375" style="601" customWidth="1"/>
    <col min="3155" max="3328" width="9.140625" style="601"/>
    <col min="3329" max="3329" width="38.42578125" style="601" customWidth="1"/>
    <col min="3330" max="3330" width="12.85546875" style="601" customWidth="1"/>
    <col min="3331" max="3410" width="7.7109375" style="601" customWidth="1"/>
    <col min="3411" max="3584" width="9.140625" style="601"/>
    <col min="3585" max="3585" width="38.42578125" style="601" customWidth="1"/>
    <col min="3586" max="3586" width="12.85546875" style="601" customWidth="1"/>
    <col min="3587" max="3666" width="7.7109375" style="601" customWidth="1"/>
    <col min="3667" max="3840" width="9.140625" style="601"/>
    <col min="3841" max="3841" width="38.42578125" style="601" customWidth="1"/>
    <col min="3842" max="3842" width="12.85546875" style="601" customWidth="1"/>
    <col min="3843" max="3922" width="7.7109375" style="601" customWidth="1"/>
    <col min="3923" max="4096" width="9.140625" style="601"/>
    <col min="4097" max="4097" width="38.42578125" style="601" customWidth="1"/>
    <col min="4098" max="4098" width="12.85546875" style="601" customWidth="1"/>
    <col min="4099" max="4178" width="7.7109375" style="601" customWidth="1"/>
    <col min="4179" max="4352" width="9.140625" style="601"/>
    <col min="4353" max="4353" width="38.42578125" style="601" customWidth="1"/>
    <col min="4354" max="4354" width="12.85546875" style="601" customWidth="1"/>
    <col min="4355" max="4434" width="7.7109375" style="601" customWidth="1"/>
    <col min="4435" max="4608" width="9.140625" style="601"/>
    <col min="4609" max="4609" width="38.42578125" style="601" customWidth="1"/>
    <col min="4610" max="4610" width="12.85546875" style="601" customWidth="1"/>
    <col min="4611" max="4690" width="7.7109375" style="601" customWidth="1"/>
    <col min="4691" max="4864" width="9.140625" style="601"/>
    <col min="4865" max="4865" width="38.42578125" style="601" customWidth="1"/>
    <col min="4866" max="4866" width="12.85546875" style="601" customWidth="1"/>
    <col min="4867" max="4946" width="7.7109375" style="601" customWidth="1"/>
    <col min="4947" max="5120" width="9.140625" style="601"/>
    <col min="5121" max="5121" width="38.42578125" style="601" customWidth="1"/>
    <col min="5122" max="5122" width="12.85546875" style="601" customWidth="1"/>
    <col min="5123" max="5202" width="7.7109375" style="601" customWidth="1"/>
    <col min="5203" max="5376" width="9.140625" style="601"/>
    <col min="5377" max="5377" width="38.42578125" style="601" customWidth="1"/>
    <col min="5378" max="5378" width="12.85546875" style="601" customWidth="1"/>
    <col min="5379" max="5458" width="7.7109375" style="601" customWidth="1"/>
    <col min="5459" max="5632" width="9.140625" style="601"/>
    <col min="5633" max="5633" width="38.42578125" style="601" customWidth="1"/>
    <col min="5634" max="5634" width="12.85546875" style="601" customWidth="1"/>
    <col min="5635" max="5714" width="7.7109375" style="601" customWidth="1"/>
    <col min="5715" max="5888" width="9.140625" style="601"/>
    <col min="5889" max="5889" width="38.42578125" style="601" customWidth="1"/>
    <col min="5890" max="5890" width="12.85546875" style="601" customWidth="1"/>
    <col min="5891" max="5970" width="7.7109375" style="601" customWidth="1"/>
    <col min="5971" max="6144" width="9.140625" style="601"/>
    <col min="6145" max="6145" width="38.42578125" style="601" customWidth="1"/>
    <col min="6146" max="6146" width="12.85546875" style="601" customWidth="1"/>
    <col min="6147" max="6226" width="7.7109375" style="601" customWidth="1"/>
    <col min="6227" max="6400" width="9.140625" style="601"/>
    <col min="6401" max="6401" width="38.42578125" style="601" customWidth="1"/>
    <col min="6402" max="6402" width="12.85546875" style="601" customWidth="1"/>
    <col min="6403" max="6482" width="7.7109375" style="601" customWidth="1"/>
    <col min="6483" max="6656" width="9.140625" style="601"/>
    <col min="6657" max="6657" width="38.42578125" style="601" customWidth="1"/>
    <col min="6658" max="6658" width="12.85546875" style="601" customWidth="1"/>
    <col min="6659" max="6738" width="7.7109375" style="601" customWidth="1"/>
    <col min="6739" max="6912" width="9.140625" style="601"/>
    <col min="6913" max="6913" width="38.42578125" style="601" customWidth="1"/>
    <col min="6914" max="6914" width="12.85546875" style="601" customWidth="1"/>
    <col min="6915" max="6994" width="7.7109375" style="601" customWidth="1"/>
    <col min="6995" max="7168" width="9.140625" style="601"/>
    <col min="7169" max="7169" width="38.42578125" style="601" customWidth="1"/>
    <col min="7170" max="7170" width="12.85546875" style="601" customWidth="1"/>
    <col min="7171" max="7250" width="7.7109375" style="601" customWidth="1"/>
    <col min="7251" max="7424" width="9.140625" style="601"/>
    <col min="7425" max="7425" width="38.42578125" style="601" customWidth="1"/>
    <col min="7426" max="7426" width="12.85546875" style="601" customWidth="1"/>
    <col min="7427" max="7506" width="7.7109375" style="601" customWidth="1"/>
    <col min="7507" max="7680" width="9.140625" style="601"/>
    <col min="7681" max="7681" width="38.42578125" style="601" customWidth="1"/>
    <col min="7682" max="7682" width="12.85546875" style="601" customWidth="1"/>
    <col min="7683" max="7762" width="7.7109375" style="601" customWidth="1"/>
    <col min="7763" max="7936" width="9.140625" style="601"/>
    <col min="7937" max="7937" width="38.42578125" style="601" customWidth="1"/>
    <col min="7938" max="7938" width="12.85546875" style="601" customWidth="1"/>
    <col min="7939" max="8018" width="7.7109375" style="601" customWidth="1"/>
    <col min="8019" max="8192" width="9.140625" style="601"/>
    <col min="8193" max="8193" width="38.42578125" style="601" customWidth="1"/>
    <col min="8194" max="8194" width="12.85546875" style="601" customWidth="1"/>
    <col min="8195" max="8274" width="7.7109375" style="601" customWidth="1"/>
    <col min="8275" max="8448" width="9.140625" style="601"/>
    <col min="8449" max="8449" width="38.42578125" style="601" customWidth="1"/>
    <col min="8450" max="8450" width="12.85546875" style="601" customWidth="1"/>
    <col min="8451" max="8530" width="7.7109375" style="601" customWidth="1"/>
    <col min="8531" max="8704" width="9.140625" style="601"/>
    <col min="8705" max="8705" width="38.42578125" style="601" customWidth="1"/>
    <col min="8706" max="8706" width="12.85546875" style="601" customWidth="1"/>
    <col min="8707" max="8786" width="7.7109375" style="601" customWidth="1"/>
    <col min="8787" max="8960" width="9.140625" style="601"/>
    <col min="8961" max="8961" width="38.42578125" style="601" customWidth="1"/>
    <col min="8962" max="8962" width="12.85546875" style="601" customWidth="1"/>
    <col min="8963" max="9042" width="7.7109375" style="601" customWidth="1"/>
    <col min="9043" max="9216" width="9.140625" style="601"/>
    <col min="9217" max="9217" width="38.42578125" style="601" customWidth="1"/>
    <col min="9218" max="9218" width="12.85546875" style="601" customWidth="1"/>
    <col min="9219" max="9298" width="7.7109375" style="601" customWidth="1"/>
    <col min="9299" max="9472" width="9.140625" style="601"/>
    <col min="9473" max="9473" width="38.42578125" style="601" customWidth="1"/>
    <col min="9474" max="9474" width="12.85546875" style="601" customWidth="1"/>
    <col min="9475" max="9554" width="7.7109375" style="601" customWidth="1"/>
    <col min="9555" max="9728" width="9.140625" style="601"/>
    <col min="9729" max="9729" width="38.42578125" style="601" customWidth="1"/>
    <col min="9730" max="9730" width="12.85546875" style="601" customWidth="1"/>
    <col min="9731" max="9810" width="7.7109375" style="601" customWidth="1"/>
    <col min="9811" max="9984" width="9.140625" style="601"/>
    <col min="9985" max="9985" width="38.42578125" style="601" customWidth="1"/>
    <col min="9986" max="9986" width="12.85546875" style="601" customWidth="1"/>
    <col min="9987" max="10066" width="7.7109375" style="601" customWidth="1"/>
    <col min="10067" max="10240" width="9.140625" style="601"/>
    <col min="10241" max="10241" width="38.42578125" style="601" customWidth="1"/>
    <col min="10242" max="10242" width="12.85546875" style="601" customWidth="1"/>
    <col min="10243" max="10322" width="7.7109375" style="601" customWidth="1"/>
    <col min="10323" max="10496" width="9.140625" style="601"/>
    <col min="10497" max="10497" width="38.42578125" style="601" customWidth="1"/>
    <col min="10498" max="10498" width="12.85546875" style="601" customWidth="1"/>
    <col min="10499" max="10578" width="7.7109375" style="601" customWidth="1"/>
    <col min="10579" max="10752" width="9.140625" style="601"/>
    <col min="10753" max="10753" width="38.42578125" style="601" customWidth="1"/>
    <col min="10754" max="10754" width="12.85546875" style="601" customWidth="1"/>
    <col min="10755" max="10834" width="7.7109375" style="601" customWidth="1"/>
    <col min="10835" max="11008" width="9.140625" style="601"/>
    <col min="11009" max="11009" width="38.42578125" style="601" customWidth="1"/>
    <col min="11010" max="11010" width="12.85546875" style="601" customWidth="1"/>
    <col min="11011" max="11090" width="7.7109375" style="601" customWidth="1"/>
    <col min="11091" max="11264" width="9.140625" style="601"/>
    <col min="11265" max="11265" width="38.42578125" style="601" customWidth="1"/>
    <col min="11266" max="11266" width="12.85546875" style="601" customWidth="1"/>
    <col min="11267" max="11346" width="7.7109375" style="601" customWidth="1"/>
    <col min="11347" max="11520" width="9.140625" style="601"/>
    <col min="11521" max="11521" width="38.42578125" style="601" customWidth="1"/>
    <col min="11522" max="11522" width="12.85546875" style="601" customWidth="1"/>
    <col min="11523" max="11602" width="7.7109375" style="601" customWidth="1"/>
    <col min="11603" max="11776" width="9.140625" style="601"/>
    <col min="11777" max="11777" width="38.42578125" style="601" customWidth="1"/>
    <col min="11778" max="11778" width="12.85546875" style="601" customWidth="1"/>
    <col min="11779" max="11858" width="7.7109375" style="601" customWidth="1"/>
    <col min="11859" max="12032" width="9.140625" style="601"/>
    <col min="12033" max="12033" width="38.42578125" style="601" customWidth="1"/>
    <col min="12034" max="12034" width="12.85546875" style="601" customWidth="1"/>
    <col min="12035" max="12114" width="7.7109375" style="601" customWidth="1"/>
    <col min="12115" max="12288" width="9.140625" style="601"/>
    <col min="12289" max="12289" width="38.42578125" style="601" customWidth="1"/>
    <col min="12290" max="12290" width="12.85546875" style="601" customWidth="1"/>
    <col min="12291" max="12370" width="7.7109375" style="601" customWidth="1"/>
    <col min="12371" max="12544" width="9.140625" style="601"/>
    <col min="12545" max="12545" width="38.42578125" style="601" customWidth="1"/>
    <col min="12546" max="12546" width="12.85546875" style="601" customWidth="1"/>
    <col min="12547" max="12626" width="7.7109375" style="601" customWidth="1"/>
    <col min="12627" max="12800" width="9.140625" style="601"/>
    <col min="12801" max="12801" width="38.42578125" style="601" customWidth="1"/>
    <col min="12802" max="12802" width="12.85546875" style="601" customWidth="1"/>
    <col min="12803" max="12882" width="7.7109375" style="601" customWidth="1"/>
    <col min="12883" max="13056" width="9.140625" style="601"/>
    <col min="13057" max="13057" width="38.42578125" style="601" customWidth="1"/>
    <col min="13058" max="13058" width="12.85546875" style="601" customWidth="1"/>
    <col min="13059" max="13138" width="7.7109375" style="601" customWidth="1"/>
    <col min="13139" max="13312" width="9.140625" style="601"/>
    <col min="13313" max="13313" width="38.42578125" style="601" customWidth="1"/>
    <col min="13314" max="13314" width="12.85546875" style="601" customWidth="1"/>
    <col min="13315" max="13394" width="7.7109375" style="601" customWidth="1"/>
    <col min="13395" max="13568" width="9.140625" style="601"/>
    <col min="13569" max="13569" width="38.42578125" style="601" customWidth="1"/>
    <col min="13570" max="13570" width="12.85546875" style="601" customWidth="1"/>
    <col min="13571" max="13650" width="7.7109375" style="601" customWidth="1"/>
    <col min="13651" max="13824" width="9.140625" style="601"/>
    <col min="13825" max="13825" width="38.42578125" style="601" customWidth="1"/>
    <col min="13826" max="13826" width="12.85546875" style="601" customWidth="1"/>
    <col min="13827" max="13906" width="7.7109375" style="601" customWidth="1"/>
    <col min="13907" max="14080" width="9.140625" style="601"/>
    <col min="14081" max="14081" width="38.42578125" style="601" customWidth="1"/>
    <col min="14082" max="14082" width="12.85546875" style="601" customWidth="1"/>
    <col min="14083" max="14162" width="7.7109375" style="601" customWidth="1"/>
    <col min="14163" max="14336" width="9.140625" style="601"/>
    <col min="14337" max="14337" width="38.42578125" style="601" customWidth="1"/>
    <col min="14338" max="14338" width="12.85546875" style="601" customWidth="1"/>
    <col min="14339" max="14418" width="7.7109375" style="601" customWidth="1"/>
    <col min="14419" max="14592" width="9.140625" style="601"/>
    <col min="14593" max="14593" width="38.42578125" style="601" customWidth="1"/>
    <col min="14594" max="14594" width="12.85546875" style="601" customWidth="1"/>
    <col min="14595" max="14674" width="7.7109375" style="601" customWidth="1"/>
    <col min="14675" max="14848" width="9.140625" style="601"/>
    <col min="14849" max="14849" width="38.42578125" style="601" customWidth="1"/>
    <col min="14850" max="14850" width="12.85546875" style="601" customWidth="1"/>
    <col min="14851" max="14930" width="7.7109375" style="601" customWidth="1"/>
    <col min="14931" max="15104" width="9.140625" style="601"/>
    <col min="15105" max="15105" width="38.42578125" style="601" customWidth="1"/>
    <col min="15106" max="15106" width="12.85546875" style="601" customWidth="1"/>
    <col min="15107" max="15186" width="7.7109375" style="601" customWidth="1"/>
    <col min="15187" max="15360" width="9.140625" style="601"/>
    <col min="15361" max="15361" width="38.42578125" style="601" customWidth="1"/>
    <col min="15362" max="15362" width="12.85546875" style="601" customWidth="1"/>
    <col min="15363" max="15442" width="7.7109375" style="601" customWidth="1"/>
    <col min="15443" max="15616" width="9.140625" style="601"/>
    <col min="15617" max="15617" width="38.42578125" style="601" customWidth="1"/>
    <col min="15618" max="15618" width="12.85546875" style="601" customWidth="1"/>
    <col min="15619" max="15698" width="7.7109375" style="601" customWidth="1"/>
    <col min="15699" max="15872" width="9.140625" style="601"/>
    <col min="15873" max="15873" width="38.42578125" style="601" customWidth="1"/>
    <col min="15874" max="15874" width="12.85546875" style="601" customWidth="1"/>
    <col min="15875" max="15954" width="7.7109375" style="601" customWidth="1"/>
    <col min="15955" max="16128" width="9.140625" style="601"/>
    <col min="16129" max="16129" width="38.42578125" style="601" customWidth="1"/>
    <col min="16130" max="16130" width="12.85546875" style="601" customWidth="1"/>
    <col min="16131" max="16210" width="7.7109375" style="601" customWidth="1"/>
    <col min="16211" max="16384" width="9.140625" style="601"/>
  </cols>
  <sheetData>
    <row r="1" spans="1:102" ht="18" x14ac:dyDescent="0.25">
      <c r="A1" s="599" t="s">
        <v>292</v>
      </c>
      <c r="B1" s="600"/>
    </row>
    <row r="2" spans="1:102" ht="15.75" x14ac:dyDescent="0.25">
      <c r="A2" s="602" t="s">
        <v>293</v>
      </c>
      <c r="B2" s="603"/>
    </row>
    <row r="3" spans="1:102" ht="15.75" thickBot="1" x14ac:dyDescent="0.3">
      <c r="A3" s="604" t="s">
        <v>294</v>
      </c>
      <c r="B3" s="605"/>
    </row>
    <row r="6" spans="1:102" x14ac:dyDescent="0.2">
      <c r="BQ6" s="607" t="s">
        <v>295</v>
      </c>
      <c r="BR6" s="607"/>
      <c r="BS6" s="607"/>
      <c r="BT6" s="607"/>
      <c r="BU6" s="607"/>
      <c r="BV6" s="607"/>
      <c r="BW6" s="607"/>
      <c r="BX6" s="607"/>
      <c r="BY6" s="608" t="s">
        <v>296</v>
      </c>
      <c r="BZ6" s="608" t="s">
        <v>296</v>
      </c>
      <c r="CA6" s="608" t="s">
        <v>296</v>
      </c>
      <c r="CB6" s="608" t="s">
        <v>296</v>
      </c>
      <c r="CC6" s="609" t="s">
        <v>297</v>
      </c>
      <c r="CD6" s="609" t="s">
        <v>297</v>
      </c>
      <c r="CE6" s="609" t="s">
        <v>297</v>
      </c>
      <c r="CF6" s="609" t="s">
        <v>297</v>
      </c>
      <c r="CG6" s="610" t="s">
        <v>298</v>
      </c>
      <c r="CH6" s="610" t="s">
        <v>298</v>
      </c>
      <c r="CI6" s="610" t="s">
        <v>298</v>
      </c>
      <c r="CJ6" s="610" t="s">
        <v>298</v>
      </c>
      <c r="CK6" s="611" t="s">
        <v>299</v>
      </c>
      <c r="CL6" s="611" t="s">
        <v>299</v>
      </c>
      <c r="CM6" s="611" t="s">
        <v>299</v>
      </c>
      <c r="CN6" s="611" t="s">
        <v>299</v>
      </c>
    </row>
    <row r="7" spans="1:102" s="606" customFormat="1" x14ac:dyDescent="0.2">
      <c r="B7" s="606" t="s">
        <v>300</v>
      </c>
      <c r="C7" s="612" t="s">
        <v>301</v>
      </c>
      <c r="D7" s="612" t="s">
        <v>302</v>
      </c>
      <c r="E7" s="612" t="s">
        <v>303</v>
      </c>
      <c r="F7" s="612" t="s">
        <v>304</v>
      </c>
      <c r="G7" s="612" t="s">
        <v>305</v>
      </c>
      <c r="H7" s="612" t="s">
        <v>306</v>
      </c>
      <c r="I7" s="612" t="s">
        <v>307</v>
      </c>
      <c r="J7" s="612" t="s">
        <v>308</v>
      </c>
      <c r="K7" s="612" t="s">
        <v>309</v>
      </c>
      <c r="L7" s="612" t="s">
        <v>310</v>
      </c>
      <c r="M7" s="612" t="s">
        <v>311</v>
      </c>
      <c r="N7" s="612" t="s">
        <v>312</v>
      </c>
      <c r="O7" s="612" t="s">
        <v>313</v>
      </c>
      <c r="P7" s="612" t="s">
        <v>314</v>
      </c>
      <c r="Q7" s="612" t="s">
        <v>315</v>
      </c>
      <c r="R7" s="612" t="s">
        <v>316</v>
      </c>
      <c r="S7" s="612" t="s">
        <v>317</v>
      </c>
      <c r="T7" s="612" t="s">
        <v>318</v>
      </c>
      <c r="U7" s="612" t="s">
        <v>319</v>
      </c>
      <c r="V7" s="612" t="s">
        <v>320</v>
      </c>
      <c r="W7" s="612" t="s">
        <v>321</v>
      </c>
      <c r="X7" s="612" t="s">
        <v>322</v>
      </c>
      <c r="Y7" s="612" t="s">
        <v>323</v>
      </c>
      <c r="Z7" s="612" t="s">
        <v>324</v>
      </c>
      <c r="AA7" s="612" t="s">
        <v>325</v>
      </c>
      <c r="AB7" s="612" t="s">
        <v>326</v>
      </c>
      <c r="AC7" s="612" t="s">
        <v>327</v>
      </c>
      <c r="AD7" s="612" t="s">
        <v>328</v>
      </c>
      <c r="AE7" s="612" t="s">
        <v>329</v>
      </c>
      <c r="AF7" s="612" t="s">
        <v>330</v>
      </c>
      <c r="AG7" s="612" t="s">
        <v>331</v>
      </c>
      <c r="AH7" s="612" t="s">
        <v>332</v>
      </c>
      <c r="AI7" s="612" t="s">
        <v>333</v>
      </c>
      <c r="AJ7" s="612" t="s">
        <v>334</v>
      </c>
      <c r="AK7" s="612" t="s">
        <v>335</v>
      </c>
      <c r="AL7" s="612" t="s">
        <v>336</v>
      </c>
      <c r="AM7" s="612" t="s">
        <v>337</v>
      </c>
      <c r="AN7" s="612" t="s">
        <v>338</v>
      </c>
      <c r="AO7" s="612" t="s">
        <v>339</v>
      </c>
      <c r="AP7" s="612" t="s">
        <v>340</v>
      </c>
      <c r="AQ7" s="612" t="s">
        <v>341</v>
      </c>
      <c r="AR7" s="612" t="s">
        <v>342</v>
      </c>
      <c r="AS7" s="612" t="s">
        <v>343</v>
      </c>
      <c r="AT7" s="612" t="s">
        <v>344</v>
      </c>
      <c r="AU7" s="606" t="s">
        <v>345</v>
      </c>
      <c r="AV7" s="606" t="s">
        <v>346</v>
      </c>
      <c r="AW7" s="606" t="s">
        <v>347</v>
      </c>
      <c r="AX7" s="606" t="s">
        <v>348</v>
      </c>
      <c r="AY7" s="606" t="s">
        <v>349</v>
      </c>
      <c r="AZ7" s="606" t="s">
        <v>350</v>
      </c>
      <c r="BA7" s="606" t="s">
        <v>351</v>
      </c>
      <c r="BB7" s="606" t="s">
        <v>352</v>
      </c>
      <c r="BC7" s="606" t="s">
        <v>353</v>
      </c>
      <c r="BD7" s="606" t="s">
        <v>354</v>
      </c>
      <c r="BE7" s="606" t="s">
        <v>355</v>
      </c>
      <c r="BF7" s="606" t="s">
        <v>356</v>
      </c>
      <c r="BG7" s="606" t="s">
        <v>357</v>
      </c>
      <c r="BH7" s="606" t="s">
        <v>358</v>
      </c>
      <c r="BI7" s="606" t="s">
        <v>359</v>
      </c>
      <c r="BJ7" s="606" t="s">
        <v>360</v>
      </c>
      <c r="BK7" s="606" t="s">
        <v>361</v>
      </c>
      <c r="BL7" s="606" t="s">
        <v>362</v>
      </c>
      <c r="BM7" s="606" t="s">
        <v>363</v>
      </c>
      <c r="BN7" s="606" t="s">
        <v>364</v>
      </c>
      <c r="BO7" s="606" t="s">
        <v>365</v>
      </c>
      <c r="BP7" s="606" t="s">
        <v>366</v>
      </c>
      <c r="BQ7" s="606" t="s">
        <v>367</v>
      </c>
      <c r="BR7" s="606" t="s">
        <v>368</v>
      </c>
      <c r="BS7" s="606" t="s">
        <v>369</v>
      </c>
      <c r="BT7" s="606" t="s">
        <v>370</v>
      </c>
      <c r="BU7" s="606" t="s">
        <v>371</v>
      </c>
      <c r="BV7" s="606" t="s">
        <v>372</v>
      </c>
      <c r="BW7" s="606" t="s">
        <v>373</v>
      </c>
      <c r="BX7" s="606" t="s">
        <v>374</v>
      </c>
      <c r="BY7" s="606" t="s">
        <v>375</v>
      </c>
      <c r="BZ7" s="606" t="s">
        <v>376</v>
      </c>
      <c r="CA7" s="606" t="s">
        <v>377</v>
      </c>
      <c r="CB7" s="606" t="s">
        <v>378</v>
      </c>
      <c r="CC7" s="606" t="s">
        <v>379</v>
      </c>
      <c r="CD7" s="606" t="s">
        <v>380</v>
      </c>
      <c r="CE7" s="606" t="s">
        <v>381</v>
      </c>
      <c r="CF7" s="606" t="s">
        <v>382</v>
      </c>
      <c r="CG7" s="606" t="s">
        <v>383</v>
      </c>
      <c r="CH7" s="606" t="s">
        <v>384</v>
      </c>
      <c r="CI7" s="606" t="s">
        <v>385</v>
      </c>
      <c r="CJ7" s="606" t="s">
        <v>386</v>
      </c>
      <c r="CK7" s="606" t="s">
        <v>387</v>
      </c>
      <c r="CL7" s="606" t="s">
        <v>388</v>
      </c>
      <c r="CM7" s="606" t="s">
        <v>389</v>
      </c>
      <c r="CN7" s="606" t="s">
        <v>390</v>
      </c>
      <c r="CO7" s="606" t="s">
        <v>391</v>
      </c>
      <c r="CP7" s="606" t="s">
        <v>392</v>
      </c>
      <c r="CQ7" s="606" t="s">
        <v>393</v>
      </c>
      <c r="CR7" s="606" t="s">
        <v>394</v>
      </c>
      <c r="CS7" s="606" t="s">
        <v>395</v>
      </c>
      <c r="CT7" s="606" t="s">
        <v>396</v>
      </c>
      <c r="CU7" s="606" t="s">
        <v>397</v>
      </c>
      <c r="CV7" s="606" t="s">
        <v>398</v>
      </c>
      <c r="CW7" s="606" t="s">
        <v>399</v>
      </c>
      <c r="CX7" s="606" t="s">
        <v>400</v>
      </c>
    </row>
    <row r="8" spans="1:102" x14ac:dyDescent="0.2">
      <c r="A8" s="606" t="s">
        <v>401</v>
      </c>
      <c r="B8" s="606" t="s">
        <v>402</v>
      </c>
      <c r="C8" s="613">
        <v>2.0050112051495002</v>
      </c>
      <c r="D8" s="613">
        <v>2.0276241163363098</v>
      </c>
      <c r="E8" s="613">
        <v>2.0363460391917001</v>
      </c>
      <c r="F8" s="613">
        <v>2.0596415110589001</v>
      </c>
      <c r="G8" s="613">
        <v>2.0733294705676499</v>
      </c>
      <c r="H8" s="613">
        <v>2.0835292799709602</v>
      </c>
      <c r="I8" s="613">
        <v>2.1195041887439401</v>
      </c>
      <c r="J8" s="613">
        <v>2.1415481300828598</v>
      </c>
      <c r="K8" s="613">
        <v>2.1562703287960399</v>
      </c>
      <c r="L8" s="613">
        <v>2.1819748269408099</v>
      </c>
      <c r="M8" s="613">
        <v>2.2029036076995201</v>
      </c>
      <c r="N8" s="613">
        <v>2.1887625047097399</v>
      </c>
      <c r="O8" s="613">
        <v>2.2060843099596301</v>
      </c>
      <c r="P8" s="613">
        <v>2.2265958098971699</v>
      </c>
      <c r="Q8" s="613">
        <v>2.2446322955459399</v>
      </c>
      <c r="R8" s="613">
        <v>2.2722619420728098</v>
      </c>
      <c r="S8" s="613">
        <v>2.2956075162666898</v>
      </c>
      <c r="T8" s="613">
        <v>2.33325183151159</v>
      </c>
      <c r="U8" s="613">
        <v>2.37203530343487</v>
      </c>
      <c r="V8" s="613">
        <v>2.3206542043126999</v>
      </c>
      <c r="W8" s="613">
        <v>2.30200743794274</v>
      </c>
      <c r="X8" s="613">
        <v>2.3133154897554</v>
      </c>
      <c r="Y8" s="613">
        <v>2.3324316109679</v>
      </c>
      <c r="Z8" s="613">
        <v>2.3514838560921301</v>
      </c>
      <c r="AA8" s="613">
        <v>2.35519698431525</v>
      </c>
      <c r="AB8" s="613">
        <v>2.3583040416960399</v>
      </c>
      <c r="AC8" s="613">
        <v>2.3659233658671601</v>
      </c>
      <c r="AD8" s="613">
        <v>2.3887196326128302</v>
      </c>
      <c r="AE8" s="613">
        <v>2.4062061518870501</v>
      </c>
      <c r="AF8" s="613">
        <v>2.44252591544041</v>
      </c>
      <c r="AG8" s="613">
        <v>2.4591685909552199</v>
      </c>
      <c r="AH8" s="613">
        <v>2.4668379437269699</v>
      </c>
      <c r="AI8" s="613">
        <v>2.4785145451270099</v>
      </c>
      <c r="AJ8" s="613">
        <v>2.4851120001921498</v>
      </c>
      <c r="AK8" s="613">
        <v>2.4964929133262999</v>
      </c>
      <c r="AL8" s="613">
        <v>2.5166188182623199</v>
      </c>
      <c r="AM8" s="613">
        <v>2.5215576130559998</v>
      </c>
      <c r="AN8" s="613">
        <v>2.52180857683138</v>
      </c>
      <c r="AO8" s="613">
        <v>2.53710244272522</v>
      </c>
      <c r="AP8" s="613">
        <v>2.54811207866496</v>
      </c>
      <c r="AQ8" s="613">
        <v>2.5620432753712001</v>
      </c>
      <c r="AR8" s="613">
        <v>2.5663852378941701</v>
      </c>
      <c r="AS8" s="613">
        <v>2.5733594694754802</v>
      </c>
      <c r="AT8" s="613">
        <v>2.5692521315192698</v>
      </c>
      <c r="AU8" s="613">
        <v>2.56015489993815</v>
      </c>
      <c r="AV8" s="613">
        <v>2.5720252475700498</v>
      </c>
      <c r="AW8" s="613">
        <v>2.5752492149967199</v>
      </c>
      <c r="AX8" s="613">
        <v>2.5757251437181501</v>
      </c>
      <c r="AY8" s="613">
        <v>2.5700308525139999</v>
      </c>
      <c r="AZ8" s="613">
        <v>2.5905788087957</v>
      </c>
      <c r="BA8" s="613">
        <v>2.60565815313538</v>
      </c>
      <c r="BB8" s="613">
        <v>2.62434040849209</v>
      </c>
      <c r="BC8" s="613">
        <v>2.6416721951751398</v>
      </c>
      <c r="BD8" s="613">
        <v>2.6438856664204402</v>
      </c>
      <c r="BE8" s="613">
        <v>2.6501699197236599</v>
      </c>
      <c r="BF8" s="613">
        <v>2.671878963438</v>
      </c>
      <c r="BG8" s="613">
        <v>2.6993222171317699</v>
      </c>
      <c r="BH8" s="613">
        <v>2.71620981134443</v>
      </c>
      <c r="BI8" s="613">
        <v>2.7288288811600601</v>
      </c>
      <c r="BJ8" s="613">
        <v>2.7428099299867101</v>
      </c>
      <c r="BK8" s="613">
        <v>2.7489205839767799</v>
      </c>
      <c r="BL8" s="613">
        <v>2.7670705452261899</v>
      </c>
      <c r="BM8" s="613">
        <v>2.7828865026935201</v>
      </c>
      <c r="BN8" s="613">
        <v>2.7968085391111699</v>
      </c>
      <c r="BO8" s="613">
        <v>2.8054288346603502</v>
      </c>
      <c r="BP8" s="613">
        <v>2.7884180402680299</v>
      </c>
      <c r="BQ8" s="613">
        <v>2.7998641580951702</v>
      </c>
      <c r="BR8" s="613">
        <v>2.8171474270444001</v>
      </c>
      <c r="BS8" s="613">
        <v>2.8438349396178499</v>
      </c>
      <c r="BT8" s="613">
        <v>2.8752551433225602</v>
      </c>
      <c r="BU8" s="613">
        <v>2.9161903655505799</v>
      </c>
      <c r="BV8" s="613">
        <v>2.9803358353475899</v>
      </c>
      <c r="BW8" s="613">
        <v>3.0354748219846401</v>
      </c>
      <c r="BX8" s="613">
        <v>3.0879962927626701</v>
      </c>
      <c r="BY8" s="613">
        <v>3.1288947779563401</v>
      </c>
      <c r="BZ8" s="613">
        <v>3.1689521453255201</v>
      </c>
      <c r="CA8" s="613">
        <v>3.1980340707348902</v>
      </c>
      <c r="CB8" s="613">
        <v>3.22990450581444</v>
      </c>
      <c r="CC8" s="613">
        <v>3.26075269913281</v>
      </c>
      <c r="CD8" s="613">
        <v>3.2907631968455</v>
      </c>
      <c r="CE8" s="613">
        <v>3.3125596296297699</v>
      </c>
      <c r="CF8" s="613">
        <v>3.3297133036565598</v>
      </c>
      <c r="CG8" s="613">
        <v>3.3554073265633502</v>
      </c>
      <c r="CH8" s="613">
        <v>3.3788405050657802</v>
      </c>
      <c r="CI8" s="613">
        <v>3.39938295780372</v>
      </c>
      <c r="CJ8" s="613">
        <v>3.4175790025706099</v>
      </c>
      <c r="CK8" s="613">
        <v>3.4369701606410201</v>
      </c>
      <c r="CL8" s="613">
        <v>3.4575802979927102</v>
      </c>
      <c r="CM8" s="613">
        <v>3.4771120398923698</v>
      </c>
      <c r="CN8" s="613">
        <v>3.4951231605612301</v>
      </c>
      <c r="CO8" s="613">
        <v>3.5145794338558001</v>
      </c>
      <c r="CP8" s="613">
        <v>3.5352713487487901</v>
      </c>
      <c r="CQ8" s="613">
        <v>3.5556929148674201</v>
      </c>
      <c r="CR8" s="613">
        <v>3.5758520413646999</v>
      </c>
      <c r="CS8" s="613">
        <v>3.5965497565748001</v>
      </c>
      <c r="CT8" s="613">
        <v>3.6172456101849302</v>
      </c>
      <c r="CU8" s="613">
        <v>3.6362786933062998</v>
      </c>
      <c r="CV8" s="613">
        <v>3.65538542992266</v>
      </c>
      <c r="CW8" s="613">
        <v>3.6753840732010601</v>
      </c>
      <c r="CX8" s="613">
        <v>3.6948614603658299</v>
      </c>
    </row>
    <row r="9" spans="1:102" x14ac:dyDescent="0.2">
      <c r="A9" s="606" t="s">
        <v>403</v>
      </c>
      <c r="B9" s="606" t="s">
        <v>404</v>
      </c>
      <c r="C9" s="613">
        <v>2.0050112051495002</v>
      </c>
      <c r="D9" s="613">
        <v>2.0276241163363098</v>
      </c>
      <c r="E9" s="613">
        <v>2.0363460391917001</v>
      </c>
      <c r="F9" s="613">
        <v>2.0596415110589001</v>
      </c>
      <c r="G9" s="613">
        <v>2.0733294705676499</v>
      </c>
      <c r="H9" s="613">
        <v>2.0835292799709602</v>
      </c>
      <c r="I9" s="613">
        <v>2.1195041887439401</v>
      </c>
      <c r="J9" s="613">
        <v>2.1415481300828598</v>
      </c>
      <c r="K9" s="613">
        <v>2.1562703287960399</v>
      </c>
      <c r="L9" s="613">
        <v>2.1819748269408099</v>
      </c>
      <c r="M9" s="613">
        <v>2.2029036076995201</v>
      </c>
      <c r="N9" s="613">
        <v>2.1887625047097399</v>
      </c>
      <c r="O9" s="613">
        <v>2.2060843099596301</v>
      </c>
      <c r="P9" s="613">
        <v>2.2265958098971699</v>
      </c>
      <c r="Q9" s="613">
        <v>2.2446322955459399</v>
      </c>
      <c r="R9" s="613">
        <v>2.2722619420728098</v>
      </c>
      <c r="S9" s="613">
        <v>2.2956075162666898</v>
      </c>
      <c r="T9" s="613">
        <v>2.33325183151159</v>
      </c>
      <c r="U9" s="613">
        <v>2.37203530343487</v>
      </c>
      <c r="V9" s="613">
        <v>2.3206542043126999</v>
      </c>
      <c r="W9" s="613">
        <v>2.30200743794274</v>
      </c>
      <c r="X9" s="613">
        <v>2.3133154897554</v>
      </c>
      <c r="Y9" s="613">
        <v>2.3324316109679</v>
      </c>
      <c r="Z9" s="613">
        <v>2.3514838560921301</v>
      </c>
      <c r="AA9" s="613">
        <v>2.35519698431525</v>
      </c>
      <c r="AB9" s="613">
        <v>2.3583040416960399</v>
      </c>
      <c r="AC9" s="613">
        <v>2.3659233658671601</v>
      </c>
      <c r="AD9" s="613">
        <v>2.3887196326128302</v>
      </c>
      <c r="AE9" s="613">
        <v>2.4062061518870501</v>
      </c>
      <c r="AF9" s="613">
        <v>2.44252591544041</v>
      </c>
      <c r="AG9" s="613">
        <v>2.4591685909552199</v>
      </c>
      <c r="AH9" s="613">
        <v>2.4668379437269699</v>
      </c>
      <c r="AI9" s="613">
        <v>2.4785145451270099</v>
      </c>
      <c r="AJ9" s="613">
        <v>2.4851120001921498</v>
      </c>
      <c r="AK9" s="613">
        <v>2.4964929133262999</v>
      </c>
      <c r="AL9" s="613">
        <v>2.5166188182623199</v>
      </c>
      <c r="AM9" s="613">
        <v>2.5215576130559998</v>
      </c>
      <c r="AN9" s="613">
        <v>2.52180857683138</v>
      </c>
      <c r="AO9" s="613">
        <v>2.53710244272522</v>
      </c>
      <c r="AP9" s="613">
        <v>2.54811207866496</v>
      </c>
      <c r="AQ9" s="613">
        <v>2.5620432753712001</v>
      </c>
      <c r="AR9" s="613">
        <v>2.5663852378941701</v>
      </c>
      <c r="AS9" s="613">
        <v>2.5733594694754802</v>
      </c>
      <c r="AT9" s="613">
        <v>2.5692521315192698</v>
      </c>
      <c r="AU9" s="613">
        <v>2.56015489993815</v>
      </c>
      <c r="AV9" s="613">
        <v>2.5720252475700498</v>
      </c>
      <c r="AW9" s="613">
        <v>2.5752492149967199</v>
      </c>
      <c r="AX9" s="613">
        <v>2.5757251437181501</v>
      </c>
      <c r="AY9" s="613">
        <v>2.5700308525139999</v>
      </c>
      <c r="AZ9" s="613">
        <v>2.5905788087957</v>
      </c>
      <c r="BA9" s="613">
        <v>2.60565815313538</v>
      </c>
      <c r="BB9" s="613">
        <v>2.62434040849209</v>
      </c>
      <c r="BC9" s="613">
        <v>2.6416721951751398</v>
      </c>
      <c r="BD9" s="613">
        <v>2.6438856664204402</v>
      </c>
      <c r="BE9" s="613">
        <v>2.6501699197236599</v>
      </c>
      <c r="BF9" s="613">
        <v>2.671878963438</v>
      </c>
      <c r="BG9" s="613">
        <v>2.6993222171317699</v>
      </c>
      <c r="BH9" s="613">
        <v>2.71620981134443</v>
      </c>
      <c r="BI9" s="613">
        <v>2.7288288811600601</v>
      </c>
      <c r="BJ9" s="613">
        <v>2.7428099299867101</v>
      </c>
      <c r="BK9" s="613">
        <v>2.7489205839767799</v>
      </c>
      <c r="BL9" s="613">
        <v>2.7670705452261899</v>
      </c>
      <c r="BM9" s="613">
        <v>2.7828865026935201</v>
      </c>
      <c r="BN9" s="613">
        <v>2.7968085391111699</v>
      </c>
      <c r="BO9" s="613">
        <v>2.8054288346603502</v>
      </c>
      <c r="BP9" s="613">
        <v>2.7884180402680299</v>
      </c>
      <c r="BQ9" s="613">
        <v>2.7998641580951702</v>
      </c>
      <c r="BR9" s="613">
        <v>2.8171474270444001</v>
      </c>
      <c r="BS9" s="613">
        <v>2.8438349396178499</v>
      </c>
      <c r="BT9" s="613">
        <v>2.8752551433225602</v>
      </c>
      <c r="BU9" s="613">
        <v>2.9161903655505799</v>
      </c>
      <c r="BV9" s="613">
        <v>2.9803358353475899</v>
      </c>
      <c r="BW9" s="613">
        <v>3.0354748219846401</v>
      </c>
      <c r="BX9" s="613">
        <v>3.0879962927626701</v>
      </c>
      <c r="BY9" s="613">
        <v>3.1288947779563401</v>
      </c>
      <c r="BZ9" s="613">
        <v>3.1689521453255201</v>
      </c>
      <c r="CA9" s="613">
        <v>3.1925229599317202</v>
      </c>
      <c r="CB9" s="613">
        <v>3.2142263456677802</v>
      </c>
      <c r="CC9" s="613">
        <v>3.2423791220789102</v>
      </c>
      <c r="CD9" s="613">
        <v>3.2707369257652799</v>
      </c>
      <c r="CE9" s="613">
        <v>3.2911977168238602</v>
      </c>
      <c r="CF9" s="613">
        <v>3.3069503709257599</v>
      </c>
      <c r="CG9" s="613">
        <v>3.3310114361411798</v>
      </c>
      <c r="CH9" s="613">
        <v>3.3528025716004199</v>
      </c>
      <c r="CI9" s="613">
        <v>3.37218091262779</v>
      </c>
      <c r="CJ9" s="613">
        <v>3.3889235278065399</v>
      </c>
      <c r="CK9" s="613">
        <v>3.40662198576385</v>
      </c>
      <c r="CL9" s="613">
        <v>3.4253125699928502</v>
      </c>
      <c r="CM9" s="613">
        <v>3.44308624388484</v>
      </c>
      <c r="CN9" s="613">
        <v>3.4591427533300698</v>
      </c>
      <c r="CO9" s="613">
        <v>3.4768478267287501</v>
      </c>
      <c r="CP9" s="613">
        <v>3.4958882881861402</v>
      </c>
      <c r="CQ9" s="613">
        <v>3.5148267047188599</v>
      </c>
      <c r="CR9" s="613">
        <v>3.5333519436216898</v>
      </c>
      <c r="CS9" s="613">
        <v>3.5523020973974702</v>
      </c>
      <c r="CT9" s="613">
        <v>3.5712848420372398</v>
      </c>
      <c r="CU9" s="613">
        <v>3.5886950963833102</v>
      </c>
      <c r="CV9" s="613">
        <v>3.6061336432568099</v>
      </c>
      <c r="CW9" s="613">
        <v>3.62443922395375</v>
      </c>
      <c r="CX9" s="613">
        <v>3.64199811924524</v>
      </c>
    </row>
    <row r="10" spans="1:102" x14ac:dyDescent="0.2">
      <c r="A10" s="606" t="s">
        <v>405</v>
      </c>
      <c r="B10" s="606" t="s">
        <v>406</v>
      </c>
      <c r="C10" s="613">
        <v>2.0050112051495002</v>
      </c>
      <c r="D10" s="613">
        <v>2.0276241163363098</v>
      </c>
      <c r="E10" s="613">
        <v>2.0363460391917001</v>
      </c>
      <c r="F10" s="613">
        <v>2.0596415110589001</v>
      </c>
      <c r="G10" s="613">
        <v>2.0733294705676499</v>
      </c>
      <c r="H10" s="613">
        <v>2.0835292799709602</v>
      </c>
      <c r="I10" s="613">
        <v>2.1195041887439401</v>
      </c>
      <c r="J10" s="613">
        <v>2.1415481300828598</v>
      </c>
      <c r="K10" s="613">
        <v>2.1562703287960399</v>
      </c>
      <c r="L10" s="613">
        <v>2.1819748269408099</v>
      </c>
      <c r="M10" s="613">
        <v>2.2029036076995201</v>
      </c>
      <c r="N10" s="613">
        <v>2.1887625047097399</v>
      </c>
      <c r="O10" s="613">
        <v>2.2060843099596301</v>
      </c>
      <c r="P10" s="613">
        <v>2.2265958098971699</v>
      </c>
      <c r="Q10" s="613">
        <v>2.2446322955459399</v>
      </c>
      <c r="R10" s="613">
        <v>2.2722619420728098</v>
      </c>
      <c r="S10" s="613">
        <v>2.2956075162666898</v>
      </c>
      <c r="T10" s="613">
        <v>2.33325183151159</v>
      </c>
      <c r="U10" s="613">
        <v>2.37203530343487</v>
      </c>
      <c r="V10" s="613">
        <v>2.3206542043126999</v>
      </c>
      <c r="W10" s="613">
        <v>2.30200743794274</v>
      </c>
      <c r="X10" s="613">
        <v>2.3133154897554</v>
      </c>
      <c r="Y10" s="613">
        <v>2.3324316109679</v>
      </c>
      <c r="Z10" s="613">
        <v>2.3514838560921301</v>
      </c>
      <c r="AA10" s="613">
        <v>2.35519698431525</v>
      </c>
      <c r="AB10" s="613">
        <v>2.3583040416960399</v>
      </c>
      <c r="AC10" s="613">
        <v>2.3659233658671601</v>
      </c>
      <c r="AD10" s="613">
        <v>2.3887196326128302</v>
      </c>
      <c r="AE10" s="613">
        <v>2.4062061518870501</v>
      </c>
      <c r="AF10" s="613">
        <v>2.44252591544041</v>
      </c>
      <c r="AG10" s="613">
        <v>2.4591685909552199</v>
      </c>
      <c r="AH10" s="613">
        <v>2.4668379437269699</v>
      </c>
      <c r="AI10" s="613">
        <v>2.4785145451270099</v>
      </c>
      <c r="AJ10" s="613">
        <v>2.4851120001921498</v>
      </c>
      <c r="AK10" s="613">
        <v>2.4964929133262999</v>
      </c>
      <c r="AL10" s="613">
        <v>2.5166188182623199</v>
      </c>
      <c r="AM10" s="613">
        <v>2.5215576130559998</v>
      </c>
      <c r="AN10" s="613">
        <v>2.52180857683138</v>
      </c>
      <c r="AO10" s="613">
        <v>2.53710244272522</v>
      </c>
      <c r="AP10" s="613">
        <v>2.54811207866496</v>
      </c>
      <c r="AQ10" s="613">
        <v>2.5620432753712001</v>
      </c>
      <c r="AR10" s="613">
        <v>2.5663852378941701</v>
      </c>
      <c r="AS10" s="613">
        <v>2.5733594694754802</v>
      </c>
      <c r="AT10" s="613">
        <v>2.5692521315192698</v>
      </c>
      <c r="AU10" s="613">
        <v>2.56015489993815</v>
      </c>
      <c r="AV10" s="613">
        <v>2.5720252475700498</v>
      </c>
      <c r="AW10" s="613">
        <v>2.5752492149967199</v>
      </c>
      <c r="AX10" s="613">
        <v>2.5757251437181501</v>
      </c>
      <c r="AY10" s="613">
        <v>2.5700308525139999</v>
      </c>
      <c r="AZ10" s="613">
        <v>2.5905788087957</v>
      </c>
      <c r="BA10" s="613">
        <v>2.60565815313538</v>
      </c>
      <c r="BB10" s="613">
        <v>2.62434040849209</v>
      </c>
      <c r="BC10" s="613">
        <v>2.6416721951751398</v>
      </c>
      <c r="BD10" s="613">
        <v>2.6438856664204402</v>
      </c>
      <c r="BE10" s="613">
        <v>2.6501699197236599</v>
      </c>
      <c r="BF10" s="613">
        <v>2.671878963438</v>
      </c>
      <c r="BG10" s="613">
        <v>2.6993222171317699</v>
      </c>
      <c r="BH10" s="613">
        <v>2.71620981134443</v>
      </c>
      <c r="BI10" s="613">
        <v>2.7288288811600601</v>
      </c>
      <c r="BJ10" s="613">
        <v>2.7428099299867101</v>
      </c>
      <c r="BK10" s="613">
        <v>2.7489205839767799</v>
      </c>
      <c r="BL10" s="613">
        <v>2.7670705452261899</v>
      </c>
      <c r="BM10" s="613">
        <v>2.7828865026935201</v>
      </c>
      <c r="BN10" s="613">
        <v>2.7968085391111699</v>
      </c>
      <c r="BO10" s="613">
        <v>2.8054288346603502</v>
      </c>
      <c r="BP10" s="613">
        <v>2.7884180402680299</v>
      </c>
      <c r="BQ10" s="613">
        <v>2.7998641580951702</v>
      </c>
      <c r="BR10" s="613">
        <v>2.8171474270444001</v>
      </c>
      <c r="BS10" s="613">
        <v>2.8438349396178499</v>
      </c>
      <c r="BT10" s="613">
        <v>2.8752551433225602</v>
      </c>
      <c r="BU10" s="613">
        <v>2.9161903655505799</v>
      </c>
      <c r="BV10" s="613">
        <v>2.9803358353475899</v>
      </c>
      <c r="BW10" s="613">
        <v>3.0354748219846401</v>
      </c>
      <c r="BX10" s="613">
        <v>3.0879962927626701</v>
      </c>
      <c r="BY10" s="613">
        <v>3.1288947779563401</v>
      </c>
      <c r="BZ10" s="613">
        <v>3.1689521453255201</v>
      </c>
      <c r="CA10" s="613">
        <v>3.2132180908257402</v>
      </c>
      <c r="CB10" s="613">
        <v>3.25896674708126</v>
      </c>
      <c r="CC10" s="613">
        <v>3.3034777774505799</v>
      </c>
      <c r="CD10" s="613">
        <v>3.3453434489013798</v>
      </c>
      <c r="CE10" s="613">
        <v>3.3774900259476199</v>
      </c>
      <c r="CF10" s="613">
        <v>3.4048512779095699</v>
      </c>
      <c r="CG10" s="613">
        <v>3.4407800351623901</v>
      </c>
      <c r="CH10" s="613">
        <v>3.47398735040258</v>
      </c>
      <c r="CI10" s="613">
        <v>3.5044008662114399</v>
      </c>
      <c r="CJ10" s="613">
        <v>3.5330772191361501</v>
      </c>
      <c r="CK10" s="613">
        <v>3.5634230457781699</v>
      </c>
      <c r="CL10" s="613">
        <v>3.5955656322911298</v>
      </c>
      <c r="CM10" s="613">
        <v>3.6267670668944598</v>
      </c>
      <c r="CN10" s="613">
        <v>3.6564651774140802</v>
      </c>
      <c r="CO10" s="613">
        <v>3.6880284570224902</v>
      </c>
      <c r="CP10" s="613">
        <v>3.7211793058714</v>
      </c>
      <c r="CQ10" s="613">
        <v>3.7542331458740299</v>
      </c>
      <c r="CR10" s="613">
        <v>3.7871254335989901</v>
      </c>
      <c r="CS10" s="613">
        <v>3.8207445239743199</v>
      </c>
      <c r="CT10" s="613">
        <v>3.8546368037687602</v>
      </c>
      <c r="CU10" s="613">
        <v>3.8872247348682101</v>
      </c>
      <c r="CV10" s="613">
        <v>3.9200735059946799</v>
      </c>
      <c r="CW10" s="613">
        <v>3.9541391739659901</v>
      </c>
      <c r="CX10" s="613">
        <v>3.9879877404770001</v>
      </c>
    </row>
    <row r="12" spans="1:102" x14ac:dyDescent="0.2">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row>
    <row r="13" spans="1:102" x14ac:dyDescent="0.2">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c r="AT13" s="614"/>
    </row>
    <row r="14" spans="1:102" x14ac:dyDescent="0.2">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3"/>
      <c r="AS14" s="613"/>
      <c r="AT14" s="613"/>
    </row>
    <row r="15" spans="1:102" x14ac:dyDescent="0.2">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3"/>
      <c r="AS15" s="613"/>
      <c r="AT15" s="613"/>
    </row>
    <row r="16" spans="1:102" x14ac:dyDescent="0.2">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3"/>
      <c r="AS16" s="613"/>
      <c r="AT16" s="613"/>
      <c r="BX16" s="615" t="s">
        <v>407</v>
      </c>
      <c r="BY16" s="616"/>
      <c r="BZ16" s="616"/>
      <c r="CA16" s="617" t="s">
        <v>408</v>
      </c>
      <c r="CB16" s="618"/>
      <c r="CC16" s="618"/>
      <c r="CD16" s="618"/>
      <c r="CE16" s="618"/>
      <c r="CF16" s="618"/>
      <c r="CG16" s="616"/>
      <c r="CH16" s="616"/>
      <c r="CI16" s="616"/>
    </row>
    <row r="17" spans="3:93" x14ac:dyDescent="0.2">
      <c r="C17" s="619"/>
      <c r="D17" s="619"/>
      <c r="E17" s="619"/>
      <c r="F17" s="619"/>
      <c r="G17" s="619"/>
      <c r="H17" s="619"/>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c r="AI17" s="619"/>
      <c r="AJ17" s="619"/>
      <c r="AK17" s="619"/>
      <c r="AL17" s="619"/>
      <c r="AM17" s="619"/>
      <c r="AN17" s="619"/>
      <c r="AO17" s="619"/>
      <c r="AP17" s="619"/>
      <c r="BX17" s="620"/>
      <c r="BY17" s="621"/>
      <c r="BZ17" s="621"/>
      <c r="CA17" s="621"/>
      <c r="CB17" s="621"/>
      <c r="CC17" s="621"/>
      <c r="CD17" s="621"/>
      <c r="CE17" s="621"/>
      <c r="CF17" s="621"/>
      <c r="CG17" s="621"/>
      <c r="CH17" s="621"/>
      <c r="CI17" s="622"/>
    </row>
    <row r="18" spans="3:93" x14ac:dyDescent="0.2">
      <c r="BX18" s="623"/>
      <c r="BY18" s="624" t="s">
        <v>409</v>
      </c>
      <c r="BZ18" s="625" t="s">
        <v>297</v>
      </c>
      <c r="CA18" s="616"/>
      <c r="CB18" s="616"/>
      <c r="CC18" s="616"/>
      <c r="CD18" s="616"/>
      <c r="CE18" s="616"/>
      <c r="CF18" s="616"/>
      <c r="CG18" s="616"/>
      <c r="CH18" s="616"/>
      <c r="CI18" s="626"/>
    </row>
    <row r="19" spans="3:93" x14ac:dyDescent="0.2">
      <c r="BX19" s="623"/>
      <c r="BY19" s="616"/>
      <c r="BZ19" s="627" t="str">
        <f>CD7</f>
        <v>2023Q4</v>
      </c>
      <c r="CA19" s="627"/>
      <c r="CB19" s="627"/>
      <c r="CC19" s="627"/>
      <c r="CD19" s="616"/>
      <c r="CE19" s="616"/>
      <c r="CF19" s="616"/>
      <c r="CG19" s="616"/>
      <c r="CH19" s="616"/>
      <c r="CI19" s="628" t="s">
        <v>410</v>
      </c>
    </row>
    <row r="20" spans="3:93" x14ac:dyDescent="0.2">
      <c r="BX20" s="623"/>
      <c r="BY20" s="616"/>
      <c r="BZ20" s="629">
        <f>CD9</f>
        <v>3.2707369257652799</v>
      </c>
      <c r="CA20" s="630"/>
      <c r="CB20" s="630"/>
      <c r="CC20" s="630"/>
      <c r="CD20" s="616"/>
      <c r="CE20" s="616"/>
      <c r="CF20" s="616"/>
      <c r="CG20" s="616"/>
      <c r="CH20" s="616"/>
      <c r="CI20" s="631">
        <f>AVERAGE(BZ20:CC20)</f>
        <v>3.2707369257652799</v>
      </c>
    </row>
    <row r="21" spans="3:93" x14ac:dyDescent="0.2">
      <c r="BX21" s="623"/>
      <c r="BY21" s="616"/>
      <c r="BZ21" s="616"/>
      <c r="CA21" s="616"/>
      <c r="CB21" s="616"/>
      <c r="CC21" s="616"/>
      <c r="CD21" s="616"/>
      <c r="CE21" s="616"/>
      <c r="CF21" s="616"/>
      <c r="CG21" s="616"/>
      <c r="CH21" s="616"/>
      <c r="CI21" s="632"/>
    </row>
    <row r="22" spans="3:93" x14ac:dyDescent="0.2">
      <c r="BX22" s="633" t="s">
        <v>411</v>
      </c>
      <c r="BY22" s="634"/>
      <c r="BZ22" s="634"/>
      <c r="CA22" s="616" t="s">
        <v>412</v>
      </c>
      <c r="CB22" s="616"/>
      <c r="CC22" s="616"/>
      <c r="CD22" s="616"/>
      <c r="CE22" s="616"/>
      <c r="CF22" s="616"/>
      <c r="CG22" s="616"/>
      <c r="CH22" s="616"/>
      <c r="CI22" s="632"/>
    </row>
    <row r="23" spans="3:93" x14ac:dyDescent="0.2">
      <c r="BX23" s="635"/>
      <c r="BY23" s="624"/>
      <c r="BZ23" s="606" t="s">
        <v>381</v>
      </c>
      <c r="CA23" s="606" t="s">
        <v>382</v>
      </c>
      <c r="CB23" s="606" t="s">
        <v>383</v>
      </c>
      <c r="CC23" s="606" t="s">
        <v>384</v>
      </c>
      <c r="CD23" s="606" t="s">
        <v>385</v>
      </c>
      <c r="CE23" s="606" t="s">
        <v>386</v>
      </c>
      <c r="CF23" s="606" t="s">
        <v>387</v>
      </c>
      <c r="CG23" s="606" t="s">
        <v>388</v>
      </c>
      <c r="CH23" s="616"/>
      <c r="CI23" s="632"/>
    </row>
    <row r="24" spans="3:93" x14ac:dyDescent="0.2">
      <c r="BX24" s="623"/>
      <c r="BY24" s="616"/>
      <c r="BZ24" s="636">
        <f t="shared" ref="BZ24:CG24" si="0">CE9</f>
        <v>3.2911977168238602</v>
      </c>
      <c r="CA24" s="636">
        <f t="shared" si="0"/>
        <v>3.3069503709257599</v>
      </c>
      <c r="CB24" s="636">
        <f t="shared" si="0"/>
        <v>3.3310114361411798</v>
      </c>
      <c r="CC24" s="636">
        <f t="shared" si="0"/>
        <v>3.3528025716004199</v>
      </c>
      <c r="CD24" s="636">
        <f t="shared" si="0"/>
        <v>3.37218091262779</v>
      </c>
      <c r="CE24" s="636">
        <f t="shared" si="0"/>
        <v>3.3889235278065399</v>
      </c>
      <c r="CF24" s="636">
        <f t="shared" si="0"/>
        <v>3.40662198576385</v>
      </c>
      <c r="CG24" s="636">
        <f t="shared" si="0"/>
        <v>3.4253125699928502</v>
      </c>
      <c r="CH24" s="616"/>
      <c r="CI24" s="631">
        <f>AVERAGE(BZ24:CG24)</f>
        <v>3.3593751364602813</v>
      </c>
    </row>
    <row r="25" spans="3:93" x14ac:dyDescent="0.2">
      <c r="BX25" s="623"/>
      <c r="BY25" s="616"/>
      <c r="BZ25" s="616"/>
      <c r="CA25" s="616"/>
      <c r="CB25" s="616"/>
      <c r="CC25" s="616"/>
      <c r="CD25" s="616"/>
      <c r="CE25" s="616"/>
      <c r="CF25" s="616"/>
      <c r="CG25" s="616"/>
      <c r="CH25" s="616"/>
      <c r="CI25" s="632"/>
    </row>
    <row r="26" spans="3:93" x14ac:dyDescent="0.2">
      <c r="BX26" s="623"/>
      <c r="BY26" s="616"/>
      <c r="BZ26" s="616"/>
      <c r="CA26" s="616"/>
      <c r="CB26" s="616"/>
      <c r="CC26" s="616"/>
      <c r="CD26" s="616"/>
      <c r="CE26" s="616"/>
      <c r="CF26" s="616"/>
      <c r="CG26" s="616"/>
      <c r="CH26" s="637" t="s">
        <v>184</v>
      </c>
      <c r="CI26" s="638">
        <f>(CI24-CI20)/CI20</f>
        <v>2.7100379121522307E-2</v>
      </c>
    </row>
    <row r="27" spans="3:93" x14ac:dyDescent="0.2">
      <c r="BX27" s="639"/>
      <c r="BY27" s="640"/>
      <c r="BZ27" s="640"/>
      <c r="CA27" s="640"/>
      <c r="CB27" s="640"/>
      <c r="CC27" s="640"/>
      <c r="CD27" s="640"/>
      <c r="CE27" s="640"/>
      <c r="CF27" s="640"/>
      <c r="CG27" s="640"/>
      <c r="CH27" s="640"/>
      <c r="CI27" s="641"/>
    </row>
    <row r="30" spans="3:93" x14ac:dyDescent="0.2">
      <c r="CO30" s="601" t="s">
        <v>413</v>
      </c>
    </row>
  </sheetData>
  <mergeCells count="2">
    <mergeCell ref="A1:B1"/>
    <mergeCell ref="BX22:BZ22"/>
  </mergeCells>
  <pageMargins left="0.25" right="0.25" top="1" bottom="1" header="0.5" footer="0.5"/>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5E6E-6D79-4B0B-B9CA-6F3ABE1E0179}">
  <dimension ref="E5:G13"/>
  <sheetViews>
    <sheetView workbookViewId="0">
      <selection activeCell="B21" sqref="B21"/>
    </sheetView>
  </sheetViews>
  <sheetFormatPr defaultRowHeight="15" x14ac:dyDescent="0.25"/>
  <sheetData>
    <row r="5" spans="5:7" x14ac:dyDescent="0.25">
      <c r="G5">
        <v>2218</v>
      </c>
    </row>
    <row r="6" spans="5:7" x14ac:dyDescent="0.25">
      <c r="E6" s="183" t="s">
        <v>163</v>
      </c>
      <c r="G6">
        <v>3207.9430942501481</v>
      </c>
    </row>
    <row r="7" spans="5:7" x14ac:dyDescent="0.25">
      <c r="E7" s="183" t="s">
        <v>169</v>
      </c>
    </row>
    <row r="8" spans="5:7" x14ac:dyDescent="0.25">
      <c r="E8" s="183" t="s">
        <v>414</v>
      </c>
    </row>
    <row r="9" spans="5:7" x14ac:dyDescent="0.25">
      <c r="E9" s="410" t="s">
        <v>415</v>
      </c>
    </row>
    <row r="10" spans="5:7" x14ac:dyDescent="0.25">
      <c r="E10" s="410" t="s">
        <v>416</v>
      </c>
    </row>
    <row r="11" spans="5:7" x14ac:dyDescent="0.25">
      <c r="E11" s="462" t="s">
        <v>163</v>
      </c>
    </row>
    <row r="12" spans="5:7" x14ac:dyDescent="0.25">
      <c r="E12" s="462" t="s">
        <v>254</v>
      </c>
    </row>
    <row r="13" spans="5:7" x14ac:dyDescent="0.25">
      <c r="E13" t="s">
        <v>417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3709-DB1C-4602-987E-56A6CB8CE49C}">
  <sheetPr>
    <pageSetUpPr fitToPage="1"/>
  </sheetPr>
  <dimension ref="B2:U72"/>
  <sheetViews>
    <sheetView showGridLines="0" zoomScale="80" zoomScaleNormal="80" workbookViewId="0">
      <selection activeCell="V1" sqref="V1:W1048576"/>
    </sheetView>
  </sheetViews>
  <sheetFormatPr defaultRowHeight="15" customHeight="1" x14ac:dyDescent="0.2"/>
  <cols>
    <col min="1" max="1" width="5.5703125" style="70" customWidth="1"/>
    <col min="2" max="2" width="30.7109375" style="70" customWidth="1"/>
    <col min="3" max="3" width="13.28515625" style="99" customWidth="1"/>
    <col min="4" max="4" width="14.28515625" style="70" customWidth="1"/>
    <col min="5" max="5" width="28.7109375" style="70" customWidth="1"/>
    <col min="6" max="6" width="3.7109375" style="70" customWidth="1"/>
    <col min="7" max="7" width="10.42578125" style="70" customWidth="1"/>
    <col min="8" max="8" width="3.5703125" style="70" customWidth="1"/>
    <col min="9" max="9" width="20.28515625" style="70" customWidth="1"/>
    <col min="10" max="10" width="10.42578125" style="70" customWidth="1"/>
    <col min="11" max="11" width="16.5703125" style="70" customWidth="1"/>
    <col min="12" max="13" width="16.7109375" style="70" customWidth="1"/>
    <col min="14" max="14" width="10.42578125" style="70" customWidth="1"/>
    <col min="15" max="15" width="5" style="70" customWidth="1"/>
    <col min="16" max="16" width="22" style="70" customWidth="1"/>
    <col min="17" max="17" width="9" style="70" customWidth="1"/>
    <col min="18" max="18" width="14.5703125" style="70" customWidth="1"/>
    <col min="19" max="19" width="10.42578125" style="70" customWidth="1"/>
    <col min="20" max="20" width="16.5703125" style="70" customWidth="1"/>
    <col min="21" max="21" width="13.42578125" style="70" customWidth="1"/>
    <col min="22" max="253" width="9.140625" style="70"/>
    <col min="254" max="254" width="30.7109375" style="70" customWidth="1"/>
    <col min="255" max="256" width="13.28515625" style="70" customWidth="1"/>
    <col min="257" max="257" width="12.5703125" style="70" bestFit="1" customWidth="1"/>
    <col min="258" max="258" width="11.5703125" style="70" customWidth="1"/>
    <col min="259" max="260" width="10.5703125" style="70" customWidth="1"/>
    <col min="261" max="261" width="19.7109375" style="70" customWidth="1"/>
    <col min="262" max="262" width="6.5703125" style="70" customWidth="1"/>
    <col min="263" max="263" width="32.5703125" style="70" customWidth="1"/>
    <col min="264" max="264" width="15.28515625" style="70" customWidth="1"/>
    <col min="265" max="265" width="22.28515625" style="70" customWidth="1"/>
    <col min="266" max="266" width="16.7109375" style="70" customWidth="1"/>
    <col min="267" max="267" width="9.42578125" style="70" bestFit="1" customWidth="1"/>
    <col min="268" max="268" width="35.7109375" style="70" customWidth="1"/>
    <col min="269" max="269" width="14" style="70" customWidth="1"/>
    <col min="270" max="270" width="12" style="70" bestFit="1" customWidth="1"/>
    <col min="271" max="271" width="15" style="70" customWidth="1"/>
    <col min="272" max="272" width="9.140625" style="70"/>
    <col min="273" max="273" width="29.5703125" style="70" bestFit="1" customWidth="1"/>
    <col min="274" max="274" width="14.42578125" style="70" bestFit="1" customWidth="1"/>
    <col min="275" max="275" width="12.42578125" style="70" bestFit="1" customWidth="1"/>
    <col min="276" max="276" width="22.42578125" style="70" bestFit="1" customWidth="1"/>
    <col min="277" max="509" width="9.140625" style="70"/>
    <col min="510" max="510" width="30.7109375" style="70" customWidth="1"/>
    <col min="511" max="512" width="13.28515625" style="70" customWidth="1"/>
    <col min="513" max="513" width="12.5703125" style="70" bestFit="1" customWidth="1"/>
    <col min="514" max="514" width="11.5703125" style="70" customWidth="1"/>
    <col min="515" max="516" width="10.5703125" style="70" customWidth="1"/>
    <col min="517" max="517" width="19.7109375" style="70" customWidth="1"/>
    <col min="518" max="518" width="6.5703125" style="70" customWidth="1"/>
    <col min="519" max="519" width="32.5703125" style="70" customWidth="1"/>
    <col min="520" max="520" width="15.28515625" style="70" customWidth="1"/>
    <col min="521" max="521" width="22.28515625" style="70" customWidth="1"/>
    <col min="522" max="522" width="16.7109375" style="70" customWidth="1"/>
    <col min="523" max="523" width="9.42578125" style="70" bestFit="1" customWidth="1"/>
    <col min="524" max="524" width="35.7109375" style="70" customWidth="1"/>
    <col min="525" max="525" width="14" style="70" customWidth="1"/>
    <col min="526" max="526" width="12" style="70" bestFit="1" customWidth="1"/>
    <col min="527" max="527" width="15" style="70" customWidth="1"/>
    <col min="528" max="528" width="9.140625" style="70"/>
    <col min="529" max="529" width="29.5703125" style="70" bestFit="1" customWidth="1"/>
    <col min="530" max="530" width="14.42578125" style="70" bestFit="1" customWidth="1"/>
    <col min="531" max="531" width="12.42578125" style="70" bestFit="1" customWidth="1"/>
    <col min="532" max="532" width="22.42578125" style="70" bestFit="1" customWidth="1"/>
    <col min="533" max="765" width="9.140625" style="70"/>
    <col min="766" max="766" width="30.7109375" style="70" customWidth="1"/>
    <col min="767" max="768" width="13.28515625" style="70" customWidth="1"/>
    <col min="769" max="769" width="12.5703125" style="70" bestFit="1" customWidth="1"/>
    <col min="770" max="770" width="11.5703125" style="70" customWidth="1"/>
    <col min="771" max="772" width="10.5703125" style="70" customWidth="1"/>
    <col min="773" max="773" width="19.7109375" style="70" customWidth="1"/>
    <col min="774" max="774" width="6.5703125" style="70" customWidth="1"/>
    <col min="775" max="775" width="32.5703125" style="70" customWidth="1"/>
    <col min="776" max="776" width="15.28515625" style="70" customWidth="1"/>
    <col min="777" max="777" width="22.28515625" style="70" customWidth="1"/>
    <col min="778" max="778" width="16.7109375" style="70" customWidth="1"/>
    <col min="779" max="779" width="9.42578125" style="70" bestFit="1" customWidth="1"/>
    <col min="780" max="780" width="35.7109375" style="70" customWidth="1"/>
    <col min="781" max="781" width="14" style="70" customWidth="1"/>
    <col min="782" max="782" width="12" style="70" bestFit="1" customWidth="1"/>
    <col min="783" max="783" width="15" style="70" customWidth="1"/>
    <col min="784" max="784" width="9.140625" style="70"/>
    <col min="785" max="785" width="29.5703125" style="70" bestFit="1" customWidth="1"/>
    <col min="786" max="786" width="14.42578125" style="70" bestFit="1" customWidth="1"/>
    <col min="787" max="787" width="12.42578125" style="70" bestFit="1" customWidth="1"/>
    <col min="788" max="788" width="22.42578125" style="70" bestFit="1" customWidth="1"/>
    <col min="789" max="1021" width="9.140625" style="70"/>
    <col min="1022" max="1022" width="30.7109375" style="70" customWidth="1"/>
    <col min="1023" max="1024" width="13.28515625" style="70" customWidth="1"/>
    <col min="1025" max="1025" width="12.5703125" style="70" bestFit="1" customWidth="1"/>
    <col min="1026" max="1026" width="11.5703125" style="70" customWidth="1"/>
    <col min="1027" max="1028" width="10.5703125" style="70" customWidth="1"/>
    <col min="1029" max="1029" width="19.7109375" style="70" customWidth="1"/>
    <col min="1030" max="1030" width="6.5703125" style="70" customWidth="1"/>
    <col min="1031" max="1031" width="32.5703125" style="70" customWidth="1"/>
    <col min="1032" max="1032" width="15.28515625" style="70" customWidth="1"/>
    <col min="1033" max="1033" width="22.28515625" style="70" customWidth="1"/>
    <col min="1034" max="1034" width="16.7109375" style="70" customWidth="1"/>
    <col min="1035" max="1035" width="9.42578125" style="70" bestFit="1" customWidth="1"/>
    <col min="1036" max="1036" width="35.7109375" style="70" customWidth="1"/>
    <col min="1037" max="1037" width="14" style="70" customWidth="1"/>
    <col min="1038" max="1038" width="12" style="70" bestFit="1" customWidth="1"/>
    <col min="1039" max="1039" width="15" style="70" customWidth="1"/>
    <col min="1040" max="1040" width="9.140625" style="70"/>
    <col min="1041" max="1041" width="29.5703125" style="70" bestFit="1" customWidth="1"/>
    <col min="1042" max="1042" width="14.42578125" style="70" bestFit="1" customWidth="1"/>
    <col min="1043" max="1043" width="12.42578125" style="70" bestFit="1" customWidth="1"/>
    <col min="1044" max="1044" width="22.42578125" style="70" bestFit="1" customWidth="1"/>
    <col min="1045" max="1277" width="9.140625" style="70"/>
    <col min="1278" max="1278" width="30.7109375" style="70" customWidth="1"/>
    <col min="1279" max="1280" width="13.28515625" style="70" customWidth="1"/>
    <col min="1281" max="1281" width="12.5703125" style="70" bestFit="1" customWidth="1"/>
    <col min="1282" max="1282" width="11.5703125" style="70" customWidth="1"/>
    <col min="1283" max="1284" width="10.5703125" style="70" customWidth="1"/>
    <col min="1285" max="1285" width="19.7109375" style="70" customWidth="1"/>
    <col min="1286" max="1286" width="6.5703125" style="70" customWidth="1"/>
    <col min="1287" max="1287" width="32.5703125" style="70" customWidth="1"/>
    <col min="1288" max="1288" width="15.28515625" style="70" customWidth="1"/>
    <col min="1289" max="1289" width="22.28515625" style="70" customWidth="1"/>
    <col min="1290" max="1290" width="16.7109375" style="70" customWidth="1"/>
    <col min="1291" max="1291" width="9.42578125" style="70" bestFit="1" customWidth="1"/>
    <col min="1292" max="1292" width="35.7109375" style="70" customWidth="1"/>
    <col min="1293" max="1293" width="14" style="70" customWidth="1"/>
    <col min="1294" max="1294" width="12" style="70" bestFit="1" customWidth="1"/>
    <col min="1295" max="1295" width="15" style="70" customWidth="1"/>
    <col min="1296" max="1296" width="9.140625" style="70"/>
    <col min="1297" max="1297" width="29.5703125" style="70" bestFit="1" customWidth="1"/>
    <col min="1298" max="1298" width="14.42578125" style="70" bestFit="1" customWidth="1"/>
    <col min="1299" max="1299" width="12.42578125" style="70" bestFit="1" customWidth="1"/>
    <col min="1300" max="1300" width="22.42578125" style="70" bestFit="1" customWidth="1"/>
    <col min="1301" max="1533" width="9.140625" style="70"/>
    <col min="1534" max="1534" width="30.7109375" style="70" customWidth="1"/>
    <col min="1535" max="1536" width="13.28515625" style="70" customWidth="1"/>
    <col min="1537" max="1537" width="12.5703125" style="70" bestFit="1" customWidth="1"/>
    <col min="1538" max="1538" width="11.5703125" style="70" customWidth="1"/>
    <col min="1539" max="1540" width="10.5703125" style="70" customWidth="1"/>
    <col min="1541" max="1541" width="19.7109375" style="70" customWidth="1"/>
    <col min="1542" max="1542" width="6.5703125" style="70" customWidth="1"/>
    <col min="1543" max="1543" width="32.5703125" style="70" customWidth="1"/>
    <col min="1544" max="1544" width="15.28515625" style="70" customWidth="1"/>
    <col min="1545" max="1545" width="22.28515625" style="70" customWidth="1"/>
    <col min="1546" max="1546" width="16.7109375" style="70" customWidth="1"/>
    <col min="1547" max="1547" width="9.42578125" style="70" bestFit="1" customWidth="1"/>
    <col min="1548" max="1548" width="35.7109375" style="70" customWidth="1"/>
    <col min="1549" max="1549" width="14" style="70" customWidth="1"/>
    <col min="1550" max="1550" width="12" style="70" bestFit="1" customWidth="1"/>
    <col min="1551" max="1551" width="15" style="70" customWidth="1"/>
    <col min="1552" max="1552" width="9.140625" style="70"/>
    <col min="1553" max="1553" width="29.5703125" style="70" bestFit="1" customWidth="1"/>
    <col min="1554" max="1554" width="14.42578125" style="70" bestFit="1" customWidth="1"/>
    <col min="1555" max="1555" width="12.42578125" style="70" bestFit="1" customWidth="1"/>
    <col min="1556" max="1556" width="22.42578125" style="70" bestFit="1" customWidth="1"/>
    <col min="1557" max="1789" width="9.140625" style="70"/>
    <col min="1790" max="1790" width="30.7109375" style="70" customWidth="1"/>
    <col min="1791" max="1792" width="13.28515625" style="70" customWidth="1"/>
    <col min="1793" max="1793" width="12.5703125" style="70" bestFit="1" customWidth="1"/>
    <col min="1794" max="1794" width="11.5703125" style="70" customWidth="1"/>
    <col min="1795" max="1796" width="10.5703125" style="70" customWidth="1"/>
    <col min="1797" max="1797" width="19.7109375" style="70" customWidth="1"/>
    <col min="1798" max="1798" width="6.5703125" style="70" customWidth="1"/>
    <col min="1799" max="1799" width="32.5703125" style="70" customWidth="1"/>
    <col min="1800" max="1800" width="15.28515625" style="70" customWidth="1"/>
    <col min="1801" max="1801" width="22.28515625" style="70" customWidth="1"/>
    <col min="1802" max="1802" width="16.7109375" style="70" customWidth="1"/>
    <col min="1803" max="1803" width="9.42578125" style="70" bestFit="1" customWidth="1"/>
    <col min="1804" max="1804" width="35.7109375" style="70" customWidth="1"/>
    <col min="1805" max="1805" width="14" style="70" customWidth="1"/>
    <col min="1806" max="1806" width="12" style="70" bestFit="1" customWidth="1"/>
    <col min="1807" max="1807" width="15" style="70" customWidth="1"/>
    <col min="1808" max="1808" width="9.140625" style="70"/>
    <col min="1809" max="1809" width="29.5703125" style="70" bestFit="1" customWidth="1"/>
    <col min="1810" max="1810" width="14.42578125" style="70" bestFit="1" customWidth="1"/>
    <col min="1811" max="1811" width="12.42578125" style="70" bestFit="1" customWidth="1"/>
    <col min="1812" max="1812" width="22.42578125" style="70" bestFit="1" customWidth="1"/>
    <col min="1813" max="2045" width="9.140625" style="70"/>
    <col min="2046" max="2046" width="30.7109375" style="70" customWidth="1"/>
    <col min="2047" max="2048" width="13.28515625" style="70" customWidth="1"/>
    <col min="2049" max="2049" width="12.5703125" style="70" bestFit="1" customWidth="1"/>
    <col min="2050" max="2050" width="11.5703125" style="70" customWidth="1"/>
    <col min="2051" max="2052" width="10.5703125" style="70" customWidth="1"/>
    <col min="2053" max="2053" width="19.7109375" style="70" customWidth="1"/>
    <col min="2054" max="2054" width="6.5703125" style="70" customWidth="1"/>
    <col min="2055" max="2055" width="32.5703125" style="70" customWidth="1"/>
    <col min="2056" max="2056" width="15.28515625" style="70" customWidth="1"/>
    <col min="2057" max="2057" width="22.28515625" style="70" customWidth="1"/>
    <col min="2058" max="2058" width="16.7109375" style="70" customWidth="1"/>
    <col min="2059" max="2059" width="9.42578125" style="70" bestFit="1" customWidth="1"/>
    <col min="2060" max="2060" width="35.7109375" style="70" customWidth="1"/>
    <col min="2061" max="2061" width="14" style="70" customWidth="1"/>
    <col min="2062" max="2062" width="12" style="70" bestFit="1" customWidth="1"/>
    <col min="2063" max="2063" width="15" style="70" customWidth="1"/>
    <col min="2064" max="2064" width="9.140625" style="70"/>
    <col min="2065" max="2065" width="29.5703125" style="70" bestFit="1" customWidth="1"/>
    <col min="2066" max="2066" width="14.42578125" style="70" bestFit="1" customWidth="1"/>
    <col min="2067" max="2067" width="12.42578125" style="70" bestFit="1" customWidth="1"/>
    <col min="2068" max="2068" width="22.42578125" style="70" bestFit="1" customWidth="1"/>
    <col min="2069" max="2301" width="9.140625" style="70"/>
    <col min="2302" max="2302" width="30.7109375" style="70" customWidth="1"/>
    <col min="2303" max="2304" width="13.28515625" style="70" customWidth="1"/>
    <col min="2305" max="2305" width="12.5703125" style="70" bestFit="1" customWidth="1"/>
    <col min="2306" max="2306" width="11.5703125" style="70" customWidth="1"/>
    <col min="2307" max="2308" width="10.5703125" style="70" customWidth="1"/>
    <col min="2309" max="2309" width="19.7109375" style="70" customWidth="1"/>
    <col min="2310" max="2310" width="6.5703125" style="70" customWidth="1"/>
    <col min="2311" max="2311" width="32.5703125" style="70" customWidth="1"/>
    <col min="2312" max="2312" width="15.28515625" style="70" customWidth="1"/>
    <col min="2313" max="2313" width="22.28515625" style="70" customWidth="1"/>
    <col min="2314" max="2314" width="16.7109375" style="70" customWidth="1"/>
    <col min="2315" max="2315" width="9.42578125" style="70" bestFit="1" customWidth="1"/>
    <col min="2316" max="2316" width="35.7109375" style="70" customWidth="1"/>
    <col min="2317" max="2317" width="14" style="70" customWidth="1"/>
    <col min="2318" max="2318" width="12" style="70" bestFit="1" customWidth="1"/>
    <col min="2319" max="2319" width="15" style="70" customWidth="1"/>
    <col min="2320" max="2320" width="9.140625" style="70"/>
    <col min="2321" max="2321" width="29.5703125" style="70" bestFit="1" customWidth="1"/>
    <col min="2322" max="2322" width="14.42578125" style="70" bestFit="1" customWidth="1"/>
    <col min="2323" max="2323" width="12.42578125" style="70" bestFit="1" customWidth="1"/>
    <col min="2324" max="2324" width="22.42578125" style="70" bestFit="1" customWidth="1"/>
    <col min="2325" max="2557" width="9.140625" style="70"/>
    <col min="2558" max="2558" width="30.7109375" style="70" customWidth="1"/>
    <col min="2559" max="2560" width="13.28515625" style="70" customWidth="1"/>
    <col min="2561" max="2561" width="12.5703125" style="70" bestFit="1" customWidth="1"/>
    <col min="2562" max="2562" width="11.5703125" style="70" customWidth="1"/>
    <col min="2563" max="2564" width="10.5703125" style="70" customWidth="1"/>
    <col min="2565" max="2565" width="19.7109375" style="70" customWidth="1"/>
    <col min="2566" max="2566" width="6.5703125" style="70" customWidth="1"/>
    <col min="2567" max="2567" width="32.5703125" style="70" customWidth="1"/>
    <col min="2568" max="2568" width="15.28515625" style="70" customWidth="1"/>
    <col min="2569" max="2569" width="22.28515625" style="70" customWidth="1"/>
    <col min="2570" max="2570" width="16.7109375" style="70" customWidth="1"/>
    <col min="2571" max="2571" width="9.42578125" style="70" bestFit="1" customWidth="1"/>
    <col min="2572" max="2572" width="35.7109375" style="70" customWidth="1"/>
    <col min="2573" max="2573" width="14" style="70" customWidth="1"/>
    <col min="2574" max="2574" width="12" style="70" bestFit="1" customWidth="1"/>
    <col min="2575" max="2575" width="15" style="70" customWidth="1"/>
    <col min="2576" max="2576" width="9.140625" style="70"/>
    <col min="2577" max="2577" width="29.5703125" style="70" bestFit="1" customWidth="1"/>
    <col min="2578" max="2578" width="14.42578125" style="70" bestFit="1" customWidth="1"/>
    <col min="2579" max="2579" width="12.42578125" style="70" bestFit="1" customWidth="1"/>
    <col min="2580" max="2580" width="22.42578125" style="70" bestFit="1" customWidth="1"/>
    <col min="2581" max="2813" width="9.140625" style="70"/>
    <col min="2814" max="2814" width="30.7109375" style="70" customWidth="1"/>
    <col min="2815" max="2816" width="13.28515625" style="70" customWidth="1"/>
    <col min="2817" max="2817" width="12.5703125" style="70" bestFit="1" customWidth="1"/>
    <col min="2818" max="2818" width="11.5703125" style="70" customWidth="1"/>
    <col min="2819" max="2820" width="10.5703125" style="70" customWidth="1"/>
    <col min="2821" max="2821" width="19.7109375" style="70" customWidth="1"/>
    <col min="2822" max="2822" width="6.5703125" style="70" customWidth="1"/>
    <col min="2823" max="2823" width="32.5703125" style="70" customWidth="1"/>
    <col min="2824" max="2824" width="15.28515625" style="70" customWidth="1"/>
    <col min="2825" max="2825" width="22.28515625" style="70" customWidth="1"/>
    <col min="2826" max="2826" width="16.7109375" style="70" customWidth="1"/>
    <col min="2827" max="2827" width="9.42578125" style="70" bestFit="1" customWidth="1"/>
    <col min="2828" max="2828" width="35.7109375" style="70" customWidth="1"/>
    <col min="2829" max="2829" width="14" style="70" customWidth="1"/>
    <col min="2830" max="2830" width="12" style="70" bestFit="1" customWidth="1"/>
    <col min="2831" max="2831" width="15" style="70" customWidth="1"/>
    <col min="2832" max="2832" width="9.140625" style="70"/>
    <col min="2833" max="2833" width="29.5703125" style="70" bestFit="1" customWidth="1"/>
    <col min="2834" max="2834" width="14.42578125" style="70" bestFit="1" customWidth="1"/>
    <col min="2835" max="2835" width="12.42578125" style="70" bestFit="1" customWidth="1"/>
    <col min="2836" max="2836" width="22.42578125" style="70" bestFit="1" customWidth="1"/>
    <col min="2837" max="3069" width="9.140625" style="70"/>
    <col min="3070" max="3070" width="30.7109375" style="70" customWidth="1"/>
    <col min="3071" max="3072" width="13.28515625" style="70" customWidth="1"/>
    <col min="3073" max="3073" width="12.5703125" style="70" bestFit="1" customWidth="1"/>
    <col min="3074" max="3074" width="11.5703125" style="70" customWidth="1"/>
    <col min="3075" max="3076" width="10.5703125" style="70" customWidth="1"/>
    <col min="3077" max="3077" width="19.7109375" style="70" customWidth="1"/>
    <col min="3078" max="3078" width="6.5703125" style="70" customWidth="1"/>
    <col min="3079" max="3079" width="32.5703125" style="70" customWidth="1"/>
    <col min="3080" max="3080" width="15.28515625" style="70" customWidth="1"/>
    <col min="3081" max="3081" width="22.28515625" style="70" customWidth="1"/>
    <col min="3082" max="3082" width="16.7109375" style="70" customWidth="1"/>
    <col min="3083" max="3083" width="9.42578125" style="70" bestFit="1" customWidth="1"/>
    <col min="3084" max="3084" width="35.7109375" style="70" customWidth="1"/>
    <col min="3085" max="3085" width="14" style="70" customWidth="1"/>
    <col min="3086" max="3086" width="12" style="70" bestFit="1" customWidth="1"/>
    <col min="3087" max="3087" width="15" style="70" customWidth="1"/>
    <col min="3088" max="3088" width="9.140625" style="70"/>
    <col min="3089" max="3089" width="29.5703125" style="70" bestFit="1" customWidth="1"/>
    <col min="3090" max="3090" width="14.42578125" style="70" bestFit="1" customWidth="1"/>
    <col min="3091" max="3091" width="12.42578125" style="70" bestFit="1" customWidth="1"/>
    <col min="3092" max="3092" width="22.42578125" style="70" bestFit="1" customWidth="1"/>
    <col min="3093" max="3325" width="9.140625" style="70"/>
    <col min="3326" max="3326" width="30.7109375" style="70" customWidth="1"/>
    <col min="3327" max="3328" width="13.28515625" style="70" customWidth="1"/>
    <col min="3329" max="3329" width="12.5703125" style="70" bestFit="1" customWidth="1"/>
    <col min="3330" max="3330" width="11.5703125" style="70" customWidth="1"/>
    <col min="3331" max="3332" width="10.5703125" style="70" customWidth="1"/>
    <col min="3333" max="3333" width="19.7109375" style="70" customWidth="1"/>
    <col min="3334" max="3334" width="6.5703125" style="70" customWidth="1"/>
    <col min="3335" max="3335" width="32.5703125" style="70" customWidth="1"/>
    <col min="3336" max="3336" width="15.28515625" style="70" customWidth="1"/>
    <col min="3337" max="3337" width="22.28515625" style="70" customWidth="1"/>
    <col min="3338" max="3338" width="16.7109375" style="70" customWidth="1"/>
    <col min="3339" max="3339" width="9.42578125" style="70" bestFit="1" customWidth="1"/>
    <col min="3340" max="3340" width="35.7109375" style="70" customWidth="1"/>
    <col min="3341" max="3341" width="14" style="70" customWidth="1"/>
    <col min="3342" max="3342" width="12" style="70" bestFit="1" customWidth="1"/>
    <col min="3343" max="3343" width="15" style="70" customWidth="1"/>
    <col min="3344" max="3344" width="9.140625" style="70"/>
    <col min="3345" max="3345" width="29.5703125" style="70" bestFit="1" customWidth="1"/>
    <col min="3346" max="3346" width="14.42578125" style="70" bestFit="1" customWidth="1"/>
    <col min="3347" max="3347" width="12.42578125" style="70" bestFit="1" customWidth="1"/>
    <col min="3348" max="3348" width="22.42578125" style="70" bestFit="1" customWidth="1"/>
    <col min="3349" max="3581" width="9.140625" style="70"/>
    <col min="3582" max="3582" width="30.7109375" style="70" customWidth="1"/>
    <col min="3583" max="3584" width="13.28515625" style="70" customWidth="1"/>
    <col min="3585" max="3585" width="12.5703125" style="70" bestFit="1" customWidth="1"/>
    <col min="3586" max="3586" width="11.5703125" style="70" customWidth="1"/>
    <col min="3587" max="3588" width="10.5703125" style="70" customWidth="1"/>
    <col min="3589" max="3589" width="19.7109375" style="70" customWidth="1"/>
    <col min="3590" max="3590" width="6.5703125" style="70" customWidth="1"/>
    <col min="3591" max="3591" width="32.5703125" style="70" customWidth="1"/>
    <col min="3592" max="3592" width="15.28515625" style="70" customWidth="1"/>
    <col min="3593" max="3593" width="22.28515625" style="70" customWidth="1"/>
    <col min="3594" max="3594" width="16.7109375" style="70" customWidth="1"/>
    <col min="3595" max="3595" width="9.42578125" style="70" bestFit="1" customWidth="1"/>
    <col min="3596" max="3596" width="35.7109375" style="70" customWidth="1"/>
    <col min="3597" max="3597" width="14" style="70" customWidth="1"/>
    <col min="3598" max="3598" width="12" style="70" bestFit="1" customWidth="1"/>
    <col min="3599" max="3599" width="15" style="70" customWidth="1"/>
    <col min="3600" max="3600" width="9.140625" style="70"/>
    <col min="3601" max="3601" width="29.5703125" style="70" bestFit="1" customWidth="1"/>
    <col min="3602" max="3602" width="14.42578125" style="70" bestFit="1" customWidth="1"/>
    <col min="3603" max="3603" width="12.42578125" style="70" bestFit="1" customWidth="1"/>
    <col min="3604" max="3604" width="22.42578125" style="70" bestFit="1" customWidth="1"/>
    <col min="3605" max="3837" width="9.140625" style="70"/>
    <col min="3838" max="3838" width="30.7109375" style="70" customWidth="1"/>
    <col min="3839" max="3840" width="13.28515625" style="70" customWidth="1"/>
    <col min="3841" max="3841" width="12.5703125" style="70" bestFit="1" customWidth="1"/>
    <col min="3842" max="3842" width="11.5703125" style="70" customWidth="1"/>
    <col min="3843" max="3844" width="10.5703125" style="70" customWidth="1"/>
    <col min="3845" max="3845" width="19.7109375" style="70" customWidth="1"/>
    <col min="3846" max="3846" width="6.5703125" style="70" customWidth="1"/>
    <col min="3847" max="3847" width="32.5703125" style="70" customWidth="1"/>
    <col min="3848" max="3848" width="15.28515625" style="70" customWidth="1"/>
    <col min="3849" max="3849" width="22.28515625" style="70" customWidth="1"/>
    <col min="3850" max="3850" width="16.7109375" style="70" customWidth="1"/>
    <col min="3851" max="3851" width="9.42578125" style="70" bestFit="1" customWidth="1"/>
    <col min="3852" max="3852" width="35.7109375" style="70" customWidth="1"/>
    <col min="3853" max="3853" width="14" style="70" customWidth="1"/>
    <col min="3854" max="3854" width="12" style="70" bestFit="1" customWidth="1"/>
    <col min="3855" max="3855" width="15" style="70" customWidth="1"/>
    <col min="3856" max="3856" width="9.140625" style="70"/>
    <col min="3857" max="3857" width="29.5703125" style="70" bestFit="1" customWidth="1"/>
    <col min="3858" max="3858" width="14.42578125" style="70" bestFit="1" customWidth="1"/>
    <col min="3859" max="3859" width="12.42578125" style="70" bestFit="1" customWidth="1"/>
    <col min="3860" max="3860" width="22.42578125" style="70" bestFit="1" customWidth="1"/>
    <col min="3861" max="4093" width="9.140625" style="70"/>
    <col min="4094" max="4094" width="30.7109375" style="70" customWidth="1"/>
    <col min="4095" max="4096" width="13.28515625" style="70" customWidth="1"/>
    <col min="4097" max="4097" width="12.5703125" style="70" bestFit="1" customWidth="1"/>
    <col min="4098" max="4098" width="11.5703125" style="70" customWidth="1"/>
    <col min="4099" max="4100" width="10.5703125" style="70" customWidth="1"/>
    <col min="4101" max="4101" width="19.7109375" style="70" customWidth="1"/>
    <col min="4102" max="4102" width="6.5703125" style="70" customWidth="1"/>
    <col min="4103" max="4103" width="32.5703125" style="70" customWidth="1"/>
    <col min="4104" max="4104" width="15.28515625" style="70" customWidth="1"/>
    <col min="4105" max="4105" width="22.28515625" style="70" customWidth="1"/>
    <col min="4106" max="4106" width="16.7109375" style="70" customWidth="1"/>
    <col min="4107" max="4107" width="9.42578125" style="70" bestFit="1" customWidth="1"/>
    <col min="4108" max="4108" width="35.7109375" style="70" customWidth="1"/>
    <col min="4109" max="4109" width="14" style="70" customWidth="1"/>
    <col min="4110" max="4110" width="12" style="70" bestFit="1" customWidth="1"/>
    <col min="4111" max="4111" width="15" style="70" customWidth="1"/>
    <col min="4112" max="4112" width="9.140625" style="70"/>
    <col min="4113" max="4113" width="29.5703125" style="70" bestFit="1" customWidth="1"/>
    <col min="4114" max="4114" width="14.42578125" style="70" bestFit="1" customWidth="1"/>
    <col min="4115" max="4115" width="12.42578125" style="70" bestFit="1" customWidth="1"/>
    <col min="4116" max="4116" width="22.42578125" style="70" bestFit="1" customWidth="1"/>
    <col min="4117" max="4349" width="9.140625" style="70"/>
    <col min="4350" max="4350" width="30.7109375" style="70" customWidth="1"/>
    <col min="4351" max="4352" width="13.28515625" style="70" customWidth="1"/>
    <col min="4353" max="4353" width="12.5703125" style="70" bestFit="1" customWidth="1"/>
    <col min="4354" max="4354" width="11.5703125" style="70" customWidth="1"/>
    <col min="4355" max="4356" width="10.5703125" style="70" customWidth="1"/>
    <col min="4357" max="4357" width="19.7109375" style="70" customWidth="1"/>
    <col min="4358" max="4358" width="6.5703125" style="70" customWidth="1"/>
    <col min="4359" max="4359" width="32.5703125" style="70" customWidth="1"/>
    <col min="4360" max="4360" width="15.28515625" style="70" customWidth="1"/>
    <col min="4361" max="4361" width="22.28515625" style="70" customWidth="1"/>
    <col min="4362" max="4362" width="16.7109375" style="70" customWidth="1"/>
    <col min="4363" max="4363" width="9.42578125" style="70" bestFit="1" customWidth="1"/>
    <col min="4364" max="4364" width="35.7109375" style="70" customWidth="1"/>
    <col min="4365" max="4365" width="14" style="70" customWidth="1"/>
    <col min="4366" max="4366" width="12" style="70" bestFit="1" customWidth="1"/>
    <col min="4367" max="4367" width="15" style="70" customWidth="1"/>
    <col min="4368" max="4368" width="9.140625" style="70"/>
    <col min="4369" max="4369" width="29.5703125" style="70" bestFit="1" customWidth="1"/>
    <col min="4370" max="4370" width="14.42578125" style="70" bestFit="1" customWidth="1"/>
    <col min="4371" max="4371" width="12.42578125" style="70" bestFit="1" customWidth="1"/>
    <col min="4372" max="4372" width="22.42578125" style="70" bestFit="1" customWidth="1"/>
    <col min="4373" max="4605" width="9.140625" style="70"/>
    <col min="4606" max="4606" width="30.7109375" style="70" customWidth="1"/>
    <col min="4607" max="4608" width="13.28515625" style="70" customWidth="1"/>
    <col min="4609" max="4609" width="12.5703125" style="70" bestFit="1" customWidth="1"/>
    <col min="4610" max="4610" width="11.5703125" style="70" customWidth="1"/>
    <col min="4611" max="4612" width="10.5703125" style="70" customWidth="1"/>
    <col min="4613" max="4613" width="19.7109375" style="70" customWidth="1"/>
    <col min="4614" max="4614" width="6.5703125" style="70" customWidth="1"/>
    <col min="4615" max="4615" width="32.5703125" style="70" customWidth="1"/>
    <col min="4616" max="4616" width="15.28515625" style="70" customWidth="1"/>
    <col min="4617" max="4617" width="22.28515625" style="70" customWidth="1"/>
    <col min="4618" max="4618" width="16.7109375" style="70" customWidth="1"/>
    <col min="4619" max="4619" width="9.42578125" style="70" bestFit="1" customWidth="1"/>
    <col min="4620" max="4620" width="35.7109375" style="70" customWidth="1"/>
    <col min="4621" max="4621" width="14" style="70" customWidth="1"/>
    <col min="4622" max="4622" width="12" style="70" bestFit="1" customWidth="1"/>
    <col min="4623" max="4623" width="15" style="70" customWidth="1"/>
    <col min="4624" max="4624" width="9.140625" style="70"/>
    <col min="4625" max="4625" width="29.5703125" style="70" bestFit="1" customWidth="1"/>
    <col min="4626" max="4626" width="14.42578125" style="70" bestFit="1" customWidth="1"/>
    <col min="4627" max="4627" width="12.42578125" style="70" bestFit="1" customWidth="1"/>
    <col min="4628" max="4628" width="22.42578125" style="70" bestFit="1" customWidth="1"/>
    <col min="4629" max="4861" width="9.140625" style="70"/>
    <col min="4862" max="4862" width="30.7109375" style="70" customWidth="1"/>
    <col min="4863" max="4864" width="13.28515625" style="70" customWidth="1"/>
    <col min="4865" max="4865" width="12.5703125" style="70" bestFit="1" customWidth="1"/>
    <col min="4866" max="4866" width="11.5703125" style="70" customWidth="1"/>
    <col min="4867" max="4868" width="10.5703125" style="70" customWidth="1"/>
    <col min="4869" max="4869" width="19.7109375" style="70" customWidth="1"/>
    <col min="4870" max="4870" width="6.5703125" style="70" customWidth="1"/>
    <col min="4871" max="4871" width="32.5703125" style="70" customWidth="1"/>
    <col min="4872" max="4872" width="15.28515625" style="70" customWidth="1"/>
    <col min="4873" max="4873" width="22.28515625" style="70" customWidth="1"/>
    <col min="4874" max="4874" width="16.7109375" style="70" customWidth="1"/>
    <col min="4875" max="4875" width="9.42578125" style="70" bestFit="1" customWidth="1"/>
    <col min="4876" max="4876" width="35.7109375" style="70" customWidth="1"/>
    <col min="4877" max="4877" width="14" style="70" customWidth="1"/>
    <col min="4878" max="4878" width="12" style="70" bestFit="1" customWidth="1"/>
    <col min="4879" max="4879" width="15" style="70" customWidth="1"/>
    <col min="4880" max="4880" width="9.140625" style="70"/>
    <col min="4881" max="4881" width="29.5703125" style="70" bestFit="1" customWidth="1"/>
    <col min="4882" max="4882" width="14.42578125" style="70" bestFit="1" customWidth="1"/>
    <col min="4883" max="4883" width="12.42578125" style="70" bestFit="1" customWidth="1"/>
    <col min="4884" max="4884" width="22.42578125" style="70" bestFit="1" customWidth="1"/>
    <col min="4885" max="5117" width="9.140625" style="70"/>
    <col min="5118" max="5118" width="30.7109375" style="70" customWidth="1"/>
    <col min="5119" max="5120" width="13.28515625" style="70" customWidth="1"/>
    <col min="5121" max="5121" width="12.5703125" style="70" bestFit="1" customWidth="1"/>
    <col min="5122" max="5122" width="11.5703125" style="70" customWidth="1"/>
    <col min="5123" max="5124" width="10.5703125" style="70" customWidth="1"/>
    <col min="5125" max="5125" width="19.7109375" style="70" customWidth="1"/>
    <col min="5126" max="5126" width="6.5703125" style="70" customWidth="1"/>
    <col min="5127" max="5127" width="32.5703125" style="70" customWidth="1"/>
    <col min="5128" max="5128" width="15.28515625" style="70" customWidth="1"/>
    <col min="5129" max="5129" width="22.28515625" style="70" customWidth="1"/>
    <col min="5130" max="5130" width="16.7109375" style="70" customWidth="1"/>
    <col min="5131" max="5131" width="9.42578125" style="70" bestFit="1" customWidth="1"/>
    <col min="5132" max="5132" width="35.7109375" style="70" customWidth="1"/>
    <col min="5133" max="5133" width="14" style="70" customWidth="1"/>
    <col min="5134" max="5134" width="12" style="70" bestFit="1" customWidth="1"/>
    <col min="5135" max="5135" width="15" style="70" customWidth="1"/>
    <col min="5136" max="5136" width="9.140625" style="70"/>
    <col min="5137" max="5137" width="29.5703125" style="70" bestFit="1" customWidth="1"/>
    <col min="5138" max="5138" width="14.42578125" style="70" bestFit="1" customWidth="1"/>
    <col min="5139" max="5139" width="12.42578125" style="70" bestFit="1" customWidth="1"/>
    <col min="5140" max="5140" width="22.42578125" style="70" bestFit="1" customWidth="1"/>
    <col min="5141" max="5373" width="9.140625" style="70"/>
    <col min="5374" max="5374" width="30.7109375" style="70" customWidth="1"/>
    <col min="5375" max="5376" width="13.28515625" style="70" customWidth="1"/>
    <col min="5377" max="5377" width="12.5703125" style="70" bestFit="1" customWidth="1"/>
    <col min="5378" max="5378" width="11.5703125" style="70" customWidth="1"/>
    <col min="5379" max="5380" width="10.5703125" style="70" customWidth="1"/>
    <col min="5381" max="5381" width="19.7109375" style="70" customWidth="1"/>
    <col min="5382" max="5382" width="6.5703125" style="70" customWidth="1"/>
    <col min="5383" max="5383" width="32.5703125" style="70" customWidth="1"/>
    <col min="5384" max="5384" width="15.28515625" style="70" customWidth="1"/>
    <col min="5385" max="5385" width="22.28515625" style="70" customWidth="1"/>
    <col min="5386" max="5386" width="16.7109375" style="70" customWidth="1"/>
    <col min="5387" max="5387" width="9.42578125" style="70" bestFit="1" customWidth="1"/>
    <col min="5388" max="5388" width="35.7109375" style="70" customWidth="1"/>
    <col min="5389" max="5389" width="14" style="70" customWidth="1"/>
    <col min="5390" max="5390" width="12" style="70" bestFit="1" customWidth="1"/>
    <col min="5391" max="5391" width="15" style="70" customWidth="1"/>
    <col min="5392" max="5392" width="9.140625" style="70"/>
    <col min="5393" max="5393" width="29.5703125" style="70" bestFit="1" customWidth="1"/>
    <col min="5394" max="5394" width="14.42578125" style="70" bestFit="1" customWidth="1"/>
    <col min="5395" max="5395" width="12.42578125" style="70" bestFit="1" customWidth="1"/>
    <col min="5396" max="5396" width="22.42578125" style="70" bestFit="1" customWidth="1"/>
    <col min="5397" max="5629" width="9.140625" style="70"/>
    <col min="5630" max="5630" width="30.7109375" style="70" customWidth="1"/>
    <col min="5631" max="5632" width="13.28515625" style="70" customWidth="1"/>
    <col min="5633" max="5633" width="12.5703125" style="70" bestFit="1" customWidth="1"/>
    <col min="5634" max="5634" width="11.5703125" style="70" customWidth="1"/>
    <col min="5635" max="5636" width="10.5703125" style="70" customWidth="1"/>
    <col min="5637" max="5637" width="19.7109375" style="70" customWidth="1"/>
    <col min="5638" max="5638" width="6.5703125" style="70" customWidth="1"/>
    <col min="5639" max="5639" width="32.5703125" style="70" customWidth="1"/>
    <col min="5640" max="5640" width="15.28515625" style="70" customWidth="1"/>
    <col min="5641" max="5641" width="22.28515625" style="70" customWidth="1"/>
    <col min="5642" max="5642" width="16.7109375" style="70" customWidth="1"/>
    <col min="5643" max="5643" width="9.42578125" style="70" bestFit="1" customWidth="1"/>
    <col min="5644" max="5644" width="35.7109375" style="70" customWidth="1"/>
    <col min="5645" max="5645" width="14" style="70" customWidth="1"/>
    <col min="5646" max="5646" width="12" style="70" bestFit="1" customWidth="1"/>
    <col min="5647" max="5647" width="15" style="70" customWidth="1"/>
    <col min="5648" max="5648" width="9.140625" style="70"/>
    <col min="5649" max="5649" width="29.5703125" style="70" bestFit="1" customWidth="1"/>
    <col min="5650" max="5650" width="14.42578125" style="70" bestFit="1" customWidth="1"/>
    <col min="5651" max="5651" width="12.42578125" style="70" bestFit="1" customWidth="1"/>
    <col min="5652" max="5652" width="22.42578125" style="70" bestFit="1" customWidth="1"/>
    <col min="5653" max="5885" width="9.140625" style="70"/>
    <col min="5886" max="5886" width="30.7109375" style="70" customWidth="1"/>
    <col min="5887" max="5888" width="13.28515625" style="70" customWidth="1"/>
    <col min="5889" max="5889" width="12.5703125" style="70" bestFit="1" customWidth="1"/>
    <col min="5890" max="5890" width="11.5703125" style="70" customWidth="1"/>
    <col min="5891" max="5892" width="10.5703125" style="70" customWidth="1"/>
    <col min="5893" max="5893" width="19.7109375" style="70" customWidth="1"/>
    <col min="5894" max="5894" width="6.5703125" style="70" customWidth="1"/>
    <col min="5895" max="5895" width="32.5703125" style="70" customWidth="1"/>
    <col min="5896" max="5896" width="15.28515625" style="70" customWidth="1"/>
    <col min="5897" max="5897" width="22.28515625" style="70" customWidth="1"/>
    <col min="5898" max="5898" width="16.7109375" style="70" customWidth="1"/>
    <col min="5899" max="5899" width="9.42578125" style="70" bestFit="1" customWidth="1"/>
    <col min="5900" max="5900" width="35.7109375" style="70" customWidth="1"/>
    <col min="5901" max="5901" width="14" style="70" customWidth="1"/>
    <col min="5902" max="5902" width="12" style="70" bestFit="1" customWidth="1"/>
    <col min="5903" max="5903" width="15" style="70" customWidth="1"/>
    <col min="5904" max="5904" width="9.140625" style="70"/>
    <col min="5905" max="5905" width="29.5703125" style="70" bestFit="1" customWidth="1"/>
    <col min="5906" max="5906" width="14.42578125" style="70" bestFit="1" customWidth="1"/>
    <col min="5907" max="5907" width="12.42578125" style="70" bestFit="1" customWidth="1"/>
    <col min="5908" max="5908" width="22.42578125" style="70" bestFit="1" customWidth="1"/>
    <col min="5909" max="6141" width="9.140625" style="70"/>
    <col min="6142" max="6142" width="30.7109375" style="70" customWidth="1"/>
    <col min="6143" max="6144" width="13.28515625" style="70" customWidth="1"/>
    <col min="6145" max="6145" width="12.5703125" style="70" bestFit="1" customWidth="1"/>
    <col min="6146" max="6146" width="11.5703125" style="70" customWidth="1"/>
    <col min="6147" max="6148" width="10.5703125" style="70" customWidth="1"/>
    <col min="6149" max="6149" width="19.7109375" style="70" customWidth="1"/>
    <col min="6150" max="6150" width="6.5703125" style="70" customWidth="1"/>
    <col min="6151" max="6151" width="32.5703125" style="70" customWidth="1"/>
    <col min="6152" max="6152" width="15.28515625" style="70" customWidth="1"/>
    <col min="6153" max="6153" width="22.28515625" style="70" customWidth="1"/>
    <col min="6154" max="6154" width="16.7109375" style="70" customWidth="1"/>
    <col min="6155" max="6155" width="9.42578125" style="70" bestFit="1" customWidth="1"/>
    <col min="6156" max="6156" width="35.7109375" style="70" customWidth="1"/>
    <col min="6157" max="6157" width="14" style="70" customWidth="1"/>
    <col min="6158" max="6158" width="12" style="70" bestFit="1" customWidth="1"/>
    <col min="6159" max="6159" width="15" style="70" customWidth="1"/>
    <col min="6160" max="6160" width="9.140625" style="70"/>
    <col min="6161" max="6161" width="29.5703125" style="70" bestFit="1" customWidth="1"/>
    <col min="6162" max="6162" width="14.42578125" style="70" bestFit="1" customWidth="1"/>
    <col min="6163" max="6163" width="12.42578125" style="70" bestFit="1" customWidth="1"/>
    <col min="6164" max="6164" width="22.42578125" style="70" bestFit="1" customWidth="1"/>
    <col min="6165" max="6397" width="9.140625" style="70"/>
    <col min="6398" max="6398" width="30.7109375" style="70" customWidth="1"/>
    <col min="6399" max="6400" width="13.28515625" style="70" customWidth="1"/>
    <col min="6401" max="6401" width="12.5703125" style="70" bestFit="1" customWidth="1"/>
    <col min="6402" max="6402" width="11.5703125" style="70" customWidth="1"/>
    <col min="6403" max="6404" width="10.5703125" style="70" customWidth="1"/>
    <col min="6405" max="6405" width="19.7109375" style="70" customWidth="1"/>
    <col min="6406" max="6406" width="6.5703125" style="70" customWidth="1"/>
    <col min="6407" max="6407" width="32.5703125" style="70" customWidth="1"/>
    <col min="6408" max="6408" width="15.28515625" style="70" customWidth="1"/>
    <col min="6409" max="6409" width="22.28515625" style="70" customWidth="1"/>
    <col min="6410" max="6410" width="16.7109375" style="70" customWidth="1"/>
    <col min="6411" max="6411" width="9.42578125" style="70" bestFit="1" customWidth="1"/>
    <col min="6412" max="6412" width="35.7109375" style="70" customWidth="1"/>
    <col min="6413" max="6413" width="14" style="70" customWidth="1"/>
    <col min="6414" max="6414" width="12" style="70" bestFit="1" customWidth="1"/>
    <col min="6415" max="6415" width="15" style="70" customWidth="1"/>
    <col min="6416" max="6416" width="9.140625" style="70"/>
    <col min="6417" max="6417" width="29.5703125" style="70" bestFit="1" customWidth="1"/>
    <col min="6418" max="6418" width="14.42578125" style="70" bestFit="1" customWidth="1"/>
    <col min="6419" max="6419" width="12.42578125" style="70" bestFit="1" customWidth="1"/>
    <col min="6420" max="6420" width="22.42578125" style="70" bestFit="1" customWidth="1"/>
    <col min="6421" max="6653" width="9.140625" style="70"/>
    <col min="6654" max="6654" width="30.7109375" style="70" customWidth="1"/>
    <col min="6655" max="6656" width="13.28515625" style="70" customWidth="1"/>
    <col min="6657" max="6657" width="12.5703125" style="70" bestFit="1" customWidth="1"/>
    <col min="6658" max="6658" width="11.5703125" style="70" customWidth="1"/>
    <col min="6659" max="6660" width="10.5703125" style="70" customWidth="1"/>
    <col min="6661" max="6661" width="19.7109375" style="70" customWidth="1"/>
    <col min="6662" max="6662" width="6.5703125" style="70" customWidth="1"/>
    <col min="6663" max="6663" width="32.5703125" style="70" customWidth="1"/>
    <col min="6664" max="6664" width="15.28515625" style="70" customWidth="1"/>
    <col min="6665" max="6665" width="22.28515625" style="70" customWidth="1"/>
    <col min="6666" max="6666" width="16.7109375" style="70" customWidth="1"/>
    <col min="6667" max="6667" width="9.42578125" style="70" bestFit="1" customWidth="1"/>
    <col min="6668" max="6668" width="35.7109375" style="70" customWidth="1"/>
    <col min="6669" max="6669" width="14" style="70" customWidth="1"/>
    <col min="6670" max="6670" width="12" style="70" bestFit="1" customWidth="1"/>
    <col min="6671" max="6671" width="15" style="70" customWidth="1"/>
    <col min="6672" max="6672" width="9.140625" style="70"/>
    <col min="6673" max="6673" width="29.5703125" style="70" bestFit="1" customWidth="1"/>
    <col min="6674" max="6674" width="14.42578125" style="70" bestFit="1" customWidth="1"/>
    <col min="6675" max="6675" width="12.42578125" style="70" bestFit="1" customWidth="1"/>
    <col min="6676" max="6676" width="22.42578125" style="70" bestFit="1" customWidth="1"/>
    <col min="6677" max="6909" width="9.140625" style="70"/>
    <col min="6910" max="6910" width="30.7109375" style="70" customWidth="1"/>
    <col min="6911" max="6912" width="13.28515625" style="70" customWidth="1"/>
    <col min="6913" max="6913" width="12.5703125" style="70" bestFit="1" customWidth="1"/>
    <col min="6914" max="6914" width="11.5703125" style="70" customWidth="1"/>
    <col min="6915" max="6916" width="10.5703125" style="70" customWidth="1"/>
    <col min="6917" max="6917" width="19.7109375" style="70" customWidth="1"/>
    <col min="6918" max="6918" width="6.5703125" style="70" customWidth="1"/>
    <col min="6919" max="6919" width="32.5703125" style="70" customWidth="1"/>
    <col min="6920" max="6920" width="15.28515625" style="70" customWidth="1"/>
    <col min="6921" max="6921" width="22.28515625" style="70" customWidth="1"/>
    <col min="6922" max="6922" width="16.7109375" style="70" customWidth="1"/>
    <col min="6923" max="6923" width="9.42578125" style="70" bestFit="1" customWidth="1"/>
    <col min="6924" max="6924" width="35.7109375" style="70" customWidth="1"/>
    <col min="6925" max="6925" width="14" style="70" customWidth="1"/>
    <col min="6926" max="6926" width="12" style="70" bestFit="1" customWidth="1"/>
    <col min="6927" max="6927" width="15" style="70" customWidth="1"/>
    <col min="6928" max="6928" width="9.140625" style="70"/>
    <col min="6929" max="6929" width="29.5703125" style="70" bestFit="1" customWidth="1"/>
    <col min="6930" max="6930" width="14.42578125" style="70" bestFit="1" customWidth="1"/>
    <col min="6931" max="6931" width="12.42578125" style="70" bestFit="1" customWidth="1"/>
    <col min="6932" max="6932" width="22.42578125" style="70" bestFit="1" customWidth="1"/>
    <col min="6933" max="7165" width="9.140625" style="70"/>
    <col min="7166" max="7166" width="30.7109375" style="70" customWidth="1"/>
    <col min="7167" max="7168" width="13.28515625" style="70" customWidth="1"/>
    <col min="7169" max="7169" width="12.5703125" style="70" bestFit="1" customWidth="1"/>
    <col min="7170" max="7170" width="11.5703125" style="70" customWidth="1"/>
    <col min="7171" max="7172" width="10.5703125" style="70" customWidth="1"/>
    <col min="7173" max="7173" width="19.7109375" style="70" customWidth="1"/>
    <col min="7174" max="7174" width="6.5703125" style="70" customWidth="1"/>
    <col min="7175" max="7175" width="32.5703125" style="70" customWidth="1"/>
    <col min="7176" max="7176" width="15.28515625" style="70" customWidth="1"/>
    <col min="7177" max="7177" width="22.28515625" style="70" customWidth="1"/>
    <col min="7178" max="7178" width="16.7109375" style="70" customWidth="1"/>
    <col min="7179" max="7179" width="9.42578125" style="70" bestFit="1" customWidth="1"/>
    <col min="7180" max="7180" width="35.7109375" style="70" customWidth="1"/>
    <col min="7181" max="7181" width="14" style="70" customWidth="1"/>
    <col min="7182" max="7182" width="12" style="70" bestFit="1" customWidth="1"/>
    <col min="7183" max="7183" width="15" style="70" customWidth="1"/>
    <col min="7184" max="7184" width="9.140625" style="70"/>
    <col min="7185" max="7185" width="29.5703125" style="70" bestFit="1" customWidth="1"/>
    <col min="7186" max="7186" width="14.42578125" style="70" bestFit="1" customWidth="1"/>
    <col min="7187" max="7187" width="12.42578125" style="70" bestFit="1" customWidth="1"/>
    <col min="7188" max="7188" width="22.42578125" style="70" bestFit="1" customWidth="1"/>
    <col min="7189" max="7421" width="9.140625" style="70"/>
    <col min="7422" max="7422" width="30.7109375" style="70" customWidth="1"/>
    <col min="7423" max="7424" width="13.28515625" style="70" customWidth="1"/>
    <col min="7425" max="7425" width="12.5703125" style="70" bestFit="1" customWidth="1"/>
    <col min="7426" max="7426" width="11.5703125" style="70" customWidth="1"/>
    <col min="7427" max="7428" width="10.5703125" style="70" customWidth="1"/>
    <col min="7429" max="7429" width="19.7109375" style="70" customWidth="1"/>
    <col min="7430" max="7430" width="6.5703125" style="70" customWidth="1"/>
    <col min="7431" max="7431" width="32.5703125" style="70" customWidth="1"/>
    <col min="7432" max="7432" width="15.28515625" style="70" customWidth="1"/>
    <col min="7433" max="7433" width="22.28515625" style="70" customWidth="1"/>
    <col min="7434" max="7434" width="16.7109375" style="70" customWidth="1"/>
    <col min="7435" max="7435" width="9.42578125" style="70" bestFit="1" customWidth="1"/>
    <col min="7436" max="7436" width="35.7109375" style="70" customWidth="1"/>
    <col min="7437" max="7437" width="14" style="70" customWidth="1"/>
    <col min="7438" max="7438" width="12" style="70" bestFit="1" customWidth="1"/>
    <col min="7439" max="7439" width="15" style="70" customWidth="1"/>
    <col min="7440" max="7440" width="9.140625" style="70"/>
    <col min="7441" max="7441" width="29.5703125" style="70" bestFit="1" customWidth="1"/>
    <col min="7442" max="7442" width="14.42578125" style="70" bestFit="1" customWidth="1"/>
    <col min="7443" max="7443" width="12.42578125" style="70" bestFit="1" customWidth="1"/>
    <col min="7444" max="7444" width="22.42578125" style="70" bestFit="1" customWidth="1"/>
    <col min="7445" max="7677" width="9.140625" style="70"/>
    <col min="7678" max="7678" width="30.7109375" style="70" customWidth="1"/>
    <col min="7679" max="7680" width="13.28515625" style="70" customWidth="1"/>
    <col min="7681" max="7681" width="12.5703125" style="70" bestFit="1" customWidth="1"/>
    <col min="7682" max="7682" width="11.5703125" style="70" customWidth="1"/>
    <col min="7683" max="7684" width="10.5703125" style="70" customWidth="1"/>
    <col min="7685" max="7685" width="19.7109375" style="70" customWidth="1"/>
    <col min="7686" max="7686" width="6.5703125" style="70" customWidth="1"/>
    <col min="7687" max="7687" width="32.5703125" style="70" customWidth="1"/>
    <col min="7688" max="7688" width="15.28515625" style="70" customWidth="1"/>
    <col min="7689" max="7689" width="22.28515625" style="70" customWidth="1"/>
    <col min="7690" max="7690" width="16.7109375" style="70" customWidth="1"/>
    <col min="7691" max="7691" width="9.42578125" style="70" bestFit="1" customWidth="1"/>
    <col min="7692" max="7692" width="35.7109375" style="70" customWidth="1"/>
    <col min="7693" max="7693" width="14" style="70" customWidth="1"/>
    <col min="7694" max="7694" width="12" style="70" bestFit="1" customWidth="1"/>
    <col min="7695" max="7695" width="15" style="70" customWidth="1"/>
    <col min="7696" max="7696" width="9.140625" style="70"/>
    <col min="7697" max="7697" width="29.5703125" style="70" bestFit="1" customWidth="1"/>
    <col min="7698" max="7698" width="14.42578125" style="70" bestFit="1" customWidth="1"/>
    <col min="7699" max="7699" width="12.42578125" style="70" bestFit="1" customWidth="1"/>
    <col min="7700" max="7700" width="22.42578125" style="70" bestFit="1" customWidth="1"/>
    <col min="7701" max="7933" width="9.140625" style="70"/>
    <col min="7934" max="7934" width="30.7109375" style="70" customWidth="1"/>
    <col min="7935" max="7936" width="13.28515625" style="70" customWidth="1"/>
    <col min="7937" max="7937" width="12.5703125" style="70" bestFit="1" customWidth="1"/>
    <col min="7938" max="7938" width="11.5703125" style="70" customWidth="1"/>
    <col min="7939" max="7940" width="10.5703125" style="70" customWidth="1"/>
    <col min="7941" max="7941" width="19.7109375" style="70" customWidth="1"/>
    <col min="7942" max="7942" width="6.5703125" style="70" customWidth="1"/>
    <col min="7943" max="7943" width="32.5703125" style="70" customWidth="1"/>
    <col min="7944" max="7944" width="15.28515625" style="70" customWidth="1"/>
    <col min="7945" max="7945" width="22.28515625" style="70" customWidth="1"/>
    <col min="7946" max="7946" width="16.7109375" style="70" customWidth="1"/>
    <col min="7947" max="7947" width="9.42578125" style="70" bestFit="1" customWidth="1"/>
    <col min="7948" max="7948" width="35.7109375" style="70" customWidth="1"/>
    <col min="7949" max="7949" width="14" style="70" customWidth="1"/>
    <col min="7950" max="7950" width="12" style="70" bestFit="1" customWidth="1"/>
    <col min="7951" max="7951" width="15" style="70" customWidth="1"/>
    <col min="7952" max="7952" width="9.140625" style="70"/>
    <col min="7953" max="7953" width="29.5703125" style="70" bestFit="1" customWidth="1"/>
    <col min="7954" max="7954" width="14.42578125" style="70" bestFit="1" customWidth="1"/>
    <col min="7955" max="7955" width="12.42578125" style="70" bestFit="1" customWidth="1"/>
    <col min="7956" max="7956" width="22.42578125" style="70" bestFit="1" customWidth="1"/>
    <col min="7957" max="8189" width="9.140625" style="70"/>
    <col min="8190" max="8190" width="30.7109375" style="70" customWidth="1"/>
    <col min="8191" max="8192" width="13.28515625" style="70" customWidth="1"/>
    <col min="8193" max="8193" width="12.5703125" style="70" bestFit="1" customWidth="1"/>
    <col min="8194" max="8194" width="11.5703125" style="70" customWidth="1"/>
    <col min="8195" max="8196" width="10.5703125" style="70" customWidth="1"/>
    <col min="8197" max="8197" width="19.7109375" style="70" customWidth="1"/>
    <col min="8198" max="8198" width="6.5703125" style="70" customWidth="1"/>
    <col min="8199" max="8199" width="32.5703125" style="70" customWidth="1"/>
    <col min="8200" max="8200" width="15.28515625" style="70" customWidth="1"/>
    <col min="8201" max="8201" width="22.28515625" style="70" customWidth="1"/>
    <col min="8202" max="8202" width="16.7109375" style="70" customWidth="1"/>
    <col min="8203" max="8203" width="9.42578125" style="70" bestFit="1" customWidth="1"/>
    <col min="8204" max="8204" width="35.7109375" style="70" customWidth="1"/>
    <col min="8205" max="8205" width="14" style="70" customWidth="1"/>
    <col min="8206" max="8206" width="12" style="70" bestFit="1" customWidth="1"/>
    <col min="8207" max="8207" width="15" style="70" customWidth="1"/>
    <col min="8208" max="8208" width="9.140625" style="70"/>
    <col min="8209" max="8209" width="29.5703125" style="70" bestFit="1" customWidth="1"/>
    <col min="8210" max="8210" width="14.42578125" style="70" bestFit="1" customWidth="1"/>
    <col min="8211" max="8211" width="12.42578125" style="70" bestFit="1" customWidth="1"/>
    <col min="8212" max="8212" width="22.42578125" style="70" bestFit="1" customWidth="1"/>
    <col min="8213" max="8445" width="9.140625" style="70"/>
    <col min="8446" max="8446" width="30.7109375" style="70" customWidth="1"/>
    <col min="8447" max="8448" width="13.28515625" style="70" customWidth="1"/>
    <col min="8449" max="8449" width="12.5703125" style="70" bestFit="1" customWidth="1"/>
    <col min="8450" max="8450" width="11.5703125" style="70" customWidth="1"/>
    <col min="8451" max="8452" width="10.5703125" style="70" customWidth="1"/>
    <col min="8453" max="8453" width="19.7109375" style="70" customWidth="1"/>
    <col min="8454" max="8454" width="6.5703125" style="70" customWidth="1"/>
    <col min="8455" max="8455" width="32.5703125" style="70" customWidth="1"/>
    <col min="8456" max="8456" width="15.28515625" style="70" customWidth="1"/>
    <col min="8457" max="8457" width="22.28515625" style="70" customWidth="1"/>
    <col min="8458" max="8458" width="16.7109375" style="70" customWidth="1"/>
    <col min="8459" max="8459" width="9.42578125" style="70" bestFit="1" customWidth="1"/>
    <col min="8460" max="8460" width="35.7109375" style="70" customWidth="1"/>
    <col min="8461" max="8461" width="14" style="70" customWidth="1"/>
    <col min="8462" max="8462" width="12" style="70" bestFit="1" customWidth="1"/>
    <col min="8463" max="8463" width="15" style="70" customWidth="1"/>
    <col min="8464" max="8464" width="9.140625" style="70"/>
    <col min="8465" max="8465" width="29.5703125" style="70" bestFit="1" customWidth="1"/>
    <col min="8466" max="8466" width="14.42578125" style="70" bestFit="1" customWidth="1"/>
    <col min="8467" max="8467" width="12.42578125" style="70" bestFit="1" customWidth="1"/>
    <col min="8468" max="8468" width="22.42578125" style="70" bestFit="1" customWidth="1"/>
    <col min="8469" max="8701" width="9.140625" style="70"/>
    <col min="8702" max="8702" width="30.7109375" style="70" customWidth="1"/>
    <col min="8703" max="8704" width="13.28515625" style="70" customWidth="1"/>
    <col min="8705" max="8705" width="12.5703125" style="70" bestFit="1" customWidth="1"/>
    <col min="8706" max="8706" width="11.5703125" style="70" customWidth="1"/>
    <col min="8707" max="8708" width="10.5703125" style="70" customWidth="1"/>
    <col min="8709" max="8709" width="19.7109375" style="70" customWidth="1"/>
    <col min="8710" max="8710" width="6.5703125" style="70" customWidth="1"/>
    <col min="8711" max="8711" width="32.5703125" style="70" customWidth="1"/>
    <col min="8712" max="8712" width="15.28515625" style="70" customWidth="1"/>
    <col min="8713" max="8713" width="22.28515625" style="70" customWidth="1"/>
    <col min="8714" max="8714" width="16.7109375" style="70" customWidth="1"/>
    <col min="8715" max="8715" width="9.42578125" style="70" bestFit="1" customWidth="1"/>
    <col min="8716" max="8716" width="35.7109375" style="70" customWidth="1"/>
    <col min="8717" max="8717" width="14" style="70" customWidth="1"/>
    <col min="8718" max="8718" width="12" style="70" bestFit="1" customWidth="1"/>
    <col min="8719" max="8719" width="15" style="70" customWidth="1"/>
    <col min="8720" max="8720" width="9.140625" style="70"/>
    <col min="8721" max="8721" width="29.5703125" style="70" bestFit="1" customWidth="1"/>
    <col min="8722" max="8722" width="14.42578125" style="70" bestFit="1" customWidth="1"/>
    <col min="8723" max="8723" width="12.42578125" style="70" bestFit="1" customWidth="1"/>
    <col min="8724" max="8724" width="22.42578125" style="70" bestFit="1" customWidth="1"/>
    <col min="8725" max="8957" width="9.140625" style="70"/>
    <col min="8958" max="8958" width="30.7109375" style="70" customWidth="1"/>
    <col min="8959" max="8960" width="13.28515625" style="70" customWidth="1"/>
    <col min="8961" max="8961" width="12.5703125" style="70" bestFit="1" customWidth="1"/>
    <col min="8962" max="8962" width="11.5703125" style="70" customWidth="1"/>
    <col min="8963" max="8964" width="10.5703125" style="70" customWidth="1"/>
    <col min="8965" max="8965" width="19.7109375" style="70" customWidth="1"/>
    <col min="8966" max="8966" width="6.5703125" style="70" customWidth="1"/>
    <col min="8967" max="8967" width="32.5703125" style="70" customWidth="1"/>
    <col min="8968" max="8968" width="15.28515625" style="70" customWidth="1"/>
    <col min="8969" max="8969" width="22.28515625" style="70" customWidth="1"/>
    <col min="8970" max="8970" width="16.7109375" style="70" customWidth="1"/>
    <col min="8971" max="8971" width="9.42578125" style="70" bestFit="1" customWidth="1"/>
    <col min="8972" max="8972" width="35.7109375" style="70" customWidth="1"/>
    <col min="8973" max="8973" width="14" style="70" customWidth="1"/>
    <col min="8974" max="8974" width="12" style="70" bestFit="1" customWidth="1"/>
    <col min="8975" max="8975" width="15" style="70" customWidth="1"/>
    <col min="8976" max="8976" width="9.140625" style="70"/>
    <col min="8977" max="8977" width="29.5703125" style="70" bestFit="1" customWidth="1"/>
    <col min="8978" max="8978" width="14.42578125" style="70" bestFit="1" customWidth="1"/>
    <col min="8979" max="8979" width="12.42578125" style="70" bestFit="1" customWidth="1"/>
    <col min="8980" max="8980" width="22.42578125" style="70" bestFit="1" customWidth="1"/>
    <col min="8981" max="9213" width="9.140625" style="70"/>
    <col min="9214" max="9214" width="30.7109375" style="70" customWidth="1"/>
    <col min="9215" max="9216" width="13.28515625" style="70" customWidth="1"/>
    <col min="9217" max="9217" width="12.5703125" style="70" bestFit="1" customWidth="1"/>
    <col min="9218" max="9218" width="11.5703125" style="70" customWidth="1"/>
    <col min="9219" max="9220" width="10.5703125" style="70" customWidth="1"/>
    <col min="9221" max="9221" width="19.7109375" style="70" customWidth="1"/>
    <col min="9222" max="9222" width="6.5703125" style="70" customWidth="1"/>
    <col min="9223" max="9223" width="32.5703125" style="70" customWidth="1"/>
    <col min="9224" max="9224" width="15.28515625" style="70" customWidth="1"/>
    <col min="9225" max="9225" width="22.28515625" style="70" customWidth="1"/>
    <col min="9226" max="9226" width="16.7109375" style="70" customWidth="1"/>
    <col min="9227" max="9227" width="9.42578125" style="70" bestFit="1" customWidth="1"/>
    <col min="9228" max="9228" width="35.7109375" style="70" customWidth="1"/>
    <col min="9229" max="9229" width="14" style="70" customWidth="1"/>
    <col min="9230" max="9230" width="12" style="70" bestFit="1" customWidth="1"/>
    <col min="9231" max="9231" width="15" style="70" customWidth="1"/>
    <col min="9232" max="9232" width="9.140625" style="70"/>
    <col min="9233" max="9233" width="29.5703125" style="70" bestFit="1" customWidth="1"/>
    <col min="9234" max="9234" width="14.42578125" style="70" bestFit="1" customWidth="1"/>
    <col min="9235" max="9235" width="12.42578125" style="70" bestFit="1" customWidth="1"/>
    <col min="9236" max="9236" width="22.42578125" style="70" bestFit="1" customWidth="1"/>
    <col min="9237" max="9469" width="9.140625" style="70"/>
    <col min="9470" max="9470" width="30.7109375" style="70" customWidth="1"/>
    <col min="9471" max="9472" width="13.28515625" style="70" customWidth="1"/>
    <col min="9473" max="9473" width="12.5703125" style="70" bestFit="1" customWidth="1"/>
    <col min="9474" max="9474" width="11.5703125" style="70" customWidth="1"/>
    <col min="9475" max="9476" width="10.5703125" style="70" customWidth="1"/>
    <col min="9477" max="9477" width="19.7109375" style="70" customWidth="1"/>
    <col min="9478" max="9478" width="6.5703125" style="70" customWidth="1"/>
    <col min="9479" max="9479" width="32.5703125" style="70" customWidth="1"/>
    <col min="9480" max="9480" width="15.28515625" style="70" customWidth="1"/>
    <col min="9481" max="9481" width="22.28515625" style="70" customWidth="1"/>
    <col min="9482" max="9482" width="16.7109375" style="70" customWidth="1"/>
    <col min="9483" max="9483" width="9.42578125" style="70" bestFit="1" customWidth="1"/>
    <col min="9484" max="9484" width="35.7109375" style="70" customWidth="1"/>
    <col min="9485" max="9485" width="14" style="70" customWidth="1"/>
    <col min="9486" max="9486" width="12" style="70" bestFit="1" customWidth="1"/>
    <col min="9487" max="9487" width="15" style="70" customWidth="1"/>
    <col min="9488" max="9488" width="9.140625" style="70"/>
    <col min="9489" max="9489" width="29.5703125" style="70" bestFit="1" customWidth="1"/>
    <col min="9490" max="9490" width="14.42578125" style="70" bestFit="1" customWidth="1"/>
    <col min="9491" max="9491" width="12.42578125" style="70" bestFit="1" customWidth="1"/>
    <col min="9492" max="9492" width="22.42578125" style="70" bestFit="1" customWidth="1"/>
    <col min="9493" max="9725" width="9.140625" style="70"/>
    <col min="9726" max="9726" width="30.7109375" style="70" customWidth="1"/>
    <col min="9727" max="9728" width="13.28515625" style="70" customWidth="1"/>
    <col min="9729" max="9729" width="12.5703125" style="70" bestFit="1" customWidth="1"/>
    <col min="9730" max="9730" width="11.5703125" style="70" customWidth="1"/>
    <col min="9731" max="9732" width="10.5703125" style="70" customWidth="1"/>
    <col min="9733" max="9733" width="19.7109375" style="70" customWidth="1"/>
    <col min="9734" max="9734" width="6.5703125" style="70" customWidth="1"/>
    <col min="9735" max="9735" width="32.5703125" style="70" customWidth="1"/>
    <col min="9736" max="9736" width="15.28515625" style="70" customWidth="1"/>
    <col min="9737" max="9737" width="22.28515625" style="70" customWidth="1"/>
    <col min="9738" max="9738" width="16.7109375" style="70" customWidth="1"/>
    <col min="9739" max="9739" width="9.42578125" style="70" bestFit="1" customWidth="1"/>
    <col min="9740" max="9740" width="35.7109375" style="70" customWidth="1"/>
    <col min="9741" max="9741" width="14" style="70" customWidth="1"/>
    <col min="9742" max="9742" width="12" style="70" bestFit="1" customWidth="1"/>
    <col min="9743" max="9743" width="15" style="70" customWidth="1"/>
    <col min="9744" max="9744" width="9.140625" style="70"/>
    <col min="9745" max="9745" width="29.5703125" style="70" bestFit="1" customWidth="1"/>
    <col min="9746" max="9746" width="14.42578125" style="70" bestFit="1" customWidth="1"/>
    <col min="9747" max="9747" width="12.42578125" style="70" bestFit="1" customWidth="1"/>
    <col min="9748" max="9748" width="22.42578125" style="70" bestFit="1" customWidth="1"/>
    <col min="9749" max="9981" width="9.140625" style="70"/>
    <col min="9982" max="9982" width="30.7109375" style="70" customWidth="1"/>
    <col min="9983" max="9984" width="13.28515625" style="70" customWidth="1"/>
    <col min="9985" max="9985" width="12.5703125" style="70" bestFit="1" customWidth="1"/>
    <col min="9986" max="9986" width="11.5703125" style="70" customWidth="1"/>
    <col min="9987" max="9988" width="10.5703125" style="70" customWidth="1"/>
    <col min="9989" max="9989" width="19.7109375" style="70" customWidth="1"/>
    <col min="9990" max="9990" width="6.5703125" style="70" customWidth="1"/>
    <col min="9991" max="9991" width="32.5703125" style="70" customWidth="1"/>
    <col min="9992" max="9992" width="15.28515625" style="70" customWidth="1"/>
    <col min="9993" max="9993" width="22.28515625" style="70" customWidth="1"/>
    <col min="9994" max="9994" width="16.7109375" style="70" customWidth="1"/>
    <col min="9995" max="9995" width="9.42578125" style="70" bestFit="1" customWidth="1"/>
    <col min="9996" max="9996" width="35.7109375" style="70" customWidth="1"/>
    <col min="9997" max="9997" width="14" style="70" customWidth="1"/>
    <col min="9998" max="9998" width="12" style="70" bestFit="1" customWidth="1"/>
    <col min="9999" max="9999" width="15" style="70" customWidth="1"/>
    <col min="10000" max="10000" width="9.140625" style="70"/>
    <col min="10001" max="10001" width="29.5703125" style="70" bestFit="1" customWidth="1"/>
    <col min="10002" max="10002" width="14.42578125" style="70" bestFit="1" customWidth="1"/>
    <col min="10003" max="10003" width="12.42578125" style="70" bestFit="1" customWidth="1"/>
    <col min="10004" max="10004" width="22.42578125" style="70" bestFit="1" customWidth="1"/>
    <col min="10005" max="10237" width="9.140625" style="70"/>
    <col min="10238" max="10238" width="30.7109375" style="70" customWidth="1"/>
    <col min="10239" max="10240" width="13.28515625" style="70" customWidth="1"/>
    <col min="10241" max="10241" width="12.5703125" style="70" bestFit="1" customWidth="1"/>
    <col min="10242" max="10242" width="11.5703125" style="70" customWidth="1"/>
    <col min="10243" max="10244" width="10.5703125" style="70" customWidth="1"/>
    <col min="10245" max="10245" width="19.7109375" style="70" customWidth="1"/>
    <col min="10246" max="10246" width="6.5703125" style="70" customWidth="1"/>
    <col min="10247" max="10247" width="32.5703125" style="70" customWidth="1"/>
    <col min="10248" max="10248" width="15.28515625" style="70" customWidth="1"/>
    <col min="10249" max="10249" width="22.28515625" style="70" customWidth="1"/>
    <col min="10250" max="10250" width="16.7109375" style="70" customWidth="1"/>
    <col min="10251" max="10251" width="9.42578125" style="70" bestFit="1" customWidth="1"/>
    <col min="10252" max="10252" width="35.7109375" style="70" customWidth="1"/>
    <col min="10253" max="10253" width="14" style="70" customWidth="1"/>
    <col min="10254" max="10254" width="12" style="70" bestFit="1" customWidth="1"/>
    <col min="10255" max="10255" width="15" style="70" customWidth="1"/>
    <col min="10256" max="10256" width="9.140625" style="70"/>
    <col min="10257" max="10257" width="29.5703125" style="70" bestFit="1" customWidth="1"/>
    <col min="10258" max="10258" width="14.42578125" style="70" bestFit="1" customWidth="1"/>
    <col min="10259" max="10259" width="12.42578125" style="70" bestFit="1" customWidth="1"/>
    <col min="10260" max="10260" width="22.42578125" style="70" bestFit="1" customWidth="1"/>
    <col min="10261" max="10493" width="9.140625" style="70"/>
    <col min="10494" max="10494" width="30.7109375" style="70" customWidth="1"/>
    <col min="10495" max="10496" width="13.28515625" style="70" customWidth="1"/>
    <col min="10497" max="10497" width="12.5703125" style="70" bestFit="1" customWidth="1"/>
    <col min="10498" max="10498" width="11.5703125" style="70" customWidth="1"/>
    <col min="10499" max="10500" width="10.5703125" style="70" customWidth="1"/>
    <col min="10501" max="10501" width="19.7109375" style="70" customWidth="1"/>
    <col min="10502" max="10502" width="6.5703125" style="70" customWidth="1"/>
    <col min="10503" max="10503" width="32.5703125" style="70" customWidth="1"/>
    <col min="10504" max="10504" width="15.28515625" style="70" customWidth="1"/>
    <col min="10505" max="10505" width="22.28515625" style="70" customWidth="1"/>
    <col min="10506" max="10506" width="16.7109375" style="70" customWidth="1"/>
    <col min="10507" max="10507" width="9.42578125" style="70" bestFit="1" customWidth="1"/>
    <col min="10508" max="10508" width="35.7109375" style="70" customWidth="1"/>
    <col min="10509" max="10509" width="14" style="70" customWidth="1"/>
    <col min="10510" max="10510" width="12" style="70" bestFit="1" customWidth="1"/>
    <col min="10511" max="10511" width="15" style="70" customWidth="1"/>
    <col min="10512" max="10512" width="9.140625" style="70"/>
    <col min="10513" max="10513" width="29.5703125" style="70" bestFit="1" customWidth="1"/>
    <col min="10514" max="10514" width="14.42578125" style="70" bestFit="1" customWidth="1"/>
    <col min="10515" max="10515" width="12.42578125" style="70" bestFit="1" customWidth="1"/>
    <col min="10516" max="10516" width="22.42578125" style="70" bestFit="1" customWidth="1"/>
    <col min="10517" max="10749" width="9.140625" style="70"/>
    <col min="10750" max="10750" width="30.7109375" style="70" customWidth="1"/>
    <col min="10751" max="10752" width="13.28515625" style="70" customWidth="1"/>
    <col min="10753" max="10753" width="12.5703125" style="70" bestFit="1" customWidth="1"/>
    <col min="10754" max="10754" width="11.5703125" style="70" customWidth="1"/>
    <col min="10755" max="10756" width="10.5703125" style="70" customWidth="1"/>
    <col min="10757" max="10757" width="19.7109375" style="70" customWidth="1"/>
    <col min="10758" max="10758" width="6.5703125" style="70" customWidth="1"/>
    <col min="10759" max="10759" width="32.5703125" style="70" customWidth="1"/>
    <col min="10760" max="10760" width="15.28515625" style="70" customWidth="1"/>
    <col min="10761" max="10761" width="22.28515625" style="70" customWidth="1"/>
    <col min="10762" max="10762" width="16.7109375" style="70" customWidth="1"/>
    <col min="10763" max="10763" width="9.42578125" style="70" bestFit="1" customWidth="1"/>
    <col min="10764" max="10764" width="35.7109375" style="70" customWidth="1"/>
    <col min="10765" max="10765" width="14" style="70" customWidth="1"/>
    <col min="10766" max="10766" width="12" style="70" bestFit="1" customWidth="1"/>
    <col min="10767" max="10767" width="15" style="70" customWidth="1"/>
    <col min="10768" max="10768" width="9.140625" style="70"/>
    <col min="10769" max="10769" width="29.5703125" style="70" bestFit="1" customWidth="1"/>
    <col min="10770" max="10770" width="14.42578125" style="70" bestFit="1" customWidth="1"/>
    <col min="10771" max="10771" width="12.42578125" style="70" bestFit="1" customWidth="1"/>
    <col min="10772" max="10772" width="22.42578125" style="70" bestFit="1" customWidth="1"/>
    <col min="10773" max="11005" width="9.140625" style="70"/>
    <col min="11006" max="11006" width="30.7109375" style="70" customWidth="1"/>
    <col min="11007" max="11008" width="13.28515625" style="70" customWidth="1"/>
    <col min="11009" max="11009" width="12.5703125" style="70" bestFit="1" customWidth="1"/>
    <col min="11010" max="11010" width="11.5703125" style="70" customWidth="1"/>
    <col min="11011" max="11012" width="10.5703125" style="70" customWidth="1"/>
    <col min="11013" max="11013" width="19.7109375" style="70" customWidth="1"/>
    <col min="11014" max="11014" width="6.5703125" style="70" customWidth="1"/>
    <col min="11015" max="11015" width="32.5703125" style="70" customWidth="1"/>
    <col min="11016" max="11016" width="15.28515625" style="70" customWidth="1"/>
    <col min="11017" max="11017" width="22.28515625" style="70" customWidth="1"/>
    <col min="11018" max="11018" width="16.7109375" style="70" customWidth="1"/>
    <col min="11019" max="11019" width="9.42578125" style="70" bestFit="1" customWidth="1"/>
    <col min="11020" max="11020" width="35.7109375" style="70" customWidth="1"/>
    <col min="11021" max="11021" width="14" style="70" customWidth="1"/>
    <col min="11022" max="11022" width="12" style="70" bestFit="1" customWidth="1"/>
    <col min="11023" max="11023" width="15" style="70" customWidth="1"/>
    <col min="11024" max="11024" width="9.140625" style="70"/>
    <col min="11025" max="11025" width="29.5703125" style="70" bestFit="1" customWidth="1"/>
    <col min="11026" max="11026" width="14.42578125" style="70" bestFit="1" customWidth="1"/>
    <col min="11027" max="11027" width="12.42578125" style="70" bestFit="1" customWidth="1"/>
    <col min="11028" max="11028" width="22.42578125" style="70" bestFit="1" customWidth="1"/>
    <col min="11029" max="11261" width="9.140625" style="70"/>
    <col min="11262" max="11262" width="30.7109375" style="70" customWidth="1"/>
    <col min="11263" max="11264" width="13.28515625" style="70" customWidth="1"/>
    <col min="11265" max="11265" width="12.5703125" style="70" bestFit="1" customWidth="1"/>
    <col min="11266" max="11266" width="11.5703125" style="70" customWidth="1"/>
    <col min="11267" max="11268" width="10.5703125" style="70" customWidth="1"/>
    <col min="11269" max="11269" width="19.7109375" style="70" customWidth="1"/>
    <col min="11270" max="11270" width="6.5703125" style="70" customWidth="1"/>
    <col min="11271" max="11271" width="32.5703125" style="70" customWidth="1"/>
    <col min="11272" max="11272" width="15.28515625" style="70" customWidth="1"/>
    <col min="11273" max="11273" width="22.28515625" style="70" customWidth="1"/>
    <col min="11274" max="11274" width="16.7109375" style="70" customWidth="1"/>
    <col min="11275" max="11275" width="9.42578125" style="70" bestFit="1" customWidth="1"/>
    <col min="11276" max="11276" width="35.7109375" style="70" customWidth="1"/>
    <col min="11277" max="11277" width="14" style="70" customWidth="1"/>
    <col min="11278" max="11278" width="12" style="70" bestFit="1" customWidth="1"/>
    <col min="11279" max="11279" width="15" style="70" customWidth="1"/>
    <col min="11280" max="11280" width="9.140625" style="70"/>
    <col min="11281" max="11281" width="29.5703125" style="70" bestFit="1" customWidth="1"/>
    <col min="11282" max="11282" width="14.42578125" style="70" bestFit="1" customWidth="1"/>
    <col min="11283" max="11283" width="12.42578125" style="70" bestFit="1" customWidth="1"/>
    <col min="11284" max="11284" width="22.42578125" style="70" bestFit="1" customWidth="1"/>
    <col min="11285" max="11517" width="9.140625" style="70"/>
    <col min="11518" max="11518" width="30.7109375" style="70" customWidth="1"/>
    <col min="11519" max="11520" width="13.28515625" style="70" customWidth="1"/>
    <col min="11521" max="11521" width="12.5703125" style="70" bestFit="1" customWidth="1"/>
    <col min="11522" max="11522" width="11.5703125" style="70" customWidth="1"/>
    <col min="11523" max="11524" width="10.5703125" style="70" customWidth="1"/>
    <col min="11525" max="11525" width="19.7109375" style="70" customWidth="1"/>
    <col min="11526" max="11526" width="6.5703125" style="70" customWidth="1"/>
    <col min="11527" max="11527" width="32.5703125" style="70" customWidth="1"/>
    <col min="11528" max="11528" width="15.28515625" style="70" customWidth="1"/>
    <col min="11529" max="11529" width="22.28515625" style="70" customWidth="1"/>
    <col min="11530" max="11530" width="16.7109375" style="70" customWidth="1"/>
    <col min="11531" max="11531" width="9.42578125" style="70" bestFit="1" customWidth="1"/>
    <col min="11532" max="11532" width="35.7109375" style="70" customWidth="1"/>
    <col min="11533" max="11533" width="14" style="70" customWidth="1"/>
    <col min="11534" max="11534" width="12" style="70" bestFit="1" customWidth="1"/>
    <col min="11535" max="11535" width="15" style="70" customWidth="1"/>
    <col min="11536" max="11536" width="9.140625" style="70"/>
    <col min="11537" max="11537" width="29.5703125" style="70" bestFit="1" customWidth="1"/>
    <col min="11538" max="11538" width="14.42578125" style="70" bestFit="1" customWidth="1"/>
    <col min="11539" max="11539" width="12.42578125" style="70" bestFit="1" customWidth="1"/>
    <col min="11540" max="11540" width="22.42578125" style="70" bestFit="1" customWidth="1"/>
    <col min="11541" max="11773" width="9.140625" style="70"/>
    <col min="11774" max="11774" width="30.7109375" style="70" customWidth="1"/>
    <col min="11775" max="11776" width="13.28515625" style="70" customWidth="1"/>
    <col min="11777" max="11777" width="12.5703125" style="70" bestFit="1" customWidth="1"/>
    <col min="11778" max="11778" width="11.5703125" style="70" customWidth="1"/>
    <col min="11779" max="11780" width="10.5703125" style="70" customWidth="1"/>
    <col min="11781" max="11781" width="19.7109375" style="70" customWidth="1"/>
    <col min="11782" max="11782" width="6.5703125" style="70" customWidth="1"/>
    <col min="11783" max="11783" width="32.5703125" style="70" customWidth="1"/>
    <col min="11784" max="11784" width="15.28515625" style="70" customWidth="1"/>
    <col min="11785" max="11785" width="22.28515625" style="70" customWidth="1"/>
    <col min="11786" max="11786" width="16.7109375" style="70" customWidth="1"/>
    <col min="11787" max="11787" width="9.42578125" style="70" bestFit="1" customWidth="1"/>
    <col min="11788" max="11788" width="35.7109375" style="70" customWidth="1"/>
    <col min="11789" max="11789" width="14" style="70" customWidth="1"/>
    <col min="11790" max="11790" width="12" style="70" bestFit="1" customWidth="1"/>
    <col min="11791" max="11791" width="15" style="70" customWidth="1"/>
    <col min="11792" max="11792" width="9.140625" style="70"/>
    <col min="11793" max="11793" width="29.5703125" style="70" bestFit="1" customWidth="1"/>
    <col min="11794" max="11794" width="14.42578125" style="70" bestFit="1" customWidth="1"/>
    <col min="11795" max="11795" width="12.42578125" style="70" bestFit="1" customWidth="1"/>
    <col min="11796" max="11796" width="22.42578125" style="70" bestFit="1" customWidth="1"/>
    <col min="11797" max="12029" width="9.140625" style="70"/>
    <col min="12030" max="12030" width="30.7109375" style="70" customWidth="1"/>
    <col min="12031" max="12032" width="13.28515625" style="70" customWidth="1"/>
    <col min="12033" max="12033" width="12.5703125" style="70" bestFit="1" customWidth="1"/>
    <col min="12034" max="12034" width="11.5703125" style="70" customWidth="1"/>
    <col min="12035" max="12036" width="10.5703125" style="70" customWidth="1"/>
    <col min="12037" max="12037" width="19.7109375" style="70" customWidth="1"/>
    <col min="12038" max="12038" width="6.5703125" style="70" customWidth="1"/>
    <col min="12039" max="12039" width="32.5703125" style="70" customWidth="1"/>
    <col min="12040" max="12040" width="15.28515625" style="70" customWidth="1"/>
    <col min="12041" max="12041" width="22.28515625" style="70" customWidth="1"/>
    <col min="12042" max="12042" width="16.7109375" style="70" customWidth="1"/>
    <col min="12043" max="12043" width="9.42578125" style="70" bestFit="1" customWidth="1"/>
    <col min="12044" max="12044" width="35.7109375" style="70" customWidth="1"/>
    <col min="12045" max="12045" width="14" style="70" customWidth="1"/>
    <col min="12046" max="12046" width="12" style="70" bestFit="1" customWidth="1"/>
    <col min="12047" max="12047" width="15" style="70" customWidth="1"/>
    <col min="12048" max="12048" width="9.140625" style="70"/>
    <col min="12049" max="12049" width="29.5703125" style="70" bestFit="1" customWidth="1"/>
    <col min="12050" max="12050" width="14.42578125" style="70" bestFit="1" customWidth="1"/>
    <col min="12051" max="12051" width="12.42578125" style="70" bestFit="1" customWidth="1"/>
    <col min="12052" max="12052" width="22.42578125" style="70" bestFit="1" customWidth="1"/>
    <col min="12053" max="12285" width="9.140625" style="70"/>
    <col min="12286" max="12286" width="30.7109375" style="70" customWidth="1"/>
    <col min="12287" max="12288" width="13.28515625" style="70" customWidth="1"/>
    <col min="12289" max="12289" width="12.5703125" style="70" bestFit="1" customWidth="1"/>
    <col min="12290" max="12290" width="11.5703125" style="70" customWidth="1"/>
    <col min="12291" max="12292" width="10.5703125" style="70" customWidth="1"/>
    <col min="12293" max="12293" width="19.7109375" style="70" customWidth="1"/>
    <col min="12294" max="12294" width="6.5703125" style="70" customWidth="1"/>
    <col min="12295" max="12295" width="32.5703125" style="70" customWidth="1"/>
    <col min="12296" max="12296" width="15.28515625" style="70" customWidth="1"/>
    <col min="12297" max="12297" width="22.28515625" style="70" customWidth="1"/>
    <col min="12298" max="12298" width="16.7109375" style="70" customWidth="1"/>
    <col min="12299" max="12299" width="9.42578125" style="70" bestFit="1" customWidth="1"/>
    <col min="12300" max="12300" width="35.7109375" style="70" customWidth="1"/>
    <col min="12301" max="12301" width="14" style="70" customWidth="1"/>
    <col min="12302" max="12302" width="12" style="70" bestFit="1" customWidth="1"/>
    <col min="12303" max="12303" width="15" style="70" customWidth="1"/>
    <col min="12304" max="12304" width="9.140625" style="70"/>
    <col min="12305" max="12305" width="29.5703125" style="70" bestFit="1" customWidth="1"/>
    <col min="12306" max="12306" width="14.42578125" style="70" bestFit="1" customWidth="1"/>
    <col min="12307" max="12307" width="12.42578125" style="70" bestFit="1" customWidth="1"/>
    <col min="12308" max="12308" width="22.42578125" style="70" bestFit="1" customWidth="1"/>
    <col min="12309" max="12541" width="9.140625" style="70"/>
    <col min="12542" max="12542" width="30.7109375" style="70" customWidth="1"/>
    <col min="12543" max="12544" width="13.28515625" style="70" customWidth="1"/>
    <col min="12545" max="12545" width="12.5703125" style="70" bestFit="1" customWidth="1"/>
    <col min="12546" max="12546" width="11.5703125" style="70" customWidth="1"/>
    <col min="12547" max="12548" width="10.5703125" style="70" customWidth="1"/>
    <col min="12549" max="12549" width="19.7109375" style="70" customWidth="1"/>
    <col min="12550" max="12550" width="6.5703125" style="70" customWidth="1"/>
    <col min="12551" max="12551" width="32.5703125" style="70" customWidth="1"/>
    <col min="12552" max="12552" width="15.28515625" style="70" customWidth="1"/>
    <col min="12553" max="12553" width="22.28515625" style="70" customWidth="1"/>
    <col min="12554" max="12554" width="16.7109375" style="70" customWidth="1"/>
    <col min="12555" max="12555" width="9.42578125" style="70" bestFit="1" customWidth="1"/>
    <col min="12556" max="12556" width="35.7109375" style="70" customWidth="1"/>
    <col min="12557" max="12557" width="14" style="70" customWidth="1"/>
    <col min="12558" max="12558" width="12" style="70" bestFit="1" customWidth="1"/>
    <col min="12559" max="12559" width="15" style="70" customWidth="1"/>
    <col min="12560" max="12560" width="9.140625" style="70"/>
    <col min="12561" max="12561" width="29.5703125" style="70" bestFit="1" customWidth="1"/>
    <col min="12562" max="12562" width="14.42578125" style="70" bestFit="1" customWidth="1"/>
    <col min="12563" max="12563" width="12.42578125" style="70" bestFit="1" customWidth="1"/>
    <col min="12564" max="12564" width="22.42578125" style="70" bestFit="1" customWidth="1"/>
    <col min="12565" max="12797" width="9.140625" style="70"/>
    <col min="12798" max="12798" width="30.7109375" style="70" customWidth="1"/>
    <col min="12799" max="12800" width="13.28515625" style="70" customWidth="1"/>
    <col min="12801" max="12801" width="12.5703125" style="70" bestFit="1" customWidth="1"/>
    <col min="12802" max="12802" width="11.5703125" style="70" customWidth="1"/>
    <col min="12803" max="12804" width="10.5703125" style="70" customWidth="1"/>
    <col min="12805" max="12805" width="19.7109375" style="70" customWidth="1"/>
    <col min="12806" max="12806" width="6.5703125" style="70" customWidth="1"/>
    <col min="12807" max="12807" width="32.5703125" style="70" customWidth="1"/>
    <col min="12808" max="12808" width="15.28515625" style="70" customWidth="1"/>
    <col min="12809" max="12809" width="22.28515625" style="70" customWidth="1"/>
    <col min="12810" max="12810" width="16.7109375" style="70" customWidth="1"/>
    <col min="12811" max="12811" width="9.42578125" style="70" bestFit="1" customWidth="1"/>
    <col min="12812" max="12812" width="35.7109375" style="70" customWidth="1"/>
    <col min="12813" max="12813" width="14" style="70" customWidth="1"/>
    <col min="12814" max="12814" width="12" style="70" bestFit="1" customWidth="1"/>
    <col min="12815" max="12815" width="15" style="70" customWidth="1"/>
    <col min="12816" max="12816" width="9.140625" style="70"/>
    <col min="12817" max="12817" width="29.5703125" style="70" bestFit="1" customWidth="1"/>
    <col min="12818" max="12818" width="14.42578125" style="70" bestFit="1" customWidth="1"/>
    <col min="12819" max="12819" width="12.42578125" style="70" bestFit="1" customWidth="1"/>
    <col min="12820" max="12820" width="22.42578125" style="70" bestFit="1" customWidth="1"/>
    <col min="12821" max="13053" width="9.140625" style="70"/>
    <col min="13054" max="13054" width="30.7109375" style="70" customWidth="1"/>
    <col min="13055" max="13056" width="13.28515625" style="70" customWidth="1"/>
    <col min="13057" max="13057" width="12.5703125" style="70" bestFit="1" customWidth="1"/>
    <col min="13058" max="13058" width="11.5703125" style="70" customWidth="1"/>
    <col min="13059" max="13060" width="10.5703125" style="70" customWidth="1"/>
    <col min="13061" max="13061" width="19.7109375" style="70" customWidth="1"/>
    <col min="13062" max="13062" width="6.5703125" style="70" customWidth="1"/>
    <col min="13063" max="13063" width="32.5703125" style="70" customWidth="1"/>
    <col min="13064" max="13064" width="15.28515625" style="70" customWidth="1"/>
    <col min="13065" max="13065" width="22.28515625" style="70" customWidth="1"/>
    <col min="13066" max="13066" width="16.7109375" style="70" customWidth="1"/>
    <col min="13067" max="13067" width="9.42578125" style="70" bestFit="1" customWidth="1"/>
    <col min="13068" max="13068" width="35.7109375" style="70" customWidth="1"/>
    <col min="13069" max="13069" width="14" style="70" customWidth="1"/>
    <col min="13070" max="13070" width="12" style="70" bestFit="1" customWidth="1"/>
    <col min="13071" max="13071" width="15" style="70" customWidth="1"/>
    <col min="13072" max="13072" width="9.140625" style="70"/>
    <col min="13073" max="13073" width="29.5703125" style="70" bestFit="1" customWidth="1"/>
    <col min="13074" max="13074" width="14.42578125" style="70" bestFit="1" customWidth="1"/>
    <col min="13075" max="13075" width="12.42578125" style="70" bestFit="1" customWidth="1"/>
    <col min="13076" max="13076" width="22.42578125" style="70" bestFit="1" customWidth="1"/>
    <col min="13077" max="13309" width="9.140625" style="70"/>
    <col min="13310" max="13310" width="30.7109375" style="70" customWidth="1"/>
    <col min="13311" max="13312" width="13.28515625" style="70" customWidth="1"/>
    <col min="13313" max="13313" width="12.5703125" style="70" bestFit="1" customWidth="1"/>
    <col min="13314" max="13314" width="11.5703125" style="70" customWidth="1"/>
    <col min="13315" max="13316" width="10.5703125" style="70" customWidth="1"/>
    <col min="13317" max="13317" width="19.7109375" style="70" customWidth="1"/>
    <col min="13318" max="13318" width="6.5703125" style="70" customWidth="1"/>
    <col min="13319" max="13319" width="32.5703125" style="70" customWidth="1"/>
    <col min="13320" max="13320" width="15.28515625" style="70" customWidth="1"/>
    <col min="13321" max="13321" width="22.28515625" style="70" customWidth="1"/>
    <col min="13322" max="13322" width="16.7109375" style="70" customWidth="1"/>
    <col min="13323" max="13323" width="9.42578125" style="70" bestFit="1" customWidth="1"/>
    <col min="13324" max="13324" width="35.7109375" style="70" customWidth="1"/>
    <col min="13325" max="13325" width="14" style="70" customWidth="1"/>
    <col min="13326" max="13326" width="12" style="70" bestFit="1" customWidth="1"/>
    <col min="13327" max="13327" width="15" style="70" customWidth="1"/>
    <col min="13328" max="13328" width="9.140625" style="70"/>
    <col min="13329" max="13329" width="29.5703125" style="70" bestFit="1" customWidth="1"/>
    <col min="13330" max="13330" width="14.42578125" style="70" bestFit="1" customWidth="1"/>
    <col min="13331" max="13331" width="12.42578125" style="70" bestFit="1" customWidth="1"/>
    <col min="13332" max="13332" width="22.42578125" style="70" bestFit="1" customWidth="1"/>
    <col min="13333" max="13565" width="9.140625" style="70"/>
    <col min="13566" max="13566" width="30.7109375" style="70" customWidth="1"/>
    <col min="13567" max="13568" width="13.28515625" style="70" customWidth="1"/>
    <col min="13569" max="13569" width="12.5703125" style="70" bestFit="1" customWidth="1"/>
    <col min="13570" max="13570" width="11.5703125" style="70" customWidth="1"/>
    <col min="13571" max="13572" width="10.5703125" style="70" customWidth="1"/>
    <col min="13573" max="13573" width="19.7109375" style="70" customWidth="1"/>
    <col min="13574" max="13574" width="6.5703125" style="70" customWidth="1"/>
    <col min="13575" max="13575" width="32.5703125" style="70" customWidth="1"/>
    <col min="13576" max="13576" width="15.28515625" style="70" customWidth="1"/>
    <col min="13577" max="13577" width="22.28515625" style="70" customWidth="1"/>
    <col min="13578" max="13578" width="16.7109375" style="70" customWidth="1"/>
    <col min="13579" max="13579" width="9.42578125" style="70" bestFit="1" customWidth="1"/>
    <col min="13580" max="13580" width="35.7109375" style="70" customWidth="1"/>
    <col min="13581" max="13581" width="14" style="70" customWidth="1"/>
    <col min="13582" max="13582" width="12" style="70" bestFit="1" customWidth="1"/>
    <col min="13583" max="13583" width="15" style="70" customWidth="1"/>
    <col min="13584" max="13584" width="9.140625" style="70"/>
    <col min="13585" max="13585" width="29.5703125" style="70" bestFit="1" customWidth="1"/>
    <col min="13586" max="13586" width="14.42578125" style="70" bestFit="1" customWidth="1"/>
    <col min="13587" max="13587" width="12.42578125" style="70" bestFit="1" customWidth="1"/>
    <col min="13588" max="13588" width="22.42578125" style="70" bestFit="1" customWidth="1"/>
    <col min="13589" max="13821" width="9.140625" style="70"/>
    <col min="13822" max="13822" width="30.7109375" style="70" customWidth="1"/>
    <col min="13823" max="13824" width="13.28515625" style="70" customWidth="1"/>
    <col min="13825" max="13825" width="12.5703125" style="70" bestFit="1" customWidth="1"/>
    <col min="13826" max="13826" width="11.5703125" style="70" customWidth="1"/>
    <col min="13827" max="13828" width="10.5703125" style="70" customWidth="1"/>
    <col min="13829" max="13829" width="19.7109375" style="70" customWidth="1"/>
    <col min="13830" max="13830" width="6.5703125" style="70" customWidth="1"/>
    <col min="13831" max="13831" width="32.5703125" style="70" customWidth="1"/>
    <col min="13832" max="13832" width="15.28515625" style="70" customWidth="1"/>
    <col min="13833" max="13833" width="22.28515625" style="70" customWidth="1"/>
    <col min="13834" max="13834" width="16.7109375" style="70" customWidth="1"/>
    <col min="13835" max="13835" width="9.42578125" style="70" bestFit="1" customWidth="1"/>
    <col min="13836" max="13836" width="35.7109375" style="70" customWidth="1"/>
    <col min="13837" max="13837" width="14" style="70" customWidth="1"/>
    <col min="13838" max="13838" width="12" style="70" bestFit="1" customWidth="1"/>
    <col min="13839" max="13839" width="15" style="70" customWidth="1"/>
    <col min="13840" max="13840" width="9.140625" style="70"/>
    <col min="13841" max="13841" width="29.5703125" style="70" bestFit="1" customWidth="1"/>
    <col min="13842" max="13842" width="14.42578125" style="70" bestFit="1" customWidth="1"/>
    <col min="13843" max="13843" width="12.42578125" style="70" bestFit="1" customWidth="1"/>
    <col min="13844" max="13844" width="22.42578125" style="70" bestFit="1" customWidth="1"/>
    <col min="13845" max="14077" width="9.140625" style="70"/>
    <col min="14078" max="14078" width="30.7109375" style="70" customWidth="1"/>
    <col min="14079" max="14080" width="13.28515625" style="70" customWidth="1"/>
    <col min="14081" max="14081" width="12.5703125" style="70" bestFit="1" customWidth="1"/>
    <col min="14082" max="14082" width="11.5703125" style="70" customWidth="1"/>
    <col min="14083" max="14084" width="10.5703125" style="70" customWidth="1"/>
    <col min="14085" max="14085" width="19.7109375" style="70" customWidth="1"/>
    <col min="14086" max="14086" width="6.5703125" style="70" customWidth="1"/>
    <col min="14087" max="14087" width="32.5703125" style="70" customWidth="1"/>
    <col min="14088" max="14088" width="15.28515625" style="70" customWidth="1"/>
    <col min="14089" max="14089" width="22.28515625" style="70" customWidth="1"/>
    <col min="14090" max="14090" width="16.7109375" style="70" customWidth="1"/>
    <col min="14091" max="14091" width="9.42578125" style="70" bestFit="1" customWidth="1"/>
    <col min="14092" max="14092" width="35.7109375" style="70" customWidth="1"/>
    <col min="14093" max="14093" width="14" style="70" customWidth="1"/>
    <col min="14094" max="14094" width="12" style="70" bestFit="1" customWidth="1"/>
    <col min="14095" max="14095" width="15" style="70" customWidth="1"/>
    <col min="14096" max="14096" width="9.140625" style="70"/>
    <col min="14097" max="14097" width="29.5703125" style="70" bestFit="1" customWidth="1"/>
    <col min="14098" max="14098" width="14.42578125" style="70" bestFit="1" customWidth="1"/>
    <col min="14099" max="14099" width="12.42578125" style="70" bestFit="1" customWidth="1"/>
    <col min="14100" max="14100" width="22.42578125" style="70" bestFit="1" customWidth="1"/>
    <col min="14101" max="14333" width="9.140625" style="70"/>
    <col min="14334" max="14334" width="30.7109375" style="70" customWidth="1"/>
    <col min="14335" max="14336" width="13.28515625" style="70" customWidth="1"/>
    <col min="14337" max="14337" width="12.5703125" style="70" bestFit="1" customWidth="1"/>
    <col min="14338" max="14338" width="11.5703125" style="70" customWidth="1"/>
    <col min="14339" max="14340" width="10.5703125" style="70" customWidth="1"/>
    <col min="14341" max="14341" width="19.7109375" style="70" customWidth="1"/>
    <col min="14342" max="14342" width="6.5703125" style="70" customWidth="1"/>
    <col min="14343" max="14343" width="32.5703125" style="70" customWidth="1"/>
    <col min="14344" max="14344" width="15.28515625" style="70" customWidth="1"/>
    <col min="14345" max="14345" width="22.28515625" style="70" customWidth="1"/>
    <col min="14346" max="14346" width="16.7109375" style="70" customWidth="1"/>
    <col min="14347" max="14347" width="9.42578125" style="70" bestFit="1" customWidth="1"/>
    <col min="14348" max="14348" width="35.7109375" style="70" customWidth="1"/>
    <col min="14349" max="14349" width="14" style="70" customWidth="1"/>
    <col min="14350" max="14350" width="12" style="70" bestFit="1" customWidth="1"/>
    <col min="14351" max="14351" width="15" style="70" customWidth="1"/>
    <col min="14352" max="14352" width="9.140625" style="70"/>
    <col min="14353" max="14353" width="29.5703125" style="70" bestFit="1" customWidth="1"/>
    <col min="14354" max="14354" width="14.42578125" style="70" bestFit="1" customWidth="1"/>
    <col min="14355" max="14355" width="12.42578125" style="70" bestFit="1" customWidth="1"/>
    <col min="14356" max="14356" width="22.42578125" style="70" bestFit="1" customWidth="1"/>
    <col min="14357" max="14589" width="9.140625" style="70"/>
    <col min="14590" max="14590" width="30.7109375" style="70" customWidth="1"/>
    <col min="14591" max="14592" width="13.28515625" style="70" customWidth="1"/>
    <col min="14593" max="14593" width="12.5703125" style="70" bestFit="1" customWidth="1"/>
    <col min="14594" max="14594" width="11.5703125" style="70" customWidth="1"/>
    <col min="14595" max="14596" width="10.5703125" style="70" customWidth="1"/>
    <col min="14597" max="14597" width="19.7109375" style="70" customWidth="1"/>
    <col min="14598" max="14598" width="6.5703125" style="70" customWidth="1"/>
    <col min="14599" max="14599" width="32.5703125" style="70" customWidth="1"/>
    <col min="14600" max="14600" width="15.28515625" style="70" customWidth="1"/>
    <col min="14601" max="14601" width="22.28515625" style="70" customWidth="1"/>
    <col min="14602" max="14602" width="16.7109375" style="70" customWidth="1"/>
    <col min="14603" max="14603" width="9.42578125" style="70" bestFit="1" customWidth="1"/>
    <col min="14604" max="14604" width="35.7109375" style="70" customWidth="1"/>
    <col min="14605" max="14605" width="14" style="70" customWidth="1"/>
    <col min="14606" max="14606" width="12" style="70" bestFit="1" customWidth="1"/>
    <col min="14607" max="14607" width="15" style="70" customWidth="1"/>
    <col min="14608" max="14608" width="9.140625" style="70"/>
    <col min="14609" max="14609" width="29.5703125" style="70" bestFit="1" customWidth="1"/>
    <col min="14610" max="14610" width="14.42578125" style="70" bestFit="1" customWidth="1"/>
    <col min="14611" max="14611" width="12.42578125" style="70" bestFit="1" customWidth="1"/>
    <col min="14612" max="14612" width="22.42578125" style="70" bestFit="1" customWidth="1"/>
    <col min="14613" max="14845" width="9.140625" style="70"/>
    <col min="14846" max="14846" width="30.7109375" style="70" customWidth="1"/>
    <col min="14847" max="14848" width="13.28515625" style="70" customWidth="1"/>
    <col min="14849" max="14849" width="12.5703125" style="70" bestFit="1" customWidth="1"/>
    <col min="14850" max="14850" width="11.5703125" style="70" customWidth="1"/>
    <col min="14851" max="14852" width="10.5703125" style="70" customWidth="1"/>
    <col min="14853" max="14853" width="19.7109375" style="70" customWidth="1"/>
    <col min="14854" max="14854" width="6.5703125" style="70" customWidth="1"/>
    <col min="14855" max="14855" width="32.5703125" style="70" customWidth="1"/>
    <col min="14856" max="14856" width="15.28515625" style="70" customWidth="1"/>
    <col min="14857" max="14857" width="22.28515625" style="70" customWidth="1"/>
    <col min="14858" max="14858" width="16.7109375" style="70" customWidth="1"/>
    <col min="14859" max="14859" width="9.42578125" style="70" bestFit="1" customWidth="1"/>
    <col min="14860" max="14860" width="35.7109375" style="70" customWidth="1"/>
    <col min="14861" max="14861" width="14" style="70" customWidth="1"/>
    <col min="14862" max="14862" width="12" style="70" bestFit="1" customWidth="1"/>
    <col min="14863" max="14863" width="15" style="70" customWidth="1"/>
    <col min="14864" max="14864" width="9.140625" style="70"/>
    <col min="14865" max="14865" width="29.5703125" style="70" bestFit="1" customWidth="1"/>
    <col min="14866" max="14866" width="14.42578125" style="70" bestFit="1" customWidth="1"/>
    <col min="14867" max="14867" width="12.42578125" style="70" bestFit="1" customWidth="1"/>
    <col min="14868" max="14868" width="22.42578125" style="70" bestFit="1" customWidth="1"/>
    <col min="14869" max="15101" width="9.140625" style="70"/>
    <col min="15102" max="15102" width="30.7109375" style="70" customWidth="1"/>
    <col min="15103" max="15104" width="13.28515625" style="70" customWidth="1"/>
    <col min="15105" max="15105" width="12.5703125" style="70" bestFit="1" customWidth="1"/>
    <col min="15106" max="15106" width="11.5703125" style="70" customWidth="1"/>
    <col min="15107" max="15108" width="10.5703125" style="70" customWidth="1"/>
    <col min="15109" max="15109" width="19.7109375" style="70" customWidth="1"/>
    <col min="15110" max="15110" width="6.5703125" style="70" customWidth="1"/>
    <col min="15111" max="15111" width="32.5703125" style="70" customWidth="1"/>
    <col min="15112" max="15112" width="15.28515625" style="70" customWidth="1"/>
    <col min="15113" max="15113" width="22.28515625" style="70" customWidth="1"/>
    <col min="15114" max="15114" width="16.7109375" style="70" customWidth="1"/>
    <col min="15115" max="15115" width="9.42578125" style="70" bestFit="1" customWidth="1"/>
    <col min="15116" max="15116" width="35.7109375" style="70" customWidth="1"/>
    <col min="15117" max="15117" width="14" style="70" customWidth="1"/>
    <col min="15118" max="15118" width="12" style="70" bestFit="1" customWidth="1"/>
    <col min="15119" max="15119" width="15" style="70" customWidth="1"/>
    <col min="15120" max="15120" width="9.140625" style="70"/>
    <col min="15121" max="15121" width="29.5703125" style="70" bestFit="1" customWidth="1"/>
    <col min="15122" max="15122" width="14.42578125" style="70" bestFit="1" customWidth="1"/>
    <col min="15123" max="15123" width="12.42578125" style="70" bestFit="1" customWidth="1"/>
    <col min="15124" max="15124" width="22.42578125" style="70" bestFit="1" customWidth="1"/>
    <col min="15125" max="15357" width="9.140625" style="70"/>
    <col min="15358" max="15358" width="30.7109375" style="70" customWidth="1"/>
    <col min="15359" max="15360" width="13.28515625" style="70" customWidth="1"/>
    <col min="15361" max="15361" width="12.5703125" style="70" bestFit="1" customWidth="1"/>
    <col min="15362" max="15362" width="11.5703125" style="70" customWidth="1"/>
    <col min="15363" max="15364" width="10.5703125" style="70" customWidth="1"/>
    <col min="15365" max="15365" width="19.7109375" style="70" customWidth="1"/>
    <col min="15366" max="15366" width="6.5703125" style="70" customWidth="1"/>
    <col min="15367" max="15367" width="32.5703125" style="70" customWidth="1"/>
    <col min="15368" max="15368" width="15.28515625" style="70" customWidth="1"/>
    <col min="15369" max="15369" width="22.28515625" style="70" customWidth="1"/>
    <col min="15370" max="15370" width="16.7109375" style="70" customWidth="1"/>
    <col min="15371" max="15371" width="9.42578125" style="70" bestFit="1" customWidth="1"/>
    <col min="15372" max="15372" width="35.7109375" style="70" customWidth="1"/>
    <col min="15373" max="15373" width="14" style="70" customWidth="1"/>
    <col min="15374" max="15374" width="12" style="70" bestFit="1" customWidth="1"/>
    <col min="15375" max="15375" width="15" style="70" customWidth="1"/>
    <col min="15376" max="15376" width="9.140625" style="70"/>
    <col min="15377" max="15377" width="29.5703125" style="70" bestFit="1" customWidth="1"/>
    <col min="15378" max="15378" width="14.42578125" style="70" bestFit="1" customWidth="1"/>
    <col min="15379" max="15379" width="12.42578125" style="70" bestFit="1" customWidth="1"/>
    <col min="15380" max="15380" width="22.42578125" style="70" bestFit="1" customWidth="1"/>
    <col min="15381" max="15613" width="9.140625" style="70"/>
    <col min="15614" max="15614" width="30.7109375" style="70" customWidth="1"/>
    <col min="15615" max="15616" width="13.28515625" style="70" customWidth="1"/>
    <col min="15617" max="15617" width="12.5703125" style="70" bestFit="1" customWidth="1"/>
    <col min="15618" max="15618" width="11.5703125" style="70" customWidth="1"/>
    <col min="15619" max="15620" width="10.5703125" style="70" customWidth="1"/>
    <col min="15621" max="15621" width="19.7109375" style="70" customWidth="1"/>
    <col min="15622" max="15622" width="6.5703125" style="70" customWidth="1"/>
    <col min="15623" max="15623" width="32.5703125" style="70" customWidth="1"/>
    <col min="15624" max="15624" width="15.28515625" style="70" customWidth="1"/>
    <col min="15625" max="15625" width="22.28515625" style="70" customWidth="1"/>
    <col min="15626" max="15626" width="16.7109375" style="70" customWidth="1"/>
    <col min="15627" max="15627" width="9.42578125" style="70" bestFit="1" customWidth="1"/>
    <col min="15628" max="15628" width="35.7109375" style="70" customWidth="1"/>
    <col min="15629" max="15629" width="14" style="70" customWidth="1"/>
    <col min="15630" max="15630" width="12" style="70" bestFit="1" customWidth="1"/>
    <col min="15631" max="15631" width="15" style="70" customWidth="1"/>
    <col min="15632" max="15632" width="9.140625" style="70"/>
    <col min="15633" max="15633" width="29.5703125" style="70" bestFit="1" customWidth="1"/>
    <col min="15634" max="15634" width="14.42578125" style="70" bestFit="1" customWidth="1"/>
    <col min="15635" max="15635" width="12.42578125" style="70" bestFit="1" customWidth="1"/>
    <col min="15636" max="15636" width="22.42578125" style="70" bestFit="1" customWidth="1"/>
    <col min="15637" max="15869" width="9.140625" style="70"/>
    <col min="15870" max="15870" width="30.7109375" style="70" customWidth="1"/>
    <col min="15871" max="15872" width="13.28515625" style="70" customWidth="1"/>
    <col min="15873" max="15873" width="12.5703125" style="70" bestFit="1" customWidth="1"/>
    <col min="15874" max="15874" width="11.5703125" style="70" customWidth="1"/>
    <col min="15875" max="15876" width="10.5703125" style="70" customWidth="1"/>
    <col min="15877" max="15877" width="19.7109375" style="70" customWidth="1"/>
    <col min="15878" max="15878" width="6.5703125" style="70" customWidth="1"/>
    <col min="15879" max="15879" width="32.5703125" style="70" customWidth="1"/>
    <col min="15880" max="15880" width="15.28515625" style="70" customWidth="1"/>
    <col min="15881" max="15881" width="22.28515625" style="70" customWidth="1"/>
    <col min="15882" max="15882" width="16.7109375" style="70" customWidth="1"/>
    <col min="15883" max="15883" width="9.42578125" style="70" bestFit="1" customWidth="1"/>
    <col min="15884" max="15884" width="35.7109375" style="70" customWidth="1"/>
    <col min="15885" max="15885" width="14" style="70" customWidth="1"/>
    <col min="15886" max="15886" width="12" style="70" bestFit="1" customWidth="1"/>
    <col min="15887" max="15887" width="15" style="70" customWidth="1"/>
    <col min="15888" max="15888" width="9.140625" style="70"/>
    <col min="15889" max="15889" width="29.5703125" style="70" bestFit="1" customWidth="1"/>
    <col min="15890" max="15890" width="14.42578125" style="70" bestFit="1" customWidth="1"/>
    <col min="15891" max="15891" width="12.42578125" style="70" bestFit="1" customWidth="1"/>
    <col min="15892" max="15892" width="22.42578125" style="70" bestFit="1" customWidth="1"/>
    <col min="15893" max="16125" width="9.140625" style="70"/>
    <col min="16126" max="16126" width="30.7109375" style="70" customWidth="1"/>
    <col min="16127" max="16128" width="13.28515625" style="70" customWidth="1"/>
    <col min="16129" max="16129" width="12.5703125" style="70" bestFit="1" customWidth="1"/>
    <col min="16130" max="16130" width="11.5703125" style="70" customWidth="1"/>
    <col min="16131" max="16132" width="10.5703125" style="70" customWidth="1"/>
    <col min="16133" max="16133" width="19.7109375" style="70" customWidth="1"/>
    <col min="16134" max="16134" width="6.5703125" style="70" customWidth="1"/>
    <col min="16135" max="16135" width="32.5703125" style="70" customWidth="1"/>
    <col min="16136" max="16136" width="15.28515625" style="70" customWidth="1"/>
    <col min="16137" max="16137" width="22.28515625" style="70" customWidth="1"/>
    <col min="16138" max="16138" width="16.7109375" style="70" customWidth="1"/>
    <col min="16139" max="16139" width="9.42578125" style="70" bestFit="1" customWidth="1"/>
    <col min="16140" max="16140" width="35.7109375" style="70" customWidth="1"/>
    <col min="16141" max="16141" width="14" style="70" customWidth="1"/>
    <col min="16142" max="16142" width="12" style="70" bestFit="1" customWidth="1"/>
    <col min="16143" max="16143" width="15" style="70" customWidth="1"/>
    <col min="16144" max="16144" width="9.140625" style="70"/>
    <col min="16145" max="16145" width="29.5703125" style="70" bestFit="1" customWidth="1"/>
    <col min="16146" max="16146" width="14.42578125" style="70" bestFit="1" customWidth="1"/>
    <col min="16147" max="16147" width="12.42578125" style="70" bestFit="1" customWidth="1"/>
    <col min="16148" max="16148" width="22.42578125" style="70" bestFit="1" customWidth="1"/>
    <col min="16149" max="16380" width="9.140625" style="70"/>
    <col min="16381" max="16384" width="8.7109375" style="70" customWidth="1"/>
  </cols>
  <sheetData>
    <row r="2" spans="2:21" ht="15" customHeight="1" thickBot="1" x14ac:dyDescent="0.25">
      <c r="B2" s="68"/>
      <c r="C2" s="68"/>
      <c r="D2" s="68"/>
      <c r="E2" s="68"/>
      <c r="F2" s="69"/>
      <c r="G2" s="69"/>
      <c r="H2" s="69"/>
      <c r="J2" s="70" t="s">
        <v>119</v>
      </c>
    </row>
    <row r="3" spans="2:21" ht="39" customHeight="1" thickBot="1" x14ac:dyDescent="0.25">
      <c r="B3" s="71" t="s">
        <v>120</v>
      </c>
      <c r="C3" s="72"/>
      <c r="D3" s="72"/>
      <c r="E3" s="72"/>
      <c r="F3" s="73"/>
      <c r="G3" s="74"/>
      <c r="H3" s="69"/>
      <c r="I3" s="75" t="s">
        <v>121</v>
      </c>
      <c r="J3" s="76"/>
      <c r="K3" s="76"/>
      <c r="L3" s="76"/>
      <c r="M3" s="77"/>
      <c r="N3" s="74"/>
      <c r="P3" s="78" t="s">
        <v>122</v>
      </c>
      <c r="Q3" s="79"/>
      <c r="R3" s="80" t="s">
        <v>123</v>
      </c>
      <c r="S3" s="81" t="s">
        <v>124</v>
      </c>
      <c r="T3" s="82" t="s">
        <v>125</v>
      </c>
      <c r="U3" s="83"/>
    </row>
    <row r="4" spans="2:21" ht="15" customHeight="1" thickBot="1" x14ac:dyDescent="0.25">
      <c r="B4" s="84" t="s">
        <v>126</v>
      </c>
      <c r="C4" s="85"/>
      <c r="D4" s="86" t="s">
        <v>127</v>
      </c>
      <c r="E4" s="87"/>
      <c r="F4" s="88"/>
      <c r="G4" s="89"/>
      <c r="H4" s="69"/>
      <c r="I4" s="90"/>
      <c r="J4" s="91" t="s">
        <v>128</v>
      </c>
      <c r="K4" s="89">
        <v>12</v>
      </c>
      <c r="L4" s="89" t="s">
        <v>129</v>
      </c>
      <c r="M4" s="92">
        <f>$R$14</f>
        <v>6287.5</v>
      </c>
      <c r="N4" s="93"/>
      <c r="P4" s="94" t="s">
        <v>129</v>
      </c>
      <c r="Q4" s="95"/>
      <c r="R4" s="96">
        <v>2080</v>
      </c>
      <c r="S4" s="97" t="s">
        <v>130</v>
      </c>
      <c r="T4" s="98" t="s">
        <v>131</v>
      </c>
      <c r="U4" s="99"/>
    </row>
    <row r="5" spans="2:21" ht="15" customHeight="1" x14ac:dyDescent="0.2">
      <c r="B5" s="100" t="s">
        <v>132</v>
      </c>
      <c r="C5" s="101"/>
      <c r="D5" s="102"/>
      <c r="E5" s="69"/>
      <c r="F5" s="103"/>
      <c r="G5" s="69"/>
      <c r="H5" s="69"/>
      <c r="I5" s="104"/>
      <c r="J5" s="105"/>
      <c r="K5" s="106" t="s">
        <v>133</v>
      </c>
      <c r="L5" s="106" t="s">
        <v>134</v>
      </c>
      <c r="M5" s="107" t="s">
        <v>135</v>
      </c>
      <c r="N5" s="89"/>
      <c r="P5" s="108" t="s">
        <v>136</v>
      </c>
      <c r="Q5" s="109"/>
      <c r="R5" s="110">
        <v>80</v>
      </c>
      <c r="S5" s="111">
        <v>10</v>
      </c>
      <c r="T5" s="112" t="s">
        <v>137</v>
      </c>
      <c r="U5" s="99"/>
    </row>
    <row r="6" spans="2:21" ht="13.5" customHeight="1" x14ac:dyDescent="0.2">
      <c r="B6" s="113" t="s">
        <v>138</v>
      </c>
      <c r="C6" s="114">
        <f>K7</f>
        <v>79415.232000000018</v>
      </c>
      <c r="D6" s="102" t="s">
        <v>139</v>
      </c>
      <c r="E6" s="69"/>
      <c r="F6" s="103"/>
      <c r="G6" s="69"/>
      <c r="H6" s="69"/>
      <c r="I6" s="115" t="str">
        <f>$B$5</f>
        <v>Management</v>
      </c>
      <c r="J6" s="116"/>
      <c r="K6" s="89"/>
      <c r="L6" s="89"/>
      <c r="M6" s="117"/>
      <c r="N6" s="89"/>
      <c r="P6" s="118" t="s">
        <v>140</v>
      </c>
      <c r="Q6" s="119"/>
      <c r="R6" s="120">
        <v>80</v>
      </c>
      <c r="S6" s="121">
        <v>10</v>
      </c>
      <c r="T6" s="122" t="s">
        <v>137</v>
      </c>
      <c r="U6" s="123"/>
    </row>
    <row r="7" spans="2:21" ht="15" customHeight="1" x14ac:dyDescent="0.2">
      <c r="B7" s="115" t="s">
        <v>141</v>
      </c>
      <c r="C7" s="114"/>
      <c r="D7" s="102"/>
      <c r="E7" s="69"/>
      <c r="F7" s="103"/>
      <c r="G7" s="69"/>
      <c r="H7" s="69"/>
      <c r="I7" s="113" t="str">
        <f>$B$6</f>
        <v xml:space="preserve">  Program Management</v>
      </c>
      <c r="J7" s="124"/>
      <c r="K7" s="125">
        <f>'M2022 BLS SALARY CHART (53_PCT)'!C22</f>
        <v>79415.232000000018</v>
      </c>
      <c r="L7" s="126">
        <v>1</v>
      </c>
      <c r="M7" s="127">
        <f>K7*L7</f>
        <v>79415.232000000018</v>
      </c>
      <c r="N7" s="128"/>
      <c r="P7" s="129" t="s">
        <v>142</v>
      </c>
      <c r="Q7" s="130"/>
      <c r="R7" s="131">
        <v>40</v>
      </c>
      <c r="S7" s="121">
        <v>5</v>
      </c>
      <c r="T7" s="132" t="s">
        <v>137</v>
      </c>
      <c r="U7" s="99"/>
    </row>
    <row r="8" spans="2:21" ht="15" customHeight="1" x14ac:dyDescent="0.2">
      <c r="B8" s="113" t="s">
        <v>143</v>
      </c>
      <c r="C8" s="114">
        <f>K9</f>
        <v>53206.566400000003</v>
      </c>
      <c r="D8" s="102" t="s">
        <v>139</v>
      </c>
      <c r="E8" s="69"/>
      <c r="F8" s="103"/>
      <c r="G8" s="69"/>
      <c r="H8" s="69"/>
      <c r="I8" s="115" t="str">
        <f>$B$7</f>
        <v>Direct Care</v>
      </c>
      <c r="J8" s="116"/>
      <c r="K8" s="125"/>
      <c r="L8" s="126"/>
      <c r="M8" s="127"/>
      <c r="N8" s="128"/>
      <c r="P8" s="129" t="s">
        <v>144</v>
      </c>
      <c r="Q8" s="130"/>
      <c r="R8" s="131">
        <v>80</v>
      </c>
      <c r="S8" s="121">
        <v>10</v>
      </c>
      <c r="T8" s="132" t="s">
        <v>137</v>
      </c>
      <c r="U8" s="99"/>
    </row>
    <row r="9" spans="2:21" ht="15" customHeight="1" x14ac:dyDescent="0.2">
      <c r="B9" s="133" t="s">
        <v>145</v>
      </c>
      <c r="C9" s="134">
        <f>K10</f>
        <v>41600</v>
      </c>
      <c r="D9" s="102" t="s">
        <v>139</v>
      </c>
      <c r="E9" s="135"/>
      <c r="F9" s="136"/>
      <c r="G9" s="69"/>
      <c r="H9" s="69"/>
      <c r="I9" s="113" t="str">
        <f>$B$14</f>
        <v xml:space="preserve">  Certified O&amp;M Specialist</v>
      </c>
      <c r="J9" s="124"/>
      <c r="K9" s="125">
        <f>'M2022 BLS SALARY CHART (53_PCT)'!C8</f>
        <v>53206.566400000003</v>
      </c>
      <c r="L9" s="126">
        <v>5</v>
      </c>
      <c r="M9" s="127">
        <f>K9*L9</f>
        <v>266032.83199999999</v>
      </c>
      <c r="N9" s="128"/>
      <c r="P9" s="137" t="s">
        <v>146</v>
      </c>
      <c r="Q9" s="138"/>
      <c r="R9" s="131">
        <v>329</v>
      </c>
      <c r="S9" s="139">
        <f>R9/52</f>
        <v>6.3269230769230766</v>
      </c>
      <c r="T9" s="132" t="s">
        <v>147</v>
      </c>
      <c r="U9" s="99"/>
    </row>
    <row r="10" spans="2:21" ht="15" customHeight="1" thickBot="1" x14ac:dyDescent="0.25">
      <c r="B10" s="140" t="s">
        <v>148</v>
      </c>
      <c r="C10" s="141"/>
      <c r="D10" s="102"/>
      <c r="E10" s="69"/>
      <c r="F10" s="103"/>
      <c r="G10" s="69"/>
      <c r="H10" s="69"/>
      <c r="I10" s="113" t="str">
        <f>$B$15</f>
        <v xml:space="preserve">  Secretarial / Clerical</v>
      </c>
      <c r="J10" s="124"/>
      <c r="K10" s="125">
        <f>'M2022 BLS SALARY CHART (53_PCT)'!C6</f>
        <v>41600</v>
      </c>
      <c r="L10" s="126">
        <f>$C$15</f>
        <v>1</v>
      </c>
      <c r="M10" s="127">
        <f>K10*L10</f>
        <v>41600</v>
      </c>
      <c r="N10" s="128"/>
      <c r="P10" s="142" t="s">
        <v>149</v>
      </c>
      <c r="Q10" s="143"/>
      <c r="R10" s="144">
        <v>213.5</v>
      </c>
      <c r="S10" s="145">
        <f>R10/52</f>
        <v>4.1057692307692308</v>
      </c>
      <c r="T10" s="146" t="s">
        <v>147</v>
      </c>
      <c r="U10" s="99"/>
    </row>
    <row r="11" spans="2:21" ht="15" customHeight="1" thickBot="1" x14ac:dyDescent="0.25">
      <c r="B11" s="100" t="str">
        <f>B5</f>
        <v>Management</v>
      </c>
      <c r="C11" s="147"/>
      <c r="D11" s="102"/>
      <c r="E11" s="69"/>
      <c r="F11" s="103"/>
      <c r="G11" s="69"/>
      <c r="H11" s="69"/>
      <c r="I11" s="148" t="s">
        <v>150</v>
      </c>
      <c r="J11" s="149"/>
      <c r="K11" s="149"/>
      <c r="L11" s="150">
        <f>SUM(L7:L10)</f>
        <v>7</v>
      </c>
      <c r="M11" s="151">
        <f>SUM(M7:M10)</f>
        <v>387048.06400000001</v>
      </c>
      <c r="N11" s="128"/>
      <c r="P11" s="152" t="s">
        <v>151</v>
      </c>
      <c r="Q11" s="153"/>
      <c r="R11" s="96">
        <f>SUM(R5:R10)</f>
        <v>822.5</v>
      </c>
    </row>
    <row r="12" spans="2:21" ht="15" customHeight="1" x14ac:dyDescent="0.2">
      <c r="B12" s="113" t="str">
        <f>B6</f>
        <v xml:space="preserve">  Program Management</v>
      </c>
      <c r="C12" s="154">
        <v>1</v>
      </c>
      <c r="D12" s="102" t="s">
        <v>152</v>
      </c>
      <c r="E12" s="69"/>
      <c r="F12" s="103"/>
      <c r="G12" s="69"/>
      <c r="H12" s="69"/>
      <c r="I12" s="100"/>
      <c r="J12" s="69"/>
      <c r="K12" s="69"/>
      <c r="L12" s="155"/>
      <c r="M12" s="103"/>
      <c r="N12" s="156"/>
      <c r="P12" s="157" t="s">
        <v>153</v>
      </c>
      <c r="Q12" s="158"/>
      <c r="R12" s="159">
        <f>R4-R11</f>
        <v>1257.5</v>
      </c>
      <c r="U12" s="160"/>
    </row>
    <row r="13" spans="2:21" ht="15" customHeight="1" thickBot="1" x14ac:dyDescent="0.25">
      <c r="B13" s="115" t="str">
        <f>B7</f>
        <v>Direct Care</v>
      </c>
      <c r="C13" s="154"/>
      <c r="D13" s="102"/>
      <c r="E13" s="69"/>
      <c r="F13" s="103"/>
      <c r="G13" s="69"/>
      <c r="H13" s="69"/>
      <c r="I13" s="161"/>
      <c r="J13" s="162"/>
      <c r="K13" s="163"/>
      <c r="L13" s="89"/>
      <c r="M13" s="164"/>
      <c r="N13" s="69"/>
      <c r="P13" s="165" t="s">
        <v>154</v>
      </c>
      <c r="Q13" s="166"/>
      <c r="R13" s="167">
        <v>5</v>
      </c>
    </row>
    <row r="14" spans="2:21" ht="15" customHeight="1" thickBot="1" x14ac:dyDescent="0.25">
      <c r="B14" s="113" t="str">
        <f>B8</f>
        <v xml:space="preserve">  Certified O&amp;M Specialist</v>
      </c>
      <c r="C14" s="154">
        <v>5</v>
      </c>
      <c r="D14" s="102" t="s">
        <v>152</v>
      </c>
      <c r="E14" s="69"/>
      <c r="F14" s="103"/>
      <c r="G14" s="69"/>
      <c r="H14" s="69"/>
      <c r="I14" s="161" t="s">
        <v>155</v>
      </c>
      <c r="J14" s="69"/>
      <c r="K14" s="168">
        <f>'M2022 BLS SALARY CHART (53_PCT)'!C38</f>
        <v>0.27379999999999999</v>
      </c>
      <c r="L14" s="155"/>
      <c r="M14" s="127">
        <f>K14*M11</f>
        <v>105973.75992319999</v>
      </c>
      <c r="N14" s="69"/>
      <c r="P14" s="152" t="s">
        <v>156</v>
      </c>
      <c r="Q14" s="153"/>
      <c r="R14" s="96">
        <f>R12*R13</f>
        <v>6287.5</v>
      </c>
    </row>
    <row r="15" spans="2:21" ht="15" customHeight="1" x14ac:dyDescent="0.2">
      <c r="B15" s="133" t="str">
        <f>B9</f>
        <v xml:space="preserve">  Secretarial / Clerical</v>
      </c>
      <c r="C15" s="169">
        <v>1</v>
      </c>
      <c r="D15" s="102" t="s">
        <v>152</v>
      </c>
      <c r="E15" s="135"/>
      <c r="F15" s="136"/>
      <c r="G15" s="69"/>
      <c r="H15" s="69"/>
      <c r="I15" s="148" t="s">
        <v>157</v>
      </c>
      <c r="J15" s="149"/>
      <c r="K15" s="149"/>
      <c r="L15" s="170"/>
      <c r="M15" s="151">
        <f>SUM(M11:M14)</f>
        <v>493021.82392320002</v>
      </c>
      <c r="N15" s="128"/>
      <c r="P15" s="158"/>
      <c r="Q15" s="158"/>
      <c r="R15" s="171"/>
    </row>
    <row r="16" spans="2:21" ht="15" customHeight="1" thickBot="1" x14ac:dyDescent="0.25">
      <c r="B16" s="172" t="s">
        <v>158</v>
      </c>
      <c r="C16" s="173"/>
      <c r="D16" s="174"/>
      <c r="E16" s="69"/>
      <c r="F16" s="103"/>
      <c r="G16" s="69"/>
      <c r="H16" s="69"/>
      <c r="I16" s="161"/>
      <c r="J16" s="69"/>
      <c r="K16" s="69"/>
      <c r="L16" s="155"/>
      <c r="M16" s="103"/>
      <c r="N16" s="156"/>
      <c r="P16" s="158"/>
      <c r="Q16" s="158"/>
      <c r="R16" s="171"/>
    </row>
    <row r="17" spans="2:21" ht="15" customHeight="1" thickBot="1" x14ac:dyDescent="0.25">
      <c r="B17" s="175" t="s">
        <v>159</v>
      </c>
      <c r="C17" s="176">
        <f>'M2022 BLS SALARY CHART (53_PCT)'!C38</f>
        <v>0.27379999999999999</v>
      </c>
      <c r="D17" s="177" t="s">
        <v>93</v>
      </c>
      <c r="E17" s="69"/>
      <c r="F17" s="103"/>
      <c r="G17" s="69"/>
      <c r="H17" s="69"/>
      <c r="I17" s="161" t="str">
        <f>$B$18</f>
        <v>Occupancy</v>
      </c>
      <c r="J17" s="69"/>
      <c r="K17" s="69"/>
      <c r="L17" s="178">
        <f>C18</f>
        <v>4061.74</v>
      </c>
      <c r="M17" s="164">
        <f>L17*L11</f>
        <v>28432.18</v>
      </c>
      <c r="N17" s="69"/>
      <c r="P17" s="179" t="s">
        <v>160</v>
      </c>
      <c r="Q17" s="180"/>
      <c r="R17" s="181"/>
      <c r="S17" s="181"/>
      <c r="T17" s="181"/>
      <c r="U17" s="182" t="s">
        <v>161</v>
      </c>
    </row>
    <row r="18" spans="2:21" ht="15" customHeight="1" x14ac:dyDescent="0.2">
      <c r="B18" s="183" t="s">
        <v>163</v>
      </c>
      <c r="C18" s="184">
        <v>4061.74</v>
      </c>
      <c r="D18" s="102" t="s">
        <v>164</v>
      </c>
      <c r="E18" s="69"/>
      <c r="F18" s="103"/>
      <c r="G18" s="69">
        <v>2663</v>
      </c>
      <c r="H18" s="69"/>
      <c r="I18" s="161" t="str">
        <f>$B$19</f>
        <v>Transportation</v>
      </c>
      <c r="J18" s="69"/>
      <c r="K18" s="185"/>
      <c r="L18" s="186">
        <v>0.5</v>
      </c>
      <c r="M18" s="164">
        <f>(L11*C19)*L18</f>
        <v>16443.419999999998</v>
      </c>
      <c r="N18" s="187"/>
      <c r="O18" s="70" t="s">
        <v>165</v>
      </c>
      <c r="P18" s="188" t="s">
        <v>166</v>
      </c>
      <c r="Q18" s="189"/>
      <c r="R18" s="190" t="s">
        <v>167</v>
      </c>
      <c r="S18" s="191">
        <f>M26/4</f>
        <v>25.360643531164229</v>
      </c>
      <c r="T18" s="192" t="s">
        <v>168</v>
      </c>
      <c r="U18" s="193">
        <f>S18*4</f>
        <v>101.44257412465691</v>
      </c>
    </row>
    <row r="19" spans="2:21" ht="15" customHeight="1" x14ac:dyDescent="0.2">
      <c r="B19" s="183" t="s">
        <v>169</v>
      </c>
      <c r="C19" s="184">
        <v>4698.12</v>
      </c>
      <c r="D19" s="102" t="s">
        <v>164</v>
      </c>
      <c r="E19" s="69"/>
      <c r="F19" s="103"/>
      <c r="G19" s="69">
        <v>4692</v>
      </c>
      <c r="H19" s="69"/>
      <c r="I19" s="161" t="str">
        <f>$B$20</f>
        <v>Program Supplies &amp; Expenses</v>
      </c>
      <c r="J19" s="69"/>
      <c r="K19" s="69"/>
      <c r="L19" s="178">
        <f>C20</f>
        <v>2357.75</v>
      </c>
      <c r="M19" s="164">
        <f>L19*L11</f>
        <v>16504.25</v>
      </c>
      <c r="N19" s="187"/>
      <c r="P19" s="188" t="s">
        <v>170</v>
      </c>
      <c r="Q19" s="189"/>
      <c r="R19" s="190" t="s">
        <v>171</v>
      </c>
      <c r="S19" s="191">
        <f>S27</f>
        <v>28.826964514453643</v>
      </c>
      <c r="T19" s="192" t="s">
        <v>168</v>
      </c>
      <c r="U19" s="195">
        <f>S19*4+0.02</f>
        <v>115.32785805781457</v>
      </c>
    </row>
    <row r="20" spans="2:21" ht="15" customHeight="1" thickBot="1" x14ac:dyDescent="0.25">
      <c r="B20" s="183" t="s">
        <v>172</v>
      </c>
      <c r="C20" s="184">
        <v>2357.75</v>
      </c>
      <c r="D20" s="102" t="s">
        <v>164</v>
      </c>
      <c r="E20" s="69"/>
      <c r="F20" s="103"/>
      <c r="G20" s="69"/>
      <c r="H20" s="69"/>
      <c r="I20" s="161"/>
      <c r="J20" s="69"/>
      <c r="K20" s="69"/>
      <c r="L20" s="155"/>
      <c r="M20" s="103"/>
      <c r="N20" s="187"/>
      <c r="P20" s="196" t="s">
        <v>173</v>
      </c>
      <c r="Q20" s="197"/>
      <c r="R20" s="198" t="s">
        <v>174</v>
      </c>
      <c r="S20" s="199">
        <f>S35</f>
        <v>32.298594948168279</v>
      </c>
      <c r="T20" s="198" t="s">
        <v>168</v>
      </c>
      <c r="U20" s="200">
        <f>S20*4+0.01</f>
        <v>129.20437979267311</v>
      </c>
    </row>
    <row r="21" spans="2:21" ht="15" customHeight="1" x14ac:dyDescent="0.2">
      <c r="B21" s="183" t="s">
        <v>175</v>
      </c>
      <c r="C21" s="176">
        <f>'[3]CMR 422 Master Lookup'!G4</f>
        <v>0.12</v>
      </c>
      <c r="D21" s="201" t="s">
        <v>93</v>
      </c>
      <c r="E21" s="69"/>
      <c r="F21" s="103"/>
      <c r="G21" s="69"/>
      <c r="H21" s="69"/>
      <c r="I21" s="148" t="s">
        <v>176</v>
      </c>
      <c r="J21" s="149"/>
      <c r="K21" s="149"/>
      <c r="L21" s="202"/>
      <c r="M21" s="151">
        <f>SUM(M15:M19)</f>
        <v>554401.6739232</v>
      </c>
      <c r="N21" s="69"/>
    </row>
    <row r="22" spans="2:21" ht="15" customHeight="1" thickBot="1" x14ac:dyDescent="0.25">
      <c r="B22" s="203"/>
      <c r="C22" s="204"/>
      <c r="D22" s="205"/>
      <c r="E22" s="206"/>
      <c r="F22" s="136"/>
      <c r="G22" s="69"/>
      <c r="H22" s="69"/>
      <c r="I22" s="207" t="s">
        <v>175</v>
      </c>
      <c r="J22" s="208"/>
      <c r="K22" s="209">
        <f>C21</f>
        <v>0.12</v>
      </c>
      <c r="L22" s="210"/>
      <c r="M22" s="211">
        <f>K22*M21</f>
        <v>66528.200870784</v>
      </c>
      <c r="N22" s="156"/>
      <c r="P22" s="162" t="s">
        <v>177</v>
      </c>
      <c r="Q22" s="162"/>
      <c r="R22" s="212"/>
      <c r="S22" s="213"/>
      <c r="T22" s="69"/>
    </row>
    <row r="23" spans="2:21" ht="15" customHeight="1" thickTop="1" thickBot="1" x14ac:dyDescent="0.25">
      <c r="B23" s="214" t="s">
        <v>178</v>
      </c>
      <c r="C23" s="215">
        <f>'CAF Spring 2023'!CI26</f>
        <v>2.7100379121522307E-2</v>
      </c>
      <c r="D23" s="216" t="s">
        <v>179</v>
      </c>
      <c r="E23" s="217"/>
      <c r="F23" s="218"/>
      <c r="G23" s="69"/>
      <c r="H23" s="69"/>
      <c r="I23" s="219" t="s">
        <v>180</v>
      </c>
      <c r="J23" s="220"/>
      <c r="K23" s="221"/>
      <c r="L23" s="222"/>
      <c r="M23" s="223">
        <f>SUM(M21:M22)</f>
        <v>620929.874793984</v>
      </c>
      <c r="N23" s="224"/>
      <c r="P23" s="225" t="s">
        <v>181</v>
      </c>
      <c r="Q23" s="226"/>
      <c r="R23" s="226"/>
      <c r="S23" s="227"/>
      <c r="T23" s="228"/>
    </row>
    <row r="24" spans="2:21" ht="15" customHeight="1" x14ac:dyDescent="0.2">
      <c r="B24" s="69"/>
      <c r="C24" s="229">
        <v>2.5399999999999999E-2</v>
      </c>
      <c r="D24" s="230" t="s">
        <v>182</v>
      </c>
      <c r="E24" s="69"/>
      <c r="F24" s="69"/>
      <c r="G24" s="69"/>
      <c r="H24" s="69"/>
      <c r="I24" s="161"/>
      <c r="J24" s="69"/>
      <c r="K24" s="69"/>
      <c r="L24" s="155"/>
      <c r="M24" s="103"/>
      <c r="N24" s="128"/>
      <c r="P24" s="231" t="s">
        <v>183</v>
      </c>
      <c r="Q24" s="232"/>
      <c r="R24" s="232"/>
      <c r="S24" s="233"/>
      <c r="T24" s="234"/>
      <c r="U24" s="235"/>
    </row>
    <row r="25" spans="2:21" ht="15" customHeight="1" x14ac:dyDescent="0.2">
      <c r="B25" s="236"/>
      <c r="C25" s="237">
        <v>2.7199999999999998E-2</v>
      </c>
      <c r="D25" s="230" t="s">
        <v>182</v>
      </c>
      <c r="E25" s="69"/>
      <c r="F25" s="69"/>
      <c r="G25" s="69"/>
      <c r="H25" s="69"/>
      <c r="I25" s="161" t="s">
        <v>184</v>
      </c>
      <c r="J25" s="69"/>
      <c r="K25" s="238">
        <f>'CAF Spring 2023'!CI26</f>
        <v>2.7100379121522307E-2</v>
      </c>
      <c r="L25" s="155"/>
      <c r="M25" s="239">
        <f>M23*(1+K25)</f>
        <v>637757.30980878032</v>
      </c>
      <c r="N25" s="69"/>
      <c r="P25" s="231" t="s">
        <v>185</v>
      </c>
      <c r="Q25" s="232"/>
      <c r="R25" s="232"/>
      <c r="S25" s="240">
        <f>(15*0.45)*2</f>
        <v>13.5</v>
      </c>
      <c r="T25" s="241" t="s">
        <v>186</v>
      </c>
    </row>
    <row r="26" spans="2:21" ht="15" customHeight="1" x14ac:dyDescent="0.2">
      <c r="C26" s="242">
        <v>1.8100000000000002E-2</v>
      </c>
      <c r="D26" s="230" t="s">
        <v>182</v>
      </c>
      <c r="F26" s="69"/>
      <c r="G26" s="69"/>
      <c r="H26" s="69"/>
      <c r="I26" s="243" t="s">
        <v>187</v>
      </c>
      <c r="J26" s="135"/>
      <c r="K26" s="244">
        <v>1</v>
      </c>
      <c r="L26" s="245"/>
      <c r="M26" s="246">
        <f>M25/M4+0.01</f>
        <v>101.44257412465691</v>
      </c>
      <c r="N26" s="156"/>
      <c r="P26" s="231" t="s">
        <v>188</v>
      </c>
      <c r="Q26" s="232"/>
      <c r="R26" s="232"/>
      <c r="S26" s="240">
        <v>3.466320983289414</v>
      </c>
      <c r="T26" s="241" t="s">
        <v>189</v>
      </c>
    </row>
    <row r="27" spans="2:21" ht="15" customHeight="1" x14ac:dyDescent="0.2">
      <c r="F27" s="69"/>
      <c r="G27" s="69"/>
      <c r="H27" s="69"/>
      <c r="I27" s="247" t="s">
        <v>190</v>
      </c>
      <c r="J27" s="248"/>
      <c r="K27" s="249">
        <v>0.9</v>
      </c>
      <c r="L27" s="250"/>
      <c r="M27" s="251">
        <f>M26/K27</f>
        <v>112.71397124961879</v>
      </c>
      <c r="N27" s="69"/>
      <c r="P27" s="231" t="s">
        <v>191</v>
      </c>
      <c r="Q27" s="232"/>
      <c r="R27" s="232"/>
      <c r="S27" s="240">
        <f>S18+S26</f>
        <v>28.826964514453643</v>
      </c>
      <c r="T27" s="241" t="s">
        <v>192</v>
      </c>
    </row>
    <row r="28" spans="2:21" ht="15" customHeight="1" thickBot="1" x14ac:dyDescent="0.25">
      <c r="F28" s="69"/>
      <c r="G28" s="69"/>
      <c r="H28" s="69"/>
      <c r="I28" s="252"/>
      <c r="J28" s="253"/>
      <c r="K28" s="254">
        <v>0.85</v>
      </c>
      <c r="L28" s="255"/>
      <c r="M28" s="256">
        <f>M26/K28</f>
        <v>119.34420485253754</v>
      </c>
      <c r="N28" s="257"/>
      <c r="P28" s="258" t="s">
        <v>193</v>
      </c>
      <c r="Q28" s="259"/>
      <c r="R28" s="259"/>
      <c r="S28" s="260">
        <f>S27*4+0.02</f>
        <v>115.32785805781457</v>
      </c>
      <c r="T28" s="261" t="s">
        <v>194</v>
      </c>
      <c r="U28" s="235"/>
    </row>
    <row r="29" spans="2:21" ht="15" customHeight="1" x14ac:dyDescent="0.2">
      <c r="G29" s="69"/>
      <c r="H29" s="69"/>
      <c r="N29" s="69"/>
      <c r="S29" s="99"/>
      <c r="U29" s="235"/>
    </row>
    <row r="30" spans="2:21" ht="15" customHeight="1" thickBot="1" x14ac:dyDescent="0.25">
      <c r="F30" s="69"/>
      <c r="G30" s="69"/>
      <c r="H30" s="69"/>
      <c r="M30" s="194"/>
      <c r="N30" s="262"/>
      <c r="P30" s="162" t="s">
        <v>195</v>
      </c>
      <c r="Q30" s="162"/>
      <c r="R30" s="212"/>
      <c r="S30" s="213"/>
      <c r="T30" s="69"/>
      <c r="U30" s="235"/>
    </row>
    <row r="31" spans="2:21" ht="15" customHeight="1" x14ac:dyDescent="0.2">
      <c r="F31" s="69"/>
      <c r="H31" s="69"/>
      <c r="N31" s="263"/>
      <c r="P31" s="225" t="s">
        <v>196</v>
      </c>
      <c r="Q31" s="226"/>
      <c r="R31" s="226"/>
      <c r="S31" s="227"/>
      <c r="T31" s="228"/>
      <c r="U31" s="264"/>
    </row>
    <row r="32" spans="2:21" ht="15" customHeight="1" x14ac:dyDescent="0.2">
      <c r="G32" s="69"/>
      <c r="H32" s="69"/>
      <c r="N32" s="263"/>
      <c r="P32" s="231" t="s">
        <v>183</v>
      </c>
      <c r="Q32" s="232"/>
      <c r="R32" s="232"/>
      <c r="S32" s="233"/>
      <c r="T32" s="234"/>
    </row>
    <row r="33" spans="7:21" ht="15" customHeight="1" x14ac:dyDescent="0.2">
      <c r="G33" s="69"/>
      <c r="H33" s="69"/>
      <c r="P33" s="231" t="s">
        <v>185</v>
      </c>
      <c r="Q33" s="232"/>
      <c r="R33" s="232"/>
      <c r="S33" s="240">
        <f>(30*0.45)*2</f>
        <v>27</v>
      </c>
      <c r="T33" s="241" t="s">
        <v>186</v>
      </c>
    </row>
    <row r="34" spans="7:21" ht="15" customHeight="1" x14ac:dyDescent="0.2">
      <c r="H34" s="69"/>
      <c r="P34" s="231" t="s">
        <v>188</v>
      </c>
      <c r="Q34" s="232"/>
      <c r="R34" s="232"/>
      <c r="S34" s="240">
        <v>6.9379514170040482</v>
      </c>
      <c r="T34" s="241" t="s">
        <v>189</v>
      </c>
      <c r="U34" s="235"/>
    </row>
    <row r="35" spans="7:21" ht="15" customHeight="1" x14ac:dyDescent="0.2">
      <c r="H35" s="69"/>
      <c r="K35" s="265"/>
      <c r="P35" s="231" t="s">
        <v>197</v>
      </c>
      <c r="Q35" s="232"/>
      <c r="R35" s="232"/>
      <c r="S35" s="240">
        <f>S18+S34</f>
        <v>32.298594948168279</v>
      </c>
      <c r="T35" s="241" t="s">
        <v>192</v>
      </c>
    </row>
    <row r="36" spans="7:21" ht="15" customHeight="1" thickBot="1" x14ac:dyDescent="0.25">
      <c r="H36" s="69"/>
      <c r="P36" s="258" t="s">
        <v>198</v>
      </c>
      <c r="Q36" s="259"/>
      <c r="R36" s="259"/>
      <c r="S36" s="260">
        <f>S35*4+0.01</f>
        <v>129.20437979267311</v>
      </c>
      <c r="T36" s="261" t="s">
        <v>194</v>
      </c>
    </row>
    <row r="37" spans="7:21" ht="15" customHeight="1" x14ac:dyDescent="0.2">
      <c r="H37" s="69"/>
    </row>
    <row r="38" spans="7:21" ht="15" customHeight="1" x14ac:dyDescent="0.2">
      <c r="H38" s="69"/>
      <c r="S38" s="69"/>
    </row>
    <row r="40" spans="7:21" ht="15" customHeight="1" x14ac:dyDescent="0.2">
      <c r="H40" s="69"/>
    </row>
    <row r="41" spans="7:21" ht="15" customHeight="1" x14ac:dyDescent="0.2">
      <c r="H41" s="69"/>
    </row>
    <row r="72" spans="8:8" ht="24.75" customHeight="1" x14ac:dyDescent="0.2">
      <c r="H72" s="266" t="s">
        <v>199</v>
      </c>
    </row>
  </sheetData>
  <mergeCells count="9">
    <mergeCell ref="P18:Q18"/>
    <mergeCell ref="P19:Q19"/>
    <mergeCell ref="P20:Q20"/>
    <mergeCell ref="B2:E2"/>
    <mergeCell ref="B3:F3"/>
    <mergeCell ref="I3:M3"/>
    <mergeCell ref="P3:Q3"/>
    <mergeCell ref="B4:C4"/>
    <mergeCell ref="D4:F4"/>
  </mergeCells>
  <pageMargins left="0.25" right="0" top="0.25" bottom="0.25" header="0.3" footer="0.3"/>
  <pageSetup scale="60" orientation="landscape" cellComments="asDisplayed"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7020-3A43-4652-8813-0E447C7CC529}">
  <sheetPr>
    <pageSetUpPr fitToPage="1"/>
  </sheetPr>
  <dimension ref="A2:I107"/>
  <sheetViews>
    <sheetView workbookViewId="0">
      <selection activeCell="E25" sqref="E25"/>
    </sheetView>
  </sheetViews>
  <sheetFormatPr defaultColWidth="9.28515625" defaultRowHeight="12.75" x14ac:dyDescent="0.2"/>
  <cols>
    <col min="1" max="1" width="9.7109375" style="269" customWidth="1"/>
    <col min="2" max="2" width="12.28515625" style="269" customWidth="1"/>
    <col min="3" max="3" width="13" style="269" customWidth="1"/>
    <col min="4" max="4" width="10.7109375" style="269" customWidth="1"/>
    <col min="5" max="5" width="11.42578125" style="270" customWidth="1"/>
    <col min="6" max="6" width="12.7109375" style="270" customWidth="1"/>
    <col min="7" max="7" width="12" style="270" customWidth="1"/>
    <col min="8" max="8" width="10.5703125" style="270" customWidth="1"/>
    <col min="9" max="9" width="13.28515625" style="269" customWidth="1"/>
    <col min="10" max="10" width="7.28515625" style="269" customWidth="1"/>
    <col min="11" max="11" width="7.5703125" style="269" customWidth="1"/>
    <col min="12" max="12" width="23" style="269" customWidth="1"/>
    <col min="13" max="13" width="14.5703125" style="269" customWidth="1"/>
    <col min="14" max="14" width="11.5703125" style="269" customWidth="1"/>
    <col min="15" max="15" width="19.5703125" style="269" customWidth="1"/>
    <col min="16" max="16384" width="9.28515625" style="269"/>
  </cols>
  <sheetData>
    <row r="2" spans="1:9" ht="13.5" thickBot="1" x14ac:dyDescent="0.25">
      <c r="A2" s="267"/>
      <c r="B2" s="268" t="s">
        <v>200</v>
      </c>
      <c r="C2" s="268"/>
      <c r="E2" s="269"/>
    </row>
    <row r="3" spans="1:9" ht="16.5" customHeight="1" thickBot="1" x14ac:dyDescent="0.3">
      <c r="A3" s="267"/>
      <c r="B3" s="271" t="s">
        <v>201</v>
      </c>
      <c r="C3" s="272"/>
      <c r="D3" s="273" t="s">
        <v>202</v>
      </c>
      <c r="E3" s="274"/>
      <c r="F3" s="269"/>
      <c r="G3" s="269"/>
      <c r="H3" s="269"/>
    </row>
    <row r="4" spans="1:9" ht="12.75" customHeight="1" x14ac:dyDescent="0.2">
      <c r="A4" s="270"/>
      <c r="B4" s="275" t="s">
        <v>203</v>
      </c>
      <c r="C4" s="276"/>
      <c r="D4" s="277"/>
      <c r="E4" s="278" t="s">
        <v>204</v>
      </c>
      <c r="F4" s="269"/>
      <c r="G4" s="279"/>
      <c r="H4" s="279"/>
    </row>
    <row r="5" spans="1:9" x14ac:dyDescent="0.2">
      <c r="A5" s="280"/>
      <c r="B5" s="281"/>
      <c r="C5" s="282" t="s">
        <v>205</v>
      </c>
      <c r="D5" s="283" t="s">
        <v>206</v>
      </c>
      <c r="E5" s="284" t="s">
        <v>205</v>
      </c>
      <c r="F5" s="269"/>
      <c r="G5" s="269"/>
      <c r="H5" s="269"/>
    </row>
    <row r="6" spans="1:9" ht="13.5" thickBot="1" x14ac:dyDescent="0.25">
      <c r="A6" s="280"/>
      <c r="B6" s="285"/>
      <c r="C6" s="286"/>
      <c r="D6" s="287">
        <f>'CAF Spring 2023'!CI26</f>
        <v>2.7100379121522307E-2</v>
      </c>
      <c r="E6" s="284"/>
      <c r="F6" s="269"/>
      <c r="G6" s="288"/>
      <c r="H6" s="288"/>
      <c r="I6" s="288"/>
    </row>
    <row r="7" spans="1:9" x14ac:dyDescent="0.2">
      <c r="A7" s="280"/>
      <c r="B7" s="289" t="s">
        <v>207</v>
      </c>
      <c r="C7" s="290">
        <v>26.680732461242627</v>
      </c>
      <c r="D7" s="291"/>
      <c r="E7" s="292">
        <f>C7*(1+$D$6)</f>
        <v>27.403790426182209</v>
      </c>
      <c r="F7" s="293"/>
      <c r="G7" s="294"/>
      <c r="H7" s="294"/>
      <c r="I7" s="294"/>
    </row>
    <row r="8" spans="1:9" x14ac:dyDescent="0.2">
      <c r="A8" s="280"/>
      <c r="B8" s="295" t="s">
        <v>208</v>
      </c>
      <c r="C8" s="290">
        <v>25.104143724896474</v>
      </c>
      <c r="D8" s="291"/>
      <c r="E8" s="296">
        <f t="shared" ref="E8:E11" si="0">C8*(1+$D$6)</f>
        <v>25.784475537362354</v>
      </c>
      <c r="F8" s="293"/>
      <c r="G8" s="294"/>
      <c r="H8" s="294"/>
      <c r="I8" s="294"/>
    </row>
    <row r="9" spans="1:9" x14ac:dyDescent="0.2">
      <c r="A9" s="280"/>
      <c r="B9" s="295" t="s">
        <v>209</v>
      </c>
      <c r="C9" s="290">
        <v>25.225419781538488</v>
      </c>
      <c r="D9" s="291"/>
      <c r="E9" s="296">
        <f t="shared" si="0"/>
        <v>25.909038221117729</v>
      </c>
      <c r="F9" s="293"/>
      <c r="G9" s="294"/>
      <c r="H9" s="294"/>
      <c r="I9" s="294"/>
    </row>
    <row r="10" spans="1:9" x14ac:dyDescent="0.2">
      <c r="A10" s="280"/>
      <c r="B10" s="295" t="s">
        <v>210</v>
      </c>
      <c r="C10" s="290">
        <v>25.99350147360456</v>
      </c>
      <c r="D10" s="291"/>
      <c r="E10" s="296">
        <f t="shared" si="0"/>
        <v>26.697935218235092</v>
      </c>
      <c r="F10" s="293"/>
      <c r="G10" s="294"/>
      <c r="H10" s="294"/>
      <c r="I10" s="294"/>
    </row>
    <row r="11" spans="1:9" ht="13.5" thickBot="1" x14ac:dyDescent="0.25">
      <c r="A11" s="280"/>
      <c r="B11" s="297" t="s">
        <v>211</v>
      </c>
      <c r="C11" s="298">
        <v>25.912650769176555</v>
      </c>
      <c r="D11" s="299"/>
      <c r="E11" s="300">
        <f t="shared" si="0"/>
        <v>26.614893429064846</v>
      </c>
      <c r="F11" s="293"/>
      <c r="G11" s="294"/>
      <c r="H11" s="294"/>
      <c r="I11" s="294"/>
    </row>
    <row r="12" spans="1:9" x14ac:dyDescent="0.2">
      <c r="A12" s="280"/>
      <c r="E12" s="269"/>
    </row>
    <row r="13" spans="1:9" x14ac:dyDescent="0.2">
      <c r="A13" s="280"/>
      <c r="H13" s="269"/>
    </row>
    <row r="14" spans="1:9" x14ac:dyDescent="0.2">
      <c r="A14" s="280"/>
      <c r="B14" s="280"/>
      <c r="C14" s="280"/>
      <c r="D14" s="280"/>
      <c r="E14" s="280"/>
      <c r="F14" s="280"/>
      <c r="G14" s="280"/>
      <c r="H14" s="280"/>
      <c r="I14" s="270"/>
    </row>
    <row r="15" spans="1:9" x14ac:dyDescent="0.2">
      <c r="A15" s="280"/>
      <c r="B15" s="280"/>
      <c r="C15" s="280"/>
      <c r="D15" s="280"/>
      <c r="E15" s="280"/>
      <c r="F15" s="280"/>
      <c r="G15" s="280"/>
      <c r="H15" s="280"/>
      <c r="I15" s="270"/>
    </row>
    <row r="16" spans="1:9" ht="18.75" x14ac:dyDescent="0.3">
      <c r="A16" s="280"/>
      <c r="B16" s="280"/>
      <c r="C16" s="280"/>
      <c r="D16" s="280"/>
      <c r="E16" s="301"/>
      <c r="F16" s="280"/>
      <c r="G16" s="280"/>
      <c r="H16" s="280"/>
      <c r="I16" s="270"/>
    </row>
    <row r="17" spans="1:8" x14ac:dyDescent="0.2">
      <c r="A17" s="280"/>
      <c r="B17" s="280"/>
      <c r="C17" s="280"/>
      <c r="D17" s="280"/>
      <c r="E17" s="280"/>
      <c r="F17" s="280"/>
      <c r="G17" s="280"/>
      <c r="H17" s="280"/>
    </row>
    <row r="18" spans="1:8" x14ac:dyDescent="0.2">
      <c r="A18" s="280"/>
      <c r="B18" s="280"/>
      <c r="C18" s="280"/>
      <c r="D18" s="280"/>
      <c r="E18" s="280"/>
      <c r="F18" s="280"/>
      <c r="G18" s="280"/>
      <c r="H18" s="280"/>
    </row>
    <row r="19" spans="1:8" x14ac:dyDescent="0.2">
      <c r="A19" s="280"/>
      <c r="B19" s="280"/>
      <c r="C19" s="280"/>
      <c r="D19" s="280"/>
      <c r="E19" s="280"/>
      <c r="F19" s="280"/>
      <c r="G19" s="280"/>
    </row>
    <row r="20" spans="1:8" x14ac:dyDescent="0.2">
      <c r="A20" s="280"/>
      <c r="B20" s="280"/>
      <c r="C20" s="280"/>
      <c r="D20" s="280"/>
      <c r="E20" s="280"/>
      <c r="F20" s="280"/>
      <c r="G20" s="280"/>
    </row>
    <row r="21" spans="1:8" x14ac:dyDescent="0.2">
      <c r="A21" s="280"/>
      <c r="B21" s="280"/>
      <c r="C21" s="280"/>
      <c r="D21" s="280"/>
    </row>
    <row r="22" spans="1:8" x14ac:dyDescent="0.2">
      <c r="A22" s="280"/>
      <c r="B22" s="280"/>
      <c r="C22" s="280"/>
      <c r="D22" s="280"/>
    </row>
    <row r="23" spans="1:8" x14ac:dyDescent="0.2">
      <c r="A23" s="280"/>
      <c r="B23" s="280"/>
      <c r="C23" s="280"/>
      <c r="D23" s="280"/>
    </row>
    <row r="24" spans="1:8" x14ac:dyDescent="0.2">
      <c r="A24" s="280"/>
      <c r="B24" s="280"/>
      <c r="C24" s="280"/>
      <c r="D24" s="280"/>
    </row>
    <row r="25" spans="1:8" ht="15.75" customHeight="1" x14ac:dyDescent="0.2">
      <c r="A25" s="302"/>
      <c r="B25" s="302"/>
      <c r="C25" s="302"/>
      <c r="D25" s="302"/>
    </row>
    <row r="26" spans="1:8" ht="14.25" customHeight="1" x14ac:dyDescent="0.2">
      <c r="A26" s="302"/>
      <c r="B26" s="302"/>
      <c r="C26" s="302"/>
      <c r="D26" s="302"/>
    </row>
    <row r="27" spans="1:8" ht="14.25" customHeight="1" x14ac:dyDescent="0.2">
      <c r="A27" s="303"/>
      <c r="B27" s="303"/>
      <c r="C27" s="303"/>
      <c r="D27" s="303"/>
      <c r="E27" s="304"/>
    </row>
    <row r="28" spans="1:8" ht="12" customHeight="1" x14ac:dyDescent="0.2"/>
    <row r="29" spans="1:8" x14ac:dyDescent="0.2">
      <c r="A29" s="305"/>
    </row>
    <row r="30" spans="1:8" x14ac:dyDescent="0.2">
      <c r="A30" s="305"/>
    </row>
    <row r="31" spans="1:8" x14ac:dyDescent="0.2">
      <c r="A31" s="305"/>
    </row>
    <row r="32" spans="1:8" x14ac:dyDescent="0.2">
      <c r="A32" s="305"/>
    </row>
    <row r="33" spans="1:4" x14ac:dyDescent="0.2">
      <c r="A33" s="305"/>
    </row>
    <row r="34" spans="1:4" x14ac:dyDescent="0.2">
      <c r="A34" s="305"/>
    </row>
    <row r="35" spans="1:4" x14ac:dyDescent="0.2">
      <c r="A35" s="305"/>
    </row>
    <row r="36" spans="1:4" x14ac:dyDescent="0.2">
      <c r="A36" s="305"/>
    </row>
    <row r="37" spans="1:4" x14ac:dyDescent="0.2">
      <c r="A37" s="305"/>
    </row>
    <row r="38" spans="1:4" x14ac:dyDescent="0.2">
      <c r="A38" s="305"/>
    </row>
    <row r="39" spans="1:4" x14ac:dyDescent="0.2">
      <c r="A39" s="305"/>
    </row>
    <row r="40" spans="1:4" x14ac:dyDescent="0.2">
      <c r="A40" s="305"/>
    </row>
    <row r="41" spans="1:4" x14ac:dyDescent="0.2">
      <c r="A41" s="305"/>
    </row>
    <row r="42" spans="1:4" x14ac:dyDescent="0.2">
      <c r="A42" s="305"/>
    </row>
    <row r="44" spans="1:4" s="270" customFormat="1" x14ac:dyDescent="0.2">
      <c r="A44" s="269"/>
      <c r="B44" s="269"/>
      <c r="C44" s="269"/>
      <c r="D44" s="269"/>
    </row>
    <row r="45" spans="1:4" s="270" customFormat="1" x14ac:dyDescent="0.2">
      <c r="A45" s="269"/>
      <c r="B45" s="269"/>
      <c r="C45" s="269"/>
      <c r="D45" s="269"/>
    </row>
    <row r="46" spans="1:4" s="270" customFormat="1" x14ac:dyDescent="0.2">
      <c r="A46" s="269"/>
      <c r="B46" s="269"/>
      <c r="C46" s="269"/>
      <c r="D46" s="269"/>
    </row>
    <row r="47" spans="1:4" s="270" customFormat="1" x14ac:dyDescent="0.2">
      <c r="A47" s="269"/>
      <c r="B47" s="269"/>
      <c r="C47" s="269"/>
      <c r="D47" s="269"/>
    </row>
    <row r="48" spans="1:4" s="270" customFormat="1" x14ac:dyDescent="0.2">
      <c r="A48" s="269"/>
      <c r="B48" s="269"/>
      <c r="C48" s="269"/>
      <c r="D48" s="269"/>
    </row>
    <row r="49" spans="1:4" s="270" customFormat="1" x14ac:dyDescent="0.2">
      <c r="A49" s="269"/>
      <c r="B49" s="269"/>
      <c r="C49" s="269"/>
      <c r="D49" s="269"/>
    </row>
    <row r="50" spans="1:4" s="270" customFormat="1" x14ac:dyDescent="0.2">
      <c r="A50" s="269"/>
      <c r="B50" s="269"/>
      <c r="C50" s="269"/>
      <c r="D50" s="269"/>
    </row>
    <row r="51" spans="1:4" s="270" customFormat="1" x14ac:dyDescent="0.2">
      <c r="A51" s="269"/>
      <c r="B51" s="269"/>
      <c r="C51" s="269"/>
      <c r="D51" s="269"/>
    </row>
    <row r="52" spans="1:4" s="270" customFormat="1" x14ac:dyDescent="0.2">
      <c r="A52" s="269"/>
      <c r="B52" s="269"/>
      <c r="C52" s="269"/>
      <c r="D52" s="269"/>
    </row>
    <row r="53" spans="1:4" s="270" customFormat="1" x14ac:dyDescent="0.2">
      <c r="A53" s="269"/>
      <c r="B53" s="269"/>
      <c r="C53" s="269"/>
      <c r="D53" s="269"/>
    </row>
    <row r="54" spans="1:4" s="270" customFormat="1" x14ac:dyDescent="0.2">
      <c r="A54" s="269"/>
      <c r="B54" s="269"/>
      <c r="C54" s="269"/>
      <c r="D54" s="269"/>
    </row>
    <row r="55" spans="1:4" s="270" customFormat="1" x14ac:dyDescent="0.2">
      <c r="A55" s="269"/>
      <c r="B55" s="269"/>
      <c r="C55" s="269"/>
      <c r="D55" s="269"/>
    </row>
    <row r="56" spans="1:4" s="270" customFormat="1" x14ac:dyDescent="0.2">
      <c r="A56" s="269"/>
      <c r="B56" s="269"/>
      <c r="C56" s="269"/>
      <c r="D56" s="269"/>
    </row>
    <row r="57" spans="1:4" s="270" customFormat="1" x14ac:dyDescent="0.2">
      <c r="A57" s="269"/>
      <c r="B57" s="269"/>
      <c r="C57" s="269"/>
      <c r="D57" s="269"/>
    </row>
    <row r="58" spans="1:4" s="270" customFormat="1" x14ac:dyDescent="0.2">
      <c r="A58" s="269"/>
      <c r="B58" s="269"/>
      <c r="C58" s="269"/>
      <c r="D58" s="269"/>
    </row>
    <row r="59" spans="1:4" s="270" customFormat="1" x14ac:dyDescent="0.2">
      <c r="A59" s="269"/>
      <c r="B59" s="269"/>
      <c r="C59" s="269"/>
      <c r="D59" s="269"/>
    </row>
    <row r="60" spans="1:4" s="270" customFormat="1" x14ac:dyDescent="0.2">
      <c r="A60" s="269"/>
      <c r="B60" s="269"/>
      <c r="C60" s="269"/>
      <c r="D60" s="269"/>
    </row>
    <row r="61" spans="1:4" s="270" customFormat="1" x14ac:dyDescent="0.2">
      <c r="A61" s="269"/>
      <c r="B61" s="269"/>
      <c r="C61" s="269"/>
      <c r="D61" s="269"/>
    </row>
    <row r="62" spans="1:4" s="270" customFormat="1" x14ac:dyDescent="0.2">
      <c r="A62" s="269"/>
      <c r="B62" s="269"/>
      <c r="C62" s="269"/>
      <c r="D62" s="269"/>
    </row>
    <row r="63" spans="1:4" s="270" customFormat="1" x14ac:dyDescent="0.2">
      <c r="A63" s="269"/>
      <c r="B63" s="269"/>
      <c r="C63" s="269"/>
      <c r="D63" s="269"/>
    </row>
    <row r="64" spans="1:4" s="270" customFormat="1" x14ac:dyDescent="0.2">
      <c r="A64" s="269"/>
      <c r="B64" s="269"/>
      <c r="C64" s="269"/>
      <c r="D64" s="269"/>
    </row>
    <row r="65" spans="1:4" s="270" customFormat="1" x14ac:dyDescent="0.2">
      <c r="A65" s="269"/>
      <c r="B65" s="269"/>
      <c r="C65" s="269"/>
      <c r="D65" s="269"/>
    </row>
    <row r="66" spans="1:4" s="270" customFormat="1" x14ac:dyDescent="0.2">
      <c r="A66" s="269"/>
      <c r="B66" s="269"/>
      <c r="C66" s="269"/>
      <c r="D66" s="269"/>
    </row>
    <row r="67" spans="1:4" s="270" customFormat="1" x14ac:dyDescent="0.2">
      <c r="A67" s="269"/>
      <c r="B67" s="269"/>
      <c r="C67" s="269"/>
      <c r="D67" s="269"/>
    </row>
    <row r="68" spans="1:4" s="270" customFormat="1" x14ac:dyDescent="0.2">
      <c r="A68" s="269"/>
      <c r="B68" s="269"/>
      <c r="C68" s="269"/>
      <c r="D68" s="269"/>
    </row>
    <row r="69" spans="1:4" s="270" customFormat="1" x14ac:dyDescent="0.2">
      <c r="A69" s="269"/>
      <c r="B69" s="269"/>
      <c r="C69" s="269"/>
      <c r="D69" s="269"/>
    </row>
    <row r="70" spans="1:4" s="270" customFormat="1" x14ac:dyDescent="0.2">
      <c r="A70" s="269"/>
      <c r="B70" s="269"/>
      <c r="C70" s="269"/>
      <c r="D70" s="269"/>
    </row>
    <row r="71" spans="1:4" s="270" customFormat="1" x14ac:dyDescent="0.2">
      <c r="A71" s="269"/>
      <c r="B71" s="269"/>
      <c r="C71" s="269"/>
      <c r="D71" s="269"/>
    </row>
    <row r="72" spans="1:4" s="270" customFormat="1" x14ac:dyDescent="0.2">
      <c r="A72" s="269"/>
      <c r="B72" s="269"/>
      <c r="C72" s="269"/>
      <c r="D72" s="269"/>
    </row>
    <row r="73" spans="1:4" s="270" customFormat="1" x14ac:dyDescent="0.2">
      <c r="A73" s="269"/>
      <c r="B73" s="269"/>
      <c r="C73" s="269"/>
      <c r="D73" s="269"/>
    </row>
    <row r="74" spans="1:4" s="270" customFormat="1" x14ac:dyDescent="0.2">
      <c r="A74" s="269"/>
      <c r="B74" s="269"/>
      <c r="C74" s="269"/>
      <c r="D74" s="269"/>
    </row>
    <row r="75" spans="1:4" s="270" customFormat="1" x14ac:dyDescent="0.2">
      <c r="A75" s="269"/>
      <c r="B75" s="269"/>
      <c r="C75" s="269"/>
      <c r="D75" s="269"/>
    </row>
    <row r="76" spans="1:4" s="270" customFormat="1" x14ac:dyDescent="0.2">
      <c r="A76" s="269"/>
      <c r="B76" s="269"/>
      <c r="C76" s="269"/>
      <c r="D76" s="269"/>
    </row>
    <row r="77" spans="1:4" s="270" customFormat="1" x14ac:dyDescent="0.2">
      <c r="A77" s="269"/>
      <c r="B77" s="269"/>
      <c r="C77" s="269"/>
      <c r="D77" s="269"/>
    </row>
    <row r="78" spans="1:4" s="270" customFormat="1" x14ac:dyDescent="0.2">
      <c r="A78" s="269"/>
      <c r="B78" s="269"/>
      <c r="C78" s="269"/>
      <c r="D78" s="269"/>
    </row>
    <row r="79" spans="1:4" s="270" customFormat="1" x14ac:dyDescent="0.2">
      <c r="A79" s="269"/>
      <c r="B79" s="269"/>
      <c r="C79" s="269"/>
      <c r="D79" s="269"/>
    </row>
    <row r="80" spans="1:4" s="270" customFormat="1" x14ac:dyDescent="0.2">
      <c r="A80" s="269"/>
      <c r="B80" s="269"/>
      <c r="C80" s="269"/>
      <c r="D80" s="269"/>
    </row>
    <row r="81" spans="1:4" s="270" customFormat="1" x14ac:dyDescent="0.2">
      <c r="A81" s="269"/>
      <c r="B81" s="269"/>
      <c r="C81" s="269"/>
      <c r="D81" s="269"/>
    </row>
    <row r="82" spans="1:4" s="270" customFormat="1" x14ac:dyDescent="0.2">
      <c r="A82" s="269"/>
      <c r="B82" s="269"/>
      <c r="C82" s="269"/>
      <c r="D82" s="269"/>
    </row>
    <row r="83" spans="1:4" s="270" customFormat="1" x14ac:dyDescent="0.2">
      <c r="A83" s="269"/>
      <c r="B83" s="269"/>
      <c r="C83" s="269"/>
      <c r="D83" s="269"/>
    </row>
    <row r="84" spans="1:4" s="270" customFormat="1" x14ac:dyDescent="0.2">
      <c r="A84" s="269"/>
      <c r="B84" s="269"/>
      <c r="C84" s="269"/>
      <c r="D84" s="269"/>
    </row>
    <row r="85" spans="1:4" s="270" customFormat="1" x14ac:dyDescent="0.2">
      <c r="A85" s="269"/>
      <c r="B85" s="269"/>
      <c r="C85" s="269"/>
      <c r="D85" s="269"/>
    </row>
    <row r="86" spans="1:4" s="270" customFormat="1" x14ac:dyDescent="0.2">
      <c r="A86" s="269"/>
      <c r="B86" s="269"/>
      <c r="C86" s="269"/>
      <c r="D86" s="269"/>
    </row>
    <row r="87" spans="1:4" s="270" customFormat="1" x14ac:dyDescent="0.2">
      <c r="A87" s="269"/>
      <c r="B87" s="269"/>
      <c r="C87" s="269"/>
      <c r="D87" s="269"/>
    </row>
    <row r="88" spans="1:4" s="270" customFormat="1" x14ac:dyDescent="0.2">
      <c r="A88" s="269"/>
      <c r="B88" s="269"/>
      <c r="C88" s="269"/>
      <c r="D88" s="269"/>
    </row>
    <row r="89" spans="1:4" s="270" customFormat="1" x14ac:dyDescent="0.2">
      <c r="A89" s="269"/>
      <c r="B89" s="269"/>
      <c r="C89" s="269"/>
      <c r="D89" s="269"/>
    </row>
    <row r="90" spans="1:4" s="270" customFormat="1" x14ac:dyDescent="0.2">
      <c r="A90" s="269"/>
      <c r="B90" s="269"/>
      <c r="C90" s="269"/>
      <c r="D90" s="269"/>
    </row>
    <row r="91" spans="1:4" s="270" customFormat="1" x14ac:dyDescent="0.2">
      <c r="A91" s="269"/>
      <c r="B91" s="269"/>
      <c r="C91" s="269"/>
      <c r="D91" s="269"/>
    </row>
    <row r="92" spans="1:4" s="270" customFormat="1" x14ac:dyDescent="0.2">
      <c r="A92" s="269"/>
      <c r="B92" s="269"/>
      <c r="C92" s="269"/>
      <c r="D92" s="269"/>
    </row>
    <row r="93" spans="1:4" s="270" customFormat="1" x14ac:dyDescent="0.2">
      <c r="A93" s="269"/>
      <c r="B93" s="269"/>
      <c r="C93" s="269"/>
      <c r="D93" s="269"/>
    </row>
    <row r="94" spans="1:4" s="270" customFormat="1" x14ac:dyDescent="0.2">
      <c r="A94" s="269"/>
      <c r="B94" s="269"/>
      <c r="C94" s="269"/>
      <c r="D94" s="269"/>
    </row>
    <row r="95" spans="1:4" s="270" customFormat="1" x14ac:dyDescent="0.2">
      <c r="A95" s="269"/>
      <c r="B95" s="269"/>
      <c r="C95" s="269"/>
      <c r="D95" s="269"/>
    </row>
    <row r="96" spans="1:4" s="270" customFormat="1" x14ac:dyDescent="0.2">
      <c r="A96" s="269"/>
      <c r="B96" s="269"/>
      <c r="C96" s="269"/>
      <c r="D96" s="269"/>
    </row>
    <row r="97" spans="1:4" s="270" customFormat="1" x14ac:dyDescent="0.2">
      <c r="A97" s="269"/>
      <c r="B97" s="269"/>
      <c r="C97" s="269"/>
      <c r="D97" s="269"/>
    </row>
    <row r="98" spans="1:4" s="270" customFormat="1" x14ac:dyDescent="0.2">
      <c r="A98" s="269"/>
      <c r="B98" s="269"/>
      <c r="C98" s="269"/>
      <c r="D98" s="269"/>
    </row>
    <row r="99" spans="1:4" s="270" customFormat="1" x14ac:dyDescent="0.2">
      <c r="A99" s="269"/>
      <c r="B99" s="269"/>
      <c r="C99" s="269"/>
      <c r="D99" s="269"/>
    </row>
    <row r="100" spans="1:4" s="270" customFormat="1" x14ac:dyDescent="0.2">
      <c r="A100" s="269"/>
      <c r="B100" s="269"/>
      <c r="C100" s="269"/>
      <c r="D100" s="269"/>
    </row>
    <row r="101" spans="1:4" s="270" customFormat="1" x14ac:dyDescent="0.2">
      <c r="A101" s="269"/>
      <c r="B101" s="269"/>
      <c r="C101" s="269"/>
      <c r="D101" s="269"/>
    </row>
    <row r="102" spans="1:4" s="270" customFormat="1" x14ac:dyDescent="0.2">
      <c r="A102" s="269"/>
      <c r="B102" s="269"/>
      <c r="C102" s="269"/>
      <c r="D102" s="269"/>
    </row>
    <row r="103" spans="1:4" s="270" customFormat="1" x14ac:dyDescent="0.2">
      <c r="A103" s="269"/>
      <c r="B103" s="269"/>
      <c r="C103" s="269"/>
      <c r="D103" s="269"/>
    </row>
    <row r="104" spans="1:4" s="270" customFormat="1" x14ac:dyDescent="0.2">
      <c r="A104" s="269"/>
      <c r="B104" s="269"/>
      <c r="C104" s="269"/>
      <c r="D104" s="269"/>
    </row>
    <row r="105" spans="1:4" s="270" customFormat="1" x14ac:dyDescent="0.2">
      <c r="A105" s="269"/>
      <c r="B105" s="269"/>
      <c r="C105" s="269"/>
      <c r="D105" s="269"/>
    </row>
    <row r="106" spans="1:4" s="270" customFormat="1" x14ac:dyDescent="0.2">
      <c r="A106" s="269"/>
      <c r="B106" s="269"/>
      <c r="C106" s="269"/>
      <c r="D106" s="269"/>
    </row>
    <row r="107" spans="1:4" s="270" customFormat="1" x14ac:dyDescent="0.2">
      <c r="A107" s="269"/>
      <c r="B107" s="269"/>
      <c r="C107" s="269"/>
      <c r="D107" s="269"/>
    </row>
  </sheetData>
  <mergeCells count="4">
    <mergeCell ref="B2:C2"/>
    <mergeCell ref="B3:C3"/>
    <mergeCell ref="D3:E3"/>
    <mergeCell ref="B4:B6"/>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A113-05ED-48A8-B59C-E8C871DEB633}">
  <sheetPr>
    <pageSetUpPr fitToPage="1"/>
  </sheetPr>
  <dimension ref="B2:S99"/>
  <sheetViews>
    <sheetView zoomScale="90" zoomScaleNormal="90" zoomScaleSheetLayoutView="100" workbookViewId="0">
      <selection activeCell="N27" sqref="N27:N28"/>
    </sheetView>
  </sheetViews>
  <sheetFormatPr defaultColWidth="9.28515625" defaultRowHeight="12.75" x14ac:dyDescent="0.2"/>
  <cols>
    <col min="1" max="1" width="9.28515625" style="269"/>
    <col min="2" max="2" width="38.5703125" style="269" customWidth="1"/>
    <col min="3" max="3" width="12.28515625" style="269" customWidth="1"/>
    <col min="4" max="4" width="11.7109375" style="269" customWidth="1"/>
    <col min="5" max="5" width="6" style="269" customWidth="1"/>
    <col min="6" max="6" width="13.42578125" style="269" customWidth="1"/>
    <col min="7" max="7" width="15.42578125" style="269" customWidth="1"/>
    <col min="8" max="8" width="0.28515625" style="269" customWidth="1"/>
    <col min="9" max="9" width="3.42578125" style="269" customWidth="1"/>
    <col min="10" max="10" width="3.5703125" style="269" customWidth="1"/>
    <col min="11" max="11" width="42.28515625" style="269" bestFit="1" customWidth="1"/>
    <col min="12" max="12" width="9" style="269" customWidth="1"/>
    <col min="13" max="13" width="11.5703125" style="269" customWidth="1"/>
    <col min="14" max="14" width="12.7109375" style="269" customWidth="1"/>
    <col min="15" max="15" width="9.5703125" style="269" bestFit="1" customWidth="1"/>
    <col min="16" max="16" width="31.7109375" style="269" bestFit="1" customWidth="1"/>
    <col min="17" max="16384" width="9.28515625" style="269"/>
  </cols>
  <sheetData>
    <row r="2" spans="2:19" ht="23.25" customHeight="1" thickBot="1" x14ac:dyDescent="0.25">
      <c r="K2" s="306"/>
    </row>
    <row r="3" spans="2:19" s="267" customFormat="1" ht="35.25" customHeight="1" thickBot="1" x14ac:dyDescent="0.25">
      <c r="B3" s="307" t="s">
        <v>120</v>
      </c>
      <c r="C3" s="308"/>
      <c r="D3" s="308"/>
      <c r="E3" s="308"/>
      <c r="F3" s="308"/>
      <c r="G3" s="308"/>
      <c r="H3" s="309"/>
      <c r="J3" s="310"/>
      <c r="K3" s="311" t="s">
        <v>212</v>
      </c>
      <c r="L3" s="312"/>
      <c r="M3" s="312"/>
      <c r="N3" s="313"/>
      <c r="P3" s="314" t="s">
        <v>213</v>
      </c>
      <c r="Q3" s="315" t="s">
        <v>214</v>
      </c>
      <c r="R3" s="316" t="s">
        <v>124</v>
      </c>
      <c r="S3" s="317" t="s">
        <v>125</v>
      </c>
    </row>
    <row r="4" spans="2:19" ht="15.75" customHeight="1" thickBot="1" x14ac:dyDescent="0.25">
      <c r="B4" s="318" t="s">
        <v>126</v>
      </c>
      <c r="C4" s="319"/>
      <c r="D4" s="320" t="s">
        <v>127</v>
      </c>
      <c r="E4" s="321"/>
      <c r="F4" s="321"/>
      <c r="G4" s="321"/>
      <c r="H4" s="322"/>
      <c r="K4" s="323"/>
      <c r="L4" s="324"/>
      <c r="M4" s="325" t="s">
        <v>215</v>
      </c>
      <c r="N4" s="326">
        <v>1084</v>
      </c>
      <c r="P4" s="327" t="s">
        <v>129</v>
      </c>
      <c r="Q4" s="328">
        <v>2080</v>
      </c>
      <c r="R4" s="329" t="s">
        <v>130</v>
      </c>
      <c r="S4" s="330" t="s">
        <v>131</v>
      </c>
    </row>
    <row r="5" spans="2:19" ht="15.75" customHeight="1" x14ac:dyDescent="0.2">
      <c r="B5" s="331" t="s">
        <v>216</v>
      </c>
      <c r="C5" s="332">
        <f>'M2022 BLS SALARY CHART (53_PCT)'!C22</f>
        <v>79415.232000000018</v>
      </c>
      <c r="D5" s="333" t="s">
        <v>139</v>
      </c>
      <c r="E5" s="334"/>
      <c r="F5" s="334"/>
      <c r="G5" s="334"/>
      <c r="H5" s="335"/>
      <c r="J5" s="336"/>
      <c r="K5" s="337" t="s">
        <v>217</v>
      </c>
      <c r="L5" s="338" t="s">
        <v>133</v>
      </c>
      <c r="M5" s="338" t="s">
        <v>218</v>
      </c>
      <c r="N5" s="339" t="s">
        <v>135</v>
      </c>
      <c r="P5" s="340" t="s">
        <v>136</v>
      </c>
      <c r="Q5" s="341">
        <v>80</v>
      </c>
      <c r="R5" s="342">
        <v>10</v>
      </c>
      <c r="S5" s="343" t="s">
        <v>137</v>
      </c>
    </row>
    <row r="6" spans="2:19" s="345" customFormat="1" ht="15.75" customHeight="1" x14ac:dyDescent="0.2">
      <c r="B6" s="331" t="s">
        <v>219</v>
      </c>
      <c r="C6" s="344">
        <f>'M2022 BLS SALARY CHART (53_PCT)'!C8</f>
        <v>53206.566400000003</v>
      </c>
      <c r="D6" s="333" t="s">
        <v>139</v>
      </c>
      <c r="E6" s="334"/>
      <c r="F6" s="334"/>
      <c r="G6" s="334"/>
      <c r="H6" s="335"/>
      <c r="J6" s="336"/>
      <c r="K6" s="346" t="str">
        <f>B5</f>
        <v>Director</v>
      </c>
      <c r="L6" s="347">
        <f>C5</f>
        <v>79415.232000000018</v>
      </c>
      <c r="M6" s="348">
        <v>0.2</v>
      </c>
      <c r="N6" s="349">
        <f>L6*M6</f>
        <v>15883.046400000005</v>
      </c>
      <c r="P6" s="350" t="s">
        <v>140</v>
      </c>
      <c r="Q6" s="351">
        <v>80</v>
      </c>
      <c r="R6" s="352">
        <v>10</v>
      </c>
      <c r="S6" s="353" t="s">
        <v>137</v>
      </c>
    </row>
    <row r="7" spans="2:19" ht="15.75" customHeight="1" x14ac:dyDescent="0.2">
      <c r="B7" s="331" t="s">
        <v>220</v>
      </c>
      <c r="C7" s="344">
        <f>'M2022 BLS SALARY CHART (53_PCT)'!C14</f>
        <v>64330.864000000001</v>
      </c>
      <c r="D7" s="333" t="s">
        <v>139</v>
      </c>
      <c r="E7" s="334"/>
      <c r="F7" s="334"/>
      <c r="G7" s="334"/>
      <c r="H7" s="335"/>
      <c r="J7" s="354"/>
      <c r="K7" s="346" t="str">
        <f>B6</f>
        <v>Direct Client Interaction</v>
      </c>
      <c r="L7" s="347">
        <f>C6</f>
        <v>53206.566400000003</v>
      </c>
      <c r="M7" s="348">
        <v>0.15</v>
      </c>
      <c r="N7" s="355">
        <f>L7*M7</f>
        <v>7980.9849599999998</v>
      </c>
      <c r="P7" s="356" t="s">
        <v>142</v>
      </c>
      <c r="Q7" s="357">
        <v>40</v>
      </c>
      <c r="R7" s="352">
        <v>5</v>
      </c>
      <c r="S7" s="358" t="s">
        <v>137</v>
      </c>
    </row>
    <row r="8" spans="2:19" ht="15.75" customHeight="1" x14ac:dyDescent="0.2">
      <c r="B8" s="331" t="s">
        <v>221</v>
      </c>
      <c r="C8" s="344">
        <f>'M2022 BLS SALARY CHART (53_PCT)'!C8</f>
        <v>53206.566400000003</v>
      </c>
      <c r="D8" s="333" t="s">
        <v>139</v>
      </c>
      <c r="E8" s="334"/>
      <c r="F8" s="334"/>
      <c r="G8" s="334"/>
      <c r="H8" s="335"/>
      <c r="J8" s="354"/>
      <c r="K8" s="359" t="s">
        <v>222</v>
      </c>
      <c r="L8" s="347"/>
      <c r="M8" s="348"/>
      <c r="N8" s="355"/>
      <c r="P8" s="356" t="s">
        <v>144</v>
      </c>
      <c r="Q8" s="357">
        <v>80</v>
      </c>
      <c r="R8" s="352">
        <v>10</v>
      </c>
      <c r="S8" s="358" t="s">
        <v>137</v>
      </c>
    </row>
    <row r="9" spans="2:19" ht="15.75" customHeight="1" x14ac:dyDescent="0.2">
      <c r="B9" s="360" t="s">
        <v>223</v>
      </c>
      <c r="C9" s="361">
        <f>'M2022 BLS SALARY CHART (53_PCT)'!C6</f>
        <v>41600</v>
      </c>
      <c r="D9" s="333" t="s">
        <v>139</v>
      </c>
      <c r="E9" s="362"/>
      <c r="F9" s="362"/>
      <c r="G9" s="362"/>
      <c r="H9" s="363"/>
      <c r="J9" s="354"/>
      <c r="K9" s="364" t="s">
        <v>224</v>
      </c>
      <c r="L9" s="347"/>
      <c r="M9" s="348"/>
      <c r="N9" s="355"/>
      <c r="P9" s="365" t="s">
        <v>146</v>
      </c>
      <c r="Q9" s="357">
        <v>459.53984793058396</v>
      </c>
      <c r="R9" s="366">
        <v>10.211996620679644</v>
      </c>
      <c r="S9" s="358" t="s">
        <v>147</v>
      </c>
    </row>
    <row r="10" spans="2:19" ht="15.75" customHeight="1" thickBot="1" x14ac:dyDescent="0.25">
      <c r="B10" s="367" t="s">
        <v>148</v>
      </c>
      <c r="C10" s="368"/>
      <c r="D10" s="369"/>
      <c r="E10" s="370"/>
      <c r="F10" s="370"/>
      <c r="G10" s="370"/>
      <c r="H10" s="371"/>
      <c r="J10" s="354"/>
      <c r="K10" s="372" t="s">
        <v>225</v>
      </c>
      <c r="L10" s="347"/>
      <c r="M10" s="348"/>
      <c r="N10" s="355"/>
      <c r="P10" s="373" t="s">
        <v>149</v>
      </c>
      <c r="Q10" s="374">
        <v>652.16901723222827</v>
      </c>
      <c r="R10" s="375">
        <v>14.492644827382851</v>
      </c>
      <c r="S10" s="376" t="s">
        <v>147</v>
      </c>
    </row>
    <row r="11" spans="2:19" ht="15.75" customHeight="1" thickBot="1" x14ac:dyDescent="0.25">
      <c r="B11" s="331" t="s">
        <v>216</v>
      </c>
      <c r="C11" s="377">
        <v>0.18087407407407408</v>
      </c>
      <c r="D11" s="333" t="s">
        <v>226</v>
      </c>
      <c r="E11" s="334"/>
      <c r="F11" s="334"/>
      <c r="G11" s="334"/>
      <c r="H11" s="335"/>
      <c r="J11" s="354"/>
      <c r="K11" s="346" t="str">
        <f t="shared" ref="K11:K13" si="0">B7</f>
        <v>Assistive Technology Specialist</v>
      </c>
      <c r="L11" s="347">
        <f>C7</f>
        <v>64330.864000000001</v>
      </c>
      <c r="M11" s="348">
        <v>0.65</v>
      </c>
      <c r="N11" s="355">
        <f>L11*M11</f>
        <v>41815.061600000001</v>
      </c>
      <c r="P11" s="378" t="s">
        <v>151</v>
      </c>
      <c r="Q11" s="328">
        <v>1391.7088651628123</v>
      </c>
    </row>
    <row r="12" spans="2:19" ht="15.75" customHeight="1" x14ac:dyDescent="0.2">
      <c r="B12" s="331" t="s">
        <v>227</v>
      </c>
      <c r="C12" s="377">
        <v>0.12888888888888889</v>
      </c>
      <c r="D12" s="333" t="s">
        <v>226</v>
      </c>
      <c r="E12" s="334"/>
      <c r="F12" s="334"/>
      <c r="G12" s="334"/>
      <c r="H12" s="335"/>
      <c r="J12" s="354"/>
      <c r="K12" s="346" t="str">
        <f t="shared" si="0"/>
        <v>Equipment Tech/Specialist/Designer</v>
      </c>
      <c r="L12" s="347">
        <f>C8</f>
        <v>53206.566400000003</v>
      </c>
      <c r="M12" s="348">
        <v>0.8</v>
      </c>
      <c r="N12" s="355">
        <f>L12*M12</f>
        <v>42565.253120000008</v>
      </c>
      <c r="P12" s="379" t="s">
        <v>228</v>
      </c>
      <c r="Q12" s="380">
        <v>688.29113483718766</v>
      </c>
    </row>
    <row r="13" spans="2:19" ht="15.75" customHeight="1" thickBot="1" x14ac:dyDescent="0.25">
      <c r="B13" s="331" t="s">
        <v>220</v>
      </c>
      <c r="C13" s="377">
        <v>0.628</v>
      </c>
      <c r="D13" s="333" t="s">
        <v>226</v>
      </c>
      <c r="E13" s="334"/>
      <c r="F13" s="334"/>
      <c r="G13" s="334"/>
      <c r="H13" s="335"/>
      <c r="J13" s="354"/>
      <c r="K13" s="346" t="str">
        <f t="shared" si="0"/>
        <v>Support</v>
      </c>
      <c r="L13" s="381">
        <f>C9</f>
        <v>41600</v>
      </c>
      <c r="M13" s="348">
        <v>0.24299999999999999</v>
      </c>
      <c r="N13" s="349">
        <f>L13*M13</f>
        <v>10108.799999999999</v>
      </c>
      <c r="P13" s="382" t="s">
        <v>229</v>
      </c>
      <c r="Q13" s="383">
        <v>1.5748888888888888</v>
      </c>
    </row>
    <row r="14" spans="2:19" ht="15.75" customHeight="1" thickBot="1" x14ac:dyDescent="0.25">
      <c r="B14" s="331" t="s">
        <v>230</v>
      </c>
      <c r="C14" s="377">
        <v>0.81799999999999995</v>
      </c>
      <c r="D14" s="333" t="s">
        <v>226</v>
      </c>
      <c r="E14" s="334"/>
      <c r="F14" s="334"/>
      <c r="G14" s="334"/>
      <c r="H14" s="335"/>
      <c r="J14" s="354"/>
      <c r="K14" s="384" t="s">
        <v>231</v>
      </c>
      <c r="L14" s="385"/>
      <c r="M14" s="386">
        <f>SUM(M6:M13)</f>
        <v>2.0430000000000001</v>
      </c>
      <c r="N14" s="387">
        <f>SUM(N6:N13)</f>
        <v>118353.14608000002</v>
      </c>
      <c r="P14" s="378" t="s">
        <v>232</v>
      </c>
      <c r="Q14" s="328">
        <v>1083.9820605758107</v>
      </c>
    </row>
    <row r="15" spans="2:19" ht="15.75" customHeight="1" x14ac:dyDescent="0.2">
      <c r="B15" s="360" t="s">
        <v>223</v>
      </c>
      <c r="C15" s="388">
        <v>0.23200000000000004</v>
      </c>
      <c r="D15" s="333" t="s">
        <v>226</v>
      </c>
      <c r="E15" s="362"/>
      <c r="F15" s="362"/>
      <c r="G15" s="362"/>
      <c r="H15" s="363"/>
      <c r="J15" s="354"/>
      <c r="K15" s="359"/>
      <c r="L15" s="389"/>
      <c r="M15" s="390"/>
      <c r="N15" s="355"/>
    </row>
    <row r="16" spans="2:19" ht="15.75" customHeight="1" thickBot="1" x14ac:dyDescent="0.25">
      <c r="B16" s="391" t="s">
        <v>158</v>
      </c>
      <c r="C16" s="392"/>
      <c r="D16" s="393"/>
      <c r="E16" s="393"/>
      <c r="F16" s="393"/>
      <c r="G16" s="393"/>
      <c r="H16" s="394"/>
      <c r="J16" s="354"/>
      <c r="K16" s="395" t="s">
        <v>155</v>
      </c>
      <c r="L16" s="396">
        <f>C17</f>
        <v>0.27379999999999999</v>
      </c>
      <c r="M16" s="397"/>
      <c r="N16" s="398">
        <f>N14*L16</f>
        <v>32405.091396704003</v>
      </c>
    </row>
    <row r="17" spans="2:16" ht="15.75" customHeight="1" thickTop="1" thickBot="1" x14ac:dyDescent="0.25">
      <c r="B17" s="399" t="s">
        <v>159</v>
      </c>
      <c r="C17" s="400">
        <f>'M2022 BLS SALARY CHART (53_PCT)'!C38</f>
        <v>0.27379999999999999</v>
      </c>
      <c r="D17" s="401" t="s">
        <v>233</v>
      </c>
      <c r="E17" s="402"/>
      <c r="F17" s="402"/>
      <c r="G17" s="402"/>
      <c r="H17" s="403"/>
      <c r="J17" s="354"/>
      <c r="K17" s="404" t="s">
        <v>234</v>
      </c>
      <c r="L17" s="405"/>
      <c r="M17" s="405"/>
      <c r="N17" s="406">
        <f>SUM(N14:N16)</f>
        <v>150758.23747670403</v>
      </c>
    </row>
    <row r="18" spans="2:16" ht="15.75" customHeight="1" thickTop="1" x14ac:dyDescent="0.2">
      <c r="B18" s="399" t="s">
        <v>163</v>
      </c>
      <c r="C18" s="344">
        <v>3207.98</v>
      </c>
      <c r="D18" s="407" t="s">
        <v>235</v>
      </c>
      <c r="E18" s="408"/>
      <c r="F18" s="408"/>
      <c r="G18" s="334"/>
      <c r="H18" s="335"/>
      <c r="I18" s="269">
        <v>2882</v>
      </c>
      <c r="J18" s="354"/>
      <c r="K18" s="359" t="s">
        <v>163</v>
      </c>
      <c r="L18" s="409"/>
      <c r="M18" s="409">
        <f>C18</f>
        <v>3207.98</v>
      </c>
      <c r="N18" s="355">
        <f>M18</f>
        <v>3207.98</v>
      </c>
    </row>
    <row r="19" spans="2:16" ht="15.75" customHeight="1" x14ac:dyDescent="0.2">
      <c r="B19" s="410" t="s">
        <v>236</v>
      </c>
      <c r="C19" s="344">
        <v>10448.549999999999</v>
      </c>
      <c r="D19" s="407" t="s">
        <v>235</v>
      </c>
      <c r="E19" s="408"/>
      <c r="F19" s="408"/>
      <c r="G19" s="334"/>
      <c r="H19" s="335"/>
      <c r="I19" s="269">
        <v>9584</v>
      </c>
      <c r="J19" s="336"/>
      <c r="K19" s="359" t="s">
        <v>236</v>
      </c>
      <c r="L19" s="409"/>
      <c r="M19" s="409">
        <f>C19</f>
        <v>10448.549999999999</v>
      </c>
      <c r="N19" s="355">
        <f>M19</f>
        <v>10448.549999999999</v>
      </c>
    </row>
    <row r="20" spans="2:16" ht="15.75" customHeight="1" x14ac:dyDescent="0.2">
      <c r="B20" s="411" t="s">
        <v>175</v>
      </c>
      <c r="C20" s="412">
        <v>0.12</v>
      </c>
      <c r="D20" s="201" t="s">
        <v>237</v>
      </c>
      <c r="E20" s="413"/>
      <c r="F20" s="413"/>
      <c r="G20" s="413"/>
      <c r="H20" s="414"/>
      <c r="J20" s="354"/>
      <c r="K20" s="359"/>
      <c r="L20" s="409"/>
      <c r="M20" s="409"/>
      <c r="N20" s="355"/>
    </row>
    <row r="21" spans="2:16" ht="15.75" customHeight="1" x14ac:dyDescent="0.2">
      <c r="B21" s="410"/>
      <c r="C21" s="400"/>
      <c r="D21" s="415"/>
      <c r="E21" s="393"/>
      <c r="F21" s="393"/>
      <c r="G21" s="393"/>
      <c r="H21" s="394"/>
      <c r="J21" s="354"/>
      <c r="K21" s="384" t="s">
        <v>238</v>
      </c>
      <c r="L21" s="385"/>
      <c r="M21" s="385"/>
      <c r="N21" s="387">
        <f>SUM(N17:N20)</f>
        <v>164414.76747670403</v>
      </c>
      <c r="P21" s="416"/>
    </row>
    <row r="22" spans="2:16" ht="15.75" customHeight="1" thickBot="1" x14ac:dyDescent="0.25">
      <c r="B22" s="410" t="s">
        <v>239</v>
      </c>
      <c r="C22" s="400">
        <f>'CAF Spring 2023'!CI26</f>
        <v>2.7100379121522307E-2</v>
      </c>
      <c r="D22" s="216" t="s">
        <v>240</v>
      </c>
      <c r="E22" s="402"/>
      <c r="F22" s="402"/>
      <c r="G22" s="402"/>
      <c r="H22" s="417"/>
      <c r="J22" s="336"/>
      <c r="K22" s="359" t="s">
        <v>175</v>
      </c>
      <c r="L22" s="336">
        <f>C20</f>
        <v>0.12</v>
      </c>
      <c r="M22" s="409"/>
      <c r="N22" s="355">
        <f>N21*L22</f>
        <v>19729.772097204484</v>
      </c>
    </row>
    <row r="23" spans="2:16" ht="15.75" customHeight="1" thickBot="1" x14ac:dyDescent="0.25">
      <c r="B23" s="418" t="s">
        <v>182</v>
      </c>
      <c r="C23" s="419"/>
      <c r="D23" s="216"/>
      <c r="E23" s="420"/>
      <c r="F23" s="420"/>
      <c r="G23" s="420"/>
      <c r="H23" s="421"/>
      <c r="J23" s="336"/>
      <c r="K23" s="404" t="s">
        <v>180</v>
      </c>
      <c r="L23" s="405"/>
      <c r="M23" s="405"/>
      <c r="N23" s="406">
        <f>SUM(N21:N22)</f>
        <v>184144.53957390852</v>
      </c>
    </row>
    <row r="24" spans="2:16" ht="15.75" customHeight="1" x14ac:dyDescent="0.2">
      <c r="B24" s="422" t="s">
        <v>182</v>
      </c>
      <c r="C24" s="423"/>
      <c r="D24" s="402"/>
      <c r="E24" s="402"/>
      <c r="F24" s="402"/>
      <c r="G24" s="402"/>
      <c r="H24" s="402"/>
      <c r="J24" s="354"/>
      <c r="K24" s="359"/>
      <c r="N24" s="355"/>
    </row>
    <row r="25" spans="2:16" ht="15.75" customHeight="1" x14ac:dyDescent="0.2">
      <c r="B25" s="422" t="s">
        <v>182</v>
      </c>
      <c r="C25" s="424"/>
      <c r="G25" s="402"/>
      <c r="J25" s="336"/>
      <c r="K25" s="425" t="s">
        <v>184</v>
      </c>
      <c r="L25" s="389">
        <f>C22</f>
        <v>2.7100379121522307E-2</v>
      </c>
      <c r="M25" s="267"/>
      <c r="N25" s="426">
        <f>(1+L25)*N23</f>
        <v>189134.9264095196</v>
      </c>
    </row>
    <row r="26" spans="2:16" ht="15.75" customHeight="1" thickBot="1" x14ac:dyDescent="0.25">
      <c r="J26" s="354"/>
      <c r="K26" s="427" t="s">
        <v>241</v>
      </c>
      <c r="L26" s="428"/>
      <c r="M26" s="429"/>
      <c r="N26" s="430">
        <f>N25/N4+0.02</f>
        <v>174.49871439992583</v>
      </c>
      <c r="P26" s="431"/>
    </row>
    <row r="27" spans="2:16" ht="15.75" customHeight="1" x14ac:dyDescent="0.2">
      <c r="J27" s="336"/>
      <c r="N27" s="432"/>
    </row>
    <row r="28" spans="2:16" ht="13.5" customHeight="1" x14ac:dyDescent="0.2">
      <c r="J28" s="354"/>
      <c r="N28" s="293"/>
    </row>
    <row r="29" spans="2:16" ht="14.25" customHeight="1" x14ac:dyDescent="0.2">
      <c r="H29" s="433"/>
      <c r="J29" s="354"/>
      <c r="P29" s="431"/>
    </row>
    <row r="30" spans="2:16" ht="15.75" customHeight="1" x14ac:dyDescent="0.2">
      <c r="G30" s="433"/>
      <c r="H30" s="434"/>
      <c r="J30" s="354"/>
      <c r="O30" s="435"/>
      <c r="P30" s="293"/>
    </row>
    <row r="31" spans="2:16" ht="15.75" customHeight="1" x14ac:dyDescent="0.2">
      <c r="B31" s="436" t="s">
        <v>242</v>
      </c>
      <c r="C31" s="437"/>
      <c r="D31" s="438"/>
      <c r="E31" s="438"/>
      <c r="F31" s="439"/>
      <c r="G31" s="434"/>
      <c r="H31" s="270"/>
      <c r="J31" s="336"/>
    </row>
    <row r="32" spans="2:16" ht="18.75" customHeight="1" x14ac:dyDescent="0.2">
      <c r="B32" s="440" t="s">
        <v>243</v>
      </c>
      <c r="F32" s="441"/>
      <c r="G32" s="270"/>
      <c r="H32" s="442"/>
      <c r="J32" s="336"/>
    </row>
    <row r="33" spans="2:10" ht="18.75" customHeight="1" x14ac:dyDescent="0.2">
      <c r="B33" s="440" t="s">
        <v>244</v>
      </c>
      <c r="F33" s="441"/>
      <c r="G33" s="442"/>
      <c r="H33" s="270"/>
      <c r="J33" s="336"/>
    </row>
    <row r="34" spans="2:10" ht="19.5" customHeight="1" x14ac:dyDescent="0.2">
      <c r="B34" s="443" t="s">
        <v>245</v>
      </c>
      <c r="C34" s="444"/>
      <c r="D34" s="444"/>
      <c r="E34" s="444"/>
      <c r="F34" s="445"/>
      <c r="G34" s="270"/>
      <c r="H34" s="270"/>
      <c r="J34" s="336"/>
    </row>
    <row r="35" spans="2:10" ht="15.75" customHeight="1" x14ac:dyDescent="0.2">
      <c r="G35" s="270"/>
      <c r="H35" s="270"/>
    </row>
    <row r="36" spans="2:10" ht="15.75" customHeight="1" x14ac:dyDescent="0.2">
      <c r="G36" s="270"/>
      <c r="H36" s="270"/>
    </row>
    <row r="37" spans="2:10" ht="15.75" customHeight="1" x14ac:dyDescent="0.2">
      <c r="G37" s="270"/>
      <c r="H37" s="270"/>
    </row>
    <row r="38" spans="2:10" ht="15.75" customHeight="1" x14ac:dyDescent="0.2">
      <c r="G38" s="270"/>
      <c r="H38" s="270"/>
    </row>
    <row r="39" spans="2:10" ht="15.75" customHeight="1" x14ac:dyDescent="0.2">
      <c r="G39" s="270"/>
      <c r="H39" s="270"/>
    </row>
    <row r="40" spans="2:10" ht="15.75" customHeight="1" x14ac:dyDescent="0.2">
      <c r="G40" s="270"/>
      <c r="H40" s="270"/>
    </row>
    <row r="41" spans="2:10" ht="15.75" customHeight="1" x14ac:dyDescent="0.2">
      <c r="G41" s="270"/>
    </row>
    <row r="42" spans="2:10" ht="15.75" customHeight="1" x14ac:dyDescent="0.2"/>
    <row r="43" spans="2:10" ht="15.75" customHeight="1" x14ac:dyDescent="0.2"/>
    <row r="45" spans="2:10" x14ac:dyDescent="0.2">
      <c r="E45" s="446"/>
      <c r="F45" s="446"/>
    </row>
    <row r="58" spans="7:8" x14ac:dyDescent="0.2">
      <c r="H58" s="446"/>
    </row>
    <row r="59" spans="7:8" x14ac:dyDescent="0.2">
      <c r="G59" s="446"/>
    </row>
    <row r="68" spans="2:4" x14ac:dyDescent="0.2">
      <c r="B68" s="70"/>
      <c r="C68" s="99"/>
      <c r="D68" s="70"/>
    </row>
    <row r="69" spans="2:4" x14ac:dyDescent="0.2">
      <c r="B69" s="70"/>
      <c r="C69" s="99"/>
      <c r="D69" s="70"/>
    </row>
    <row r="70" spans="2:4" x14ac:dyDescent="0.2">
      <c r="B70" s="70"/>
      <c r="C70" s="99"/>
      <c r="D70" s="70"/>
    </row>
    <row r="95" spans="8:10" x14ac:dyDescent="0.2">
      <c r="I95" s="69"/>
    </row>
    <row r="96" spans="8:10" x14ac:dyDescent="0.2">
      <c r="H96" s="265"/>
      <c r="I96" s="69"/>
      <c r="J96" s="265"/>
    </row>
    <row r="97" spans="5:10" x14ac:dyDescent="0.2">
      <c r="E97" s="69"/>
      <c r="F97" s="69"/>
      <c r="G97" s="70"/>
      <c r="H97" s="265"/>
      <c r="I97" s="69"/>
      <c r="J97" s="70"/>
    </row>
    <row r="98" spans="5:10" x14ac:dyDescent="0.2">
      <c r="E98" s="69"/>
      <c r="F98" s="69"/>
      <c r="G98" s="70"/>
      <c r="H98" s="265"/>
      <c r="J98" s="70"/>
    </row>
    <row r="99" spans="5:10" x14ac:dyDescent="0.2">
      <c r="E99" s="69"/>
      <c r="F99" s="69"/>
      <c r="G99" s="70"/>
    </row>
  </sheetData>
  <mergeCells count="8">
    <mergeCell ref="D18:F18"/>
    <mergeCell ref="D19:F19"/>
    <mergeCell ref="B3:H3"/>
    <mergeCell ref="K3:N3"/>
    <mergeCell ref="B4:C4"/>
    <mergeCell ref="D4:H4"/>
    <mergeCell ref="B10:C10"/>
    <mergeCell ref="B16:C16"/>
  </mergeCells>
  <pageMargins left="0.25" right="0.25" top="0.75" bottom="0.75" header="0.3" footer="0.3"/>
  <pageSetup scale="7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AD62-8051-477A-869E-87025A0E7841}">
  <sheetPr>
    <pageSetUpPr fitToPage="1"/>
  </sheetPr>
  <dimension ref="A1:L30"/>
  <sheetViews>
    <sheetView zoomScale="90" zoomScaleNormal="90" workbookViewId="0">
      <selection activeCell="I30" sqref="I30"/>
    </sheetView>
  </sheetViews>
  <sheetFormatPr defaultRowHeight="15" x14ac:dyDescent="0.25"/>
  <cols>
    <col min="2" max="2" width="21.28515625" bestFit="1" customWidth="1"/>
    <col min="3" max="3" width="9" bestFit="1" customWidth="1"/>
    <col min="4" max="4" width="29.42578125" customWidth="1"/>
    <col min="6" max="6" width="22.7109375" customWidth="1"/>
    <col min="7" max="7" width="12" bestFit="1" customWidth="1"/>
    <col min="8" max="8" width="13.28515625" bestFit="1" customWidth="1"/>
    <col min="9" max="9" width="11.28515625" bestFit="1" customWidth="1"/>
    <col min="10" max="10" width="6.42578125" bestFit="1" customWidth="1"/>
    <col min="11" max="11" width="11.5703125" customWidth="1"/>
    <col min="12" max="12" width="15.5703125" customWidth="1"/>
    <col min="260" max="260" width="28.28515625" bestFit="1" customWidth="1"/>
    <col min="262" max="262" width="11.28515625" bestFit="1" customWidth="1"/>
    <col min="263" max="263" width="13.28515625" bestFit="1" customWidth="1"/>
    <col min="266" max="266" width="19.42578125" bestFit="1" customWidth="1"/>
    <col min="267" max="267" width="12" bestFit="1" customWidth="1"/>
    <col min="268" max="268" width="49.42578125" bestFit="1" customWidth="1"/>
    <col min="516" max="516" width="28.28515625" bestFit="1" customWidth="1"/>
    <col min="518" max="518" width="11.28515625" bestFit="1" customWidth="1"/>
    <col min="519" max="519" width="13.28515625" bestFit="1" customWidth="1"/>
    <col min="522" max="522" width="19.42578125" bestFit="1" customWidth="1"/>
    <col min="523" max="523" width="12" bestFit="1" customWidth="1"/>
    <col min="524" max="524" width="49.42578125" bestFit="1" customWidth="1"/>
    <col min="772" max="772" width="28.28515625" bestFit="1" customWidth="1"/>
    <col min="774" max="774" width="11.28515625" bestFit="1" customWidth="1"/>
    <col min="775" max="775" width="13.28515625" bestFit="1" customWidth="1"/>
    <col min="778" max="778" width="19.42578125" bestFit="1" customWidth="1"/>
    <col min="779" max="779" width="12" bestFit="1" customWidth="1"/>
    <col min="780" max="780" width="49.42578125" bestFit="1" customWidth="1"/>
    <col min="1028" max="1028" width="28.28515625" bestFit="1" customWidth="1"/>
    <col min="1030" max="1030" width="11.28515625" bestFit="1" customWidth="1"/>
    <col min="1031" max="1031" width="13.28515625" bestFit="1" customWidth="1"/>
    <col min="1034" max="1034" width="19.42578125" bestFit="1" customWidth="1"/>
    <col min="1035" max="1035" width="12" bestFit="1" customWidth="1"/>
    <col min="1036" max="1036" width="49.42578125" bestFit="1" customWidth="1"/>
    <col min="1284" max="1284" width="28.28515625" bestFit="1" customWidth="1"/>
    <col min="1286" max="1286" width="11.28515625" bestFit="1" customWidth="1"/>
    <col min="1287" max="1287" width="13.28515625" bestFit="1" customWidth="1"/>
    <col min="1290" max="1290" width="19.42578125" bestFit="1" customWidth="1"/>
    <col min="1291" max="1291" width="12" bestFit="1" customWidth="1"/>
    <col min="1292" max="1292" width="49.42578125" bestFit="1" customWidth="1"/>
    <col min="1540" max="1540" width="28.28515625" bestFit="1" customWidth="1"/>
    <col min="1542" max="1542" width="11.28515625" bestFit="1" customWidth="1"/>
    <col min="1543" max="1543" width="13.28515625" bestFit="1" customWidth="1"/>
    <col min="1546" max="1546" width="19.42578125" bestFit="1" customWidth="1"/>
    <col min="1547" max="1547" width="12" bestFit="1" customWidth="1"/>
    <col min="1548" max="1548" width="49.42578125" bestFit="1" customWidth="1"/>
    <col min="1796" max="1796" width="28.28515625" bestFit="1" customWidth="1"/>
    <col min="1798" max="1798" width="11.28515625" bestFit="1" customWidth="1"/>
    <col min="1799" max="1799" width="13.28515625" bestFit="1" customWidth="1"/>
    <col min="1802" max="1802" width="19.42578125" bestFit="1" customWidth="1"/>
    <col min="1803" max="1803" width="12" bestFit="1" customWidth="1"/>
    <col min="1804" max="1804" width="49.42578125" bestFit="1" customWidth="1"/>
    <col min="2052" max="2052" width="28.28515625" bestFit="1" customWidth="1"/>
    <col min="2054" max="2054" width="11.28515625" bestFit="1" customWidth="1"/>
    <col min="2055" max="2055" width="13.28515625" bestFit="1" customWidth="1"/>
    <col min="2058" max="2058" width="19.42578125" bestFit="1" customWidth="1"/>
    <col min="2059" max="2059" width="12" bestFit="1" customWidth="1"/>
    <col min="2060" max="2060" width="49.42578125" bestFit="1" customWidth="1"/>
    <col min="2308" max="2308" width="28.28515625" bestFit="1" customWidth="1"/>
    <col min="2310" max="2310" width="11.28515625" bestFit="1" customWidth="1"/>
    <col min="2311" max="2311" width="13.28515625" bestFit="1" customWidth="1"/>
    <col min="2314" max="2314" width="19.42578125" bestFit="1" customWidth="1"/>
    <col min="2315" max="2315" width="12" bestFit="1" customWidth="1"/>
    <col min="2316" max="2316" width="49.42578125" bestFit="1" customWidth="1"/>
    <col min="2564" max="2564" width="28.28515625" bestFit="1" customWidth="1"/>
    <col min="2566" max="2566" width="11.28515625" bestFit="1" customWidth="1"/>
    <col min="2567" max="2567" width="13.28515625" bestFit="1" customWidth="1"/>
    <col min="2570" max="2570" width="19.42578125" bestFit="1" customWidth="1"/>
    <col min="2571" max="2571" width="12" bestFit="1" customWidth="1"/>
    <col min="2572" max="2572" width="49.42578125" bestFit="1" customWidth="1"/>
    <col min="2820" max="2820" width="28.28515625" bestFit="1" customWidth="1"/>
    <col min="2822" max="2822" width="11.28515625" bestFit="1" customWidth="1"/>
    <col min="2823" max="2823" width="13.28515625" bestFit="1" customWidth="1"/>
    <col min="2826" max="2826" width="19.42578125" bestFit="1" customWidth="1"/>
    <col min="2827" max="2827" width="12" bestFit="1" customWidth="1"/>
    <col min="2828" max="2828" width="49.42578125" bestFit="1" customWidth="1"/>
    <col min="3076" max="3076" width="28.28515625" bestFit="1" customWidth="1"/>
    <col min="3078" max="3078" width="11.28515625" bestFit="1" customWidth="1"/>
    <col min="3079" max="3079" width="13.28515625" bestFit="1" customWidth="1"/>
    <col min="3082" max="3082" width="19.42578125" bestFit="1" customWidth="1"/>
    <col min="3083" max="3083" width="12" bestFit="1" customWidth="1"/>
    <col min="3084" max="3084" width="49.42578125" bestFit="1" customWidth="1"/>
    <col min="3332" max="3332" width="28.28515625" bestFit="1" customWidth="1"/>
    <col min="3334" max="3334" width="11.28515625" bestFit="1" customWidth="1"/>
    <col min="3335" max="3335" width="13.28515625" bestFit="1" customWidth="1"/>
    <col min="3338" max="3338" width="19.42578125" bestFit="1" customWidth="1"/>
    <col min="3339" max="3339" width="12" bestFit="1" customWidth="1"/>
    <col min="3340" max="3340" width="49.42578125" bestFit="1" customWidth="1"/>
    <col min="3588" max="3588" width="28.28515625" bestFit="1" customWidth="1"/>
    <col min="3590" max="3590" width="11.28515625" bestFit="1" customWidth="1"/>
    <col min="3591" max="3591" width="13.28515625" bestFit="1" customWidth="1"/>
    <col min="3594" max="3594" width="19.42578125" bestFit="1" customWidth="1"/>
    <col min="3595" max="3595" width="12" bestFit="1" customWidth="1"/>
    <col min="3596" max="3596" width="49.42578125" bestFit="1" customWidth="1"/>
    <col min="3844" max="3844" width="28.28515625" bestFit="1" customWidth="1"/>
    <col min="3846" max="3846" width="11.28515625" bestFit="1" customWidth="1"/>
    <col min="3847" max="3847" width="13.28515625" bestFit="1" customWidth="1"/>
    <col min="3850" max="3850" width="19.42578125" bestFit="1" customWidth="1"/>
    <col min="3851" max="3851" width="12" bestFit="1" customWidth="1"/>
    <col min="3852" max="3852" width="49.42578125" bestFit="1" customWidth="1"/>
    <col min="4100" max="4100" width="28.28515625" bestFit="1" customWidth="1"/>
    <col min="4102" max="4102" width="11.28515625" bestFit="1" customWidth="1"/>
    <col min="4103" max="4103" width="13.28515625" bestFit="1" customWidth="1"/>
    <col min="4106" max="4106" width="19.42578125" bestFit="1" customWidth="1"/>
    <col min="4107" max="4107" width="12" bestFit="1" customWidth="1"/>
    <col min="4108" max="4108" width="49.42578125" bestFit="1" customWidth="1"/>
    <col min="4356" max="4356" width="28.28515625" bestFit="1" customWidth="1"/>
    <col min="4358" max="4358" width="11.28515625" bestFit="1" customWidth="1"/>
    <col min="4359" max="4359" width="13.28515625" bestFit="1" customWidth="1"/>
    <col min="4362" max="4362" width="19.42578125" bestFit="1" customWidth="1"/>
    <col min="4363" max="4363" width="12" bestFit="1" customWidth="1"/>
    <col min="4364" max="4364" width="49.42578125" bestFit="1" customWidth="1"/>
    <col min="4612" max="4612" width="28.28515625" bestFit="1" customWidth="1"/>
    <col min="4614" max="4614" width="11.28515625" bestFit="1" customWidth="1"/>
    <col min="4615" max="4615" width="13.28515625" bestFit="1" customWidth="1"/>
    <col min="4618" max="4618" width="19.42578125" bestFit="1" customWidth="1"/>
    <col min="4619" max="4619" width="12" bestFit="1" customWidth="1"/>
    <col min="4620" max="4620" width="49.42578125" bestFit="1" customWidth="1"/>
    <col min="4868" max="4868" width="28.28515625" bestFit="1" customWidth="1"/>
    <col min="4870" max="4870" width="11.28515625" bestFit="1" customWidth="1"/>
    <col min="4871" max="4871" width="13.28515625" bestFit="1" customWidth="1"/>
    <col min="4874" max="4874" width="19.42578125" bestFit="1" customWidth="1"/>
    <col min="4875" max="4875" width="12" bestFit="1" customWidth="1"/>
    <col min="4876" max="4876" width="49.42578125" bestFit="1" customWidth="1"/>
    <col min="5124" max="5124" width="28.28515625" bestFit="1" customWidth="1"/>
    <col min="5126" max="5126" width="11.28515625" bestFit="1" customWidth="1"/>
    <col min="5127" max="5127" width="13.28515625" bestFit="1" customWidth="1"/>
    <col min="5130" max="5130" width="19.42578125" bestFit="1" customWidth="1"/>
    <col min="5131" max="5131" width="12" bestFit="1" customWidth="1"/>
    <col min="5132" max="5132" width="49.42578125" bestFit="1" customWidth="1"/>
    <col min="5380" max="5380" width="28.28515625" bestFit="1" customWidth="1"/>
    <col min="5382" max="5382" width="11.28515625" bestFit="1" customWidth="1"/>
    <col min="5383" max="5383" width="13.28515625" bestFit="1" customWidth="1"/>
    <col min="5386" max="5386" width="19.42578125" bestFit="1" customWidth="1"/>
    <col min="5387" max="5387" width="12" bestFit="1" customWidth="1"/>
    <col min="5388" max="5388" width="49.42578125" bestFit="1" customWidth="1"/>
    <col min="5636" max="5636" width="28.28515625" bestFit="1" customWidth="1"/>
    <col min="5638" max="5638" width="11.28515625" bestFit="1" customWidth="1"/>
    <col min="5639" max="5639" width="13.28515625" bestFit="1" customWidth="1"/>
    <col min="5642" max="5642" width="19.42578125" bestFit="1" customWidth="1"/>
    <col min="5643" max="5643" width="12" bestFit="1" customWidth="1"/>
    <col min="5644" max="5644" width="49.42578125" bestFit="1" customWidth="1"/>
    <col min="5892" max="5892" width="28.28515625" bestFit="1" customWidth="1"/>
    <col min="5894" max="5894" width="11.28515625" bestFit="1" customWidth="1"/>
    <col min="5895" max="5895" width="13.28515625" bestFit="1" customWidth="1"/>
    <col min="5898" max="5898" width="19.42578125" bestFit="1" customWidth="1"/>
    <col min="5899" max="5899" width="12" bestFit="1" customWidth="1"/>
    <col min="5900" max="5900" width="49.42578125" bestFit="1" customWidth="1"/>
    <col min="6148" max="6148" width="28.28515625" bestFit="1" customWidth="1"/>
    <col min="6150" max="6150" width="11.28515625" bestFit="1" customWidth="1"/>
    <col min="6151" max="6151" width="13.28515625" bestFit="1" customWidth="1"/>
    <col min="6154" max="6154" width="19.42578125" bestFit="1" customWidth="1"/>
    <col min="6155" max="6155" width="12" bestFit="1" customWidth="1"/>
    <col min="6156" max="6156" width="49.42578125" bestFit="1" customWidth="1"/>
    <col min="6404" max="6404" width="28.28515625" bestFit="1" customWidth="1"/>
    <col min="6406" max="6406" width="11.28515625" bestFit="1" customWidth="1"/>
    <col min="6407" max="6407" width="13.28515625" bestFit="1" customWidth="1"/>
    <col min="6410" max="6410" width="19.42578125" bestFit="1" customWidth="1"/>
    <col min="6411" max="6411" width="12" bestFit="1" customWidth="1"/>
    <col min="6412" max="6412" width="49.42578125" bestFit="1" customWidth="1"/>
    <col min="6660" max="6660" width="28.28515625" bestFit="1" customWidth="1"/>
    <col min="6662" max="6662" width="11.28515625" bestFit="1" customWidth="1"/>
    <col min="6663" max="6663" width="13.28515625" bestFit="1" customWidth="1"/>
    <col min="6666" max="6666" width="19.42578125" bestFit="1" customWidth="1"/>
    <col min="6667" max="6667" width="12" bestFit="1" customWidth="1"/>
    <col min="6668" max="6668" width="49.42578125" bestFit="1" customWidth="1"/>
    <col min="6916" max="6916" width="28.28515625" bestFit="1" customWidth="1"/>
    <col min="6918" max="6918" width="11.28515625" bestFit="1" customWidth="1"/>
    <col min="6919" max="6919" width="13.28515625" bestFit="1" customWidth="1"/>
    <col min="6922" max="6922" width="19.42578125" bestFit="1" customWidth="1"/>
    <col min="6923" max="6923" width="12" bestFit="1" customWidth="1"/>
    <col min="6924" max="6924" width="49.42578125" bestFit="1" customWidth="1"/>
    <col min="7172" max="7172" width="28.28515625" bestFit="1" customWidth="1"/>
    <col min="7174" max="7174" width="11.28515625" bestFit="1" customWidth="1"/>
    <col min="7175" max="7175" width="13.28515625" bestFit="1" customWidth="1"/>
    <col min="7178" max="7178" width="19.42578125" bestFit="1" customWidth="1"/>
    <col min="7179" max="7179" width="12" bestFit="1" customWidth="1"/>
    <col min="7180" max="7180" width="49.42578125" bestFit="1" customWidth="1"/>
    <col min="7428" max="7428" width="28.28515625" bestFit="1" customWidth="1"/>
    <col min="7430" max="7430" width="11.28515625" bestFit="1" customWidth="1"/>
    <col min="7431" max="7431" width="13.28515625" bestFit="1" customWidth="1"/>
    <col min="7434" max="7434" width="19.42578125" bestFit="1" customWidth="1"/>
    <col min="7435" max="7435" width="12" bestFit="1" customWidth="1"/>
    <col min="7436" max="7436" width="49.42578125" bestFit="1" customWidth="1"/>
    <col min="7684" max="7684" width="28.28515625" bestFit="1" customWidth="1"/>
    <col min="7686" max="7686" width="11.28515625" bestFit="1" customWidth="1"/>
    <col min="7687" max="7687" width="13.28515625" bestFit="1" customWidth="1"/>
    <col min="7690" max="7690" width="19.42578125" bestFit="1" customWidth="1"/>
    <col min="7691" max="7691" width="12" bestFit="1" customWidth="1"/>
    <col min="7692" max="7692" width="49.42578125" bestFit="1" customWidth="1"/>
    <col min="7940" max="7940" width="28.28515625" bestFit="1" customWidth="1"/>
    <col min="7942" max="7942" width="11.28515625" bestFit="1" customWidth="1"/>
    <col min="7943" max="7943" width="13.28515625" bestFit="1" customWidth="1"/>
    <col min="7946" max="7946" width="19.42578125" bestFit="1" customWidth="1"/>
    <col min="7947" max="7947" width="12" bestFit="1" customWidth="1"/>
    <col min="7948" max="7948" width="49.42578125" bestFit="1" customWidth="1"/>
    <col min="8196" max="8196" width="28.28515625" bestFit="1" customWidth="1"/>
    <col min="8198" max="8198" width="11.28515625" bestFit="1" customWidth="1"/>
    <col min="8199" max="8199" width="13.28515625" bestFit="1" customWidth="1"/>
    <col min="8202" max="8202" width="19.42578125" bestFit="1" customWidth="1"/>
    <col min="8203" max="8203" width="12" bestFit="1" customWidth="1"/>
    <col min="8204" max="8204" width="49.42578125" bestFit="1" customWidth="1"/>
    <col min="8452" max="8452" width="28.28515625" bestFit="1" customWidth="1"/>
    <col min="8454" max="8454" width="11.28515625" bestFit="1" customWidth="1"/>
    <col min="8455" max="8455" width="13.28515625" bestFit="1" customWidth="1"/>
    <col min="8458" max="8458" width="19.42578125" bestFit="1" customWidth="1"/>
    <col min="8459" max="8459" width="12" bestFit="1" customWidth="1"/>
    <col min="8460" max="8460" width="49.42578125" bestFit="1" customWidth="1"/>
    <col min="8708" max="8708" width="28.28515625" bestFit="1" customWidth="1"/>
    <col min="8710" max="8710" width="11.28515625" bestFit="1" customWidth="1"/>
    <col min="8711" max="8711" width="13.28515625" bestFit="1" customWidth="1"/>
    <col min="8714" max="8714" width="19.42578125" bestFit="1" customWidth="1"/>
    <col min="8715" max="8715" width="12" bestFit="1" customWidth="1"/>
    <col min="8716" max="8716" width="49.42578125" bestFit="1" customWidth="1"/>
    <col min="8964" max="8964" width="28.28515625" bestFit="1" customWidth="1"/>
    <col min="8966" max="8966" width="11.28515625" bestFit="1" customWidth="1"/>
    <col min="8967" max="8967" width="13.28515625" bestFit="1" customWidth="1"/>
    <col min="8970" max="8970" width="19.42578125" bestFit="1" customWidth="1"/>
    <col min="8971" max="8971" width="12" bestFit="1" customWidth="1"/>
    <col min="8972" max="8972" width="49.42578125" bestFit="1" customWidth="1"/>
    <col min="9220" max="9220" width="28.28515625" bestFit="1" customWidth="1"/>
    <col min="9222" max="9222" width="11.28515625" bestFit="1" customWidth="1"/>
    <col min="9223" max="9223" width="13.28515625" bestFit="1" customWidth="1"/>
    <col min="9226" max="9226" width="19.42578125" bestFit="1" customWidth="1"/>
    <col min="9227" max="9227" width="12" bestFit="1" customWidth="1"/>
    <col min="9228" max="9228" width="49.42578125" bestFit="1" customWidth="1"/>
    <col min="9476" max="9476" width="28.28515625" bestFit="1" customWidth="1"/>
    <col min="9478" max="9478" width="11.28515625" bestFit="1" customWidth="1"/>
    <col min="9479" max="9479" width="13.28515625" bestFit="1" customWidth="1"/>
    <col min="9482" max="9482" width="19.42578125" bestFit="1" customWidth="1"/>
    <col min="9483" max="9483" width="12" bestFit="1" customWidth="1"/>
    <col min="9484" max="9484" width="49.42578125" bestFit="1" customWidth="1"/>
    <col min="9732" max="9732" width="28.28515625" bestFit="1" customWidth="1"/>
    <col min="9734" max="9734" width="11.28515625" bestFit="1" customWidth="1"/>
    <col min="9735" max="9735" width="13.28515625" bestFit="1" customWidth="1"/>
    <col min="9738" max="9738" width="19.42578125" bestFit="1" customWidth="1"/>
    <col min="9739" max="9739" width="12" bestFit="1" customWidth="1"/>
    <col min="9740" max="9740" width="49.42578125" bestFit="1" customWidth="1"/>
    <col min="9988" max="9988" width="28.28515625" bestFit="1" customWidth="1"/>
    <col min="9990" max="9990" width="11.28515625" bestFit="1" customWidth="1"/>
    <col min="9991" max="9991" width="13.28515625" bestFit="1" customWidth="1"/>
    <col min="9994" max="9994" width="19.42578125" bestFit="1" customWidth="1"/>
    <col min="9995" max="9995" width="12" bestFit="1" customWidth="1"/>
    <col min="9996" max="9996" width="49.42578125" bestFit="1" customWidth="1"/>
    <col min="10244" max="10244" width="28.28515625" bestFit="1" customWidth="1"/>
    <col min="10246" max="10246" width="11.28515625" bestFit="1" customWidth="1"/>
    <col min="10247" max="10247" width="13.28515625" bestFit="1" customWidth="1"/>
    <col min="10250" max="10250" width="19.42578125" bestFit="1" customWidth="1"/>
    <col min="10251" max="10251" width="12" bestFit="1" customWidth="1"/>
    <col min="10252" max="10252" width="49.42578125" bestFit="1" customWidth="1"/>
    <col min="10500" max="10500" width="28.28515625" bestFit="1" customWidth="1"/>
    <col min="10502" max="10502" width="11.28515625" bestFit="1" customWidth="1"/>
    <col min="10503" max="10503" width="13.28515625" bestFit="1" customWidth="1"/>
    <col min="10506" max="10506" width="19.42578125" bestFit="1" customWidth="1"/>
    <col min="10507" max="10507" width="12" bestFit="1" customWidth="1"/>
    <col min="10508" max="10508" width="49.42578125" bestFit="1" customWidth="1"/>
    <col min="10756" max="10756" width="28.28515625" bestFit="1" customWidth="1"/>
    <col min="10758" max="10758" width="11.28515625" bestFit="1" customWidth="1"/>
    <col min="10759" max="10759" width="13.28515625" bestFit="1" customWidth="1"/>
    <col min="10762" max="10762" width="19.42578125" bestFit="1" customWidth="1"/>
    <col min="10763" max="10763" width="12" bestFit="1" customWidth="1"/>
    <col min="10764" max="10764" width="49.42578125" bestFit="1" customWidth="1"/>
    <col min="11012" max="11012" width="28.28515625" bestFit="1" customWidth="1"/>
    <col min="11014" max="11014" width="11.28515625" bestFit="1" customWidth="1"/>
    <col min="11015" max="11015" width="13.28515625" bestFit="1" customWidth="1"/>
    <col min="11018" max="11018" width="19.42578125" bestFit="1" customWidth="1"/>
    <col min="11019" max="11019" width="12" bestFit="1" customWidth="1"/>
    <col min="11020" max="11020" width="49.42578125" bestFit="1" customWidth="1"/>
    <col min="11268" max="11268" width="28.28515625" bestFit="1" customWidth="1"/>
    <col min="11270" max="11270" width="11.28515625" bestFit="1" customWidth="1"/>
    <col min="11271" max="11271" width="13.28515625" bestFit="1" customWidth="1"/>
    <col min="11274" max="11274" width="19.42578125" bestFit="1" customWidth="1"/>
    <col min="11275" max="11275" width="12" bestFit="1" customWidth="1"/>
    <col min="11276" max="11276" width="49.42578125" bestFit="1" customWidth="1"/>
    <col min="11524" max="11524" width="28.28515625" bestFit="1" customWidth="1"/>
    <col min="11526" max="11526" width="11.28515625" bestFit="1" customWidth="1"/>
    <col min="11527" max="11527" width="13.28515625" bestFit="1" customWidth="1"/>
    <col min="11530" max="11530" width="19.42578125" bestFit="1" customWidth="1"/>
    <col min="11531" max="11531" width="12" bestFit="1" customWidth="1"/>
    <col min="11532" max="11532" width="49.42578125" bestFit="1" customWidth="1"/>
    <col min="11780" max="11780" width="28.28515625" bestFit="1" customWidth="1"/>
    <col min="11782" max="11782" width="11.28515625" bestFit="1" customWidth="1"/>
    <col min="11783" max="11783" width="13.28515625" bestFit="1" customWidth="1"/>
    <col min="11786" max="11786" width="19.42578125" bestFit="1" customWidth="1"/>
    <col min="11787" max="11787" width="12" bestFit="1" customWidth="1"/>
    <col min="11788" max="11788" width="49.42578125" bestFit="1" customWidth="1"/>
    <col min="12036" max="12036" width="28.28515625" bestFit="1" customWidth="1"/>
    <col min="12038" max="12038" width="11.28515625" bestFit="1" customWidth="1"/>
    <col min="12039" max="12039" width="13.28515625" bestFit="1" customWidth="1"/>
    <col min="12042" max="12042" width="19.42578125" bestFit="1" customWidth="1"/>
    <col min="12043" max="12043" width="12" bestFit="1" customWidth="1"/>
    <col min="12044" max="12044" width="49.42578125" bestFit="1" customWidth="1"/>
    <col min="12292" max="12292" width="28.28515625" bestFit="1" customWidth="1"/>
    <col min="12294" max="12294" width="11.28515625" bestFit="1" customWidth="1"/>
    <col min="12295" max="12295" width="13.28515625" bestFit="1" customWidth="1"/>
    <col min="12298" max="12298" width="19.42578125" bestFit="1" customWidth="1"/>
    <col min="12299" max="12299" width="12" bestFit="1" customWidth="1"/>
    <col min="12300" max="12300" width="49.42578125" bestFit="1" customWidth="1"/>
    <col min="12548" max="12548" width="28.28515625" bestFit="1" customWidth="1"/>
    <col min="12550" max="12550" width="11.28515625" bestFit="1" customWidth="1"/>
    <col min="12551" max="12551" width="13.28515625" bestFit="1" customWidth="1"/>
    <col min="12554" max="12554" width="19.42578125" bestFit="1" customWidth="1"/>
    <col min="12555" max="12555" width="12" bestFit="1" customWidth="1"/>
    <col min="12556" max="12556" width="49.42578125" bestFit="1" customWidth="1"/>
    <col min="12804" max="12804" width="28.28515625" bestFit="1" customWidth="1"/>
    <col min="12806" max="12806" width="11.28515625" bestFit="1" customWidth="1"/>
    <col min="12807" max="12807" width="13.28515625" bestFit="1" customWidth="1"/>
    <col min="12810" max="12810" width="19.42578125" bestFit="1" customWidth="1"/>
    <col min="12811" max="12811" width="12" bestFit="1" customWidth="1"/>
    <col min="12812" max="12812" width="49.42578125" bestFit="1" customWidth="1"/>
    <col min="13060" max="13060" width="28.28515625" bestFit="1" customWidth="1"/>
    <col min="13062" max="13062" width="11.28515625" bestFit="1" customWidth="1"/>
    <col min="13063" max="13063" width="13.28515625" bestFit="1" customWidth="1"/>
    <col min="13066" max="13066" width="19.42578125" bestFit="1" customWidth="1"/>
    <col min="13067" max="13067" width="12" bestFit="1" customWidth="1"/>
    <col min="13068" max="13068" width="49.42578125" bestFit="1" customWidth="1"/>
    <col min="13316" max="13316" width="28.28515625" bestFit="1" customWidth="1"/>
    <col min="13318" max="13318" width="11.28515625" bestFit="1" customWidth="1"/>
    <col min="13319" max="13319" width="13.28515625" bestFit="1" customWidth="1"/>
    <col min="13322" max="13322" width="19.42578125" bestFit="1" customWidth="1"/>
    <col min="13323" max="13323" width="12" bestFit="1" customWidth="1"/>
    <col min="13324" max="13324" width="49.42578125" bestFit="1" customWidth="1"/>
    <col min="13572" max="13572" width="28.28515625" bestFit="1" customWidth="1"/>
    <col min="13574" max="13574" width="11.28515625" bestFit="1" customWidth="1"/>
    <col min="13575" max="13575" width="13.28515625" bestFit="1" customWidth="1"/>
    <col min="13578" max="13578" width="19.42578125" bestFit="1" customWidth="1"/>
    <col min="13579" max="13579" width="12" bestFit="1" customWidth="1"/>
    <col min="13580" max="13580" width="49.42578125" bestFit="1" customWidth="1"/>
    <col min="13828" max="13828" width="28.28515625" bestFit="1" customWidth="1"/>
    <col min="13830" max="13830" width="11.28515625" bestFit="1" customWidth="1"/>
    <col min="13831" max="13831" width="13.28515625" bestFit="1" customWidth="1"/>
    <col min="13834" max="13834" width="19.42578125" bestFit="1" customWidth="1"/>
    <col min="13835" max="13835" width="12" bestFit="1" customWidth="1"/>
    <col min="13836" max="13836" width="49.42578125" bestFit="1" customWidth="1"/>
    <col min="14084" max="14084" width="28.28515625" bestFit="1" customWidth="1"/>
    <col min="14086" max="14086" width="11.28515625" bestFit="1" customWidth="1"/>
    <col min="14087" max="14087" width="13.28515625" bestFit="1" customWidth="1"/>
    <col min="14090" max="14090" width="19.42578125" bestFit="1" customWidth="1"/>
    <col min="14091" max="14091" width="12" bestFit="1" customWidth="1"/>
    <col min="14092" max="14092" width="49.42578125" bestFit="1" customWidth="1"/>
    <col min="14340" max="14340" width="28.28515625" bestFit="1" customWidth="1"/>
    <col min="14342" max="14342" width="11.28515625" bestFit="1" customWidth="1"/>
    <col min="14343" max="14343" width="13.28515625" bestFit="1" customWidth="1"/>
    <col min="14346" max="14346" width="19.42578125" bestFit="1" customWidth="1"/>
    <col min="14347" max="14347" width="12" bestFit="1" customWidth="1"/>
    <col min="14348" max="14348" width="49.42578125" bestFit="1" customWidth="1"/>
    <col min="14596" max="14596" width="28.28515625" bestFit="1" customWidth="1"/>
    <col min="14598" max="14598" width="11.28515625" bestFit="1" customWidth="1"/>
    <col min="14599" max="14599" width="13.28515625" bestFit="1" customWidth="1"/>
    <col min="14602" max="14602" width="19.42578125" bestFit="1" customWidth="1"/>
    <col min="14603" max="14603" width="12" bestFit="1" customWidth="1"/>
    <col min="14604" max="14604" width="49.42578125" bestFit="1" customWidth="1"/>
    <col min="14852" max="14852" width="28.28515625" bestFit="1" customWidth="1"/>
    <col min="14854" max="14854" width="11.28515625" bestFit="1" customWidth="1"/>
    <col min="14855" max="14855" width="13.28515625" bestFit="1" customWidth="1"/>
    <col min="14858" max="14858" width="19.42578125" bestFit="1" customWidth="1"/>
    <col min="14859" max="14859" width="12" bestFit="1" customWidth="1"/>
    <col min="14860" max="14860" width="49.42578125" bestFit="1" customWidth="1"/>
    <col min="15108" max="15108" width="28.28515625" bestFit="1" customWidth="1"/>
    <col min="15110" max="15110" width="11.28515625" bestFit="1" customWidth="1"/>
    <col min="15111" max="15111" width="13.28515625" bestFit="1" customWidth="1"/>
    <col min="15114" max="15114" width="19.42578125" bestFit="1" customWidth="1"/>
    <col min="15115" max="15115" width="12" bestFit="1" customWidth="1"/>
    <col min="15116" max="15116" width="49.42578125" bestFit="1" customWidth="1"/>
    <col min="15364" max="15364" width="28.28515625" bestFit="1" customWidth="1"/>
    <col min="15366" max="15366" width="11.28515625" bestFit="1" customWidth="1"/>
    <col min="15367" max="15367" width="13.28515625" bestFit="1" customWidth="1"/>
    <col min="15370" max="15370" width="19.42578125" bestFit="1" customWidth="1"/>
    <col min="15371" max="15371" width="12" bestFit="1" customWidth="1"/>
    <col min="15372" max="15372" width="49.42578125" bestFit="1" customWidth="1"/>
    <col min="15620" max="15620" width="28.28515625" bestFit="1" customWidth="1"/>
    <col min="15622" max="15622" width="11.28515625" bestFit="1" customWidth="1"/>
    <col min="15623" max="15623" width="13.28515625" bestFit="1" customWidth="1"/>
    <col min="15626" max="15626" width="19.42578125" bestFit="1" customWidth="1"/>
    <col min="15627" max="15627" width="12" bestFit="1" customWidth="1"/>
    <col min="15628" max="15628" width="49.42578125" bestFit="1" customWidth="1"/>
    <col min="15876" max="15876" width="28.28515625" bestFit="1" customWidth="1"/>
    <col min="15878" max="15878" width="11.28515625" bestFit="1" customWidth="1"/>
    <col min="15879" max="15879" width="13.28515625" bestFit="1" customWidth="1"/>
    <col min="15882" max="15882" width="19.42578125" bestFit="1" customWidth="1"/>
    <col min="15883" max="15883" width="12" bestFit="1" customWidth="1"/>
    <col min="15884" max="15884" width="49.42578125" bestFit="1" customWidth="1"/>
    <col min="16132" max="16132" width="28.28515625" bestFit="1" customWidth="1"/>
    <col min="16134" max="16134" width="11.28515625" bestFit="1" customWidth="1"/>
    <col min="16135" max="16135" width="13.28515625" bestFit="1" customWidth="1"/>
    <col min="16138" max="16138" width="19.42578125" bestFit="1" customWidth="1"/>
    <col min="16139" max="16139" width="12" bestFit="1" customWidth="1"/>
    <col min="16140" max="16140" width="49.42578125" bestFit="1" customWidth="1"/>
  </cols>
  <sheetData>
    <row r="1" spans="1:12" x14ac:dyDescent="0.25">
      <c r="A1" s="447"/>
      <c r="B1" s="447"/>
      <c r="C1" s="447"/>
      <c r="D1" s="447"/>
      <c r="E1" s="447"/>
      <c r="F1" s="447"/>
      <c r="G1" s="447"/>
      <c r="H1" s="447"/>
      <c r="I1" s="447"/>
      <c r="J1" s="447"/>
      <c r="K1" s="447"/>
      <c r="L1" s="447"/>
    </row>
    <row r="2" spans="1:12" ht="15.75" thickBot="1" x14ac:dyDescent="0.3">
      <c r="A2" s="447"/>
      <c r="B2" s="447"/>
      <c r="C2" s="447"/>
      <c r="D2" s="447"/>
      <c r="E2" s="447"/>
      <c r="F2" s="447"/>
      <c r="G2" s="447"/>
      <c r="H2" s="447"/>
      <c r="I2" s="447"/>
      <c r="J2" s="447"/>
      <c r="K2" s="447"/>
      <c r="L2" s="447"/>
    </row>
    <row r="3" spans="1:12" ht="15.75" thickBot="1" x14ac:dyDescent="0.3">
      <c r="A3" s="447"/>
      <c r="B3" s="447"/>
      <c r="C3" s="447"/>
      <c r="D3" s="447"/>
      <c r="E3" s="447"/>
      <c r="F3" s="448" t="s">
        <v>246</v>
      </c>
      <c r="G3" s="449"/>
      <c r="H3" s="449"/>
      <c r="I3" s="450"/>
      <c r="J3" s="447"/>
      <c r="K3" s="447"/>
      <c r="L3" s="447"/>
    </row>
    <row r="4" spans="1:12" ht="15.75" thickBot="1" x14ac:dyDescent="0.3">
      <c r="A4" s="447"/>
      <c r="B4" s="451" t="s">
        <v>247</v>
      </c>
      <c r="C4" s="452"/>
      <c r="D4" s="453"/>
      <c r="E4" s="447"/>
      <c r="F4" s="454"/>
      <c r="G4" s="455"/>
      <c r="H4" s="455" t="s">
        <v>129</v>
      </c>
      <c r="I4" s="456">
        <f>'[3]1. O&amp;M Model Budge current'!S12</f>
        <v>1257.5</v>
      </c>
      <c r="J4" s="447"/>
      <c r="K4" s="447"/>
      <c r="L4" s="447"/>
    </row>
    <row r="5" spans="1:12" ht="15.75" thickBot="1" x14ac:dyDescent="0.3">
      <c r="A5" s="447"/>
      <c r="B5" s="451" t="s">
        <v>248</v>
      </c>
      <c r="C5" s="453"/>
      <c r="D5" s="457" t="s">
        <v>127</v>
      </c>
      <c r="E5" s="447"/>
      <c r="F5" s="458"/>
      <c r="G5" s="459" t="s">
        <v>133</v>
      </c>
      <c r="H5" s="460" t="s">
        <v>134</v>
      </c>
      <c r="I5" s="461" t="s">
        <v>135</v>
      </c>
      <c r="J5" s="447"/>
      <c r="K5" s="447"/>
      <c r="L5" s="447"/>
    </row>
    <row r="6" spans="1:12" x14ac:dyDescent="0.25">
      <c r="A6" s="447"/>
      <c r="B6" s="462" t="s">
        <v>249</v>
      </c>
      <c r="C6" s="463">
        <f>'M2022 BLS SALARY CHART (53_PCT)'!C8</f>
        <v>53206.566400000003</v>
      </c>
      <c r="D6" s="103" t="s">
        <v>250</v>
      </c>
      <c r="E6" s="447"/>
      <c r="F6" s="462" t="s">
        <v>251</v>
      </c>
      <c r="G6" s="464">
        <f>C6</f>
        <v>53206.566400000003</v>
      </c>
      <c r="H6" s="465">
        <v>1</v>
      </c>
      <c r="I6" s="466">
        <f>G6*H6</f>
        <v>53206.566400000003</v>
      </c>
      <c r="J6" s="447"/>
      <c r="K6" s="447"/>
      <c r="L6" s="447"/>
    </row>
    <row r="7" spans="1:12" ht="15.75" thickBot="1" x14ac:dyDescent="0.3">
      <c r="A7" s="447"/>
      <c r="B7" s="462" t="s">
        <v>159</v>
      </c>
      <c r="C7" s="467">
        <f>'M2022 BLS SALARY CHART (53_PCT)'!C38</f>
        <v>0.27379999999999999</v>
      </c>
      <c r="D7" s="401" t="s">
        <v>233</v>
      </c>
      <c r="E7" s="447"/>
      <c r="F7" s="468" t="s">
        <v>252</v>
      </c>
      <c r="G7" s="469"/>
      <c r="H7" s="469"/>
      <c r="I7" s="470">
        <f>SUM(I6)</f>
        <v>53206.566400000003</v>
      </c>
      <c r="J7" s="447"/>
      <c r="K7" s="447"/>
      <c r="L7" s="447"/>
    </row>
    <row r="8" spans="1:12" x14ac:dyDescent="0.25">
      <c r="A8" s="447"/>
      <c r="B8" s="462" t="s">
        <v>163</v>
      </c>
      <c r="C8" s="471">
        <f>'[3]Below the line 3253'!E12</f>
        <v>6030.592485549133</v>
      </c>
      <c r="D8" s="472" t="s">
        <v>253</v>
      </c>
      <c r="E8" s="447"/>
      <c r="F8" s="473"/>
      <c r="G8" s="474"/>
      <c r="H8" s="475"/>
      <c r="I8" s="476"/>
      <c r="J8" s="447"/>
      <c r="K8" s="447"/>
      <c r="L8" s="447"/>
    </row>
    <row r="9" spans="1:12" ht="15.75" thickBot="1" x14ac:dyDescent="0.3">
      <c r="A9" s="447"/>
      <c r="B9" s="462" t="s">
        <v>254</v>
      </c>
      <c r="C9" s="471">
        <f>'[3]Below the line 3253'!Q12</f>
        <v>2660.2080924855491</v>
      </c>
      <c r="D9" s="472" t="s">
        <v>253</v>
      </c>
      <c r="E9" s="447"/>
      <c r="F9" s="477" t="s">
        <v>155</v>
      </c>
      <c r="G9" s="478">
        <f>C7</f>
        <v>0.27379999999999999</v>
      </c>
      <c r="H9" s="479"/>
      <c r="I9" s="480">
        <f>G9*I7</f>
        <v>14567.95788032</v>
      </c>
      <c r="J9" s="447"/>
      <c r="K9" s="447"/>
      <c r="L9" s="447"/>
    </row>
    <row r="10" spans="1:12" ht="16.5" thickTop="1" thickBot="1" x14ac:dyDescent="0.3">
      <c r="A10" s="447"/>
      <c r="B10" s="462" t="s">
        <v>255</v>
      </c>
      <c r="C10" s="471">
        <f>'[3]Below the line 3253'!AK12</f>
        <v>512.64739884393066</v>
      </c>
      <c r="D10" s="472" t="s">
        <v>253</v>
      </c>
      <c r="E10" s="447"/>
      <c r="F10" s="468" t="s">
        <v>256</v>
      </c>
      <c r="G10" s="469"/>
      <c r="H10" s="469"/>
      <c r="I10" s="470">
        <f>I9+I7</f>
        <v>67774.524280320009</v>
      </c>
      <c r="J10" s="447"/>
      <c r="K10" s="447"/>
      <c r="L10" s="447"/>
    </row>
    <row r="11" spans="1:12" x14ac:dyDescent="0.25">
      <c r="A11" s="447"/>
      <c r="B11" s="183" t="s">
        <v>175</v>
      </c>
      <c r="C11" s="481">
        <v>0.12</v>
      </c>
      <c r="D11" s="482" t="s">
        <v>237</v>
      </c>
      <c r="E11" s="447"/>
      <c r="F11" s="462" t="s">
        <v>163</v>
      </c>
      <c r="G11" s="447"/>
      <c r="H11" s="447"/>
      <c r="I11" s="483">
        <f>C8</f>
        <v>6030.592485549133</v>
      </c>
      <c r="J11" s="447"/>
      <c r="K11" s="447"/>
      <c r="L11" s="447"/>
    </row>
    <row r="12" spans="1:12" x14ac:dyDescent="0.25">
      <c r="A12" s="447"/>
      <c r="B12" s="484"/>
      <c r="C12" s="485"/>
      <c r="D12" s="486"/>
      <c r="E12" s="447"/>
      <c r="F12" s="462" t="s">
        <v>169</v>
      </c>
      <c r="G12" s="447"/>
      <c r="H12" s="487"/>
      <c r="I12" s="483">
        <f>C9</f>
        <v>2660.2080924855491</v>
      </c>
      <c r="J12" s="447"/>
      <c r="K12" s="447"/>
      <c r="L12" s="447"/>
    </row>
    <row r="13" spans="1:12" ht="15.75" thickBot="1" x14ac:dyDescent="0.3">
      <c r="A13" s="447"/>
      <c r="B13" s="468" t="s">
        <v>257</v>
      </c>
      <c r="C13" s="488">
        <v>0.12</v>
      </c>
      <c r="D13" s="489" t="s">
        <v>237</v>
      </c>
      <c r="E13" s="447"/>
      <c r="F13" s="477" t="s">
        <v>258</v>
      </c>
      <c r="G13" s="479"/>
      <c r="H13" s="479"/>
      <c r="I13" s="480">
        <f>C10</f>
        <v>512.64739884393066</v>
      </c>
      <c r="J13" s="447"/>
      <c r="K13" s="447"/>
      <c r="L13" s="447"/>
    </row>
    <row r="14" spans="1:12" ht="15.75" thickBot="1" x14ac:dyDescent="0.3">
      <c r="A14" s="447"/>
      <c r="B14" s="468" t="s">
        <v>239</v>
      </c>
      <c r="C14" s="490">
        <f>'CAF Spring 2023'!CI26</f>
        <v>2.7100379121522307E-2</v>
      </c>
      <c r="D14" s="491" t="s">
        <v>179</v>
      </c>
      <c r="E14" s="447"/>
      <c r="F14" s="468" t="s">
        <v>176</v>
      </c>
      <c r="G14" s="469"/>
      <c r="H14" s="469"/>
      <c r="I14" s="470">
        <f>SUM(I10:I13)</f>
        <v>76977.97225719862</v>
      </c>
      <c r="J14" s="447"/>
      <c r="K14" s="447"/>
      <c r="L14" s="447"/>
    </row>
    <row r="15" spans="1:12" ht="15.75" thickBot="1" x14ac:dyDescent="0.3">
      <c r="A15" s="447"/>
      <c r="B15" s="447"/>
      <c r="C15" s="447"/>
      <c r="D15" s="447"/>
      <c r="E15" s="447"/>
      <c r="F15" s="492" t="s">
        <v>175</v>
      </c>
      <c r="G15" s="493">
        <f>C11</f>
        <v>0.12</v>
      </c>
      <c r="H15" s="494"/>
      <c r="I15" s="466">
        <f>I14*G15</f>
        <v>9237.3566708638336</v>
      </c>
      <c r="J15" s="447"/>
      <c r="K15" s="447"/>
      <c r="L15" s="447"/>
    </row>
    <row r="16" spans="1:12" ht="15.75" thickBot="1" x14ac:dyDescent="0.3">
      <c r="A16" s="447"/>
      <c r="B16" s="447"/>
      <c r="C16" s="447"/>
      <c r="D16" s="447"/>
      <c r="E16" s="447"/>
      <c r="F16" s="495" t="s">
        <v>180</v>
      </c>
      <c r="G16" s="496"/>
      <c r="H16" s="496"/>
      <c r="I16" s="497">
        <f>I15+I14</f>
        <v>86215.328928062459</v>
      </c>
      <c r="J16" s="447"/>
      <c r="K16" s="447"/>
      <c r="L16" s="447"/>
    </row>
    <row r="17" spans="1:12" x14ac:dyDescent="0.25">
      <c r="A17" s="447"/>
      <c r="B17" s="447"/>
      <c r="C17" s="447"/>
      <c r="D17" s="447"/>
      <c r="E17" s="447"/>
      <c r="F17" s="462"/>
      <c r="G17" s="447"/>
      <c r="H17" s="447"/>
      <c r="I17" s="483"/>
      <c r="J17" s="447"/>
      <c r="K17" s="447"/>
      <c r="L17" s="447"/>
    </row>
    <row r="18" spans="1:12" ht="15.75" thickBot="1" x14ac:dyDescent="0.3">
      <c r="A18" s="447"/>
      <c r="B18" s="447"/>
      <c r="C18" s="447"/>
      <c r="D18" s="447"/>
      <c r="E18" s="447"/>
      <c r="F18" s="462" t="s">
        <v>184</v>
      </c>
      <c r="G18" s="498">
        <f>C14</f>
        <v>2.7100379121522307E-2</v>
      </c>
      <c r="H18" s="447"/>
      <c r="I18" s="483">
        <f>I16*(G18+1)</f>
        <v>88551.797028099696</v>
      </c>
      <c r="J18" s="447"/>
      <c r="K18" s="499" t="s">
        <v>259</v>
      </c>
      <c r="L18" s="447"/>
    </row>
    <row r="19" spans="1:12" ht="15.75" thickBot="1" x14ac:dyDescent="0.3">
      <c r="A19" s="447"/>
      <c r="B19" s="447"/>
      <c r="C19" s="447"/>
      <c r="D19" s="447"/>
      <c r="E19" s="447"/>
      <c r="F19" s="495" t="s">
        <v>260</v>
      </c>
      <c r="G19" s="496"/>
      <c r="H19" s="496"/>
      <c r="I19" s="500">
        <f>I18/I4+0.02</f>
        <v>70.438924078011681</v>
      </c>
      <c r="J19" s="447"/>
      <c r="K19" s="501">
        <f>58.12*0.25</f>
        <v>14.53</v>
      </c>
      <c r="L19" s="502"/>
    </row>
    <row r="20" spans="1:12" x14ac:dyDescent="0.25">
      <c r="A20" s="447"/>
      <c r="B20" s="447"/>
      <c r="C20" s="447"/>
      <c r="D20" s="447"/>
      <c r="E20" s="447"/>
      <c r="F20" s="447"/>
      <c r="G20" s="447"/>
      <c r="H20" s="447"/>
      <c r="I20" s="503"/>
      <c r="J20" s="447"/>
      <c r="K20" s="504"/>
      <c r="L20" s="447"/>
    </row>
    <row r="21" spans="1:12" x14ac:dyDescent="0.25">
      <c r="A21" s="447"/>
      <c r="B21" s="447"/>
      <c r="C21" s="447"/>
      <c r="D21" s="447"/>
      <c r="E21" s="447"/>
      <c r="F21" s="447"/>
      <c r="G21" s="447"/>
      <c r="H21" s="447"/>
      <c r="I21" s="293"/>
      <c r="J21" s="447"/>
      <c r="L21" s="447"/>
    </row>
    <row r="22" spans="1:12" x14ac:dyDescent="0.25">
      <c r="A22" s="447"/>
      <c r="B22" s="447"/>
      <c r="C22" s="447"/>
      <c r="D22" s="447"/>
      <c r="E22" s="447"/>
      <c r="F22" s="447"/>
      <c r="G22" s="447"/>
      <c r="H22" s="447"/>
      <c r="I22" s="293"/>
      <c r="J22" s="447"/>
      <c r="L22" s="502"/>
    </row>
    <row r="23" spans="1:12" x14ac:dyDescent="0.25">
      <c r="A23" s="447"/>
      <c r="B23" s="447"/>
      <c r="C23" s="447"/>
      <c r="D23" s="447"/>
      <c r="E23" s="447"/>
      <c r="F23" s="447"/>
      <c r="G23" s="447"/>
      <c r="H23" s="447"/>
      <c r="I23" s="447"/>
      <c r="J23" s="447"/>
      <c r="L23" s="447"/>
    </row>
    <row r="24" spans="1:12" x14ac:dyDescent="0.25">
      <c r="A24" s="447"/>
      <c r="B24" s="447"/>
      <c r="C24" s="447"/>
      <c r="D24" s="447"/>
      <c r="E24" s="447"/>
      <c r="F24" s="447"/>
      <c r="G24" s="447"/>
      <c r="H24" s="447"/>
      <c r="I24" s="505"/>
      <c r="J24" s="293"/>
      <c r="K24" s="447"/>
      <c r="L24" s="447"/>
    </row>
    <row r="25" spans="1:12" x14ac:dyDescent="0.25">
      <c r="A25" s="447"/>
      <c r="B25" s="447"/>
      <c r="C25" s="447"/>
      <c r="D25" s="447"/>
      <c r="E25" s="447"/>
      <c r="J25" s="447"/>
      <c r="K25" s="447"/>
      <c r="L25" s="447"/>
    </row>
    <row r="26" spans="1:12" x14ac:dyDescent="0.25">
      <c r="A26" s="447"/>
      <c r="B26" s="447"/>
      <c r="C26" s="447"/>
      <c r="D26" s="447"/>
      <c r="E26" s="447"/>
      <c r="J26" s="447"/>
      <c r="K26" s="447"/>
      <c r="L26" s="447"/>
    </row>
    <row r="27" spans="1:12" x14ac:dyDescent="0.25">
      <c r="A27" s="447"/>
      <c r="B27" s="447"/>
      <c r="C27" s="447"/>
      <c r="D27" s="447"/>
      <c r="E27" s="447"/>
      <c r="J27" s="447"/>
      <c r="K27" s="447"/>
      <c r="L27" s="447"/>
    </row>
    <row r="28" spans="1:12" x14ac:dyDescent="0.25">
      <c r="A28" s="447"/>
      <c r="B28" s="447"/>
      <c r="C28" s="447"/>
      <c r="D28" s="447"/>
      <c r="E28" s="447"/>
      <c r="J28" s="447"/>
      <c r="K28" s="447"/>
      <c r="L28" s="447"/>
    </row>
    <row r="29" spans="1:12" x14ac:dyDescent="0.25">
      <c r="B29" s="447"/>
      <c r="C29" s="447"/>
      <c r="D29" s="447"/>
    </row>
    <row r="30" spans="1:12" x14ac:dyDescent="0.25">
      <c r="B30" s="447"/>
      <c r="C30" s="447"/>
      <c r="D30" s="447"/>
    </row>
  </sheetData>
  <mergeCells count="3">
    <mergeCell ref="F3:I3"/>
    <mergeCell ref="B4:D4"/>
    <mergeCell ref="B5:C5"/>
  </mergeCells>
  <pageMargins left="0.7" right="0.7" top="0.75" bottom="0.75" header="0.3" footer="0.3"/>
  <pageSetup scale="6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F9E3-68CA-491A-B0BD-DA8F471E9F5F}">
  <sheetPr>
    <pageSetUpPr fitToPage="1"/>
  </sheetPr>
  <dimension ref="A1:O60"/>
  <sheetViews>
    <sheetView zoomScale="90" zoomScaleNormal="90" workbookViewId="0">
      <selection activeCell="I24" sqref="I24"/>
    </sheetView>
  </sheetViews>
  <sheetFormatPr defaultColWidth="9.28515625" defaultRowHeight="15.75" x14ac:dyDescent="0.25"/>
  <cols>
    <col min="1" max="1" width="9.28515625" style="506"/>
    <col min="2" max="2" width="41" style="506" customWidth="1"/>
    <col min="3" max="3" width="12.28515625" style="576" customWidth="1"/>
    <col min="4" max="4" width="19.5703125" style="506" customWidth="1"/>
    <col min="5" max="5" width="13.5703125" style="506" customWidth="1"/>
    <col min="6" max="6" width="6.7109375" style="506" customWidth="1"/>
    <col min="7" max="7" width="4.42578125" style="506" customWidth="1"/>
    <col min="8" max="8" width="25.28515625" style="506" bestFit="1" customWidth="1"/>
    <col min="9" max="9" width="14.5703125" style="506" customWidth="1"/>
    <col min="10" max="10" width="15.140625" style="576" customWidth="1"/>
    <col min="11" max="11" width="17.7109375" style="506" customWidth="1"/>
    <col min="12" max="14" width="9.28515625" style="506"/>
    <col min="15" max="15" width="12.7109375" style="506" bestFit="1" customWidth="1"/>
    <col min="16" max="16384" width="9.28515625" style="506"/>
  </cols>
  <sheetData>
    <row r="1" spans="1:14" x14ac:dyDescent="0.25">
      <c r="A1" s="70"/>
      <c r="B1" s="70"/>
      <c r="C1" s="99"/>
      <c r="D1" s="70"/>
      <c r="E1" s="70"/>
      <c r="F1" s="70"/>
      <c r="G1" s="70"/>
      <c r="H1" s="70"/>
      <c r="I1" s="70"/>
      <c r="J1" s="99"/>
      <c r="K1" s="70"/>
      <c r="L1" s="70"/>
      <c r="M1" s="70"/>
      <c r="N1" s="70"/>
    </row>
    <row r="2" spans="1:14" ht="16.5" thickBot="1" x14ac:dyDescent="0.3">
      <c r="A2" s="70"/>
      <c r="B2" s="236"/>
      <c r="C2" s="507"/>
      <c r="D2" s="508"/>
      <c r="E2" s="508"/>
      <c r="F2" s="508"/>
      <c r="G2" s="69"/>
      <c r="H2" s="70"/>
      <c r="I2" s="70"/>
      <c r="J2" s="99"/>
      <c r="K2" s="70"/>
      <c r="L2" s="70"/>
      <c r="M2" s="70"/>
      <c r="N2" s="70"/>
    </row>
    <row r="3" spans="1:14" ht="22.5" customHeight="1" thickBot="1" x14ac:dyDescent="0.3">
      <c r="A3" s="70"/>
      <c r="B3" s="71" t="s">
        <v>120</v>
      </c>
      <c r="C3" s="72"/>
      <c r="D3" s="72"/>
      <c r="E3" s="72"/>
      <c r="F3" s="73"/>
      <c r="G3" s="69"/>
      <c r="H3" s="509" t="s">
        <v>261</v>
      </c>
      <c r="I3" s="510"/>
      <c r="J3" s="510"/>
      <c r="K3" s="511"/>
      <c r="L3" s="70"/>
      <c r="M3" s="70"/>
      <c r="N3" s="70"/>
    </row>
    <row r="4" spans="1:14" x14ac:dyDescent="0.25">
      <c r="A4" s="70"/>
      <c r="B4" s="512" t="s">
        <v>126</v>
      </c>
      <c r="C4" s="513"/>
      <c r="D4" s="514" t="s">
        <v>127</v>
      </c>
      <c r="E4" s="515"/>
      <c r="F4" s="516"/>
      <c r="G4" s="69"/>
      <c r="H4" s="90" t="s">
        <v>262</v>
      </c>
      <c r="I4" s="517">
        <v>60</v>
      </c>
      <c r="J4" s="517" t="s">
        <v>263</v>
      </c>
      <c r="K4" s="518">
        <f>I4*16*12</f>
        <v>11520</v>
      </c>
      <c r="L4" s="70"/>
      <c r="M4" s="70"/>
      <c r="N4" s="70"/>
    </row>
    <row r="5" spans="1:14" x14ac:dyDescent="0.25">
      <c r="A5" s="70"/>
      <c r="B5" s="519" t="s">
        <v>132</v>
      </c>
      <c r="C5" s="520"/>
      <c r="D5" s="521"/>
      <c r="E5" s="521"/>
      <c r="F5" s="522"/>
      <c r="G5" s="69"/>
      <c r="H5" s="104"/>
      <c r="I5" s="106" t="s">
        <v>133</v>
      </c>
      <c r="J5" s="106" t="s">
        <v>134</v>
      </c>
      <c r="K5" s="107" t="s">
        <v>135</v>
      </c>
      <c r="L5" s="70"/>
      <c r="M5" s="70"/>
      <c r="N5" s="70"/>
    </row>
    <row r="6" spans="1:14" x14ac:dyDescent="0.25">
      <c r="A6" s="70"/>
      <c r="B6" s="113" t="s">
        <v>264</v>
      </c>
      <c r="C6" s="114">
        <f>'M2022 BLS SALARY CHART (53_PCT)'!C22</f>
        <v>79415.232000000018</v>
      </c>
      <c r="D6" s="124" t="s">
        <v>139</v>
      </c>
      <c r="E6" s="124"/>
      <c r="F6" s="523"/>
      <c r="G6" s="69"/>
      <c r="H6" s="115" t="str">
        <f>$B$5</f>
        <v>Management</v>
      </c>
      <c r="I6" s="643"/>
      <c r="J6" s="643"/>
      <c r="K6" s="117"/>
      <c r="L6" s="70"/>
      <c r="M6" s="70"/>
      <c r="N6" s="70"/>
    </row>
    <row r="7" spans="1:14" x14ac:dyDescent="0.25">
      <c r="A7" s="70"/>
      <c r="B7" s="113" t="s">
        <v>265</v>
      </c>
      <c r="C7" s="114">
        <f>'M2022 BLS SALARY CHART (53_PCT)'!C8</f>
        <v>53206.566400000003</v>
      </c>
      <c r="D7" s="124" t="s">
        <v>139</v>
      </c>
      <c r="E7" s="124"/>
      <c r="F7" s="523"/>
      <c r="G7" s="69"/>
      <c r="H7" s="113" t="str">
        <f>$B$6</f>
        <v>Mgmt supervision</v>
      </c>
      <c r="I7" s="644">
        <f>C6</f>
        <v>79415.232000000018</v>
      </c>
      <c r="J7" s="645">
        <f>$C$12</f>
        <v>1</v>
      </c>
      <c r="K7" s="524">
        <f>I7*J7</f>
        <v>79415.232000000018</v>
      </c>
      <c r="L7" s="70"/>
      <c r="M7" s="70"/>
      <c r="N7" s="70"/>
    </row>
    <row r="8" spans="1:14" x14ac:dyDescent="0.25">
      <c r="A8" s="70"/>
      <c r="B8" s="115" t="s">
        <v>141</v>
      </c>
      <c r="C8" s="114"/>
      <c r="D8" s="124"/>
      <c r="E8" s="124"/>
      <c r="F8" s="523"/>
      <c r="G8" s="69"/>
      <c r="H8" s="113" t="str">
        <f>$B$7</f>
        <v xml:space="preserve">  Assistant Program Director</v>
      </c>
      <c r="I8" s="644">
        <f>C7</f>
        <v>53206.566400000003</v>
      </c>
      <c r="J8" s="645">
        <v>0.25</v>
      </c>
      <c r="K8" s="524">
        <f>I8*J8</f>
        <v>13301.641600000001</v>
      </c>
      <c r="L8" s="70"/>
      <c r="M8" s="70"/>
      <c r="N8" s="70"/>
    </row>
    <row r="9" spans="1:14" x14ac:dyDescent="0.25">
      <c r="A9" s="70"/>
      <c r="B9" s="133" t="s">
        <v>266</v>
      </c>
      <c r="C9" s="134">
        <f>'M2022 BLS SALARY CHART (53_PCT)'!C6</f>
        <v>41600</v>
      </c>
      <c r="D9" s="124" t="s">
        <v>139</v>
      </c>
      <c r="E9" s="525"/>
      <c r="F9" s="526"/>
      <c r="G9" s="69"/>
      <c r="H9" s="115" t="str">
        <f>$B$8</f>
        <v>Direct Care</v>
      </c>
      <c r="I9" s="644"/>
      <c r="J9" s="645"/>
      <c r="K9" s="524"/>
      <c r="L9" s="70"/>
      <c r="M9" s="70"/>
      <c r="N9" s="70"/>
    </row>
    <row r="10" spans="1:14" x14ac:dyDescent="0.25">
      <c r="A10" s="70"/>
      <c r="B10" s="527" t="s">
        <v>148</v>
      </c>
      <c r="C10" s="528"/>
      <c r="D10" s="529"/>
      <c r="E10" s="529"/>
      <c r="F10" s="530"/>
      <c r="G10" s="69"/>
      <c r="H10" s="113" t="str">
        <f>$B$9</f>
        <v xml:space="preserve">  Program Staff</v>
      </c>
      <c r="I10" s="644">
        <f>C9</f>
        <v>41600</v>
      </c>
      <c r="J10" s="645">
        <v>0.75</v>
      </c>
      <c r="K10" s="524">
        <f>I10*J10</f>
        <v>31200</v>
      </c>
      <c r="L10" s="70"/>
      <c r="M10" s="70"/>
      <c r="N10" s="70"/>
    </row>
    <row r="11" spans="1:14" x14ac:dyDescent="0.25">
      <c r="A11" s="70"/>
      <c r="B11" s="519" t="str">
        <f>B5</f>
        <v>Management</v>
      </c>
      <c r="C11" s="147"/>
      <c r="D11" s="531"/>
      <c r="E11" s="531"/>
      <c r="F11" s="532"/>
      <c r="G11" s="69"/>
      <c r="H11" s="148" t="s">
        <v>150</v>
      </c>
      <c r="I11" s="533"/>
      <c r="J11" s="534">
        <f>SUM(J7:J10)</f>
        <v>2</v>
      </c>
      <c r="K11" s="535">
        <f>SUM(K7:K10)</f>
        <v>123916.87360000002</v>
      </c>
      <c r="L11" s="70"/>
      <c r="M11" s="70"/>
      <c r="N11" s="70"/>
    </row>
    <row r="12" spans="1:14" x14ac:dyDescent="0.25">
      <c r="A12" s="70"/>
      <c r="B12" s="113" t="str">
        <f>B6</f>
        <v>Mgmt supervision</v>
      </c>
      <c r="C12" s="154">
        <v>1</v>
      </c>
      <c r="D12" s="124" t="s">
        <v>267</v>
      </c>
      <c r="E12" s="124"/>
      <c r="F12" s="523"/>
      <c r="G12" s="69"/>
      <c r="H12" s="161"/>
      <c r="I12" s="646"/>
      <c r="J12" s="647"/>
      <c r="K12" s="536"/>
      <c r="L12" s="70"/>
      <c r="M12" s="70"/>
      <c r="N12" s="70"/>
    </row>
    <row r="13" spans="1:14" x14ac:dyDescent="0.25">
      <c r="A13" s="70"/>
      <c r="B13" s="113" t="str">
        <f>B7</f>
        <v xml:space="preserve">  Assistant Program Director</v>
      </c>
      <c r="C13" s="154">
        <v>0.25</v>
      </c>
      <c r="D13" s="124" t="s">
        <v>267</v>
      </c>
      <c r="E13" s="124"/>
      <c r="F13" s="523"/>
      <c r="G13" s="69"/>
      <c r="H13" s="161" t="s">
        <v>155</v>
      </c>
      <c r="I13" s="646">
        <f>C17</f>
        <v>0.27379999999999999</v>
      </c>
      <c r="J13" s="648"/>
      <c r="K13" s="524">
        <f>I13*K11</f>
        <v>33928.439991680003</v>
      </c>
      <c r="L13" s="70"/>
      <c r="M13" s="70"/>
      <c r="N13" s="70"/>
    </row>
    <row r="14" spans="1:14" x14ac:dyDescent="0.25">
      <c r="A14" s="70"/>
      <c r="B14" s="115" t="str">
        <f>B8</f>
        <v>Direct Care</v>
      </c>
      <c r="C14" s="154"/>
      <c r="D14" s="537"/>
      <c r="E14" s="538"/>
      <c r="F14" s="539"/>
      <c r="G14" s="69"/>
      <c r="H14" s="148" t="s">
        <v>157</v>
      </c>
      <c r="I14" s="533"/>
      <c r="J14" s="540"/>
      <c r="K14" s="535">
        <f>SUM(K11:K13)</f>
        <v>157845.31359168002</v>
      </c>
      <c r="L14" s="70"/>
      <c r="M14" s="70"/>
      <c r="N14" s="70"/>
    </row>
    <row r="15" spans="1:14" x14ac:dyDescent="0.25">
      <c r="A15" s="70"/>
      <c r="B15" s="133" t="str">
        <f>B9</f>
        <v xml:space="preserve">  Program Staff</v>
      </c>
      <c r="C15" s="169">
        <v>0.75</v>
      </c>
      <c r="D15" s="541" t="s">
        <v>267</v>
      </c>
      <c r="E15" s="525"/>
      <c r="F15" s="526"/>
      <c r="G15" s="69"/>
      <c r="H15" s="161" t="str">
        <f>$B$18</f>
        <v>Occupancy</v>
      </c>
      <c r="I15" s="649"/>
      <c r="J15" s="650"/>
      <c r="K15" s="536">
        <f>C18*J11</f>
        <v>52250</v>
      </c>
      <c r="L15" s="70"/>
      <c r="M15" s="70"/>
      <c r="N15" s="70"/>
    </row>
    <row r="16" spans="1:14" x14ac:dyDescent="0.25">
      <c r="A16" s="70"/>
      <c r="B16" s="542" t="s">
        <v>158</v>
      </c>
      <c r="C16" s="543"/>
      <c r="D16" s="544"/>
      <c r="E16" s="544"/>
      <c r="F16" s="545"/>
      <c r="G16" s="69"/>
      <c r="H16" s="161" t="s">
        <v>268</v>
      </c>
      <c r="I16" s="649"/>
      <c r="J16" s="650"/>
      <c r="K16" s="536">
        <f>C19*K4</f>
        <v>254131.19999999998</v>
      </c>
      <c r="L16" s="70"/>
      <c r="M16" s="70"/>
      <c r="N16" s="70"/>
    </row>
    <row r="17" spans="1:15" x14ac:dyDescent="0.25">
      <c r="A17" s="70"/>
      <c r="B17" s="175" t="s">
        <v>159</v>
      </c>
      <c r="C17" s="546">
        <f>'M2022 BLS SALARY CHART (53_PCT)'!C38</f>
        <v>0.27379999999999999</v>
      </c>
      <c r="D17" s="401" t="s">
        <v>233</v>
      </c>
      <c r="E17" s="401"/>
      <c r="F17" s="547"/>
      <c r="G17" s="69"/>
      <c r="H17" s="183" t="str">
        <f>B20</f>
        <v>DC Consultant Training and Interperter services</v>
      </c>
      <c r="I17" s="649"/>
      <c r="J17" s="650"/>
      <c r="K17" s="536">
        <f>C20*48</f>
        <v>9600</v>
      </c>
      <c r="L17" s="70"/>
      <c r="M17" s="70"/>
      <c r="N17" s="70"/>
    </row>
    <row r="18" spans="1:15" x14ac:dyDescent="0.25">
      <c r="A18" s="70"/>
      <c r="B18" s="183" t="s">
        <v>163</v>
      </c>
      <c r="C18" s="114">
        <v>26125</v>
      </c>
      <c r="D18" s="548" t="s">
        <v>269</v>
      </c>
      <c r="E18" s="548"/>
      <c r="F18" s="549"/>
      <c r="G18" s="69"/>
      <c r="H18" s="161" t="str">
        <f>$B$21</f>
        <v>All other Program Supplies &amp; Materials</v>
      </c>
      <c r="I18" s="649"/>
      <c r="J18" s="650"/>
      <c r="K18" s="536">
        <f>C21*J11</f>
        <v>6790</v>
      </c>
      <c r="L18" s="70"/>
      <c r="M18" s="70"/>
      <c r="N18" s="70"/>
      <c r="O18" s="550"/>
    </row>
    <row r="19" spans="1:15" x14ac:dyDescent="0.25">
      <c r="A19" s="70"/>
      <c r="B19" s="183" t="s">
        <v>270</v>
      </c>
      <c r="C19" s="551">
        <v>22.06</v>
      </c>
      <c r="D19" s="548" t="s">
        <v>269</v>
      </c>
      <c r="E19" s="548"/>
      <c r="F19" s="549"/>
      <c r="G19" s="69"/>
      <c r="H19" s="148" t="s">
        <v>176</v>
      </c>
      <c r="I19" s="533"/>
      <c r="J19" s="552"/>
      <c r="K19" s="535">
        <f>SUM(K14:K18)</f>
        <v>480616.51359167998</v>
      </c>
      <c r="L19" s="70"/>
      <c r="M19" s="70"/>
      <c r="N19" s="70"/>
      <c r="O19" s="550"/>
    </row>
    <row r="20" spans="1:15" x14ac:dyDescent="0.25">
      <c r="A20" s="70"/>
      <c r="B20" s="183" t="s">
        <v>271</v>
      </c>
      <c r="C20" s="551">
        <v>200</v>
      </c>
      <c r="D20" s="548" t="s">
        <v>272</v>
      </c>
      <c r="E20" s="548"/>
      <c r="F20" s="549"/>
      <c r="G20" s="69"/>
      <c r="H20" s="161" t="s">
        <v>175</v>
      </c>
      <c r="I20" s="646">
        <f>C22</f>
        <v>0.12</v>
      </c>
      <c r="J20" s="648"/>
      <c r="K20" s="524">
        <f>I20*K19</f>
        <v>57673.981631001596</v>
      </c>
      <c r="L20" s="70"/>
      <c r="M20" s="70"/>
      <c r="N20" s="70"/>
    </row>
    <row r="21" spans="1:15" ht="16.5" thickBot="1" x14ac:dyDescent="0.3">
      <c r="A21" s="70"/>
      <c r="B21" s="183" t="s">
        <v>273</v>
      </c>
      <c r="C21" s="114">
        <v>3395</v>
      </c>
      <c r="D21" s="548" t="s">
        <v>235</v>
      </c>
      <c r="E21" s="124"/>
      <c r="F21" s="523"/>
      <c r="G21" s="69">
        <v>3205</v>
      </c>
      <c r="H21" s="219" t="s">
        <v>180</v>
      </c>
      <c r="I21" s="221"/>
      <c r="J21" s="222"/>
      <c r="K21" s="223">
        <f>SUM(K19:K20)</f>
        <v>538290.49522268155</v>
      </c>
      <c r="L21" s="70"/>
      <c r="M21" s="70"/>
      <c r="N21" s="70"/>
      <c r="O21" s="550"/>
    </row>
    <row r="22" spans="1:15" ht="16.5" thickTop="1" x14ac:dyDescent="0.25">
      <c r="A22" s="70"/>
      <c r="B22" s="183" t="s">
        <v>175</v>
      </c>
      <c r="C22" s="553">
        <f>'[3]CMR 422 Master Lookup'!G4</f>
        <v>0.12</v>
      </c>
      <c r="D22" s="548" t="s">
        <v>237</v>
      </c>
      <c r="E22" s="548"/>
      <c r="F22" s="549"/>
      <c r="G22" s="69"/>
      <c r="H22" s="161"/>
      <c r="I22" s="651"/>
      <c r="J22" s="652"/>
      <c r="K22" s="554"/>
      <c r="L22" s="70"/>
      <c r="M22" s="70"/>
      <c r="N22" s="70"/>
    </row>
    <row r="23" spans="1:15" ht="16.5" thickBot="1" x14ac:dyDescent="0.3">
      <c r="A23" s="70"/>
      <c r="B23" s="555"/>
      <c r="C23" s="556"/>
      <c r="D23" s="557"/>
      <c r="E23" s="558"/>
      <c r="F23" s="559"/>
      <c r="G23" s="69"/>
      <c r="H23" s="161" t="s">
        <v>184</v>
      </c>
      <c r="I23" s="646">
        <f>C24</f>
        <v>2.7100379121522307E-2</v>
      </c>
      <c r="J23" s="652"/>
      <c r="K23" s="554">
        <f>K21*(I23+1)</f>
        <v>552878.37172072823</v>
      </c>
      <c r="L23" s="70"/>
      <c r="M23" s="70"/>
      <c r="N23" s="70"/>
    </row>
    <row r="24" spans="1:15" ht="16.5" thickBot="1" x14ac:dyDescent="0.3">
      <c r="A24" s="70"/>
      <c r="B24" s="555" t="s">
        <v>239</v>
      </c>
      <c r="C24" s="553">
        <f>'CAF Spring 2023'!CI26</f>
        <v>2.7100379121522307E-2</v>
      </c>
      <c r="D24" s="216" t="s">
        <v>274</v>
      </c>
      <c r="E24" s="548"/>
      <c r="F24" s="549"/>
      <c r="G24" s="69"/>
      <c r="H24" s="560" t="s">
        <v>187</v>
      </c>
      <c r="I24" s="561"/>
      <c r="J24" s="562"/>
      <c r="K24" s="563">
        <f>K23/K4-0.01</f>
        <v>47.982914211868774</v>
      </c>
      <c r="L24" s="70"/>
      <c r="M24" s="70"/>
      <c r="N24" s="70"/>
    </row>
    <row r="25" spans="1:15" ht="16.5" thickBot="1" x14ac:dyDescent="0.3">
      <c r="A25" s="70"/>
      <c r="B25" s="564" t="s">
        <v>182</v>
      </c>
      <c r="C25" s="565">
        <v>2.5399999999999999E-2</v>
      </c>
      <c r="D25" s="566"/>
      <c r="E25" s="567"/>
      <c r="F25" s="568"/>
      <c r="G25" s="69"/>
      <c r="H25" s="70"/>
      <c r="I25" s="70"/>
      <c r="J25" s="99"/>
      <c r="K25" s="262"/>
      <c r="L25" s="70"/>
      <c r="M25" s="70"/>
      <c r="N25" s="70"/>
    </row>
    <row r="26" spans="1:15" x14ac:dyDescent="0.25">
      <c r="A26" s="70"/>
      <c r="B26" s="230" t="s">
        <v>182</v>
      </c>
      <c r="C26" s="229"/>
      <c r="D26" s="69"/>
      <c r="E26" s="69"/>
      <c r="F26" s="69"/>
      <c r="G26" s="69"/>
      <c r="H26" s="569"/>
      <c r="I26" s="570"/>
      <c r="J26" s="571"/>
      <c r="K26" s="642"/>
      <c r="L26" s="70"/>
      <c r="M26" s="70"/>
      <c r="N26" s="70"/>
    </row>
    <row r="27" spans="1:15" x14ac:dyDescent="0.25">
      <c r="A27" s="70"/>
      <c r="B27" s="572" t="s">
        <v>182</v>
      </c>
      <c r="C27" s="573"/>
      <c r="D27" s="70"/>
      <c r="E27" s="70"/>
      <c r="F27" s="70"/>
      <c r="G27" s="69"/>
      <c r="H27" s="574"/>
      <c r="I27" s="575"/>
      <c r="L27" s="70"/>
      <c r="M27" s="70"/>
      <c r="N27" s="70"/>
    </row>
    <row r="28" spans="1:15" x14ac:dyDescent="0.25">
      <c r="A28" s="70"/>
      <c r="B28" s="70"/>
      <c r="C28" s="577"/>
      <c r="D28" s="70"/>
      <c r="E28" s="70"/>
      <c r="F28" s="70"/>
      <c r="G28" s="69"/>
      <c r="H28" s="578"/>
      <c r="I28" s="579"/>
      <c r="J28" s="580"/>
      <c r="L28" s="70"/>
      <c r="M28" s="70"/>
      <c r="N28" s="70"/>
    </row>
    <row r="29" spans="1:15" x14ac:dyDescent="0.25">
      <c r="A29" s="70"/>
      <c r="B29" s="70"/>
      <c r="C29" s="99"/>
      <c r="G29" s="69"/>
      <c r="H29" s="578"/>
      <c r="I29" s="579"/>
      <c r="J29" s="580"/>
      <c r="L29" s="194"/>
      <c r="M29" s="70"/>
      <c r="N29" s="70"/>
    </row>
    <row r="30" spans="1:15" x14ac:dyDescent="0.25">
      <c r="A30" s="70"/>
      <c r="G30" s="69"/>
      <c r="H30" s="578"/>
      <c r="I30" s="579"/>
      <c r="J30" s="580"/>
      <c r="L30" s="70"/>
      <c r="M30" s="70"/>
      <c r="N30" s="70"/>
    </row>
    <row r="31" spans="1:15" x14ac:dyDescent="0.25">
      <c r="A31" s="70"/>
      <c r="G31" s="69"/>
      <c r="H31" s="578"/>
      <c r="I31" s="579"/>
      <c r="J31" s="580"/>
      <c r="L31" s="70"/>
      <c r="M31" s="70"/>
      <c r="N31" s="70"/>
    </row>
    <row r="32" spans="1:15" x14ac:dyDescent="0.25">
      <c r="G32" s="581"/>
    </row>
    <row r="33" spans="7:11" x14ac:dyDescent="0.25">
      <c r="G33" s="581"/>
      <c r="H33" s="574"/>
      <c r="I33" s="574"/>
      <c r="J33" s="574"/>
      <c r="K33" s="574"/>
    </row>
    <row r="34" spans="7:11" x14ac:dyDescent="0.25">
      <c r="G34" s="581"/>
      <c r="H34" s="582"/>
      <c r="I34" s="583"/>
      <c r="J34" s="583"/>
      <c r="K34" s="583"/>
    </row>
    <row r="35" spans="7:11" x14ac:dyDescent="0.25">
      <c r="G35" s="581"/>
      <c r="H35" s="582"/>
      <c r="I35" s="583"/>
      <c r="J35" s="583"/>
      <c r="K35" s="583"/>
    </row>
    <row r="36" spans="7:11" x14ac:dyDescent="0.25">
      <c r="G36" s="581"/>
      <c r="H36" s="582"/>
      <c r="I36" s="583"/>
      <c r="J36" s="583"/>
      <c r="K36" s="583"/>
    </row>
    <row r="37" spans="7:11" x14ac:dyDescent="0.25">
      <c r="G37" s="581"/>
      <c r="H37" s="582"/>
      <c r="I37" s="584"/>
      <c r="J37" s="584"/>
      <c r="K37" s="584"/>
    </row>
    <row r="38" spans="7:11" x14ac:dyDescent="0.25">
      <c r="H38" s="582"/>
      <c r="I38" s="583"/>
      <c r="J38" s="583"/>
      <c r="K38" s="583"/>
    </row>
    <row r="39" spans="7:11" x14ac:dyDescent="0.25">
      <c r="H39" s="582"/>
      <c r="I39" s="583"/>
      <c r="J39" s="583"/>
      <c r="K39" s="583"/>
    </row>
    <row r="41" spans="7:11" x14ac:dyDescent="0.25">
      <c r="H41" s="582"/>
      <c r="I41" s="585"/>
    </row>
    <row r="60" spans="7:7" ht="21" x14ac:dyDescent="0.35">
      <c r="G60" s="586"/>
    </row>
  </sheetData>
  <mergeCells count="5">
    <mergeCell ref="B3:F3"/>
    <mergeCell ref="H3:K3"/>
    <mergeCell ref="D4:F4"/>
    <mergeCell ref="B10:C10"/>
    <mergeCell ref="B16:C16"/>
  </mergeCells>
  <pageMargins left="0.25" right="0.25" top="0.75" bottom="0.75" header="0.3" footer="0.3"/>
  <pageSetup scale="63" orientation="landscape" cellComments="asDisplayed"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F44D-510B-4A0E-A98C-4552AD8101EF}">
  <sheetPr>
    <pageSetUpPr fitToPage="1"/>
  </sheetPr>
  <dimension ref="B2:W35"/>
  <sheetViews>
    <sheetView topLeftCell="A3" zoomScaleNormal="100" workbookViewId="0">
      <selection activeCell="G22" sqref="G22"/>
    </sheetView>
  </sheetViews>
  <sheetFormatPr defaultColWidth="8.85546875" defaultRowHeight="15" x14ac:dyDescent="0.25"/>
  <cols>
    <col min="1" max="1" width="8.85546875" style="654"/>
    <col min="2" max="2" width="25.28515625" style="654" customWidth="1"/>
    <col min="3" max="3" width="8.28515625" style="654" customWidth="1"/>
    <col min="4" max="4" width="3.7109375" style="654" bestFit="1" customWidth="1"/>
    <col min="5" max="5" width="9" style="654" customWidth="1"/>
    <col min="6" max="6" width="3.42578125" style="654" customWidth="1"/>
    <col min="7" max="7" width="23" style="654" bestFit="1" customWidth="1"/>
    <col min="8" max="8" width="9.5703125" style="654" bestFit="1" customWidth="1"/>
    <col min="9" max="9" width="37" style="654" bestFit="1" customWidth="1"/>
    <col min="10" max="10" width="5.5703125" style="654" bestFit="1" customWidth="1"/>
    <col min="11" max="11" width="3.5703125" style="654" customWidth="1"/>
    <col min="12" max="12" width="28.5703125" style="654" customWidth="1"/>
    <col min="13" max="13" width="7.28515625" style="654" customWidth="1"/>
    <col min="14" max="14" width="34.5703125" style="654" customWidth="1"/>
    <col min="15" max="18" width="8.85546875" style="654"/>
    <col min="19" max="19" width="22.42578125" style="654" bestFit="1" customWidth="1"/>
    <col min="20" max="21" width="8.85546875" style="654"/>
    <col min="22" max="23" width="12.5703125" style="654" bestFit="1" customWidth="1"/>
    <col min="24" max="16384" width="8.85546875" style="654"/>
  </cols>
  <sheetData>
    <row r="2" spans="2:23" x14ac:dyDescent="0.25">
      <c r="B2" s="653" t="s">
        <v>418</v>
      </c>
    </row>
    <row r="3" spans="2:23" ht="15.75" thickBot="1" x14ac:dyDescent="0.3">
      <c r="B3" s="655"/>
    </row>
    <row r="4" spans="2:23" ht="15.75" thickBot="1" x14ac:dyDescent="0.3">
      <c r="B4" s="656" t="s">
        <v>419</v>
      </c>
      <c r="C4" s="657"/>
      <c r="D4" s="657"/>
      <c r="E4" s="658"/>
      <c r="F4" s="659"/>
      <c r="G4" s="660" t="s">
        <v>420</v>
      </c>
      <c r="H4" s="661"/>
      <c r="I4" s="662"/>
      <c r="K4" s="659"/>
      <c r="L4" s="663" t="s">
        <v>421</v>
      </c>
      <c r="M4" s="664" t="s">
        <v>422</v>
      </c>
      <c r="N4" s="664" t="s">
        <v>77</v>
      </c>
      <c r="O4" s="665" t="s">
        <v>423</v>
      </c>
    </row>
    <row r="5" spans="2:23" ht="15.75" thickBot="1" x14ac:dyDescent="0.3">
      <c r="B5" s="666" t="s">
        <v>424</v>
      </c>
      <c r="C5" s="667" t="s">
        <v>425</v>
      </c>
      <c r="D5" s="667"/>
      <c r="E5" s="668">
        <f>O15</f>
        <v>1226.5</v>
      </c>
      <c r="G5" s="669" t="s">
        <v>426</v>
      </c>
      <c r="H5" s="670"/>
      <c r="I5" s="671" t="s">
        <v>127</v>
      </c>
      <c r="L5" s="672" t="s">
        <v>427</v>
      </c>
      <c r="M5" s="673">
        <v>52</v>
      </c>
      <c r="N5" s="673">
        <v>40</v>
      </c>
      <c r="O5" s="674">
        <f t="shared" ref="O5:O10" si="0">N5*M5</f>
        <v>2080</v>
      </c>
    </row>
    <row r="6" spans="2:23" x14ac:dyDescent="0.25">
      <c r="B6" s="675" t="s">
        <v>2</v>
      </c>
      <c r="C6" s="676" t="s">
        <v>133</v>
      </c>
      <c r="D6" s="676" t="s">
        <v>134</v>
      </c>
      <c r="E6" s="677" t="s">
        <v>135</v>
      </c>
      <c r="G6" s="678" t="s">
        <v>132</v>
      </c>
      <c r="H6" s="679">
        <f>'[2]M2022 BLS SALARY CHART (53_PCT)'!C22</f>
        <v>79415.232000000018</v>
      </c>
      <c r="I6" s="680" t="s">
        <v>428</v>
      </c>
      <c r="L6" s="681" t="s">
        <v>429</v>
      </c>
      <c r="M6" s="682">
        <f>M5-(M7+M8+M10)</f>
        <v>44.6</v>
      </c>
      <c r="N6" s="682">
        <v>2.5</v>
      </c>
      <c r="O6" s="683">
        <f t="shared" si="0"/>
        <v>111.5</v>
      </c>
    </row>
    <row r="7" spans="2:23" x14ac:dyDescent="0.25">
      <c r="B7" s="684" t="str">
        <f>G6</f>
        <v>Management</v>
      </c>
      <c r="C7" s="685">
        <f>H6</f>
        <v>79415.232000000018</v>
      </c>
      <c r="D7" s="686">
        <v>0.1</v>
      </c>
      <c r="E7" s="687">
        <f>D7*C7</f>
        <v>7941.5232000000024</v>
      </c>
      <c r="G7" s="684" t="s">
        <v>430</v>
      </c>
      <c r="H7" s="688">
        <f>'[2]M2022 BLS SALARY CHART (53_PCT)'!C8</f>
        <v>53206.566400000003</v>
      </c>
      <c r="I7" s="689" t="s">
        <v>428</v>
      </c>
      <c r="L7" s="690" t="s">
        <v>431</v>
      </c>
      <c r="M7" s="691">
        <v>4</v>
      </c>
      <c r="N7" s="692">
        <v>40</v>
      </c>
      <c r="O7" s="693">
        <f t="shared" si="0"/>
        <v>160</v>
      </c>
    </row>
    <row r="8" spans="2:23" x14ac:dyDescent="0.25">
      <c r="B8" s="684" t="str">
        <f>G7</f>
        <v>Direct Care III</v>
      </c>
      <c r="C8" s="685">
        <f>H7</f>
        <v>53206.566400000003</v>
      </c>
      <c r="D8" s="686">
        <v>0.5</v>
      </c>
      <c r="E8" s="687">
        <f>D8*C8</f>
        <v>26603.283200000002</v>
      </c>
      <c r="G8" s="684" t="s">
        <v>432</v>
      </c>
      <c r="H8" s="688">
        <f>'[2]M2022 BLS SALARY CHART (53_PCT)'!C6</f>
        <v>41600</v>
      </c>
      <c r="I8" s="689" t="s">
        <v>428</v>
      </c>
      <c r="L8" s="694" t="s">
        <v>433</v>
      </c>
      <c r="M8" s="691">
        <v>2.4</v>
      </c>
      <c r="N8" s="692">
        <v>40</v>
      </c>
      <c r="O8" s="693">
        <f t="shared" si="0"/>
        <v>96</v>
      </c>
    </row>
    <row r="9" spans="2:23" ht="15.75" thickBot="1" x14ac:dyDescent="0.3">
      <c r="B9" s="684" t="s">
        <v>141</v>
      </c>
      <c r="C9" s="685">
        <f>H8</f>
        <v>41600</v>
      </c>
      <c r="D9" s="686">
        <v>0.5</v>
      </c>
      <c r="E9" s="687">
        <f t="shared" ref="E9:E10" si="1">D9*C9</f>
        <v>20800</v>
      </c>
      <c r="G9" s="695" t="s">
        <v>434</v>
      </c>
      <c r="H9" s="696">
        <f>'[2]M2022 BLS SALARY CHART (53_PCT)'!C6</f>
        <v>41600</v>
      </c>
      <c r="I9" s="697" t="s">
        <v>428</v>
      </c>
      <c r="L9" s="690" t="s">
        <v>435</v>
      </c>
      <c r="M9" s="692">
        <f>M6</f>
        <v>44.6</v>
      </c>
      <c r="N9" s="692">
        <v>10</v>
      </c>
      <c r="O9" s="693">
        <f t="shared" si="0"/>
        <v>446</v>
      </c>
      <c r="T9" s="654" t="s">
        <v>436</v>
      </c>
    </row>
    <row r="10" spans="2:23" ht="15.75" thickBot="1" x14ac:dyDescent="0.3">
      <c r="B10" s="684" t="str">
        <f>G9</f>
        <v>Clerical / Support</v>
      </c>
      <c r="C10" s="685">
        <f>H9</f>
        <v>41600</v>
      </c>
      <c r="D10" s="686">
        <v>0.158</v>
      </c>
      <c r="E10" s="687">
        <f t="shared" si="1"/>
        <v>6572.8</v>
      </c>
      <c r="G10" s="698" t="s">
        <v>158</v>
      </c>
      <c r="H10" s="699"/>
      <c r="I10" s="700"/>
      <c r="L10" s="701" t="s">
        <v>142</v>
      </c>
      <c r="M10" s="702">
        <v>1</v>
      </c>
      <c r="N10" s="703">
        <v>40</v>
      </c>
      <c r="O10" s="704">
        <f t="shared" si="0"/>
        <v>40</v>
      </c>
      <c r="T10" s="654" t="s">
        <v>437</v>
      </c>
      <c r="U10" s="654" t="s">
        <v>438</v>
      </c>
      <c r="V10" s="654" t="s">
        <v>162</v>
      </c>
      <c r="W10" s="654" t="s">
        <v>204</v>
      </c>
    </row>
    <row r="11" spans="2:23" x14ac:dyDescent="0.25">
      <c r="B11" s="705" t="s">
        <v>150</v>
      </c>
      <c r="C11" s="706"/>
      <c r="D11" s="707">
        <f>SUM(D7:D10)</f>
        <v>1.258</v>
      </c>
      <c r="E11" s="708">
        <f>SUM(E7:E10)</f>
        <v>61917.606400000004</v>
      </c>
      <c r="G11" s="684" t="s">
        <v>163</v>
      </c>
      <c r="H11" s="688">
        <v>19392.310000000001</v>
      </c>
      <c r="I11" s="709" t="s">
        <v>235</v>
      </c>
      <c r="L11" s="690"/>
      <c r="M11" s="710"/>
      <c r="N11" s="710"/>
      <c r="O11" s="711"/>
      <c r="T11" s="654">
        <v>3600</v>
      </c>
      <c r="U11" s="654">
        <f>T11*2</f>
        <v>7200</v>
      </c>
      <c r="V11" s="712">
        <f>U11*E25</f>
        <v>133344</v>
      </c>
      <c r="W11" s="712">
        <f>U11*E24</f>
        <v>176545.86799676542</v>
      </c>
    </row>
    <row r="12" spans="2:23" x14ac:dyDescent="0.25">
      <c r="B12" s="713"/>
      <c r="C12" s="714"/>
      <c r="D12" s="715"/>
      <c r="E12" s="716"/>
      <c r="G12" s="684" t="s">
        <v>439</v>
      </c>
      <c r="H12" s="688">
        <v>5669.23</v>
      </c>
      <c r="I12" s="709" t="s">
        <v>235</v>
      </c>
      <c r="L12" s="717" t="s">
        <v>440</v>
      </c>
      <c r="M12" s="718"/>
      <c r="N12" s="718"/>
      <c r="O12" s="719">
        <f>SUM(O6:O10)</f>
        <v>853.5</v>
      </c>
    </row>
    <row r="13" spans="2:23" x14ac:dyDescent="0.25">
      <c r="B13" s="720" t="str">
        <f>G15</f>
        <v>Taxes &amp; Fringe</v>
      </c>
      <c r="C13" s="714">
        <f>H15</f>
        <v>0.27379999999999999</v>
      </c>
      <c r="D13" s="721"/>
      <c r="E13" s="687">
        <f>C13*E11</f>
        <v>16953.04063232</v>
      </c>
      <c r="G13" s="684" t="s">
        <v>146</v>
      </c>
      <c r="H13" s="688">
        <v>2100</v>
      </c>
      <c r="I13" s="709" t="s">
        <v>235</v>
      </c>
      <c r="L13" s="722" t="s">
        <v>441</v>
      </c>
      <c r="M13" s="723"/>
      <c r="N13" s="723"/>
      <c r="O13" s="724">
        <f>O5-O12</f>
        <v>1226.5</v>
      </c>
    </row>
    <row r="14" spans="2:23" ht="15.75" thickBot="1" x14ac:dyDescent="0.3">
      <c r="B14" s="725" t="s">
        <v>157</v>
      </c>
      <c r="C14" s="726"/>
      <c r="D14" s="727"/>
      <c r="E14" s="728">
        <f>SUM(E11+E13+E12)</f>
        <v>78870.647032320005</v>
      </c>
      <c r="G14" s="684"/>
      <c r="H14" s="688"/>
      <c r="I14" s="709"/>
      <c r="L14" s="717" t="s">
        <v>442</v>
      </c>
      <c r="M14" s="729"/>
      <c r="N14" s="729"/>
      <c r="O14" s="730">
        <v>1</v>
      </c>
    </row>
    <row r="15" spans="2:23" ht="16.5" thickTop="1" thickBot="1" x14ac:dyDescent="0.3">
      <c r="B15" s="713" t="str">
        <f>G11</f>
        <v>Occupancy</v>
      </c>
      <c r="C15" s="731">
        <f>H11</f>
        <v>19392.310000000001</v>
      </c>
      <c r="D15" s="732"/>
      <c r="E15" s="733">
        <f>C15*(D8+D9)</f>
        <v>19392.310000000001</v>
      </c>
      <c r="G15" s="684" t="s">
        <v>159</v>
      </c>
      <c r="H15" s="734">
        <f>'[2]M2022 BLS SALARY CHART (53_PCT)'!C38</f>
        <v>0.27379999999999999</v>
      </c>
      <c r="I15" s="709" t="s">
        <v>443</v>
      </c>
      <c r="L15" s="735" t="s">
        <v>444</v>
      </c>
      <c r="M15" s="736"/>
      <c r="N15" s="737"/>
      <c r="O15" s="738">
        <f>O13*O14</f>
        <v>1226.5</v>
      </c>
    </row>
    <row r="16" spans="2:23" x14ac:dyDescent="0.25">
      <c r="B16" s="684" t="s">
        <v>439</v>
      </c>
      <c r="C16" s="731">
        <f>H12</f>
        <v>5669.23</v>
      </c>
      <c r="D16" s="732"/>
      <c r="E16" s="733">
        <f>C16*(D8+D9)</f>
        <v>5669.23</v>
      </c>
      <c r="G16" s="684" t="s">
        <v>175</v>
      </c>
      <c r="H16" s="734">
        <v>0.12</v>
      </c>
      <c r="I16" s="709" t="s">
        <v>237</v>
      </c>
    </row>
    <row r="17" spans="2:14" ht="15.75" thickBot="1" x14ac:dyDescent="0.3">
      <c r="B17" s="684" t="s">
        <v>146</v>
      </c>
      <c r="C17" s="731">
        <f>H13</f>
        <v>2100</v>
      </c>
      <c r="D17" s="732"/>
      <c r="E17" s="739">
        <f>C17*(D8+D9)</f>
        <v>2100</v>
      </c>
      <c r="G17" s="695" t="s">
        <v>178</v>
      </c>
      <c r="H17" s="740">
        <f>'[2]CAF Spring 2023'!CI26</f>
        <v>2.7100379121522307E-2</v>
      </c>
      <c r="I17" s="741" t="s">
        <v>445</v>
      </c>
    </row>
    <row r="18" spans="2:14" x14ac:dyDescent="0.25">
      <c r="B18" s="705" t="s">
        <v>176</v>
      </c>
      <c r="C18" s="706"/>
      <c r="D18" s="742"/>
      <c r="E18" s="708">
        <f>SUM(E14:E17)</f>
        <v>106032.18703232</v>
      </c>
      <c r="G18" s="743"/>
    </row>
    <row r="19" spans="2:14" x14ac:dyDescent="0.25">
      <c r="B19" s="720" t="str">
        <f>G16</f>
        <v>Admin. Allocation</v>
      </c>
      <c r="C19" s="714">
        <f>H16</f>
        <v>0.12</v>
      </c>
      <c r="D19" s="721"/>
      <c r="E19" s="687">
        <f>C19*E18</f>
        <v>12723.862443878399</v>
      </c>
    </row>
    <row r="20" spans="2:14" ht="15.75" thickBot="1" x14ac:dyDescent="0.3">
      <c r="B20" s="744" t="s">
        <v>180</v>
      </c>
      <c r="C20" s="745"/>
      <c r="D20" s="746"/>
      <c r="E20" s="747">
        <f>E19+E18</f>
        <v>118756.0494761984</v>
      </c>
    </row>
    <row r="21" spans="2:14" ht="15.75" thickTop="1" x14ac:dyDescent="0.25">
      <c r="B21" s="748" t="s">
        <v>446</v>
      </c>
      <c r="C21" s="714">
        <f>H17</f>
        <v>2.7100379121522307E-2</v>
      </c>
      <c r="D21" s="721"/>
      <c r="E21" s="749">
        <f>(E20*C21)-(E11*C21)</f>
        <v>1540.3433560420413</v>
      </c>
    </row>
    <row r="22" spans="2:14" ht="15.75" thickBot="1" x14ac:dyDescent="0.3">
      <c r="B22" s="720" t="s">
        <v>447</v>
      </c>
      <c r="C22" s="750"/>
      <c r="D22" s="721"/>
      <c r="E22" s="751">
        <f>E21+E20</f>
        <v>120296.39283224044</v>
      </c>
    </row>
    <row r="23" spans="2:14" ht="15.75" thickBot="1" x14ac:dyDescent="0.3">
      <c r="B23" s="752" t="s">
        <v>448</v>
      </c>
      <c r="C23" s="753"/>
      <c r="D23" s="754"/>
      <c r="E23" s="755">
        <f>E22/E5</f>
        <v>98.081037775980789</v>
      </c>
    </row>
    <row r="24" spans="2:14" ht="15.75" thickBot="1" x14ac:dyDescent="0.3">
      <c r="B24" s="756" t="s">
        <v>449</v>
      </c>
      <c r="C24" s="757"/>
      <c r="D24" s="758"/>
      <c r="E24" s="759">
        <f>E23*0.25</f>
        <v>24.520259443995197</v>
      </c>
    </row>
    <row r="25" spans="2:14" ht="15.75" thickBot="1" x14ac:dyDescent="0.3">
      <c r="E25" s="760">
        <v>18.52</v>
      </c>
      <c r="G25" s="761"/>
      <c r="H25" s="761"/>
      <c r="I25" s="761"/>
    </row>
    <row r="26" spans="2:14" x14ac:dyDescent="0.25">
      <c r="B26" s="762"/>
      <c r="C26" s="763"/>
      <c r="D26" s="762"/>
      <c r="E26" s="764">
        <f>(E24-E25)/E25</f>
        <v>0.32398809092846642</v>
      </c>
      <c r="G26" s="761"/>
      <c r="H26" s="761"/>
      <c r="I26" s="761"/>
      <c r="K26" s="765"/>
    </row>
    <row r="27" spans="2:14" x14ac:dyDescent="0.25">
      <c r="F27" s="712"/>
      <c r="G27" s="761"/>
      <c r="H27" s="761"/>
      <c r="I27" s="761"/>
      <c r="J27" s="766"/>
    </row>
    <row r="28" spans="2:14" ht="15.75" thickBot="1" x14ac:dyDescent="0.3">
      <c r="J28" s="767"/>
      <c r="K28" s="767"/>
      <c r="L28" s="767"/>
      <c r="M28" s="767"/>
      <c r="N28" s="767"/>
    </row>
    <row r="29" spans="2:14" ht="102" customHeight="1" thickBot="1" x14ac:dyDescent="0.3">
      <c r="G29" s="768" t="s">
        <v>450</v>
      </c>
      <c r="H29" s="769"/>
      <c r="I29" s="769"/>
      <c r="J29" s="769"/>
      <c r="K29" s="769"/>
      <c r="L29" s="770"/>
    </row>
    <row r="30" spans="2:14" ht="15" customHeight="1" x14ac:dyDescent="0.25">
      <c r="G30" s="771"/>
      <c r="H30" s="771"/>
      <c r="I30" s="771"/>
      <c r="J30" s="771"/>
      <c r="K30" s="771"/>
      <c r="L30" s="771"/>
      <c r="M30" s="771"/>
      <c r="N30" s="771"/>
    </row>
    <row r="31" spans="2:14" x14ac:dyDescent="0.25">
      <c r="G31" s="771"/>
      <c r="H31" s="771"/>
      <c r="I31" s="771"/>
      <c r="J31" s="771"/>
      <c r="K31" s="771"/>
      <c r="L31" s="771"/>
      <c r="M31" s="771"/>
      <c r="N31" s="771"/>
    </row>
    <row r="32" spans="2:14" x14ac:dyDescent="0.25">
      <c r="G32" s="771"/>
      <c r="H32" s="771"/>
      <c r="I32" s="771"/>
      <c r="J32" s="771"/>
      <c r="K32" s="771"/>
      <c r="L32" s="771"/>
      <c r="M32" s="771"/>
      <c r="N32" s="771"/>
    </row>
    <row r="33" spans="7:14" x14ac:dyDescent="0.25">
      <c r="G33" s="771"/>
      <c r="H33" s="771"/>
      <c r="I33" s="771"/>
      <c r="J33" s="771"/>
      <c r="K33" s="771"/>
      <c r="L33" s="771"/>
      <c r="M33" s="771"/>
      <c r="N33" s="771"/>
    </row>
    <row r="34" spans="7:14" x14ac:dyDescent="0.25">
      <c r="G34" s="771"/>
      <c r="H34" s="771"/>
      <c r="I34" s="771"/>
      <c r="J34" s="771"/>
      <c r="K34" s="771"/>
      <c r="L34" s="771"/>
      <c r="M34" s="771"/>
      <c r="N34" s="771"/>
    </row>
    <row r="35" spans="7:14" x14ac:dyDescent="0.25">
      <c r="J35" s="771"/>
      <c r="K35" s="771"/>
      <c r="L35" s="771"/>
      <c r="M35" s="771"/>
      <c r="N35" s="771"/>
    </row>
  </sheetData>
  <mergeCells count="6">
    <mergeCell ref="B4:E4"/>
    <mergeCell ref="G4:I4"/>
    <mergeCell ref="C5:D5"/>
    <mergeCell ref="G5:H5"/>
    <mergeCell ref="G10:H10"/>
    <mergeCell ref="G29:L29"/>
  </mergeCells>
  <pageMargins left="0.25" right="0.25" top="0.75" bottom="0.75" header="0.3" footer="0.3"/>
  <pageSetup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7BC1-83AB-468F-9155-31923447D0BA}">
  <sheetPr>
    <pageSetUpPr fitToPage="1"/>
  </sheetPr>
  <dimension ref="A1:X69"/>
  <sheetViews>
    <sheetView zoomScale="90" zoomScaleNormal="90" zoomScaleSheetLayoutView="55" zoomScalePageLayoutView="70" workbookViewId="0">
      <selection activeCell="G22" sqref="G22"/>
    </sheetView>
  </sheetViews>
  <sheetFormatPr defaultColWidth="9.7109375" defaultRowHeight="12" x14ac:dyDescent="0.2"/>
  <cols>
    <col min="1" max="1" width="6.28515625" style="774" customWidth="1"/>
    <col min="2" max="2" width="27.42578125" style="774" hidden="1" customWidth="1"/>
    <col min="3" max="3" width="4.140625" style="774" hidden="1" customWidth="1"/>
    <col min="4" max="4" width="8.5703125" style="774" hidden="1" customWidth="1"/>
    <col min="5" max="5" width="11" style="774" hidden="1" customWidth="1"/>
    <col min="6" max="6" width="12.7109375" style="773" hidden="1" customWidth="1"/>
    <col min="7" max="7" width="2.42578125" style="774" customWidth="1"/>
    <col min="8" max="8" width="32" style="774" bestFit="1" customWidth="1"/>
    <col min="9" max="9" width="3" style="774" bestFit="1" customWidth="1"/>
    <col min="10" max="10" width="8.42578125" style="774" customWidth="1"/>
    <col min="11" max="11" width="7.7109375" style="774" bestFit="1" customWidth="1"/>
    <col min="12" max="12" width="13" style="774" bestFit="1" customWidth="1"/>
    <col min="13" max="13" width="13.28515625" style="774" customWidth="1"/>
    <col min="14" max="14" width="4.28515625" style="774" customWidth="1"/>
    <col min="15" max="15" width="27.5703125" style="774" customWidth="1"/>
    <col min="16" max="16" width="13.28515625" style="774" customWidth="1"/>
    <col min="17" max="17" width="62.7109375" style="774" customWidth="1"/>
    <col min="18" max="18" width="11.5703125" style="774" bestFit="1" customWidth="1"/>
    <col min="19" max="19" width="27.42578125" style="774" customWidth="1"/>
    <col min="20" max="20" width="11.85546875" style="774" customWidth="1"/>
    <col min="21" max="21" width="8.5703125" style="774" customWidth="1"/>
    <col min="22" max="22" width="9.140625" style="774" customWidth="1"/>
    <col min="23" max="23" width="10.7109375" style="774" customWidth="1"/>
    <col min="24" max="24" width="2.42578125" style="774" customWidth="1"/>
    <col min="25" max="16384" width="9.7109375" style="774"/>
  </cols>
  <sheetData>
    <row r="1" spans="1:24" x14ac:dyDescent="0.2">
      <c r="A1" s="772"/>
      <c r="B1" s="772"/>
      <c r="C1" s="772"/>
      <c r="D1" s="772"/>
      <c r="E1" s="772"/>
    </row>
    <row r="2" spans="1:24" x14ac:dyDescent="0.2">
      <c r="A2" s="775"/>
      <c r="B2" s="772"/>
      <c r="C2" s="772"/>
      <c r="D2" s="772"/>
      <c r="E2" s="772"/>
    </row>
    <row r="3" spans="1:24" ht="13.15" customHeight="1" thickBot="1" x14ac:dyDescent="0.25">
      <c r="A3" s="775"/>
      <c r="H3" s="776">
        <v>45292</v>
      </c>
      <c r="R3" s="777"/>
    </row>
    <row r="4" spans="1:24" ht="13.9" customHeight="1" thickBot="1" x14ac:dyDescent="0.25">
      <c r="B4" s="778" t="s">
        <v>451</v>
      </c>
      <c r="C4" s="779"/>
      <c r="D4" s="779"/>
      <c r="E4" s="779"/>
      <c r="F4" s="780"/>
      <c r="H4" s="781" t="s">
        <v>452</v>
      </c>
      <c r="I4" s="782"/>
      <c r="J4" s="782"/>
      <c r="K4" s="782"/>
      <c r="L4" s="783"/>
      <c r="O4" s="784" t="s">
        <v>453</v>
      </c>
      <c r="P4" s="785"/>
      <c r="Q4" s="786"/>
      <c r="S4" s="787"/>
    </row>
    <row r="5" spans="1:24" ht="13.9" customHeight="1" thickBot="1" x14ac:dyDescent="0.25">
      <c r="B5" s="788" t="s">
        <v>454</v>
      </c>
      <c r="C5" s="789">
        <v>10</v>
      </c>
      <c r="D5" s="790" t="s">
        <v>455</v>
      </c>
      <c r="E5" s="791">
        <f>P40</f>
        <v>249</v>
      </c>
      <c r="F5" s="792">
        <f>C5*E5</f>
        <v>2490</v>
      </c>
      <c r="H5" s="788" t="s">
        <v>454</v>
      </c>
      <c r="I5" s="789">
        <v>10</v>
      </c>
      <c r="J5" s="790" t="s">
        <v>455</v>
      </c>
      <c r="K5" s="791">
        <f>E5</f>
        <v>249</v>
      </c>
      <c r="L5" s="792">
        <f>I5*K5</f>
        <v>2490</v>
      </c>
      <c r="O5" s="793" t="s">
        <v>126</v>
      </c>
      <c r="P5" s="794"/>
      <c r="Q5" s="795" t="s">
        <v>127</v>
      </c>
      <c r="S5" s="796"/>
    </row>
    <row r="6" spans="1:24" x14ac:dyDescent="0.2">
      <c r="B6" s="797"/>
      <c r="C6" s="798"/>
      <c r="D6" s="799"/>
      <c r="E6" s="800"/>
      <c r="F6" s="801"/>
      <c r="H6" s="797"/>
      <c r="I6" s="798"/>
      <c r="J6" s="799"/>
      <c r="K6" s="800"/>
      <c r="L6" s="801"/>
      <c r="O6" s="802" t="s">
        <v>132</v>
      </c>
      <c r="P6" s="803">
        <f>'[2]M2022 BLS SALARY CHART (53_PCT)'!C22</f>
        <v>79415.232000000018</v>
      </c>
      <c r="Q6" s="804" t="s">
        <v>428</v>
      </c>
      <c r="R6" s="805"/>
    </row>
    <row r="7" spans="1:24" x14ac:dyDescent="0.2">
      <c r="B7" s="806" t="s">
        <v>456</v>
      </c>
      <c r="C7" s="807"/>
      <c r="D7" s="808" t="s">
        <v>133</v>
      </c>
      <c r="E7" s="808" t="s">
        <v>134</v>
      </c>
      <c r="F7" s="809" t="s">
        <v>135</v>
      </c>
      <c r="H7" s="806" t="s">
        <v>456</v>
      </c>
      <c r="I7" s="807"/>
      <c r="J7" s="808" t="s">
        <v>133</v>
      </c>
      <c r="K7" s="808" t="s">
        <v>134</v>
      </c>
      <c r="L7" s="809" t="s">
        <v>135</v>
      </c>
      <c r="O7" s="810" t="s">
        <v>457</v>
      </c>
      <c r="P7" s="811">
        <f>'[2]M2022 BLS SALARY CHART (53_PCT)'!C14</f>
        <v>64330.864000000001</v>
      </c>
      <c r="Q7" s="804" t="s">
        <v>428</v>
      </c>
      <c r="R7" s="812"/>
    </row>
    <row r="8" spans="1:24" x14ac:dyDescent="0.2">
      <c r="B8" s="797" t="str">
        <f>O6</f>
        <v>Management</v>
      </c>
      <c r="C8" s="813"/>
      <c r="D8" s="798">
        <f>P6</f>
        <v>79415.232000000018</v>
      </c>
      <c r="E8" s="814">
        <v>1</v>
      </c>
      <c r="F8" s="815">
        <f>E8*D8</f>
        <v>79415.232000000018</v>
      </c>
      <c r="H8" s="797" t="str">
        <f>B8</f>
        <v>Management</v>
      </c>
      <c r="I8" s="813"/>
      <c r="J8" s="798">
        <f>P6</f>
        <v>79415.232000000018</v>
      </c>
      <c r="K8" s="816">
        <v>1</v>
      </c>
      <c r="L8" s="815">
        <f>K8*J8</f>
        <v>79415.232000000018</v>
      </c>
      <c r="O8" s="797" t="s">
        <v>430</v>
      </c>
      <c r="P8" s="811">
        <f>'[2]M2022 BLS SALARY CHART (53_PCT)'!C8</f>
        <v>53206.566400000003</v>
      </c>
      <c r="Q8" s="804" t="s">
        <v>428</v>
      </c>
      <c r="S8" s="817"/>
    </row>
    <row r="9" spans="1:24" ht="12.75" customHeight="1" x14ac:dyDescent="0.2">
      <c r="B9" s="797" t="str">
        <f>O8</f>
        <v>Direct Care III</v>
      </c>
      <c r="C9" s="813"/>
      <c r="D9" s="798">
        <f>P8</f>
        <v>53206.566400000003</v>
      </c>
      <c r="E9" s="814">
        <v>1</v>
      </c>
      <c r="F9" s="815">
        <f>E9*D9</f>
        <v>53206.566400000003</v>
      </c>
      <c r="H9" s="797" t="s">
        <v>457</v>
      </c>
      <c r="I9" s="813"/>
      <c r="J9" s="798">
        <f>P7</f>
        <v>64330.864000000001</v>
      </c>
      <c r="K9" s="816">
        <v>0.5</v>
      </c>
      <c r="L9" s="815">
        <f>K9*J9</f>
        <v>32165.432000000001</v>
      </c>
      <c r="O9" s="818" t="s">
        <v>141</v>
      </c>
      <c r="P9" s="811">
        <f>'[2]M2022 BLS SALARY CHART (53_PCT)'!C6</f>
        <v>41600</v>
      </c>
      <c r="Q9" s="804" t="s">
        <v>428</v>
      </c>
      <c r="S9" s="819"/>
    </row>
    <row r="10" spans="1:24" ht="12.75" thickBot="1" x14ac:dyDescent="0.25">
      <c r="B10" s="818" t="str">
        <f>O9</f>
        <v>Direct Care</v>
      </c>
      <c r="C10" s="813"/>
      <c r="D10" s="798">
        <f>P9</f>
        <v>41600</v>
      </c>
      <c r="E10" s="814">
        <v>1</v>
      </c>
      <c r="F10" s="820">
        <f>E10*D10</f>
        <v>41600</v>
      </c>
      <c r="H10" s="797" t="str">
        <f t="shared" ref="H10:H12" si="0">B9</f>
        <v>Direct Care III</v>
      </c>
      <c r="I10" s="813"/>
      <c r="J10" s="798">
        <f>P8</f>
        <v>53206.566400000003</v>
      </c>
      <c r="K10" s="814">
        <v>1</v>
      </c>
      <c r="L10" s="815">
        <f>K10*J10</f>
        <v>53206.566400000003</v>
      </c>
      <c r="N10" s="817"/>
      <c r="O10" s="821" t="s">
        <v>458</v>
      </c>
      <c r="P10" s="822">
        <f>'[2]M2022 BLS SALARY CHART (53_PCT)'!C6</f>
        <v>41600</v>
      </c>
      <c r="Q10" s="823" t="s">
        <v>428</v>
      </c>
      <c r="R10" s="817"/>
      <c r="T10" s="818"/>
      <c r="U10" s="811"/>
      <c r="V10" s="824"/>
      <c r="X10" s="825"/>
    </row>
    <row r="11" spans="1:24" ht="13.15" customHeight="1" thickBot="1" x14ac:dyDescent="0.25">
      <c r="B11" s="818" t="str">
        <f>O10</f>
        <v>Clerical / Support Staff</v>
      </c>
      <c r="C11" s="813"/>
      <c r="D11" s="798">
        <f>P10</f>
        <v>41600</v>
      </c>
      <c r="E11" s="816">
        <v>0.1</v>
      </c>
      <c r="F11" s="820">
        <f>E11*D11</f>
        <v>4160</v>
      </c>
      <c r="H11" s="797" t="str">
        <f t="shared" si="0"/>
        <v>Direct Care</v>
      </c>
      <c r="I11" s="813"/>
      <c r="J11" s="798">
        <f>P9</f>
        <v>41600</v>
      </c>
      <c r="K11" s="814">
        <v>1</v>
      </c>
      <c r="L11" s="820">
        <f>K11*J11</f>
        <v>41600</v>
      </c>
      <c r="O11" s="793" t="s">
        <v>158</v>
      </c>
      <c r="P11" s="794"/>
      <c r="Q11" s="826" t="s">
        <v>127</v>
      </c>
      <c r="S11" s="825"/>
    </row>
    <row r="12" spans="1:24" ht="13.15" customHeight="1" x14ac:dyDescent="0.2">
      <c r="B12" s="827" t="s">
        <v>150</v>
      </c>
      <c r="C12" s="828"/>
      <c r="D12" s="828"/>
      <c r="E12" s="829">
        <f>SUM(E8:E11)</f>
        <v>3.1</v>
      </c>
      <c r="F12" s="830">
        <f>SUM(F8:F11)</f>
        <v>178381.79840000003</v>
      </c>
      <c r="H12" s="797" t="str">
        <f t="shared" si="0"/>
        <v>Clerical / Support Staff</v>
      </c>
      <c r="I12" s="813"/>
      <c r="J12" s="798">
        <f>P10</f>
        <v>41600</v>
      </c>
      <c r="K12" s="816">
        <v>0.1</v>
      </c>
      <c r="L12" s="820">
        <f>K12*J12</f>
        <v>4160</v>
      </c>
      <c r="O12" s="831"/>
      <c r="P12" s="832"/>
      <c r="Q12" s="833"/>
      <c r="S12" s="825"/>
    </row>
    <row r="13" spans="1:24" x14ac:dyDescent="0.2">
      <c r="B13" s="797"/>
      <c r="D13" s="834"/>
      <c r="E13" s="772"/>
      <c r="F13" s="835"/>
      <c r="H13" s="827" t="s">
        <v>150</v>
      </c>
      <c r="I13" s="828"/>
      <c r="J13" s="828"/>
      <c r="K13" s="829">
        <f>SUM(K8:K12)</f>
        <v>3.6</v>
      </c>
      <c r="L13" s="830">
        <f>SUM(L8:L12)</f>
        <v>210547.23040000003</v>
      </c>
      <c r="O13" s="836" t="s">
        <v>459</v>
      </c>
      <c r="P13" s="837">
        <v>19392.310000000001</v>
      </c>
      <c r="Q13" s="804" t="s">
        <v>235</v>
      </c>
    </row>
    <row r="14" spans="1:24" x14ac:dyDescent="0.2">
      <c r="B14" s="810" t="s">
        <v>159</v>
      </c>
      <c r="D14" s="834">
        <f>P17</f>
        <v>0.27379999999999999</v>
      </c>
      <c r="E14" s="838"/>
      <c r="F14" s="815">
        <f>F12*D14</f>
        <v>48840.936401920007</v>
      </c>
      <c r="H14" s="797"/>
      <c r="J14" s="834"/>
      <c r="K14" s="772"/>
      <c r="L14" s="835"/>
      <c r="O14" s="836" t="s">
        <v>417</v>
      </c>
      <c r="P14" s="837">
        <v>5669.23</v>
      </c>
      <c r="Q14" s="804" t="s">
        <v>235</v>
      </c>
      <c r="R14" s="839"/>
    </row>
    <row r="15" spans="1:24" x14ac:dyDescent="0.2">
      <c r="B15" s="827" t="s">
        <v>460</v>
      </c>
      <c r="C15" s="828"/>
      <c r="D15" s="840"/>
      <c r="E15" s="828"/>
      <c r="F15" s="830">
        <f>SUM(F12:F14)</f>
        <v>227222.73480192004</v>
      </c>
      <c r="H15" s="810" t="s">
        <v>159</v>
      </c>
      <c r="J15" s="834">
        <f>P17</f>
        <v>0.27379999999999999</v>
      </c>
      <c r="K15" s="838"/>
      <c r="L15" s="815">
        <f>L13*J15</f>
        <v>57647.831683520002</v>
      </c>
      <c r="O15" s="836" t="s">
        <v>461</v>
      </c>
      <c r="P15" s="837">
        <v>2400</v>
      </c>
      <c r="Q15" s="804" t="s">
        <v>235</v>
      </c>
      <c r="R15" s="841"/>
    </row>
    <row r="16" spans="1:24" x14ac:dyDescent="0.2">
      <c r="B16" s="810"/>
      <c r="D16" s="834"/>
      <c r="E16" s="807" t="s">
        <v>462</v>
      </c>
      <c r="F16" s="835"/>
      <c r="H16" s="827" t="s">
        <v>460</v>
      </c>
      <c r="I16" s="828"/>
      <c r="J16" s="840"/>
      <c r="K16" s="828"/>
      <c r="L16" s="830">
        <f>SUM(L13:L15)</f>
        <v>268195.06208352005</v>
      </c>
      <c r="O16" s="810"/>
      <c r="Q16" s="842"/>
      <c r="R16" s="841"/>
    </row>
    <row r="17" spans="1:19" ht="13.9" customHeight="1" x14ac:dyDescent="0.2">
      <c r="B17" s="810" t="s">
        <v>163</v>
      </c>
      <c r="D17" s="834"/>
      <c r="E17" s="843"/>
      <c r="F17" s="844">
        <f>P13</f>
        <v>19392.310000000001</v>
      </c>
      <c r="H17" s="810"/>
      <c r="J17" s="834"/>
      <c r="K17" s="807" t="s">
        <v>462</v>
      </c>
      <c r="L17" s="835"/>
      <c r="N17" s="845"/>
      <c r="O17" s="846" t="s">
        <v>463</v>
      </c>
      <c r="P17" s="847">
        <f>'[2]M2022 BLS SALARY CHART (53_PCT)'!C38</f>
        <v>0.27379999999999999</v>
      </c>
      <c r="Q17" s="804" t="s">
        <v>93</v>
      </c>
      <c r="R17" s="848"/>
    </row>
    <row r="18" spans="1:19" ht="13.9" customHeight="1" x14ac:dyDescent="0.2">
      <c r="B18" s="810" t="s">
        <v>464</v>
      </c>
      <c r="D18" s="834"/>
      <c r="E18" s="843">
        <f>P14</f>
        <v>5669.23</v>
      </c>
      <c r="F18" s="815">
        <f>E18*E12</f>
        <v>17574.612999999998</v>
      </c>
      <c r="H18" s="810" t="s">
        <v>163</v>
      </c>
      <c r="J18" s="849">
        <f>P13</f>
        <v>19392.310000000001</v>
      </c>
      <c r="K18" s="843"/>
      <c r="L18" s="850">
        <f>SUM(K9:K12)*J18</f>
        <v>50420.006000000008</v>
      </c>
      <c r="N18" s="845"/>
      <c r="O18" s="846" t="s">
        <v>465</v>
      </c>
      <c r="P18" s="847">
        <v>0.12</v>
      </c>
      <c r="Q18" s="851" t="s">
        <v>237</v>
      </c>
    </row>
    <row r="19" spans="1:19" ht="12.75" thickBot="1" x14ac:dyDescent="0.25">
      <c r="B19" s="852" t="s">
        <v>466</v>
      </c>
      <c r="C19" s="853"/>
      <c r="D19" s="854"/>
      <c r="E19" s="855"/>
      <c r="F19" s="856">
        <f>SUM(F15:F18)</f>
        <v>264189.65780192002</v>
      </c>
      <c r="H19" s="810" t="s">
        <v>439</v>
      </c>
      <c r="J19" s="857">
        <f>P14</f>
        <v>5669.23</v>
      </c>
      <c r="K19" s="843"/>
      <c r="L19" s="850">
        <f>SUM(K9:K12)*J19</f>
        <v>14739.998</v>
      </c>
      <c r="O19" s="858" t="s">
        <v>467</v>
      </c>
      <c r="P19" s="859">
        <f>'[2]CAF Spring 2023'!CI26</f>
        <v>2.7100379121522307E-2</v>
      </c>
      <c r="Q19" s="860" t="s">
        <v>445</v>
      </c>
    </row>
    <row r="20" spans="1:19" x14ac:dyDescent="0.2">
      <c r="B20" s="810" t="s">
        <v>257</v>
      </c>
      <c r="D20" s="834">
        <f>P18</f>
        <v>0.12</v>
      </c>
      <c r="F20" s="815">
        <f>F19*D20</f>
        <v>31702.758936230402</v>
      </c>
      <c r="H20" s="774" t="s">
        <v>468</v>
      </c>
      <c r="J20" s="849">
        <f>P15</f>
        <v>2400</v>
      </c>
      <c r="L20" s="850">
        <f>SUM(K9:K12)*J20</f>
        <v>6240</v>
      </c>
    </row>
    <row r="21" spans="1:19" s="772" customFormat="1" ht="12.75" thickBot="1" x14ac:dyDescent="0.25">
      <c r="B21" s="861" t="s">
        <v>469</v>
      </c>
      <c r="C21" s="862"/>
      <c r="D21" s="863"/>
      <c r="E21" s="862"/>
      <c r="F21" s="864">
        <f>SUM(F19:F20)</f>
        <v>295892.41673815041</v>
      </c>
      <c r="G21" s="774"/>
      <c r="H21" s="852" t="s">
        <v>466</v>
      </c>
      <c r="I21" s="853"/>
      <c r="J21" s="854"/>
      <c r="K21" s="855"/>
      <c r="L21" s="856">
        <f>SUM(L16:L20)</f>
        <v>339595.06608352007</v>
      </c>
      <c r="M21" s="774"/>
      <c r="N21" s="774"/>
      <c r="R21" s="774"/>
      <c r="S21" s="774"/>
    </row>
    <row r="22" spans="1:19" ht="13.5" thickTop="1" thickBot="1" x14ac:dyDescent="0.25">
      <c r="B22" s="865" t="s">
        <v>446</v>
      </c>
      <c r="C22" s="866"/>
      <c r="D22" s="867">
        <f>P19</f>
        <v>2.7100379121522307E-2</v>
      </c>
      <c r="E22" s="868"/>
      <c r="F22" s="869">
        <f>F21*D22</f>
        <v>8018.7966727873491</v>
      </c>
      <c r="H22" s="810" t="s">
        <v>257</v>
      </c>
      <c r="J22" s="834">
        <f>P18</f>
        <v>0.12</v>
      </c>
      <c r="L22" s="815">
        <f>L21*J22</f>
        <v>40751.407930022404</v>
      </c>
    </row>
    <row r="23" spans="1:19" ht="12.75" thickBot="1" x14ac:dyDescent="0.25">
      <c r="B23" s="870"/>
      <c r="C23" s="871"/>
      <c r="D23" s="872"/>
      <c r="E23" s="873"/>
      <c r="F23" s="874"/>
      <c r="H23" s="861" t="s">
        <v>469</v>
      </c>
      <c r="I23" s="862"/>
      <c r="J23" s="863"/>
      <c r="K23" s="862"/>
      <c r="L23" s="864">
        <f>SUM(L21:L22)</f>
        <v>380346.47401354247</v>
      </c>
      <c r="N23" s="772"/>
    </row>
    <row r="24" spans="1:19" ht="16.149999999999999" customHeight="1" thickTop="1" thickBot="1" x14ac:dyDescent="0.25">
      <c r="B24" s="806" t="s">
        <v>470</v>
      </c>
      <c r="D24" s="875"/>
      <c r="F24" s="801">
        <f>F22+F21</f>
        <v>303911.21341093775</v>
      </c>
      <c r="H24" s="865" t="s">
        <v>446</v>
      </c>
      <c r="I24" s="866"/>
      <c r="J24" s="867">
        <f>P19</f>
        <v>2.7100379121522307E-2</v>
      </c>
      <c r="K24" s="868"/>
      <c r="L24" s="869">
        <f>L23*J24</f>
        <v>10307.533643301233</v>
      </c>
    </row>
    <row r="25" spans="1:19" ht="15" customHeight="1" thickBot="1" x14ac:dyDescent="0.25">
      <c r="B25" s="810" t="s">
        <v>471</v>
      </c>
      <c r="D25" s="875"/>
      <c r="F25" s="876">
        <f>F24/F5</f>
        <v>122.05269614897098</v>
      </c>
      <c r="H25" s="870"/>
      <c r="I25" s="871"/>
      <c r="J25" s="872"/>
      <c r="K25" s="873"/>
      <c r="L25" s="874"/>
      <c r="O25" s="877" t="s">
        <v>472</v>
      </c>
      <c r="P25" s="878"/>
      <c r="Q25" s="879"/>
    </row>
    <row r="26" spans="1:19" ht="11.45" customHeight="1" thickTop="1" x14ac:dyDescent="0.2">
      <c r="A26" s="775"/>
      <c r="B26" s="810" t="s">
        <v>473</v>
      </c>
      <c r="D26" s="875"/>
      <c r="F26" s="876">
        <f>F25/5</f>
        <v>24.410539229794196</v>
      </c>
      <c r="H26" s="806" t="s">
        <v>470</v>
      </c>
      <c r="J26" s="875"/>
      <c r="L26" s="801">
        <f>L24+L23</f>
        <v>390654.00765684369</v>
      </c>
      <c r="O26" s="880"/>
      <c r="P26" s="881"/>
      <c r="Q26" s="882"/>
    </row>
    <row r="27" spans="1:19" ht="11.45" customHeight="1" thickBot="1" x14ac:dyDescent="0.25">
      <c r="A27" s="775"/>
      <c r="B27" s="865" t="s">
        <v>474</v>
      </c>
      <c r="C27" s="883"/>
      <c r="D27" s="883"/>
      <c r="E27" s="883"/>
      <c r="F27" s="884">
        <f>F26*0.25</f>
        <v>6.102634807448549</v>
      </c>
      <c r="H27" s="810" t="s">
        <v>471</v>
      </c>
      <c r="J27" s="875"/>
      <c r="L27" s="885">
        <f>L26/L5</f>
        <v>156.88915970154366</v>
      </c>
      <c r="O27" s="880"/>
      <c r="P27" s="881"/>
      <c r="Q27" s="882"/>
    </row>
    <row r="28" spans="1:19" ht="15" customHeight="1" x14ac:dyDescent="0.2">
      <c r="F28" s="886">
        <v>6.35</v>
      </c>
      <c r="H28" s="810" t="s">
        <v>473</v>
      </c>
      <c r="J28" s="875"/>
      <c r="L28" s="876">
        <f>L27/5</f>
        <v>31.377831940308731</v>
      </c>
      <c r="O28" s="880"/>
      <c r="P28" s="881"/>
      <c r="Q28" s="882"/>
    </row>
    <row r="29" spans="1:19" ht="15" customHeight="1" thickBot="1" x14ac:dyDescent="0.25">
      <c r="D29" s="834"/>
      <c r="F29" s="887">
        <f>(F27-F28)/F28</f>
        <v>-3.8955148433299315E-2</v>
      </c>
      <c r="G29" s="772"/>
      <c r="H29" s="865" t="s">
        <v>474</v>
      </c>
      <c r="I29" s="883"/>
      <c r="J29" s="883"/>
      <c r="K29" s="883"/>
      <c r="L29" s="884">
        <f>L28*0.25</f>
        <v>7.8444579850771827</v>
      </c>
      <c r="M29" s="772"/>
      <c r="O29" s="880"/>
      <c r="P29" s="881"/>
      <c r="Q29" s="882"/>
    </row>
    <row r="30" spans="1:19" ht="15" customHeight="1" x14ac:dyDescent="0.2">
      <c r="D30" s="834"/>
      <c r="F30" s="888"/>
      <c r="L30" s="886">
        <v>6.35</v>
      </c>
      <c r="O30" s="880"/>
      <c r="P30" s="881"/>
      <c r="Q30" s="882"/>
    </row>
    <row r="31" spans="1:19" ht="15" customHeight="1" thickBot="1" x14ac:dyDescent="0.25">
      <c r="L31" s="889">
        <f>(L29-L30)/L30</f>
        <v>0.23534771418538317</v>
      </c>
      <c r="M31" s="845"/>
      <c r="O31" s="890"/>
      <c r="P31" s="891"/>
      <c r="Q31" s="892"/>
    </row>
    <row r="32" spans="1:19" ht="15" customHeight="1" x14ac:dyDescent="0.2">
      <c r="M32" s="845"/>
      <c r="O32" s="893"/>
      <c r="P32" s="893"/>
      <c r="Q32" s="893"/>
    </row>
    <row r="33" spans="2:23" x14ac:dyDescent="0.2">
      <c r="B33" s="894"/>
      <c r="C33" s="894"/>
      <c r="D33" s="894"/>
      <c r="E33" s="894"/>
      <c r="F33" s="894"/>
      <c r="M33" s="895"/>
      <c r="O33" s="893"/>
      <c r="P33" s="893"/>
      <c r="Q33" s="893"/>
    </row>
    <row r="34" spans="2:23" x14ac:dyDescent="0.2">
      <c r="B34" s="896"/>
      <c r="D34" s="896"/>
      <c r="E34" s="897"/>
      <c r="F34" s="897"/>
      <c r="N34" s="845"/>
      <c r="O34" s="893"/>
      <c r="P34" s="893"/>
      <c r="Q34" s="893"/>
    </row>
    <row r="35" spans="2:23" ht="13.15" customHeight="1" x14ac:dyDescent="0.2">
      <c r="B35" s="798"/>
      <c r="D35" s="798"/>
      <c r="E35" s="798"/>
      <c r="F35" s="898"/>
      <c r="O35" s="893"/>
      <c r="P35" s="893"/>
      <c r="Q35" s="893"/>
    </row>
    <row r="36" spans="2:23" ht="13.15" customHeight="1" thickBot="1" x14ac:dyDescent="0.25">
      <c r="C36" s="807"/>
      <c r="D36" s="808"/>
      <c r="E36" s="808"/>
      <c r="F36" s="899"/>
    </row>
    <row r="37" spans="2:23" ht="13.15" customHeight="1" x14ac:dyDescent="0.2">
      <c r="B37" s="798"/>
      <c r="C37" s="813"/>
      <c r="D37" s="798"/>
      <c r="E37" s="814"/>
      <c r="F37" s="900"/>
      <c r="O37" s="901" t="s">
        <v>475</v>
      </c>
      <c r="P37" s="902">
        <v>365</v>
      </c>
      <c r="Q37" s="903"/>
    </row>
    <row r="38" spans="2:23" x14ac:dyDescent="0.2">
      <c r="B38" s="904"/>
      <c r="C38" s="813"/>
      <c r="D38" s="798"/>
      <c r="E38" s="814"/>
      <c r="F38" s="905"/>
      <c r="O38" s="810" t="s">
        <v>144</v>
      </c>
      <c r="P38" s="774">
        <v>12</v>
      </c>
      <c r="Q38" s="906"/>
    </row>
    <row r="39" spans="2:23" ht="13.15" customHeight="1" thickBot="1" x14ac:dyDescent="0.25">
      <c r="B39" s="772"/>
      <c r="C39" s="777"/>
      <c r="D39" s="777"/>
      <c r="E39" s="907"/>
      <c r="F39" s="908"/>
      <c r="M39" s="845"/>
      <c r="O39" s="810" t="s">
        <v>476</v>
      </c>
      <c r="P39" s="909">
        <v>104</v>
      </c>
      <c r="Q39" s="906"/>
    </row>
    <row r="40" spans="2:23" ht="13.5" thickTop="1" thickBot="1" x14ac:dyDescent="0.25">
      <c r="B40" s="772"/>
      <c r="C40" s="772"/>
      <c r="D40" s="807"/>
      <c r="E40" s="772"/>
      <c r="L40" s="845"/>
      <c r="O40" s="910"/>
      <c r="P40" s="883">
        <f>P37-P38-P39</f>
        <v>249</v>
      </c>
      <c r="Q40" s="911"/>
      <c r="S40" s="772"/>
    </row>
    <row r="41" spans="2:23" x14ac:dyDescent="0.2">
      <c r="D41" s="834"/>
      <c r="E41" s="912"/>
      <c r="F41" s="900"/>
    </row>
    <row r="42" spans="2:23" ht="13.9" customHeight="1" x14ac:dyDescent="0.2">
      <c r="D42" s="834"/>
      <c r="R42" s="772"/>
      <c r="S42" s="913"/>
    </row>
    <row r="43" spans="2:23" ht="13.9" customHeight="1" x14ac:dyDescent="0.2">
      <c r="B43" s="772"/>
      <c r="C43" s="777"/>
      <c r="D43" s="914"/>
      <c r="E43" s="777"/>
      <c r="F43" s="908"/>
      <c r="S43" s="896"/>
    </row>
    <row r="44" spans="2:23" x14ac:dyDescent="0.2">
      <c r="D44" s="834"/>
      <c r="E44" s="807"/>
      <c r="S44" s="798"/>
    </row>
    <row r="45" spans="2:23" ht="13.9" customHeight="1" x14ac:dyDescent="0.2">
      <c r="D45" s="834"/>
      <c r="E45" s="915"/>
      <c r="F45" s="900"/>
      <c r="N45" s="845"/>
    </row>
    <row r="46" spans="2:23" s="772" customFormat="1" ht="13.9" customHeight="1" x14ac:dyDescent="0.2">
      <c r="B46" s="774"/>
      <c r="C46" s="774"/>
      <c r="D46" s="834"/>
      <c r="E46" s="915"/>
      <c r="F46" s="900"/>
      <c r="G46" s="774"/>
      <c r="H46" s="774"/>
      <c r="I46" s="774"/>
      <c r="J46" s="774"/>
      <c r="K46" s="774"/>
      <c r="L46" s="774"/>
      <c r="M46" s="774"/>
      <c r="N46" s="916"/>
      <c r="O46" s="774"/>
      <c r="P46" s="774"/>
      <c r="Q46" s="774"/>
      <c r="R46" s="774"/>
      <c r="S46" s="798"/>
    </row>
    <row r="47" spans="2:23" x14ac:dyDescent="0.2">
      <c r="B47" s="772"/>
      <c r="C47" s="772"/>
      <c r="D47" s="834"/>
      <c r="F47" s="900"/>
      <c r="S47" s="904"/>
    </row>
    <row r="48" spans="2:23" ht="17.25" customHeight="1" x14ac:dyDescent="0.2">
      <c r="D48" s="834"/>
      <c r="F48" s="900"/>
      <c r="N48" s="917"/>
      <c r="S48" s="772"/>
      <c r="T48" s="913"/>
      <c r="U48" s="913"/>
      <c r="V48" s="913"/>
      <c r="W48" s="913"/>
    </row>
    <row r="49" spans="2:23" ht="17.25" customHeight="1" x14ac:dyDescent="0.2">
      <c r="B49" s="918"/>
      <c r="C49" s="919"/>
      <c r="D49" s="920"/>
      <c r="E49" s="919"/>
      <c r="F49" s="921"/>
      <c r="S49" s="772"/>
      <c r="T49" s="913"/>
      <c r="U49" s="913"/>
      <c r="V49" s="913"/>
      <c r="W49" s="913"/>
    </row>
    <row r="50" spans="2:23" ht="27" customHeight="1" x14ac:dyDescent="0.2">
      <c r="B50" s="772"/>
      <c r="D50" s="875"/>
      <c r="F50" s="898"/>
      <c r="S50" s="922"/>
      <c r="T50" s="923"/>
      <c r="U50" s="896"/>
      <c r="V50" s="924"/>
      <c r="W50" s="925"/>
    </row>
    <row r="51" spans="2:23" ht="21.75" customHeight="1" x14ac:dyDescent="0.2">
      <c r="B51" s="772"/>
      <c r="D51" s="875"/>
      <c r="F51" s="926"/>
      <c r="T51" s="798"/>
      <c r="U51" s="798"/>
      <c r="V51" s="798"/>
      <c r="W51" s="927"/>
    </row>
    <row r="52" spans="2:23" ht="18" customHeight="1" x14ac:dyDescent="0.2">
      <c r="B52" s="772"/>
      <c r="C52" s="772"/>
      <c r="D52" s="928"/>
      <c r="E52" s="888"/>
      <c r="F52" s="898"/>
      <c r="T52" s="798"/>
      <c r="U52" s="798"/>
      <c r="V52" s="798"/>
      <c r="W52" s="927"/>
    </row>
    <row r="53" spans="2:23" x14ac:dyDescent="0.2">
      <c r="B53" s="929"/>
      <c r="C53" s="930"/>
      <c r="D53" s="931"/>
      <c r="E53" s="932"/>
      <c r="F53" s="933"/>
      <c r="T53" s="807"/>
      <c r="U53" s="934"/>
      <c r="V53" s="808"/>
      <c r="W53" s="899"/>
    </row>
    <row r="54" spans="2:23" x14ac:dyDescent="0.2">
      <c r="B54" s="772"/>
      <c r="D54" s="875"/>
      <c r="F54" s="898"/>
      <c r="S54" s="772"/>
      <c r="T54" s="813"/>
      <c r="U54" s="798"/>
      <c r="V54" s="814"/>
      <c r="W54" s="900"/>
    </row>
    <row r="55" spans="2:23" ht="14.45" customHeight="1" x14ac:dyDescent="0.2">
      <c r="B55" s="772"/>
      <c r="D55" s="875"/>
      <c r="F55" s="926"/>
      <c r="T55" s="813"/>
      <c r="U55" s="798"/>
      <c r="V55" s="935"/>
      <c r="W55" s="905"/>
    </row>
    <row r="56" spans="2:23" x14ac:dyDescent="0.2">
      <c r="D56" s="875"/>
      <c r="F56" s="774"/>
      <c r="T56" s="777"/>
      <c r="U56" s="777"/>
      <c r="V56" s="936"/>
      <c r="W56" s="908"/>
    </row>
    <row r="57" spans="2:23" x14ac:dyDescent="0.2">
      <c r="E57" s="772"/>
      <c r="F57" s="898"/>
      <c r="T57" s="922"/>
      <c r="U57" s="937"/>
      <c r="V57" s="922"/>
      <c r="W57" s="773"/>
    </row>
    <row r="58" spans="2:23" x14ac:dyDescent="0.2">
      <c r="E58" s="772"/>
      <c r="F58" s="938"/>
      <c r="S58" s="772"/>
      <c r="U58" s="834"/>
      <c r="V58" s="838"/>
      <c r="W58" s="900"/>
    </row>
    <row r="59" spans="2:23" x14ac:dyDescent="0.2">
      <c r="E59" s="772"/>
      <c r="F59" s="888"/>
      <c r="U59" s="834"/>
      <c r="W59" s="773"/>
    </row>
    <row r="60" spans="2:23" x14ac:dyDescent="0.2">
      <c r="F60" s="939"/>
      <c r="S60" s="772"/>
      <c r="T60" s="777"/>
      <c r="U60" s="914"/>
      <c r="V60" s="777"/>
      <c r="W60" s="908"/>
    </row>
    <row r="61" spans="2:23" x14ac:dyDescent="0.2">
      <c r="D61" s="940"/>
      <c r="E61" s="940"/>
      <c r="F61" s="941"/>
      <c r="S61" s="772"/>
      <c r="U61" s="834"/>
      <c r="V61" s="807"/>
      <c r="W61" s="773"/>
    </row>
    <row r="62" spans="2:23" x14ac:dyDescent="0.2">
      <c r="D62" s="940"/>
      <c r="E62" s="940"/>
      <c r="F62" s="940"/>
      <c r="S62" s="772"/>
      <c r="U62" s="834"/>
      <c r="V62" s="845"/>
      <c r="W62" s="900"/>
    </row>
    <row r="63" spans="2:23" x14ac:dyDescent="0.2">
      <c r="D63" s="940"/>
      <c r="E63" s="940"/>
      <c r="F63" s="940"/>
      <c r="G63" s="941"/>
      <c r="M63" s="941"/>
      <c r="U63" s="834"/>
      <c r="V63" s="845"/>
      <c r="W63" s="921"/>
    </row>
    <row r="64" spans="2:23" x14ac:dyDescent="0.2">
      <c r="D64" s="940"/>
      <c r="E64" s="940"/>
      <c r="F64" s="940"/>
      <c r="G64" s="940"/>
      <c r="H64" s="941"/>
      <c r="I64" s="941"/>
      <c r="J64" s="941"/>
      <c r="K64" s="941"/>
      <c r="L64" s="941"/>
      <c r="M64" s="940"/>
      <c r="T64" s="772"/>
      <c r="U64" s="834"/>
      <c r="W64" s="900"/>
    </row>
    <row r="65" spans="6:23" x14ac:dyDescent="0.2">
      <c r="G65" s="940"/>
      <c r="H65" s="940"/>
      <c r="I65" s="940"/>
      <c r="J65" s="940"/>
      <c r="K65" s="940"/>
      <c r="L65" s="940"/>
      <c r="M65" s="940"/>
      <c r="U65" s="834"/>
      <c r="W65" s="900"/>
    </row>
    <row r="66" spans="6:23" x14ac:dyDescent="0.2">
      <c r="G66" s="940"/>
      <c r="H66" s="940"/>
      <c r="I66" s="940"/>
      <c r="J66" s="940"/>
      <c r="K66" s="940"/>
      <c r="L66" s="940"/>
      <c r="M66" s="940"/>
      <c r="U66" s="875"/>
      <c r="W66" s="898"/>
    </row>
    <row r="67" spans="6:23" x14ac:dyDescent="0.2">
      <c r="H67" s="940"/>
      <c r="I67" s="940"/>
      <c r="J67" s="940"/>
      <c r="K67" s="940"/>
      <c r="L67" s="940"/>
      <c r="U67" s="875"/>
      <c r="W67" s="926"/>
    </row>
    <row r="68" spans="6:23" x14ac:dyDescent="0.2">
      <c r="F68" s="942"/>
      <c r="T68" s="772"/>
      <c r="U68" s="928"/>
      <c r="V68" s="888"/>
      <c r="W68" s="938"/>
    </row>
    <row r="69" spans="6:23" x14ac:dyDescent="0.2">
      <c r="U69" s="920"/>
      <c r="W69" s="938"/>
    </row>
  </sheetData>
  <mergeCells count="7">
    <mergeCell ref="B33:F33"/>
    <mergeCell ref="B4:F4"/>
    <mergeCell ref="H4:L4"/>
    <mergeCell ref="O4:Q4"/>
    <mergeCell ref="O5:P5"/>
    <mergeCell ref="O11:P11"/>
    <mergeCell ref="O25:Q31"/>
  </mergeCells>
  <pageMargins left="0.25" right="0.25" top="0.25" bottom="0.25" header="0.3" footer="0.3"/>
  <pageSetup scale="77" orientation="landscape" r:id="rId1"/>
  <headerFooter alignWithMargins="0">
    <oddFooter>&amp;R&amp;10CONFIDENTIAL - FOR THE PURPOSES OF POLICY DISCUSSION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0467-E383-4F6F-89AB-DE5ABF4899E2}">
  <sheetPr>
    <pageSetUpPr fitToPage="1"/>
  </sheetPr>
  <dimension ref="B2:R36"/>
  <sheetViews>
    <sheetView zoomScale="90" zoomScaleNormal="90" workbookViewId="0">
      <selection activeCell="G22" sqref="G22"/>
    </sheetView>
  </sheetViews>
  <sheetFormatPr defaultColWidth="8.85546875" defaultRowHeight="15" x14ac:dyDescent="0.25"/>
  <cols>
    <col min="1" max="1" width="8.85546875" style="654"/>
    <col min="2" max="2" width="23.140625" style="654" customWidth="1"/>
    <col min="3" max="3" width="22.28515625" style="978" customWidth="1"/>
    <col min="4" max="4" width="10.7109375" style="982" customWidth="1"/>
    <col min="5" max="5" width="48" style="978" customWidth="1"/>
    <col min="6" max="6" width="17.7109375" style="978" customWidth="1"/>
    <col min="7" max="7" width="16.5703125" style="978" customWidth="1"/>
    <col min="8" max="8" width="15.140625" style="978" customWidth="1"/>
    <col min="9" max="9" width="17.7109375" style="978" customWidth="1"/>
    <col min="10" max="10" width="15" style="978" bestFit="1" customWidth="1"/>
    <col min="11" max="12" width="14.42578125" style="978" customWidth="1"/>
    <col min="13" max="13" width="24.7109375" style="654" customWidth="1"/>
    <col min="14" max="14" width="25.85546875" style="654" customWidth="1"/>
    <col min="15" max="15" width="14.7109375" style="654" customWidth="1"/>
    <col min="16" max="16" width="12" style="654" bestFit="1" customWidth="1"/>
    <col min="17" max="17" width="8.85546875" style="654"/>
    <col min="18" max="18" width="8.85546875" style="654" customWidth="1"/>
    <col min="19" max="20" width="8.85546875" style="654"/>
    <col min="21" max="22" width="10" style="654" bestFit="1" customWidth="1"/>
    <col min="23" max="16384" width="8.85546875" style="654"/>
  </cols>
  <sheetData>
    <row r="2" spans="2:14" ht="18.75" x14ac:dyDescent="0.3">
      <c r="B2" s="943" t="s">
        <v>477</v>
      </c>
      <c r="C2" s="944"/>
      <c r="D2" s="945"/>
      <c r="E2" s="944"/>
      <c r="F2" s="944"/>
      <c r="G2" s="944"/>
      <c r="H2" s="944"/>
      <c r="I2" s="944"/>
      <c r="J2" s="944"/>
      <c r="K2" s="944"/>
      <c r="L2" s="944"/>
      <c r="M2" s="946"/>
      <c r="N2" s="946"/>
    </row>
    <row r="3" spans="2:14" ht="18.75" x14ac:dyDescent="0.3">
      <c r="B3" s="943"/>
      <c r="C3" s="947"/>
      <c r="D3" s="947"/>
      <c r="E3" s="947"/>
      <c r="F3" s="947"/>
      <c r="G3" s="947"/>
      <c r="H3" s="947"/>
      <c r="I3" s="947"/>
      <c r="J3" s="947"/>
      <c r="K3" s="947"/>
      <c r="L3" s="947"/>
      <c r="M3" s="947"/>
      <c r="N3" s="947"/>
    </row>
    <row r="4" spans="2:14" ht="15.75" customHeight="1" thickBot="1" x14ac:dyDescent="0.35">
      <c r="B4" s="943"/>
      <c r="C4" s="948"/>
      <c r="D4" s="946"/>
      <c r="E4" s="654"/>
      <c r="F4" s="654"/>
      <c r="G4" s="654"/>
      <c r="H4" s="654"/>
      <c r="I4" s="654"/>
      <c r="J4" s="654"/>
      <c r="K4" s="654"/>
      <c r="L4" s="654"/>
    </row>
    <row r="5" spans="2:14" ht="15.75" thickBot="1" x14ac:dyDescent="0.3">
      <c r="B5" s="949"/>
      <c r="C5" s="950" t="s">
        <v>141</v>
      </c>
      <c r="D5" s="951" t="s">
        <v>127</v>
      </c>
      <c r="E5" s="952"/>
      <c r="F5" s="654"/>
      <c r="G5" s="654"/>
      <c r="H5" s="654"/>
      <c r="I5" s="654"/>
      <c r="J5" s="654"/>
      <c r="K5" s="654"/>
      <c r="L5" s="654"/>
    </row>
    <row r="6" spans="2:14" x14ac:dyDescent="0.25">
      <c r="B6" s="953" t="s">
        <v>133</v>
      </c>
      <c r="C6" s="954">
        <f>'[2]M2022 BLS SALARY CHART (53_PCT)'!C6</f>
        <v>41600</v>
      </c>
      <c r="D6" s="955" t="s">
        <v>478</v>
      </c>
      <c r="E6" s="956"/>
      <c r="F6" s="654"/>
      <c r="G6" s="654"/>
      <c r="H6" s="654"/>
      <c r="I6" s="654"/>
      <c r="J6" s="654"/>
      <c r="K6" s="654"/>
      <c r="L6" s="654"/>
    </row>
    <row r="7" spans="2:14" x14ac:dyDescent="0.25">
      <c r="B7" s="957" t="s">
        <v>463</v>
      </c>
      <c r="C7" s="958">
        <f>'[2]M2022 BLS SALARY CHART (53_PCT)'!C38</f>
        <v>0.27379999999999999</v>
      </c>
      <c r="D7" s="959" t="s">
        <v>443</v>
      </c>
      <c r="E7" s="960"/>
      <c r="F7" s="654"/>
      <c r="G7" s="654"/>
      <c r="H7" s="654"/>
      <c r="I7" s="654"/>
      <c r="J7" s="654"/>
      <c r="K7" s="654"/>
      <c r="L7" s="654"/>
    </row>
    <row r="8" spans="2:14" x14ac:dyDescent="0.25">
      <c r="B8" s="957" t="s">
        <v>479</v>
      </c>
      <c r="C8" s="961">
        <f>C6*C7</f>
        <v>11390.08</v>
      </c>
      <c r="D8" s="959"/>
      <c r="E8" s="960"/>
      <c r="F8" s="654"/>
      <c r="G8" s="654"/>
      <c r="H8" s="654"/>
      <c r="I8" s="962"/>
      <c r="J8" s="654"/>
      <c r="K8" s="654"/>
      <c r="L8" s="654"/>
    </row>
    <row r="9" spans="2:14" x14ac:dyDescent="0.25">
      <c r="B9" s="957" t="s">
        <v>480</v>
      </c>
      <c r="C9" s="961">
        <f>C6+C8</f>
        <v>52990.080000000002</v>
      </c>
      <c r="D9" s="959"/>
      <c r="E9" s="960"/>
      <c r="F9" s="654"/>
      <c r="G9" s="654"/>
      <c r="H9" s="654"/>
      <c r="I9" s="654"/>
      <c r="J9" s="654"/>
      <c r="K9" s="654"/>
      <c r="L9" s="654"/>
    </row>
    <row r="10" spans="2:14" x14ac:dyDescent="0.25">
      <c r="B10" s="957"/>
      <c r="C10" s="963"/>
      <c r="D10" s="964"/>
      <c r="E10" s="965"/>
      <c r="F10" s="654"/>
      <c r="G10" s="654"/>
      <c r="H10" s="654"/>
      <c r="I10" s="654"/>
      <c r="J10" s="654"/>
      <c r="K10" s="654"/>
      <c r="L10" s="654"/>
    </row>
    <row r="11" spans="2:14" x14ac:dyDescent="0.25">
      <c r="B11" s="957" t="s">
        <v>234</v>
      </c>
      <c r="C11" s="961">
        <f>C10+C9</f>
        <v>52990.080000000002</v>
      </c>
      <c r="D11" s="959"/>
      <c r="E11" s="960"/>
      <c r="F11" s="654"/>
      <c r="G11" s="654"/>
      <c r="H11" s="654"/>
      <c r="I11" s="654"/>
      <c r="J11" s="654"/>
      <c r="K11" s="654"/>
      <c r="L11" s="654"/>
    </row>
    <row r="12" spans="2:14" x14ac:dyDescent="0.25">
      <c r="B12" s="957" t="s">
        <v>446</v>
      </c>
      <c r="C12" s="961">
        <f>D12*C11</f>
        <v>1436.0512576797969</v>
      </c>
      <c r="D12" s="964">
        <f>'[2]CAF Spring 2023'!CI26</f>
        <v>2.7100379121522307E-2</v>
      </c>
      <c r="E12" s="966"/>
      <c r="F12" s="654"/>
      <c r="G12" s="654"/>
      <c r="H12" s="654"/>
      <c r="I12" s="654"/>
      <c r="J12" s="654"/>
      <c r="K12" s="654"/>
      <c r="L12" s="654"/>
    </row>
    <row r="13" spans="2:14" x14ac:dyDescent="0.25">
      <c r="B13" s="957" t="s">
        <v>481</v>
      </c>
      <c r="C13" s="967">
        <f>E24</f>
        <v>1952</v>
      </c>
      <c r="D13" s="964"/>
      <c r="E13" s="965"/>
      <c r="F13" s="654"/>
      <c r="G13" s="654"/>
      <c r="H13" s="654"/>
      <c r="I13" s="654"/>
      <c r="J13" s="654"/>
      <c r="K13" s="654"/>
      <c r="L13" s="654"/>
    </row>
    <row r="14" spans="2:14" x14ac:dyDescent="0.25">
      <c r="B14" s="957" t="s">
        <v>482</v>
      </c>
      <c r="C14" s="968">
        <f>(C11+C12)/C13</f>
        <v>27.882239373811373</v>
      </c>
      <c r="D14" s="969"/>
      <c r="E14" s="965"/>
      <c r="F14" s="654"/>
      <c r="G14" s="654"/>
      <c r="H14" s="654"/>
      <c r="I14" s="654"/>
      <c r="J14" s="654"/>
      <c r="K14" s="654"/>
      <c r="L14" s="654"/>
    </row>
    <row r="15" spans="2:14" ht="15.75" thickBot="1" x14ac:dyDescent="0.3">
      <c r="B15" s="970" t="s">
        <v>449</v>
      </c>
      <c r="C15" s="971">
        <f>C14*0.25</f>
        <v>6.9705598434528433</v>
      </c>
      <c r="D15" s="972"/>
      <c r="E15" s="973"/>
      <c r="F15" s="654"/>
      <c r="G15" s="654"/>
      <c r="H15" s="654"/>
      <c r="I15" s="654"/>
      <c r="J15" s="654"/>
      <c r="K15" s="654"/>
      <c r="L15" s="654"/>
    </row>
    <row r="16" spans="2:14" ht="15.75" thickBot="1" x14ac:dyDescent="0.3">
      <c r="B16" s="974"/>
      <c r="C16" s="975">
        <v>5.51</v>
      </c>
      <c r="D16" s="976"/>
      <c r="E16" s="977"/>
      <c r="N16" s="979"/>
    </row>
    <row r="17" spans="2:18" x14ac:dyDescent="0.25">
      <c r="C17" s="980">
        <f>(C15-C16)/C16</f>
        <v>0.26507438175187725</v>
      </c>
      <c r="D17" s="981"/>
      <c r="E17" s="654"/>
      <c r="F17" s="654"/>
      <c r="G17" s="654"/>
      <c r="H17" s="654"/>
      <c r="I17" s="654"/>
      <c r="J17" s="654"/>
      <c r="K17" s="654"/>
      <c r="L17" s="654"/>
    </row>
    <row r="19" spans="2:18" ht="15.75" thickBot="1" x14ac:dyDescent="0.3">
      <c r="B19" s="659" t="s">
        <v>483</v>
      </c>
      <c r="H19" s="654"/>
    </row>
    <row r="20" spans="2:18" x14ac:dyDescent="0.25">
      <c r="B20" s="983"/>
      <c r="C20" s="984"/>
      <c r="D20" s="985" t="s">
        <v>76</v>
      </c>
      <c r="E20" s="986" t="s">
        <v>77</v>
      </c>
      <c r="F20" s="987"/>
      <c r="H20" s="988"/>
      <c r="I20" s="988"/>
      <c r="J20" s="988"/>
      <c r="K20" s="989"/>
      <c r="L20" s="987"/>
    </row>
    <row r="21" spans="2:18" x14ac:dyDescent="0.25">
      <c r="B21" s="990"/>
      <c r="C21" s="991" t="s">
        <v>484</v>
      </c>
      <c r="D21" s="992">
        <v>15</v>
      </c>
      <c r="E21" s="993">
        <f>D21*8</f>
        <v>120</v>
      </c>
      <c r="F21" s="992"/>
      <c r="G21" s="994"/>
      <c r="H21" s="995"/>
      <c r="I21" s="991"/>
      <c r="J21" s="991"/>
      <c r="K21" s="996"/>
      <c r="L21" s="992"/>
      <c r="M21" s="994"/>
    </row>
    <row r="22" spans="2:18" x14ac:dyDescent="0.25">
      <c r="B22" s="997"/>
      <c r="C22" s="998" t="s">
        <v>485</v>
      </c>
      <c r="D22" s="999">
        <v>1</v>
      </c>
      <c r="E22" s="1000">
        <f>D22*8</f>
        <v>8</v>
      </c>
      <c r="F22" s="1001"/>
      <c r="G22" s="1002"/>
      <c r="H22" s="1003"/>
      <c r="I22" s="1004"/>
      <c r="J22" s="1004"/>
      <c r="K22" s="1005"/>
      <c r="L22" s="992"/>
      <c r="M22" s="994"/>
    </row>
    <row r="23" spans="2:18" x14ac:dyDescent="0.25">
      <c r="B23" s="990"/>
      <c r="C23" s="995"/>
      <c r="D23" s="991" t="s">
        <v>87</v>
      </c>
      <c r="E23" s="1006">
        <f>SUM(E21:E22)</f>
        <v>128</v>
      </c>
      <c r="F23" s="1001"/>
      <c r="H23" s="995"/>
      <c r="I23" s="995"/>
      <c r="J23" s="995"/>
      <c r="K23" s="991"/>
      <c r="L23" s="992"/>
    </row>
    <row r="24" spans="2:18" ht="15.75" thickBot="1" x14ac:dyDescent="0.3">
      <c r="B24" s="1007"/>
      <c r="C24" s="1008"/>
      <c r="D24" s="1009" t="s">
        <v>481</v>
      </c>
      <c r="E24" s="1010">
        <f>2080-E23</f>
        <v>1952</v>
      </c>
      <c r="F24" s="1001"/>
      <c r="H24" s="995"/>
      <c r="I24" s="995"/>
      <c r="J24" s="995"/>
      <c r="K24" s="991"/>
      <c r="L24" s="992"/>
    </row>
    <row r="27" spans="2:18" x14ac:dyDescent="0.25">
      <c r="H27" s="1011"/>
      <c r="I27" s="1012"/>
      <c r="J27" s="1011"/>
      <c r="K27" s="1012"/>
    </row>
    <row r="28" spans="2:18" x14ac:dyDescent="0.25">
      <c r="H28" s="1011"/>
      <c r="I28" s="1012"/>
      <c r="J28" s="1011"/>
      <c r="K28" s="1012"/>
    </row>
    <row r="29" spans="2:18" x14ac:dyDescent="0.25">
      <c r="H29" s="1011"/>
      <c r="I29" s="1013"/>
      <c r="J29" s="1011"/>
      <c r="K29" s="1012"/>
    </row>
    <row r="30" spans="2:18" x14ac:dyDescent="0.25">
      <c r="H30" s="1011"/>
      <c r="I30" s="1012"/>
      <c r="J30" s="1011"/>
      <c r="K30" s="1012"/>
    </row>
    <row r="31" spans="2:18" s="978" customFormat="1" x14ac:dyDescent="0.25">
      <c r="B31" s="654"/>
      <c r="D31" s="982"/>
      <c r="H31" s="1011"/>
      <c r="I31" s="1012"/>
      <c r="J31" s="1011"/>
      <c r="K31" s="1012"/>
      <c r="M31" s="654"/>
      <c r="N31" s="654"/>
      <c r="O31" s="654"/>
      <c r="P31" s="654"/>
      <c r="Q31" s="654"/>
      <c r="R31" s="654"/>
    </row>
    <row r="32" spans="2:18" s="978" customFormat="1" x14ac:dyDescent="0.25">
      <c r="B32" s="654"/>
      <c r="D32" s="982"/>
      <c r="H32" s="1011"/>
      <c r="I32" s="1012"/>
      <c r="J32" s="1011"/>
      <c r="K32" s="1012"/>
      <c r="M32" s="654"/>
      <c r="N32" s="654"/>
      <c r="O32" s="654"/>
      <c r="P32" s="654"/>
      <c r="Q32" s="654"/>
      <c r="R32" s="654"/>
    </row>
    <row r="33" spans="2:18" s="978" customFormat="1" x14ac:dyDescent="0.25">
      <c r="B33" s="654"/>
      <c r="D33" s="982"/>
      <c r="H33" s="1011"/>
      <c r="I33" s="1012"/>
      <c r="J33" s="1011"/>
      <c r="K33" s="1012"/>
      <c r="M33" s="654"/>
      <c r="N33" s="654"/>
      <c r="O33" s="654"/>
      <c r="P33" s="654"/>
      <c r="Q33" s="654"/>
      <c r="R33" s="654"/>
    </row>
    <row r="34" spans="2:18" s="978" customFormat="1" x14ac:dyDescent="0.25">
      <c r="B34" s="654"/>
      <c r="D34" s="982"/>
      <c r="H34" s="1011"/>
      <c r="I34" s="1012"/>
      <c r="J34" s="1011"/>
      <c r="M34" s="654"/>
      <c r="N34" s="654"/>
      <c r="O34" s="654"/>
      <c r="P34" s="654"/>
      <c r="Q34" s="654"/>
      <c r="R34" s="654"/>
    </row>
    <row r="35" spans="2:18" s="978" customFormat="1" x14ac:dyDescent="0.25">
      <c r="B35" s="654"/>
      <c r="D35" s="982"/>
      <c r="M35" s="654"/>
      <c r="N35" s="654"/>
      <c r="O35" s="654"/>
      <c r="P35" s="654"/>
      <c r="Q35" s="654"/>
      <c r="R35" s="654"/>
    </row>
    <row r="36" spans="2:18" s="978" customFormat="1" x14ac:dyDescent="0.25">
      <c r="B36" s="654"/>
      <c r="D36" s="982"/>
      <c r="M36" s="654"/>
      <c r="N36" s="654"/>
      <c r="O36" s="654"/>
      <c r="P36" s="654"/>
      <c r="Q36" s="654"/>
      <c r="R36" s="654"/>
    </row>
  </sheetData>
  <mergeCells count="7">
    <mergeCell ref="D11:E11"/>
    <mergeCell ref="C3:N3"/>
    <mergeCell ref="D5:E5"/>
    <mergeCell ref="D6:E6"/>
    <mergeCell ref="D7:E7"/>
    <mergeCell ref="D8:E8"/>
    <mergeCell ref="D9:E9"/>
  </mergeCells>
  <pageMargins left="0.25" right="0.25"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M2022 BLS SALARY CHART (53_PCT)</vt:lpstr>
      <vt:lpstr>1. O&amp;M Model </vt:lpstr>
      <vt:lpstr>2. HCA</vt:lpstr>
      <vt:lpstr>3. ATIL</vt:lpstr>
      <vt:lpstr>4. VR Assistant</vt:lpstr>
      <vt:lpstr>5. DBCAN Model - 2405</vt:lpstr>
      <vt:lpstr>6. BI Community Outreach</vt:lpstr>
      <vt:lpstr>7. BI Site Based</vt:lpstr>
      <vt:lpstr>8. BI Direct Care Add-on</vt:lpstr>
      <vt:lpstr>Rate Chart</vt:lpstr>
      <vt:lpstr>CAF Spring 2023</vt:lpstr>
      <vt:lpstr>UFR DATA</vt:lpstr>
      <vt:lpstr>'1. O&amp;M Model '!Print_Area</vt:lpstr>
      <vt:lpstr>'2. HCA'!Print_Area</vt:lpstr>
      <vt:lpstr>'3. ATIL'!Print_Area</vt:lpstr>
      <vt:lpstr>'4. VR Assistant'!Print_Area</vt:lpstr>
      <vt:lpstr>'5. DBCAN Model - 2405'!Print_Area</vt:lpstr>
      <vt:lpstr>'6. BI Community Outreach'!Print_Area</vt:lpstr>
      <vt:lpstr>'7. BI Site Based'!Print_Area</vt:lpstr>
      <vt:lpstr>'8. BI Direct Care Add-on'!Print_Area</vt:lpstr>
      <vt:lpstr>'M2022 BLS SALARY CHART (53_PCT)'!Print_Area</vt:lpstr>
      <vt:lpstr>'CAF Spring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Farrell, Conor (EHS)</cp:lastModifiedBy>
  <dcterms:created xsi:type="dcterms:W3CDTF">2024-01-22T15:10:42Z</dcterms:created>
  <dcterms:modified xsi:type="dcterms:W3CDTF">2024-01-22T15:15:58Z</dcterms:modified>
</cp:coreProperties>
</file>