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EF22D310-1202-44E7-A059-34725BCBDEE4}" xr6:coauthVersionLast="47" xr6:coauthVersionMax="47" xr10:uidLastSave="{00000000-0000-0000-0000-000000000000}"/>
  <bookViews>
    <workbookView xWindow="19570" yWindow="-1700" windowWidth="18830" windowHeight="11240" tabRatio="902" firstSheet="3" activeTab="9" xr2:uid="{00000000-000D-0000-FFFF-FFFF00000000}"/>
  </bookViews>
  <sheets>
    <sheet name="M2024 BLS SALARY CHART (53_PCT)" sheetId="17" r:id="rId1"/>
    <sheet name="Fiscal Impact" sheetId="14" state="hidden" r:id="rId2"/>
    <sheet name="M2022 BLS SALARY CHART (53_PCT)" sheetId="12" state="hidden" r:id="rId3"/>
    <sheet name="Rate Chart RR26" sheetId="19" r:id="rId4"/>
    <sheet name="1. O&amp;M Model " sheetId="2" r:id="rId5"/>
    <sheet name="2. HCA" sheetId="4" r:id="rId6"/>
    <sheet name="3. ATIL" sheetId="5" r:id="rId7"/>
    <sheet name="4. VR Assistant" sheetId="3" r:id="rId8"/>
    <sheet name="5. DBCAN Model - 2405" sheetId="6" r:id="rId9"/>
    <sheet name="6. BI Community Outreach" sheetId="8" r:id="rId10"/>
    <sheet name="7. BI Site Based" sheetId="9" r:id="rId11"/>
    <sheet name="8. BI Direct Care Add-on" sheetId="10" r:id="rId12"/>
    <sheet name="9. BI Site Based Start" sheetId="15" state="hidden" r:id="rId13"/>
    <sheet name="Rate Chart" sheetId="11" state="hidden" r:id="rId14"/>
    <sheet name="CAF Spring 2025" sheetId="18" r:id="rId15"/>
    <sheet name="Sheet1" sheetId="20" r:id="rId16"/>
    <sheet name="CAF Spring 2023" sheetId="13" state="hidden" r:id="rId17"/>
    <sheet name="UFR DATA" sheetId="16"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Key1" localSheetId="16" hidden="1">#REF!</definedName>
    <definedName name="_Key1" hidden="1">#REF!</definedName>
    <definedName name="_Sort" localSheetId="16" hidden="1">#REF!</definedName>
    <definedName name="_Sort" hidden="1">#REF!</definedName>
    <definedName name="alldata" localSheetId="16">#REF!</definedName>
    <definedName name="alldata" localSheetId="1">#REF!</definedName>
    <definedName name="alldata" localSheetId="2">#REF!</definedName>
    <definedName name="alldata">#REF!</definedName>
    <definedName name="alled" localSheetId="1">#REF!</definedName>
    <definedName name="alled" localSheetId="2">#REF!</definedName>
    <definedName name="alled">#REF!</definedName>
    <definedName name="allstem" localSheetId="1">#REF!</definedName>
    <definedName name="allstem" localSheetId="2">#REF!</definedName>
    <definedName name="allstem">#REF!</definedName>
    <definedName name="Area">[1]Sheet2!$A$2:$A$28</definedName>
    <definedName name="ARENEW">[2]amendA!$B$1:$U$51</definedName>
    <definedName name="asdfasd" localSheetId="16">'[3]Complete UFR List'!#REF!</definedName>
    <definedName name="asdfasd" localSheetId="1">'[3]Complete UFR List'!#REF!</definedName>
    <definedName name="asdfasd" localSheetId="2">'[3]Complete UFR List'!#REF!</definedName>
    <definedName name="asdfasd">'[3]Complete UFR List'!#REF!</definedName>
    <definedName name="asdfasdf" localSheetId="11">#REF!</definedName>
    <definedName name="asdfasdf" localSheetId="16">'[3]Complete UFR List'!#REF!</definedName>
    <definedName name="asdfasdf" localSheetId="14">'[3]Complete UFR List'!#REF!</definedName>
    <definedName name="asdfasdf" localSheetId="1">#REF!</definedName>
    <definedName name="asdfasdf" localSheetId="2">'[3]Complete UFR List'!#REF!</definedName>
    <definedName name="asdfasdf" localSheetId="0">'[3]Complete UFR List'!#REF!</definedName>
    <definedName name="asdfasdf">#REF!</definedName>
    <definedName name="ATTABOY">[2]amendA!$B$2:$S$2</definedName>
    <definedName name="AutoInsurance">[4]Universal!$C$19</definedName>
    <definedName name="autsupp2" localSheetId="16">#REF!</definedName>
    <definedName name="autsupp2" localSheetId="1">#REF!</definedName>
    <definedName name="autsupp2" localSheetId="2">#REF!</definedName>
    <definedName name="autsupp2">#REF!</definedName>
    <definedName name="Average" localSheetId="11">#REF!</definedName>
    <definedName name="Average" localSheetId="16">#REF!</definedName>
    <definedName name="Average" localSheetId="1">#REF!</definedName>
    <definedName name="Average" localSheetId="2">#REF!</definedName>
    <definedName name="Average">#REF!</definedName>
    <definedName name="BB6_4" localSheetId="16">#REF!</definedName>
    <definedName name="BB6_4">#REF!</definedName>
    <definedName name="Break">'[5]Tech Stuff'!$E$4</definedName>
    <definedName name="CAF_NEW" localSheetId="16">[6]RawDataCalcs!$L$70:$DB$70</definedName>
    <definedName name="CAF_NEW" localSheetId="14">[6]RawDataCalcs!$L$70:$DB$70</definedName>
    <definedName name="CAF_NEW" localSheetId="2">[6]RawDataCalcs!$L$70:$DB$70</definedName>
    <definedName name="CAF_NEW" localSheetId="0">[6]RawDataCalcs!$L$70:$DB$70</definedName>
    <definedName name="CAF_NEW">[7]RawDataCalcs!$L$70:$DB$70</definedName>
    <definedName name="Cap" localSheetId="4">[8]RawDataCalcs!$L$13:$DB$13</definedName>
    <definedName name="Cap" localSheetId="7">[8]RawDataCalcs!$L$13:$DB$13</definedName>
    <definedName name="Cap" localSheetId="10">'[9]RawDataCalcs3386&amp;3401'!$L$66:$DB$66</definedName>
    <definedName name="Cap" localSheetId="12">'[9]RawDataCalcs3386&amp;3401'!$L$66:$DB$66</definedName>
    <definedName name="Cap" localSheetId="16">[10]RawDataCalcs!$L$17:$DB$17</definedName>
    <definedName name="Cap" localSheetId="14">[10]RawDataCalcs!$L$17:$DB$17</definedName>
    <definedName name="Cap" localSheetId="2">[11]RawDataCalcs!$L$35:$DB$35</definedName>
    <definedName name="Cap" localSheetId="0">[10]RawDataCalcs!$L$17:$DB$17</definedName>
    <definedName name="Cap">[12]RawDataCalcs!$L$13:$DB$13</definedName>
    <definedName name="capa">[10]RawDataCalcs!$L$17:$DB$17</definedName>
    <definedName name="COLA">[4]Universal!$C$12</definedName>
    <definedName name="Data" localSheetId="11">#REF!</definedName>
    <definedName name="Data" localSheetId="16">#REF!</definedName>
    <definedName name="Data" localSheetId="1">#REF!</definedName>
    <definedName name="Data" localSheetId="2">#REF!</definedName>
    <definedName name="Data">#REF!</definedName>
    <definedName name="Electricity">[4]Universal!$C$21</definedName>
    <definedName name="Fisc" localSheetId="16">'[3]Complete UFR List'!#REF!</definedName>
    <definedName name="Fisc">'[3]Complete UFR List'!#REF!</definedName>
    <definedName name="FiveDay">[4]Universal!$C$17</definedName>
    <definedName name="Floor" localSheetId="4">[8]RawDataCalcs!$L$12:$DB$12</definedName>
    <definedName name="Floor" localSheetId="7">[8]RawDataCalcs!$L$12:$DB$12</definedName>
    <definedName name="Floor" localSheetId="10">'[9]RawDataCalcs3386&amp;3401'!$L$65:$DB$65</definedName>
    <definedName name="Floor" localSheetId="12">'[9]RawDataCalcs3386&amp;3401'!$L$65:$DB$65</definedName>
    <definedName name="Floor" localSheetId="16">[10]RawDataCalcs!$L$16:$DB$16</definedName>
    <definedName name="Floor" localSheetId="14">[10]RawDataCalcs!$L$16:$DB$16</definedName>
    <definedName name="Floor" localSheetId="2">[11]RawDataCalcs!$L$34:$DB$34</definedName>
    <definedName name="Floor" localSheetId="0">[10]RawDataCalcs!$L$16:$DB$16</definedName>
    <definedName name="Floor">[12]RawDataCalcs!$L$12:$DB$12</definedName>
    <definedName name="Fringe">[4]Universal!$C$8</definedName>
    <definedName name="FROM">[2]amendA!$G$7</definedName>
    <definedName name="Funds" localSheetId="16">'[13]RawDataCalcs3386&amp;3401'!$L$68:$DB$68</definedName>
    <definedName name="Funds" localSheetId="14">'[13]RawDataCalcs3386&amp;3401'!$L$68:$DB$68</definedName>
    <definedName name="Funds" localSheetId="2">'[13]RawDataCalcs3386&amp;3401'!$L$68:$DB$68</definedName>
    <definedName name="Funds" localSheetId="0">'[13]RawDataCalcs3386&amp;3401'!$L$68:$DB$68</definedName>
    <definedName name="Funds">'[14]RawDataCalcs3386&amp;3401'!$L$68:$DB$68</definedName>
    <definedName name="GA">[4]Universal!$C$13</definedName>
    <definedName name="Gas">[4]Universal!$C$22</definedName>
    <definedName name="gk" localSheetId="4">#REF!</definedName>
    <definedName name="gk" localSheetId="6">#REF!</definedName>
    <definedName name="gk" localSheetId="7">#REF!</definedName>
    <definedName name="gk" localSheetId="8">#REF!</definedName>
    <definedName name="gk" localSheetId="10">#REF!</definedName>
    <definedName name="gk" localSheetId="11">#REF!</definedName>
    <definedName name="gk" localSheetId="12">#REF!</definedName>
    <definedName name="gk" localSheetId="1">#REF!</definedName>
    <definedName name="gk">#REF!</definedName>
    <definedName name="hhh" localSheetId="11">#REF!</definedName>
    <definedName name="hhh" localSheetId="1">#REF!</definedName>
    <definedName name="hhh">#REF!</definedName>
    <definedName name="Holidays">[4]Universal!$C$49:$C$59</definedName>
    <definedName name="JailDAverage" localSheetId="11">#REF!</definedName>
    <definedName name="JailDAverage" localSheetId="16">#REF!</definedName>
    <definedName name="JailDAverage" localSheetId="1">#REF!</definedName>
    <definedName name="JailDAverage" localSheetId="2">#REF!</definedName>
    <definedName name="JailDAverage">#REF!</definedName>
    <definedName name="JailDCap" localSheetId="16">[15]ALLRawDataCalcs!$L$80:$DB$80</definedName>
    <definedName name="JailDCap" localSheetId="14">[15]ALLRawDataCalcs!$L$80:$DB$80</definedName>
    <definedName name="JailDCap" localSheetId="2">[15]ALLRawDataCalcs!$L$80:$DB$80</definedName>
    <definedName name="JailDCap" localSheetId="0">[15]ALLRawDataCalcs!$L$80:$DB$80</definedName>
    <definedName name="JailDCap">[16]ALLRawDataCalcs!$L$80:$DB$80</definedName>
    <definedName name="JailDFloor" localSheetId="16">[15]ALLRawDataCalcs!$L$79:$DB$79</definedName>
    <definedName name="JailDFloor" localSheetId="14">[15]ALLRawDataCalcs!$L$79:$DB$79</definedName>
    <definedName name="JailDFloor" localSheetId="2">[15]ALLRawDataCalcs!$L$79:$DB$79</definedName>
    <definedName name="JailDFloor" localSheetId="0">[15]ALLRawDataCalcs!$L$79:$DB$79</definedName>
    <definedName name="JailDFloor">[16]ALLRawDataCalcs!$L$79:$DB$79</definedName>
    <definedName name="JailDgk" localSheetId="11">#REF!</definedName>
    <definedName name="JailDgk" localSheetId="16">#REF!</definedName>
    <definedName name="JailDgk" localSheetId="1">#REF!</definedName>
    <definedName name="JailDgk" localSheetId="2">#REF!</definedName>
    <definedName name="JailDgk">#REF!</definedName>
    <definedName name="JailDMax" localSheetId="11">#REF!</definedName>
    <definedName name="JailDMax" localSheetId="16">#REF!</definedName>
    <definedName name="JailDMax" localSheetId="1">#REF!</definedName>
    <definedName name="JailDMax" localSheetId="2">#REF!</definedName>
    <definedName name="JailDMax">#REF!</definedName>
    <definedName name="JailDMedian" localSheetId="11">#REF!</definedName>
    <definedName name="JailDMedian" localSheetId="16">#REF!</definedName>
    <definedName name="JailDMedian" localSheetId="1">#REF!</definedName>
    <definedName name="JailDMedian" localSheetId="2">#REF!</definedName>
    <definedName name="JailDMedian">#REF!</definedName>
    <definedName name="jm" localSheetId="16">'[3]Complete UFR List'!#REF!</definedName>
    <definedName name="jm" localSheetId="1">'[3]Complete UFR List'!#REF!</definedName>
    <definedName name="jm" localSheetId="2">'[3]Complete UFR List'!#REF!</definedName>
    <definedName name="jm">'[3]Complete UFR List'!#REF!</definedName>
    <definedName name="kls" localSheetId="11">#REF!</definedName>
    <definedName name="kls" localSheetId="16">#REF!</definedName>
    <definedName name="kls" localSheetId="1">#REF!</definedName>
    <definedName name="kls" localSheetId="2">#REF!</definedName>
    <definedName name="kls">#REF!</definedName>
    <definedName name="ListProviders">'[17]List of Programs'!$A$24:$A$29</definedName>
    <definedName name="Max" localSheetId="11">#REF!</definedName>
    <definedName name="Max" localSheetId="16">#REF!</definedName>
    <definedName name="Max" localSheetId="1">#REF!</definedName>
    <definedName name="Max" localSheetId="2">#REF!</definedName>
    <definedName name="Max">#REF!</definedName>
    <definedName name="Median" localSheetId="11">#REF!</definedName>
    <definedName name="Median" localSheetId="16">#REF!</definedName>
    <definedName name="Median" localSheetId="1">#REF!</definedName>
    <definedName name="Median" localSheetId="2">#REF!</definedName>
    <definedName name="Median">#REF!</definedName>
    <definedName name="Min" localSheetId="11">#REF!</definedName>
    <definedName name="Min" localSheetId="16">#REF!</definedName>
    <definedName name="Min" localSheetId="1">#REF!</definedName>
    <definedName name="Min" localSheetId="2">#REF!</definedName>
    <definedName name="Min">#REF!</definedName>
    <definedName name="mr">#REF!</definedName>
    <definedName name="MT" localSheetId="11">#REF!</definedName>
    <definedName name="MT" localSheetId="1">#REF!</definedName>
    <definedName name="MT">#REF!</definedName>
    <definedName name="new" localSheetId="11">#REF!</definedName>
    <definedName name="new" localSheetId="1">#REF!</definedName>
    <definedName name="new">#REF!</definedName>
    <definedName name="Oil">[4]Universal!$C$23</definedName>
    <definedName name="ok" localSheetId="11">#REF!</definedName>
    <definedName name="ok" localSheetId="16">#REF!</definedName>
    <definedName name="ok" localSheetId="1">#REF!</definedName>
    <definedName name="ok" localSheetId="2">#REF!</definedName>
    <definedName name="ok">#REF!</definedName>
    <definedName name="Paydays">[4]Universal!$C$33:$N$33</definedName>
    <definedName name="Phone">[4]Universal!$C$25</definedName>
    <definedName name="_xlnm.Print_Area" localSheetId="4">'1. O&amp;M Model '!$I$2:$U$38</definedName>
    <definedName name="_xlnm.Print_Area" localSheetId="5">'2. HCA'!$A$1:$F$17</definedName>
    <definedName name="_xlnm.Print_Area" localSheetId="6">'3. ATIL'!$I$2:$P$33</definedName>
    <definedName name="_xlnm.Print_Area" localSheetId="7">'4. VR Assistant'!$B$2:$J$25</definedName>
    <definedName name="_xlnm.Print_Area" localSheetId="8">'5. DBCAN Model - 2405'!$B$2:$M$31</definedName>
    <definedName name="_xlnm.Print_Area" localSheetId="9">'6. BI Community Outreach'!$B$1:$N$24</definedName>
    <definedName name="_xlnm.Print_Area" localSheetId="10">'7. BI Site Based'!$A$1:$X$31</definedName>
    <definedName name="_xlnm.Print_Area" localSheetId="11">'8. BI Direct Care Add-on'!$B$1:$N$25</definedName>
    <definedName name="_xlnm.Print_Area" localSheetId="12">'9. BI Site Based Start'!$A$1:$J$31</definedName>
    <definedName name="_xlnm.Print_Area" localSheetId="1">'Fiscal Impact'!$B$3:$AA$25</definedName>
    <definedName name="_xlnm.Print_Area" localSheetId="2">'M2022 BLS SALARY CHART (53_PCT)'!$B$1:$E$46</definedName>
    <definedName name="_xlnm.Print_Titles" localSheetId="16">'CAF Spring 2023'!$A:$A</definedName>
    <definedName name="_xlnm.Print_Titles" localSheetId="14">'CAF Spring 2025'!$A:$A</definedName>
    <definedName name="Program_File" localSheetId="11">#REF!</definedName>
    <definedName name="Program_File" localSheetId="16">#REF!</definedName>
    <definedName name="Program_File" localSheetId="1">#REF!</definedName>
    <definedName name="Program_File" localSheetId="2">#REF!</definedName>
    <definedName name="Program_File">#REF!</definedName>
    <definedName name="Programs">'[17]List of Programs'!$B$3:$B$19</definedName>
    <definedName name="PropInsurance">[4]Universal!$C$20</definedName>
    <definedName name="ProvFTE" localSheetId="11">'[18]FTE Data'!$A$3:$AW$56</definedName>
    <definedName name="ProvFTE">'[19]FTE Data'!$A$3:$AW$56</definedName>
    <definedName name="PTO_Hours">[4]Universal!$F$72:$F$78</definedName>
    <definedName name="PTO_Years">[4]Universal!$B$72:$B$78</definedName>
    <definedName name="PurchasedBy" localSheetId="11">'[18]FTE Data'!$C$263:$AZ$657</definedName>
    <definedName name="PurchasedBy">'[19]FTE Data'!$C$263:$AZ$657</definedName>
    <definedName name="REGION">[1]Sheet2!$B$1:$B$5</definedName>
    <definedName name="Relief">[4]Universal!$C$14</definedName>
    <definedName name="resmay2007" localSheetId="11">#REF!</definedName>
    <definedName name="resmay2007" localSheetId="16">#REF!</definedName>
    <definedName name="resmay2007" localSheetId="1">#REF!</definedName>
    <definedName name="resmay2007" localSheetId="2">#REF!</definedName>
    <definedName name="resmay2007">#REF!</definedName>
    <definedName name="SevenDay">[4]Universal!$C$18</definedName>
    <definedName name="sheet1" localSheetId="16">#REF!</definedName>
    <definedName name="sheet1" localSheetId="1">#REF!</definedName>
    <definedName name="sheet1" localSheetId="2">#REF!</definedName>
    <definedName name="sheet1">#REF!</definedName>
    <definedName name="Site_list" localSheetId="11">[18]Lists!$A$2:$A$53</definedName>
    <definedName name="Site_list">[19]Lists!$A$2:$A$53</definedName>
    <definedName name="Source" localSheetId="11">#REF!</definedName>
    <definedName name="Source" localSheetId="16">#REF!</definedName>
    <definedName name="Source" localSheetId="1">#REF!</definedName>
    <definedName name="Source" localSheetId="2">#REF!</definedName>
    <definedName name="Source">#REF!</definedName>
    <definedName name="Source_2" localSheetId="10">#REF!</definedName>
    <definedName name="Source_2" localSheetId="11">#REF!</definedName>
    <definedName name="Source_2" localSheetId="12">#REF!</definedName>
    <definedName name="Source_2" localSheetId="16">#REF!</definedName>
    <definedName name="Source_2" localSheetId="1">#REF!</definedName>
    <definedName name="Source_2" localSheetId="2">#REF!</definedName>
    <definedName name="Source_2">#REF!</definedName>
    <definedName name="SourcePathAndFileName" localSheetId="11">#REF!</definedName>
    <definedName name="SourcePathAndFileName" localSheetId="16">#REF!</definedName>
    <definedName name="SourcePathAndFileName" localSheetId="1">#REF!</definedName>
    <definedName name="SourcePathAndFileName" localSheetId="2">#REF!</definedName>
    <definedName name="SourcePathAndFileName">#REF!</definedName>
    <definedName name="StaffApp">[4]Universal!$C$11</definedName>
    <definedName name="Tax">[4]Universal!$C$7</definedName>
    <definedName name="TO">[2]amendA!$K$7:$O$7</definedName>
    <definedName name="Total_UFR" localSheetId="4">#REF!</definedName>
    <definedName name="Total_UFR" localSheetId="6">#REF!</definedName>
    <definedName name="Total_UFR" localSheetId="7">#REF!</definedName>
    <definedName name="Total_UFR" localSheetId="8">#REF!</definedName>
    <definedName name="Total_UFR" localSheetId="10">#REF!</definedName>
    <definedName name="Total_UFR" localSheetId="11">#REF!</definedName>
    <definedName name="Total_UFR" localSheetId="12">#REF!</definedName>
    <definedName name="Total_UFR" localSheetId="1">#REF!</definedName>
    <definedName name="Total_UFR">#REF!</definedName>
    <definedName name="Total_UFRs" localSheetId="11">#REF!</definedName>
    <definedName name="Total_UFRs" localSheetId="1">#REF!</definedName>
    <definedName name="Total_UFRs">#REF!</definedName>
    <definedName name="Total_UFRs_" localSheetId="11">#REF!</definedName>
    <definedName name="Total_UFRs_" localSheetId="1">#REF!</definedName>
    <definedName name="Total_UFRs_">#REF!</definedName>
    <definedName name="TotalDays">[4]Universal!$C$30:$N$30</definedName>
    <definedName name="UFR" localSheetId="11">'[3]Complete UFR List'!#REF!</definedName>
    <definedName name="UFR" localSheetId="16">'[3]Complete UFR List'!#REF!</definedName>
    <definedName name="UFR" localSheetId="1">'[3]Complete UFR List'!#REF!</definedName>
    <definedName name="UFR" localSheetId="2">'[3]Complete UFR List'!#REF!</definedName>
    <definedName name="UFR">'[3]Complete UFR List'!#REF!</definedName>
    <definedName name="UFRS" localSheetId="11">'[3]Complete UFR List'!#REF!</definedName>
    <definedName name="UFRS" localSheetId="16">'[3]Complete UFR List'!#REF!</definedName>
    <definedName name="UFRS" localSheetId="1">'[3]Complete UFR List'!#REF!</definedName>
    <definedName name="UFRS" localSheetId="2">'[3]Complete UFR List'!#REF!</definedName>
    <definedName name="UFRS">'[3]Complete UFR List'!#REF!</definedName>
    <definedName name="UPDATE" localSheetId="16">'[3]Complete UFR List'!#REF!</definedName>
    <definedName name="UPDATE" localSheetId="1">'[3]Complete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6">'[3]Complete UFR List'!#REF!</definedName>
    <definedName name="wefqwerqwe">'[3]Complete UFR List'!#REF!</definedName>
    <definedName name="yes" localSheetId="16">'[3]Complete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M28" i="5"/>
  <c r="Q22" i="9" l="1"/>
  <c r="Q18" i="9"/>
  <c r="R13" i="9"/>
  <c r="S5" i="9"/>
  <c r="X19" i="9"/>
  <c r="I17" i="8"/>
  <c r="D24" i="6"/>
  <c r="D14" i="3"/>
  <c r="O28" i="14"/>
  <c r="C10" i="3"/>
  <c r="W15" i="9"/>
  <c r="Q20" i="9" s="1"/>
  <c r="W14" i="9"/>
  <c r="Q19" i="9" s="1"/>
  <c r="W13" i="9"/>
  <c r="C17" i="8"/>
  <c r="C16" i="8"/>
  <c r="C15" i="8"/>
  <c r="C21" i="6"/>
  <c r="C19" i="6"/>
  <c r="C18" i="6"/>
  <c r="C9" i="3"/>
  <c r="C8" i="3"/>
  <c r="C19" i="5"/>
  <c r="C18" i="5"/>
  <c r="C20" i="2"/>
  <c r="C19" i="2"/>
  <c r="C18" i="2"/>
  <c r="CL24" i="18"/>
  <c r="CM24" i="18"/>
  <c r="CN24" i="18"/>
  <c r="CO24" i="18"/>
  <c r="CP24" i="18"/>
  <c r="CQ24" i="18"/>
  <c r="CR24" i="18"/>
  <c r="CK24" i="18"/>
  <c r="CK20" i="18"/>
  <c r="C7" i="10"/>
  <c r="W17" i="9"/>
  <c r="Q15" i="9" s="1"/>
  <c r="H15" i="8"/>
  <c r="C22" i="6"/>
  <c r="C17" i="6"/>
  <c r="C11" i="3"/>
  <c r="C7" i="3"/>
  <c r="C20" i="5"/>
  <c r="C17" i="5"/>
  <c r="K14" i="2"/>
  <c r="C21" i="2"/>
  <c r="C17" i="2"/>
  <c r="CT24" i="18"/>
  <c r="CT20" i="18"/>
  <c r="S20" i="9" l="1"/>
  <c r="S19" i="9"/>
  <c r="S18" i="9"/>
  <c r="CT26" i="18"/>
  <c r="C5" i="17"/>
  <c r="C6" i="17"/>
  <c r="C7" i="17"/>
  <c r="C8" i="17"/>
  <c r="C51" i="17" s="1"/>
  <c r="C9" i="17"/>
  <c r="C10" i="17"/>
  <c r="C11" i="17"/>
  <c r="C12" i="17"/>
  <c r="C13" i="17"/>
  <c r="C14" i="17"/>
  <c r="C15" i="17"/>
  <c r="C16" i="17"/>
  <c r="C17" i="17"/>
  <c r="C18" i="17"/>
  <c r="C19" i="17"/>
  <c r="C20" i="17"/>
  <c r="C21" i="17"/>
  <c r="C22" i="17"/>
  <c r="C23" i="17"/>
  <c r="C24" i="17"/>
  <c r="C25" i="17"/>
  <c r="C26" i="17"/>
  <c r="C31" i="17"/>
  <c r="C32" i="17"/>
  <c r="C33" i="17"/>
  <c r="C34" i="17"/>
  <c r="C48" i="17"/>
  <c r="C49" i="17"/>
  <c r="C50" i="17"/>
  <c r="C55" i="17"/>
  <c r="C6" i="3" l="1"/>
  <c r="H7" i="8"/>
  <c r="C7" i="6"/>
  <c r="C8" i="5"/>
  <c r="C8" i="2"/>
  <c r="K9" i="2" s="1"/>
  <c r="C6" i="5"/>
  <c r="W8" i="9"/>
  <c r="Q10" i="9" s="1"/>
  <c r="S10" i="9" s="1"/>
  <c r="H6" i="8"/>
  <c r="C6" i="2"/>
  <c r="K7" i="2" s="1"/>
  <c r="W6" i="9"/>
  <c r="Q8" i="9" s="1"/>
  <c r="S8" i="9" s="1"/>
  <c r="C6" i="6"/>
  <c r="C5" i="5"/>
  <c r="C7" i="5"/>
  <c r="W7" i="9"/>
  <c r="Q9" i="9" s="1"/>
  <c r="S9" i="9" s="1"/>
  <c r="C6" i="10"/>
  <c r="C9" i="6"/>
  <c r="C9" i="5"/>
  <c r="W9" i="9"/>
  <c r="H8" i="8"/>
  <c r="H9" i="8" s="1"/>
  <c r="C9" i="2"/>
  <c r="K10" i="2" s="1"/>
  <c r="C38" i="17"/>
  <c r="C23" i="2"/>
  <c r="K25" i="2" s="1"/>
  <c r="C24" i="6"/>
  <c r="H17" i="8"/>
  <c r="C22" i="5"/>
  <c r="D12" i="10"/>
  <c r="W19" i="9"/>
  <c r="Q24" i="9" s="1"/>
  <c r="C14" i="3"/>
  <c r="F5" i="15"/>
  <c r="F20" i="15"/>
  <c r="F19" i="15"/>
  <c r="F18" i="15"/>
  <c r="E19" i="15"/>
  <c r="E20" i="15"/>
  <c r="E18" i="15"/>
  <c r="E17" i="8"/>
  <c r="E16" i="8"/>
  <c r="E15" i="8"/>
  <c r="J20" i="9"/>
  <c r="L20" i="9" s="1"/>
  <c r="J18" i="9"/>
  <c r="L18" i="9" s="1"/>
  <c r="W10" i="9" l="1"/>
  <c r="Q11" i="9"/>
  <c r="S11" i="9" s="1"/>
  <c r="S13" i="9" s="1"/>
  <c r="S15" i="9" s="1"/>
  <c r="S16" i="9" s="1"/>
  <c r="S21" i="9" s="1"/>
  <c r="S22" i="9" s="1"/>
  <c r="S23" i="9" s="1"/>
  <c r="S24" i="9" s="1"/>
  <c r="S26" i="9" s="1"/>
  <c r="S27" i="9" s="1"/>
  <c r="S34" i="9" s="1"/>
  <c r="H22" i="19" s="1"/>
  <c r="L19" i="5"/>
  <c r="M19" i="5" s="1"/>
  <c r="L18" i="5"/>
  <c r="M18" i="5" s="1"/>
  <c r="S33" i="9" l="1"/>
  <c r="H23" i="19" s="1"/>
  <c r="S28" i="9"/>
  <c r="S29" i="9" s="1"/>
  <c r="P7" i="15"/>
  <c r="D22" i="15"/>
  <c r="I19" i="15"/>
  <c r="D24" i="15" s="1"/>
  <c r="I17" i="15"/>
  <c r="E13" i="15"/>
  <c r="I10" i="15"/>
  <c r="D12" i="15" s="1"/>
  <c r="F12" i="15" s="1"/>
  <c r="I9" i="15"/>
  <c r="D11" i="15" s="1"/>
  <c r="F11" i="15" s="1"/>
  <c r="D15" i="15" l="1"/>
  <c r="N24" i="14" l="1"/>
  <c r="N23" i="14"/>
  <c r="N22" i="14"/>
  <c r="V19" i="14"/>
  <c r="K19" i="14" l="1"/>
  <c r="R15" i="14"/>
  <c r="T15" i="14" s="1"/>
  <c r="U15" i="14" s="1"/>
  <c r="R13" i="14"/>
  <c r="T13" i="14" s="1"/>
  <c r="U13" i="14" s="1"/>
  <c r="R11" i="14"/>
  <c r="E11" i="14"/>
  <c r="R9" i="14"/>
  <c r="T9" i="14" s="1"/>
  <c r="U9" i="14" s="1"/>
  <c r="R7" i="14"/>
  <c r="R6" i="14"/>
  <c r="T6" i="14" s="1"/>
  <c r="U6" i="14" s="1"/>
  <c r="F1" i="14"/>
  <c r="D7" i="14" s="1"/>
  <c r="E7" i="14" s="1"/>
  <c r="R19" i="14" l="1"/>
  <c r="D9" i="14"/>
  <c r="E9" i="14" s="1"/>
  <c r="D15" i="14"/>
  <c r="E15" i="14" s="1"/>
  <c r="D13" i="14"/>
  <c r="E13" i="14" s="1"/>
  <c r="T7" i="14"/>
  <c r="U7" i="14" s="1"/>
  <c r="U19" i="14" s="1"/>
  <c r="D6" i="14"/>
  <c r="E6" i="14" s="1"/>
  <c r="U20" i="14" l="1"/>
  <c r="N25" i="14"/>
  <c r="K13" i="9" l="1"/>
  <c r="J22" i="9"/>
  <c r="J24" i="9" l="1"/>
  <c r="J15" i="9"/>
  <c r="J12" i="9"/>
  <c r="L12" i="9" s="1"/>
  <c r="J11" i="9"/>
  <c r="L11" i="9" s="1"/>
  <c r="CG24" i="13" l="1"/>
  <c r="CF24" i="13"/>
  <c r="CE24" i="13"/>
  <c r="CD24" i="13"/>
  <c r="CC24" i="13"/>
  <c r="CB24" i="13"/>
  <c r="CA24" i="13"/>
  <c r="BZ24" i="13"/>
  <c r="CI24" i="13" s="1"/>
  <c r="CI26" i="13" s="1"/>
  <c r="CI20" i="13"/>
  <c r="BZ20" i="13"/>
  <c r="BZ19" i="13"/>
  <c r="C52" i="12"/>
  <c r="C51" i="12"/>
  <c r="C50" i="12"/>
  <c r="C47" i="12"/>
  <c r="C46" i="12"/>
  <c r="K36" i="12"/>
  <c r="K35" i="12"/>
  <c r="K34" i="12"/>
  <c r="K33" i="12"/>
  <c r="K37" i="12" s="1"/>
  <c r="K38" i="12" s="1"/>
  <c r="C33" i="12"/>
  <c r="C34" i="12" s="1"/>
  <c r="C31" i="12"/>
  <c r="C32" i="12" s="1"/>
  <c r="C29" i="12"/>
  <c r="C30" i="12" s="1"/>
  <c r="C27" i="12"/>
  <c r="C28" i="12" s="1"/>
  <c r="C25" i="12"/>
  <c r="C26" i="12" s="1"/>
  <c r="C23" i="12"/>
  <c r="C24" i="12" s="1"/>
  <c r="C21" i="12"/>
  <c r="C22" i="12" s="1"/>
  <c r="I6" i="15" s="1"/>
  <c r="D8" i="15" s="1"/>
  <c r="F8" i="15" s="1"/>
  <c r="C19" i="12"/>
  <c r="C20" i="12" s="1"/>
  <c r="C17" i="12"/>
  <c r="C18" i="12" s="1"/>
  <c r="C15" i="12"/>
  <c r="C16" i="12" s="1"/>
  <c r="C13" i="12"/>
  <c r="C14" i="12" s="1"/>
  <c r="I7" i="15" s="1"/>
  <c r="D9" i="15" s="1"/>
  <c r="F9" i="15" s="1"/>
  <c r="C11" i="12"/>
  <c r="C12" i="12" s="1"/>
  <c r="C10" i="12"/>
  <c r="C9" i="12"/>
  <c r="C7" i="12"/>
  <c r="C8" i="12" s="1"/>
  <c r="I8" i="15" s="1"/>
  <c r="D10" i="15" s="1"/>
  <c r="F10" i="15" s="1"/>
  <c r="C6" i="12"/>
  <c r="C36" i="12" s="1"/>
  <c r="E22" i="10"/>
  <c r="E21" i="10"/>
  <c r="E23" i="10" s="1"/>
  <c r="E24" i="10" s="1"/>
  <c r="C13" i="10" s="1"/>
  <c r="W34" i="9"/>
  <c r="E5" i="9" s="1"/>
  <c r="K5" i="9" s="1"/>
  <c r="D20" i="9"/>
  <c r="D22" i="9"/>
  <c r="D14" i="9"/>
  <c r="E12" i="9"/>
  <c r="B11" i="9"/>
  <c r="H12" i="9" s="1"/>
  <c r="B10" i="9"/>
  <c r="H11" i="9" s="1"/>
  <c r="D11" i="9"/>
  <c r="F11" i="9" s="1"/>
  <c r="B9" i="9"/>
  <c r="H10" i="9" s="1"/>
  <c r="D10" i="9"/>
  <c r="F10" i="9" s="1"/>
  <c r="B8" i="9"/>
  <c r="H8" i="9" s="1"/>
  <c r="C19" i="8"/>
  <c r="B19" i="8"/>
  <c r="C21" i="8"/>
  <c r="B15" i="8"/>
  <c r="C13" i="8"/>
  <c r="B13" i="8"/>
  <c r="D11" i="8"/>
  <c r="O10" i="8"/>
  <c r="B10" i="8"/>
  <c r="C10" i="8"/>
  <c r="E10" i="8" s="1"/>
  <c r="C9" i="8"/>
  <c r="E9" i="8" s="1"/>
  <c r="O8" i="8"/>
  <c r="B8" i="8"/>
  <c r="O7" i="8"/>
  <c r="B7" i="8"/>
  <c r="M6" i="8"/>
  <c r="M9" i="8" s="1"/>
  <c r="O9" i="8" s="1"/>
  <c r="O5" i="8"/>
  <c r="I20" i="6"/>
  <c r="H18" i="6"/>
  <c r="K17" i="6"/>
  <c r="H17" i="6"/>
  <c r="I13" i="6"/>
  <c r="H15" i="6"/>
  <c r="B15" i="6"/>
  <c r="B14" i="6"/>
  <c r="B13" i="6"/>
  <c r="B12" i="6"/>
  <c r="B11" i="6"/>
  <c r="H10" i="6"/>
  <c r="H9" i="6"/>
  <c r="H8" i="6"/>
  <c r="J7" i="6"/>
  <c r="J11" i="6" s="1"/>
  <c r="H7" i="6"/>
  <c r="H6" i="6"/>
  <c r="K4" i="6"/>
  <c r="K16" i="6" s="1"/>
  <c r="K22" i="5"/>
  <c r="K16" i="5"/>
  <c r="L14" i="5"/>
  <c r="J13" i="5"/>
  <c r="J12" i="5"/>
  <c r="J11" i="5"/>
  <c r="J7" i="5"/>
  <c r="J6" i="5"/>
  <c r="K19" i="3"/>
  <c r="G15" i="3"/>
  <c r="I13" i="3"/>
  <c r="G9" i="3"/>
  <c r="I12" i="3"/>
  <c r="I11" i="3"/>
  <c r="S33" i="2"/>
  <c r="S25" i="2"/>
  <c r="K22" i="2"/>
  <c r="I19" i="2"/>
  <c r="I18" i="2"/>
  <c r="I17" i="2"/>
  <c r="B15" i="2"/>
  <c r="I10" i="2" s="1"/>
  <c r="B14" i="2"/>
  <c r="B13" i="2"/>
  <c r="B12" i="2"/>
  <c r="R11" i="2"/>
  <c r="R12" i="2" s="1"/>
  <c r="B11" i="2"/>
  <c r="S10" i="2"/>
  <c r="L10" i="2"/>
  <c r="L11" i="2" s="1"/>
  <c r="S9" i="2"/>
  <c r="I9" i="2"/>
  <c r="I8" i="2"/>
  <c r="I7" i="2"/>
  <c r="I6" i="2"/>
  <c r="R14" i="2" l="1"/>
  <c r="M4" i="2" s="1"/>
  <c r="I4" i="3"/>
  <c r="F13" i="15"/>
  <c r="F15" i="15" s="1"/>
  <c r="F16" i="15" s="1"/>
  <c r="C60" i="12"/>
  <c r="C49" i="12"/>
  <c r="C8" i="8"/>
  <c r="E8" i="8" s="1"/>
  <c r="C7" i="8"/>
  <c r="E7" i="8" s="1"/>
  <c r="K6" i="5"/>
  <c r="M6" i="5" s="1"/>
  <c r="J9" i="9"/>
  <c r="L9" i="9" s="1"/>
  <c r="F17" i="9"/>
  <c r="E18" i="9"/>
  <c r="F18" i="9" s="1"/>
  <c r="J19" i="9"/>
  <c r="L19" i="9" s="1"/>
  <c r="F5" i="9"/>
  <c r="L5" i="9"/>
  <c r="C48" i="12"/>
  <c r="O6" i="8"/>
  <c r="O12" i="8" s="1"/>
  <c r="O13" i="8" s="1"/>
  <c r="O15" i="8" s="1"/>
  <c r="E5" i="8" s="1"/>
  <c r="C8" i="10"/>
  <c r="C9" i="10" s="1"/>
  <c r="K18" i="6"/>
  <c r="K15" i="6"/>
  <c r="I7" i="6"/>
  <c r="K7" i="6" s="1"/>
  <c r="F21" i="15" l="1"/>
  <c r="F22" i="15" s="1"/>
  <c r="F23" i="15" s="1"/>
  <c r="F24" i="15" s="1"/>
  <c r="F26" i="15" s="1"/>
  <c r="E11" i="8"/>
  <c r="E13" i="8" s="1"/>
  <c r="E14" i="8" s="1"/>
  <c r="J8" i="9"/>
  <c r="L8" i="9" s="1"/>
  <c r="D8" i="9"/>
  <c r="F8" i="9" s="1"/>
  <c r="J10" i="9"/>
  <c r="L10" i="9" s="1"/>
  <c r="D9" i="9"/>
  <c r="F9" i="9" s="1"/>
  <c r="M7" i="2"/>
  <c r="C11" i="10"/>
  <c r="C12" i="10" s="1"/>
  <c r="K13" i="5"/>
  <c r="M13" i="5" s="1"/>
  <c r="M10" i="2"/>
  <c r="I10" i="6"/>
  <c r="K10" i="6" s="1"/>
  <c r="K25" i="5"/>
  <c r="G18" i="3"/>
  <c r="I23" i="6"/>
  <c r="M9" i="2"/>
  <c r="K11" i="5"/>
  <c r="M11" i="5" s="1"/>
  <c r="I8" i="6"/>
  <c r="K8" i="6" s="1"/>
  <c r="K12" i="5"/>
  <c r="M12" i="5" s="1"/>
  <c r="K7" i="5"/>
  <c r="M7" i="5" s="1"/>
  <c r="G6" i="3"/>
  <c r="I6" i="3" s="1"/>
  <c r="I7" i="3" s="1"/>
  <c r="E18" i="8" l="1"/>
  <c r="E19" i="8" s="1"/>
  <c r="E20" i="8" s="1"/>
  <c r="E21" i="8" s="1"/>
  <c r="E22" i="8" s="1"/>
  <c r="E23" i="8" s="1"/>
  <c r="E24" i="8" s="1"/>
  <c r="H21" i="19" s="1"/>
  <c r="I21" i="19" s="1"/>
  <c r="F28" i="15"/>
  <c r="F27" i="15"/>
  <c r="F12" i="9"/>
  <c r="F14" i="9" s="1"/>
  <c r="F15" i="9" s="1"/>
  <c r="F19" i="9" s="1"/>
  <c r="F20" i="9" s="1"/>
  <c r="F21" i="9" s="1"/>
  <c r="F22" i="9" s="1"/>
  <c r="F24" i="9" s="1"/>
  <c r="F25" i="9" s="1"/>
  <c r="F26" i="9" s="1"/>
  <c r="F27" i="9" s="1"/>
  <c r="F29" i="9" s="1"/>
  <c r="L13" i="9"/>
  <c r="L15" i="9" s="1"/>
  <c r="L16" i="9" s="1"/>
  <c r="L21" i="9" s="1"/>
  <c r="L22" i="9" s="1"/>
  <c r="L23" i="9" s="1"/>
  <c r="L24" i="9" s="1"/>
  <c r="L26" i="9" s="1"/>
  <c r="L27" i="9" s="1"/>
  <c r="K11" i="6"/>
  <c r="K13" i="6" s="1"/>
  <c r="M11" i="2"/>
  <c r="M14" i="2" s="1"/>
  <c r="C14" i="10"/>
  <c r="C15" i="10" s="1"/>
  <c r="H24" i="19" s="1"/>
  <c r="I24" i="19" s="1"/>
  <c r="M14" i="5"/>
  <c r="I9" i="3"/>
  <c r="I10" i="3" s="1"/>
  <c r="I14" i="3" s="1"/>
  <c r="I15" i="3" s="1"/>
  <c r="I16" i="3" s="1"/>
  <c r="I18" i="3" s="1"/>
  <c r="I19" i="3" s="1"/>
  <c r="H17" i="19" s="1"/>
  <c r="I17" i="19" s="1"/>
  <c r="L28" i="9" l="1"/>
  <c r="L33" i="9"/>
  <c r="I24" i="11"/>
  <c r="H25" i="19"/>
  <c r="I21" i="11"/>
  <c r="J21" i="11" s="1"/>
  <c r="X18" i="14"/>
  <c r="I23" i="11"/>
  <c r="J23" i="11" s="1"/>
  <c r="X11" i="14"/>
  <c r="Y11" i="14" s="1"/>
  <c r="I17" i="11"/>
  <c r="J17" i="11" s="1"/>
  <c r="M15" i="2"/>
  <c r="K14" i="6"/>
  <c r="M16" i="5"/>
  <c r="M17" i="5" s="1"/>
  <c r="L29" i="9" l="1"/>
  <c r="K19" i="6"/>
  <c r="K20" i="6" s="1"/>
  <c r="K21" i="6" s="1"/>
  <c r="K23" i="6" s="1"/>
  <c r="K24" i="6" s="1"/>
  <c r="AA11" i="14"/>
  <c r="Z11" i="14"/>
  <c r="L17" i="2"/>
  <c r="M17" i="2" s="1"/>
  <c r="M18" i="2"/>
  <c r="I22" i="11" l="1"/>
  <c r="J22" i="11" s="1"/>
  <c r="I8" i="11"/>
  <c r="J8" i="11" s="1"/>
  <c r="H8" i="19"/>
  <c r="I8" i="19" s="1"/>
  <c r="X13" i="14"/>
  <c r="Y13" i="14" s="1"/>
  <c r="Z13" i="14" s="1"/>
  <c r="L19" i="2"/>
  <c r="M19" i="2" s="1"/>
  <c r="M21" i="2" s="1"/>
  <c r="AA13" i="14" l="1"/>
  <c r="M22" i="2"/>
  <c r="M23" i="2" s="1"/>
  <c r="M25" i="2" s="1"/>
  <c r="M26" i="2" s="1"/>
  <c r="M28" i="2" l="1"/>
  <c r="M27" i="2"/>
  <c r="S18" i="2"/>
  <c r="S35" i="2" l="1"/>
  <c r="S27" i="2"/>
  <c r="U18" i="2"/>
  <c r="H5" i="19" s="1"/>
  <c r="I5" i="19" s="1"/>
  <c r="I5" i="11" l="1"/>
  <c r="J5" i="11" s="1"/>
  <c r="S28" i="2"/>
  <c r="S19" i="2"/>
  <c r="U19" i="2" s="1"/>
  <c r="H6" i="19" s="1"/>
  <c r="I6" i="19" s="1"/>
  <c r="S20" i="2"/>
  <c r="U20" i="2" s="1"/>
  <c r="H7" i="19" s="1"/>
  <c r="I7" i="19" s="1"/>
  <c r="S36" i="2"/>
  <c r="I6" i="11" l="1"/>
  <c r="J6" i="11" s="1"/>
  <c r="I7" i="11"/>
  <c r="J7" i="11" s="1"/>
  <c r="X15" i="14"/>
  <c r="Y15" i="14" s="1"/>
  <c r="X16" i="14"/>
  <c r="Y16" i="14" s="1"/>
  <c r="M21" i="5"/>
  <c r="Z16" i="14" l="1"/>
  <c r="AA16" i="14"/>
  <c r="O24" i="14"/>
  <c r="Z15" i="14"/>
  <c r="AA15" i="14"/>
  <c r="M22" i="5"/>
  <c r="M23" i="5" s="1"/>
  <c r="M25" i="5" s="1"/>
  <c r="M26" i="5" s="1"/>
  <c r="H9" i="19" s="1"/>
  <c r="I9" i="19" s="1"/>
  <c r="P24" i="14" l="1"/>
  <c r="V24" i="14" s="1"/>
  <c r="Q24" i="14"/>
  <c r="I9" i="11"/>
  <c r="J9" i="11" s="1"/>
  <c r="X9" i="14" l="1"/>
  <c r="Y9" i="14" s="1"/>
  <c r="Z9" i="14" s="1"/>
  <c r="E7" i="4"/>
  <c r="AA9" i="14" l="1"/>
  <c r="F8" i="4"/>
  <c r="X6" i="14"/>
  <c r="E8" i="4"/>
  <c r="H13" i="19" s="1"/>
  <c r="I13" i="19" s="1"/>
  <c r="E9" i="4"/>
  <c r="H14" i="19" s="1"/>
  <c r="I14" i="19" s="1"/>
  <c r="E10" i="4"/>
  <c r="H15" i="19" s="1"/>
  <c r="I15" i="19" s="1"/>
  <c r="E11" i="4"/>
  <c r="H16" i="19" s="1"/>
  <c r="I16" i="19" s="1"/>
  <c r="H12" i="19"/>
  <c r="I12" i="19" s="1"/>
  <c r="F9" i="4"/>
  <c r="F10" i="4"/>
  <c r="F11" i="4"/>
  <c r="F7" i="4"/>
  <c r="Y18" i="14"/>
  <c r="I16" i="11" l="1"/>
  <c r="J16" i="11" s="1"/>
  <c r="I12" i="11"/>
  <c r="J12" i="11" s="1"/>
  <c r="I15" i="11"/>
  <c r="J15" i="11" s="1"/>
  <c r="X7" i="14"/>
  <c r="Y7" i="14" s="1"/>
  <c r="Y6" i="14"/>
  <c r="O22" i="14" s="1"/>
  <c r="I14" i="11"/>
  <c r="J14" i="11" s="1"/>
  <c r="I13" i="11"/>
  <c r="J13" i="11" s="1"/>
  <c r="AA18" i="14"/>
  <c r="Z18" i="14"/>
  <c r="AA7" i="14" l="1"/>
  <c r="Z7" i="14"/>
  <c r="O23" i="14"/>
  <c r="AA6" i="14"/>
  <c r="Z6" i="14"/>
  <c r="Y19" i="14"/>
  <c r="Q22" i="14"/>
  <c r="P22" i="14"/>
  <c r="V22" i="14" s="1"/>
  <c r="Z19" i="14" l="1"/>
  <c r="AA19" i="14"/>
  <c r="Q23" i="14"/>
  <c r="P23" i="14"/>
  <c r="V23" i="14" s="1"/>
  <c r="O25" i="14"/>
  <c r="Q25" i="14" s="1"/>
  <c r="P25" i="14" l="1"/>
  <c r="V2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tc={B03B6840-4C32-4BC1-B4E0-4AF1FAA78A18}</author>
    <author>tc={2B9D29C0-D76F-476E-80F1-B7BF00315544}</author>
    <author>Solimini, Kara (EHS)</author>
  </authors>
  <commentList>
    <comment ref="C27" authorId="0" shapeId="0" xr:uid="{B03B6840-4C32-4BC1-B4E0-4AF1FAA78A18}">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2B9D29C0-D76F-476E-80F1-B7BF00315544}">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6" authorId="2" shapeId="0" xr:uid="{09872CA5-D777-4A73-AE97-FDB866FD7230}">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C8" authorId="0" shapeId="0" xr:uid="{3569D8A9-8377-4C56-B395-E2C2FDB4F13E}">
      <text>
        <r>
          <rPr>
            <b/>
            <sz val="9"/>
            <color indexed="81"/>
            <rFont val="Tahoma"/>
            <family val="2"/>
          </rPr>
          <t>kara:</t>
        </r>
        <r>
          <rPr>
            <sz val="9"/>
            <color indexed="81"/>
            <rFont val="Tahoma"/>
            <family val="2"/>
          </rPr>
          <t xml:space="preserve">
Does this spend include or exclude the Flex funding for devices?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8FB540C6-59FA-490C-BF1A-A5B60C837B6E}">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I4" authorId="0" shapeId="0" xr:uid="{00000000-0006-0000-0500-000001000000}">
      <text>
        <r>
          <rPr>
            <b/>
            <sz val="9"/>
            <color indexed="81"/>
            <rFont val="Tahoma"/>
            <family val="2"/>
          </rPr>
          <t>kara:</t>
        </r>
        <r>
          <rPr>
            <sz val="9"/>
            <color indexed="81"/>
            <rFont val="Tahoma"/>
            <family val="2"/>
          </rPr>
          <t xml:space="preserve">
Per conversation on 3/1/17 with MCB, they chose to move the participants from 74 to 70 and apply caf to rate
</t>
        </r>
        <r>
          <rPr>
            <b/>
            <sz val="9"/>
            <color indexed="81"/>
            <rFont val="Tahoma"/>
            <family val="2"/>
          </rPr>
          <t>6/25/21 kara -</t>
        </r>
        <r>
          <rPr>
            <sz val="9"/>
            <color indexed="81"/>
            <rFont val="Tahoma"/>
            <family val="2"/>
          </rPr>
          <t xml:space="preserve">  updated per FY20 UFR which showed 12,132 units
that divided by 16 hours per person  divided by 12 months  = 63 participants rounded down for consistency</t>
        </r>
      </text>
    </comment>
  </commentList>
</comments>
</file>

<file path=xl/sharedStrings.xml><?xml version="1.0" encoding="utf-8"?>
<sst xmlns="http://schemas.openxmlformats.org/spreadsheetml/2006/main" count="1277" uniqueCount="579">
  <si>
    <t>Source:</t>
  </si>
  <si>
    <t>BLS / OES</t>
  </si>
  <si>
    <t>Position</t>
  </si>
  <si>
    <t>Common model titles (not all inclusive)</t>
  </si>
  <si>
    <t>Minimum Education and/or certification/Training/Experience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</si>
  <si>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</si>
  <si>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</si>
  <si>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</si>
  <si>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</si>
  <si>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</si>
  <si>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</si>
  <si>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</si>
  <si>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</si>
  <si>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</si>
  <si>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</si>
  <si>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</si>
  <si>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</si>
  <si>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</si>
  <si>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</si>
  <si>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</si>
  <si>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</si>
  <si>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</si>
  <si>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</si>
  <si>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</si>
  <si>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</si>
  <si>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</si>
  <si>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</si>
  <si>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</si>
  <si>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</si>
  <si>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</si>
  <si>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</si>
  <si>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BA Level w/ 3+ years related work experience</t>
  </si>
  <si>
    <t>Program Management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</si>
  <si>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</si>
  <si>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</si>
  <si>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</si>
  <si>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</si>
  <si>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</si>
  <si>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</si>
  <si>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</si>
  <si>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</si>
  <si>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</si>
  <si>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</si>
  <si>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</si>
  <si>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Admin Allocation</t>
  </si>
  <si>
    <t>C.257 Benchmark</t>
  </si>
  <si>
    <t>orientation &amp; mobility Services</t>
  </si>
  <si>
    <t>Master Data Look-up Table</t>
  </si>
  <si>
    <t>Productivity Standard - Average per COMS</t>
  </si>
  <si>
    <t>Total Yearly Available COMS Hours</t>
  </si>
  <si>
    <t>Number</t>
  </si>
  <si>
    <t>Unit</t>
  </si>
  <si>
    <t>Benchmark Salaries</t>
  </si>
  <si>
    <t>Source</t>
  </si>
  <si>
    <t>Capacity</t>
  </si>
  <si>
    <t>Total Hours</t>
  </si>
  <si>
    <t>40 hours</t>
  </si>
  <si>
    <t>52 Weeks</t>
  </si>
  <si>
    <t>Management</t>
  </si>
  <si>
    <t>Salary</t>
  </si>
  <si>
    <t>FTE</t>
  </si>
  <si>
    <t>Expense</t>
  </si>
  <si>
    <t>Vacation</t>
  </si>
  <si>
    <t>Day</t>
  </si>
  <si>
    <t xml:space="preserve">  Program Management</t>
  </si>
  <si>
    <t>Sick &amp; Personal</t>
  </si>
  <si>
    <t>Direct Care</t>
  </si>
  <si>
    <t>Training</t>
  </si>
  <si>
    <t xml:space="preserve">  Certified O&amp;M Specialist</t>
  </si>
  <si>
    <t>Holidays</t>
  </si>
  <si>
    <t xml:space="preserve">  Secretarial / Clerical</t>
  </si>
  <si>
    <t>Travel</t>
  </si>
  <si>
    <t>Hrs/Wk</t>
  </si>
  <si>
    <t>Benchmark FTEs</t>
  </si>
  <si>
    <t>Indirect Client Service</t>
  </si>
  <si>
    <t>Total Program Staff</t>
  </si>
  <si>
    <t>Subtotal Unproductive Hours</t>
  </si>
  <si>
    <t>Total Yearly Available Hours Per COMS</t>
  </si>
  <si>
    <t>Certified O&amp;M Specialists (COMS)</t>
  </si>
  <si>
    <t>Tax and Fringe</t>
  </si>
  <si>
    <t xml:space="preserve">Total Available Client Hours </t>
  </si>
  <si>
    <t>Total Compensation</t>
  </si>
  <si>
    <t>Benchmark Expenses</t>
  </si>
  <si>
    <t>Taxes &amp; Fringe</t>
  </si>
  <si>
    <t>TRANSPORTATION RATES</t>
  </si>
  <si>
    <t>Hourly</t>
  </si>
  <si>
    <t>Occupancy</t>
  </si>
  <si>
    <t>DDS</t>
  </si>
  <si>
    <t xml:space="preserve">Level I - </t>
  </si>
  <si>
    <t>1-30 miles</t>
  </si>
  <si>
    <t>per 15 minutes</t>
  </si>
  <si>
    <t>Transportation</t>
  </si>
  <si>
    <t xml:space="preserve">Level II - </t>
  </si>
  <si>
    <t>31-60 miles</t>
  </si>
  <si>
    <t>Program Expenses</t>
  </si>
  <si>
    <t>Level III -</t>
  </si>
  <si>
    <t>61+ miles</t>
  </si>
  <si>
    <t>Admin. Allocation</t>
  </si>
  <si>
    <t>MA EOHHS C.257 Benchmark</t>
  </si>
  <si>
    <t>Total Reimb excl M&amp;G</t>
  </si>
  <si>
    <t>Level II      (31 - 60 miles)</t>
  </si>
  <si>
    <t>CAF Rate</t>
  </si>
  <si>
    <t>TOTAL</t>
  </si>
  <si>
    <t>15 mile (50%of the difference in 29 miles)</t>
  </si>
  <si>
    <t>Prior CAF</t>
  </si>
  <si>
    <t>* .45 per mile</t>
  </si>
  <si>
    <t>CAF:</t>
  </si>
  <si>
    <t>*2 to find the rate for the hour</t>
  </si>
  <si>
    <t>Per hour</t>
  </si>
  <si>
    <t>RATE:</t>
  </si>
  <si>
    <t>25% to find 15 minute rate</t>
  </si>
  <si>
    <t>Per 15 min</t>
  </si>
  <si>
    <t>Utilization Rate:</t>
  </si>
  <si>
    <t>Level I rate  + 15 min rate for Level II (3.38)=</t>
  </si>
  <si>
    <t>per 15 min</t>
  </si>
  <si>
    <t>$25.60 * 4 units (15 minute unit)</t>
  </si>
  <si>
    <t>per hour</t>
  </si>
  <si>
    <t>Level III    (61 + miles)</t>
  </si>
  <si>
    <t>30 mile (50%of the difference in miles)</t>
  </si>
  <si>
    <t>Level I rate  + 15 min rate for Level II (6.75)=</t>
  </si>
  <si>
    <t>$28.97 * 4 units (15 minute unit)</t>
  </si>
  <si>
    <t>[1]</t>
  </si>
  <si>
    <t xml:space="preserve">VR Assistant Model Budget </t>
  </si>
  <si>
    <t>Master Look-Up Table</t>
  </si>
  <si>
    <t>Benchmarks</t>
  </si>
  <si>
    <t>VR Assistant</t>
  </si>
  <si>
    <t xml:space="preserve">VR Assistant </t>
  </si>
  <si>
    <t>Total Staff</t>
  </si>
  <si>
    <t>Travel / Misc Expenses</t>
  </si>
  <si>
    <t>Program Support</t>
  </si>
  <si>
    <t>TotalCompensation</t>
  </si>
  <si>
    <t>Admin. Alloc. (M &amp; G)</t>
  </si>
  <si>
    <t>Program Supplies &amp; materials</t>
  </si>
  <si>
    <t>CAF rate</t>
  </si>
  <si>
    <t>15 minutes</t>
  </si>
  <si>
    <t>Hourly RATE:</t>
  </si>
  <si>
    <t>HOMECARE ASST.</t>
  </si>
  <si>
    <t>Current Rates</t>
  </si>
  <si>
    <t>Region</t>
  </si>
  <si>
    <t>PROPOSED</t>
  </si>
  <si>
    <t>RATES</t>
  </si>
  <si>
    <t>West</t>
  </si>
  <si>
    <t>Central</t>
  </si>
  <si>
    <t>Metro</t>
  </si>
  <si>
    <t>North</t>
  </si>
  <si>
    <t>South</t>
  </si>
  <si>
    <t>Productivity Standard - Average per DC FTE</t>
  </si>
  <si>
    <t>Total FTE Hours</t>
  </si>
  <si>
    <t>Client Hours Per Site</t>
  </si>
  <si>
    <t>Director</t>
  </si>
  <si>
    <t>Postion</t>
  </si>
  <si>
    <t xml:space="preserve"> FTEs</t>
  </si>
  <si>
    <t>Direct Client Interaction</t>
  </si>
  <si>
    <t>Assistive Technology Specialist</t>
  </si>
  <si>
    <t>Equipment Tech/Specialist/Designer</t>
  </si>
  <si>
    <t xml:space="preserve">          Medical Titles from UFR:  Speech Pathologist, </t>
  </si>
  <si>
    <t>Support</t>
  </si>
  <si>
    <t xml:space="preserve">          DC Consultant, AAC Specialist, Audiologist, </t>
  </si>
  <si>
    <t xml:space="preserve">          Client Services Coordinator </t>
  </si>
  <si>
    <t>Clinical/Medical</t>
  </si>
  <si>
    <t>Total Yearly Available Hours Per DC FTE</t>
  </si>
  <si>
    <t>Average DC FTEs Per Office</t>
  </si>
  <si>
    <t>Equipment Tech/Equipment Specialist</t>
  </si>
  <si>
    <t>TOTAL PROGRAM STAFF</t>
  </si>
  <si>
    <t>Total Available Client Hours Per Site</t>
  </si>
  <si>
    <t>TOTAL COMPENSATION</t>
  </si>
  <si>
    <t>Staff Training</t>
  </si>
  <si>
    <t>Staff Mileage</t>
  </si>
  <si>
    <t>TOTAL REIMB EXP EXCL M&amp;G</t>
  </si>
  <si>
    <t>Unit Rate Per Available Client Hour</t>
  </si>
  <si>
    <t>NOTES:</t>
  </si>
  <si>
    <r>
      <t xml:space="preserve"> - </t>
    </r>
    <r>
      <rPr>
        <b/>
        <i/>
        <sz val="10"/>
        <color theme="1"/>
        <rFont val="Calibri"/>
        <family val="2"/>
        <scheme val="minor"/>
      </rPr>
      <t xml:space="preserve">Direct Client Interaction </t>
    </r>
    <r>
      <rPr>
        <sz val="10"/>
        <color theme="1"/>
        <rFont val="Calibri"/>
        <family val="2"/>
      </rPr>
      <t>incorporates all Direct Care staff positions</t>
    </r>
  </si>
  <si>
    <r>
      <t xml:space="preserve"> - </t>
    </r>
    <r>
      <rPr>
        <b/>
        <i/>
        <sz val="10"/>
        <color theme="1"/>
        <rFont val="Calibri"/>
        <family val="2"/>
        <scheme val="minor"/>
      </rPr>
      <t xml:space="preserve">Productivity Standard </t>
    </r>
    <r>
      <rPr>
        <sz val="10"/>
        <color theme="1"/>
        <rFont val="Calibri"/>
        <family val="2"/>
      </rPr>
      <t>calculation based on combination of Direct Client Interaction, Assistive</t>
    </r>
  </si>
  <si>
    <t xml:space="preserve">          Technology Specialist, and Equipment Tech/Specialist/Designer</t>
  </si>
  <si>
    <t>Particpants:</t>
  </si>
  <si>
    <t>Total Hours:</t>
  </si>
  <si>
    <t>Mgmt supervision</t>
  </si>
  <si>
    <t xml:space="preserve">  Assistant Program Director</t>
  </si>
  <si>
    <t xml:space="preserve">  Program Staff</t>
  </si>
  <si>
    <t>Contract Data</t>
  </si>
  <si>
    <t>DC Consultant</t>
  </si>
  <si>
    <t>DC Consultant (per hour)</t>
  </si>
  <si>
    <t>DC Consultant Training and Interperter services</t>
  </si>
  <si>
    <t>Purchaser Recommendation - 48 Consultants</t>
  </si>
  <si>
    <t>All other Program Supplies &amp; Materials</t>
  </si>
  <si>
    <t>Massachusetts Economic Indicators</t>
  </si>
  <si>
    <t>Prepared by Michael Lynch, 781-301-9129</t>
  </si>
  <si>
    <t>FY21</t>
  </si>
  <si>
    <t>FY23</t>
  </si>
  <si>
    <t>FY24</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</si>
  <si>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</si>
  <si>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</si>
  <si>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</si>
  <si>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</si>
  <si>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</si>
  <si>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</si>
  <si>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</si>
  <si>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</si>
  <si>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</si>
  <si>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</si>
  <si>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</si>
  <si>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</si>
  <si>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</si>
  <si>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</si>
  <si>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</si>
  <si>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</si>
  <si>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</si>
  <si>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</si>
  <si>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</si>
  <si>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</si>
  <si>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</si>
  <si>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</si>
  <si>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</si>
  <si>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</si>
  <si>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</si>
  <si>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</si>
  <si>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</si>
  <si>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</si>
  <si>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</si>
  <si>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</si>
  <si>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</si>
  <si>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</si>
  <si>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</si>
  <si>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</si>
  <si>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</si>
  <si>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</si>
  <si>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</si>
  <si>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</si>
  <si>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</si>
  <si>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</si>
  <si>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</si>
  <si>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</si>
  <si>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</si>
  <si>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</si>
  <si>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</si>
  <si>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</si>
  <si>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</si>
  <si>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</si>
  <si>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</si>
  <si>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</si>
  <si>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</si>
  <si>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</si>
  <si>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</si>
  <si>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</si>
  <si>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</si>
  <si>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</si>
  <si>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</si>
  <si>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</si>
  <si>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</si>
  <si>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</si>
  <si>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</si>
  <si>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</si>
  <si>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</si>
  <si>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</si>
  <si>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</si>
  <si>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</si>
  <si>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</si>
  <si>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</si>
  <si>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</si>
  <si>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</si>
  <si>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</si>
  <si>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</si>
  <si>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</si>
  <si>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</si>
  <si>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</si>
  <si>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</si>
  <si>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</si>
  <si>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</si>
  <si>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</si>
  <si>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</si>
  <si>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</si>
  <si>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</si>
  <si>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</si>
  <si>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</si>
  <si>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</si>
  <si>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</si>
  <si>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</si>
  <si>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</si>
  <si>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</si>
  <si>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</si>
  <si>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</si>
  <si>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</si>
  <si>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</si>
  <si>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</si>
  <si>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</si>
  <si>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</si>
  <si>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</si>
  <si>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</si>
  <si>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BILLABLE UNITS</t>
  </si>
  <si>
    <t>Weeks</t>
  </si>
  <si>
    <t>Hours</t>
  </si>
  <si>
    <t>Total</t>
  </si>
  <si>
    <t>Community Outreach Master Data Lookup Table</t>
  </si>
  <si>
    <t>Service Unit - Per Hour</t>
  </si>
  <si>
    <t>Maximum Available DC Hours</t>
  </si>
  <si>
    <t>Benchmark Salary</t>
  </si>
  <si>
    <t>Non-direct service hours</t>
  </si>
  <si>
    <t>Vacation/Sick/Personal</t>
  </si>
  <si>
    <t>Direct Care III</t>
  </si>
  <si>
    <t xml:space="preserve">Direct Care </t>
  </si>
  <si>
    <t>travel</t>
  </si>
  <si>
    <t>Clerical / Support</t>
  </si>
  <si>
    <t>Subtotal non-direct hours</t>
  </si>
  <si>
    <t>Total Available Hours per DC FTE</t>
  </si>
  <si>
    <t>Total DC FTEs</t>
  </si>
  <si>
    <t>TOTAL PRODUCTIVE HOURS</t>
  </si>
  <si>
    <t>Base period FY2022 - Prospective period FY22 &amp; FY23</t>
  </si>
  <si>
    <t>CAF</t>
  </si>
  <si>
    <r>
      <rPr>
        <b/>
        <sz val="10"/>
        <color theme="1"/>
        <rFont val="Calibri"/>
        <family val="2"/>
        <scheme val="minor"/>
      </rPr>
      <t>Brain Injury Site-based Centers and Community Outreach Services:</t>
    </r>
    <r>
      <rPr>
        <sz val="10"/>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</si>
  <si>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Total With CAF:</t>
  </si>
  <si>
    <t xml:space="preserve">Hourly Rate </t>
  </si>
  <si>
    <t>15 Minute Rate</t>
  </si>
  <si>
    <t>Brain Injury Site-based and Community  Services</t>
  </si>
  <si>
    <t xml:space="preserve">Site Based- Master Data Look-up Table  </t>
  </si>
  <si>
    <t xml:space="preserve"> Avg Daily Attendance:</t>
  </si>
  <si>
    <t>Days:</t>
  </si>
  <si>
    <t>Title</t>
  </si>
  <si>
    <t>Clerical / Support Staff</t>
  </si>
  <si>
    <t>Tax &amp; Fringe</t>
  </si>
  <si>
    <t>Occupancy (per FTE)</t>
  </si>
  <si>
    <t>Other Expense (per DC FTE)</t>
  </si>
  <si>
    <t>Total Staffing Costs</t>
  </si>
  <si>
    <t>Administrative Allocation</t>
  </si>
  <si>
    <t>Unit Cost</t>
  </si>
  <si>
    <t xml:space="preserve">CAF </t>
  </si>
  <si>
    <t xml:space="preserve">Other Program Exp. </t>
  </si>
  <si>
    <t>Days in a Year</t>
  </si>
  <si>
    <t>Total Reimbursable Exp. Excl. Admin.</t>
  </si>
  <si>
    <t>Weekends</t>
  </si>
  <si>
    <t xml:space="preserve">Total </t>
  </si>
  <si>
    <r>
      <rPr>
        <b/>
        <sz val="9"/>
        <color theme="1"/>
        <rFont val="Calibri"/>
        <family val="2"/>
        <scheme val="minor"/>
      </rPr>
      <t>Brain Injury Site-based Centers and Community Outreach Services:</t>
    </r>
    <r>
      <rPr>
        <sz val="9"/>
        <color theme="1"/>
        <rFont val="Calibri"/>
        <family val="2"/>
        <scheme val="minor"/>
      </rPr>
      <t xml:space="preserve">
Site and Community based programs that provide support and opportunities for people with brain injury to enrich their lives, develop personal skills and competencies, and participate in their communities.  Programs have an array of day supports promoting opportunities to acquire, improve or maintain skills and abilities needed for community participation, meaningful socialization and quality of life.
</t>
    </r>
  </si>
  <si>
    <t>ANNUAL TOTAL</t>
  </si>
  <si>
    <t xml:space="preserve"> Rate - Per person per day</t>
  </si>
  <si>
    <t>Per person per hour (based on 5 hours)</t>
  </si>
  <si>
    <t>15 minute unit Rate per person</t>
  </si>
  <si>
    <t xml:space="preserve">  </t>
  </si>
  <si>
    <t>Total Tax &amp; Fringe</t>
  </si>
  <si>
    <t>Subtotal Compensation</t>
  </si>
  <si>
    <t>Billable Hours</t>
  </si>
  <si>
    <t>Direct Care Productivity Chart</t>
  </si>
  <si>
    <t>Days</t>
  </si>
  <si>
    <t>Paid Time Off (PTO)</t>
  </si>
  <si>
    <t>Training (not OJT)</t>
  </si>
  <si>
    <t>Total Hours per FTE:</t>
  </si>
  <si>
    <t>Brain Injury Community Outreach Services</t>
  </si>
  <si>
    <t xml:space="preserve">C.257 Benchmark </t>
  </si>
  <si>
    <t>C.257 benchmark</t>
  </si>
  <si>
    <t>MCB O&amp;M  Model Budget - 101 CMR 422</t>
  </si>
  <si>
    <t xml:space="preserve">MRC Assistive Technology Independent Living  -  101 CMR 422 </t>
  </si>
  <si>
    <t xml:space="preserve">MCB DBCAN Model Budget - 101 CMR 422 </t>
  </si>
  <si>
    <t>53 Percentile</t>
  </si>
  <si>
    <t>BLS Occupational Code(s)</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</si>
  <si>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</si>
  <si>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</si>
  <si>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</si>
  <si>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31-1131</t>
  </si>
  <si>
    <t>21-1021, 21-1099</t>
  </si>
  <si>
    <t>21-1021, 21-1019, 21-1022, 21-1029</t>
  </si>
  <si>
    <t>29-2061</t>
  </si>
  <si>
    <t>Assistant Manager</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</si>
  <si>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</si>
  <si>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</si>
  <si>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</si>
  <si>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</si>
  <si>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</si>
  <si>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</si>
  <si>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</si>
  <si>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</si>
  <si>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 (hourly) *</t>
  </si>
  <si>
    <t>Occupational Therapists</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</si>
  <si>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</si>
  <si>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</si>
  <si>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Physical Therapist (hourly)</t>
  </si>
  <si>
    <t>Physical Therapists</t>
  </si>
  <si>
    <t>29-1129, 31-2021, 29-1123  (20%/20%/60%)</t>
  </si>
  <si>
    <t>Physical Therapist (annual)</t>
  </si>
  <si>
    <t>Clinical Manager / Psychologists (hourly)</t>
  </si>
  <si>
    <t>19-3033, 19-3034</t>
  </si>
  <si>
    <t>Clinical Manager /  Psychologists  (annual)</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</si>
  <si>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</si>
  <si>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</si>
  <si>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</si>
  <si>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t>29-1141</t>
  </si>
  <si>
    <t>Relief Assumptions:</t>
  </si>
  <si>
    <t>Model</t>
  </si>
  <si>
    <t>29-1171</t>
  </si>
  <si>
    <t>vacation</t>
  </si>
  <si>
    <t>sick/ personal</t>
  </si>
  <si>
    <t>holidays</t>
  </si>
  <si>
    <r>
      <t xml:space="preserve">Clerical, Support &amp; Direct Care Relief Staff are benched to Direct Care </t>
    </r>
    <r>
      <rPr>
        <b/>
        <i/>
        <sz val="20"/>
        <color theme="1"/>
        <rFont val="Calibri"/>
        <family val="2"/>
        <scheme val="minor"/>
      </rPr>
      <t>**</t>
    </r>
  </si>
  <si>
    <t>training</t>
  </si>
  <si>
    <t xml:space="preserve">Tax and Fringe =  </t>
  </si>
  <si>
    <t xml:space="preserve">Benchmarked to FY23 (approved) Commonwealth (office of the Comptroller) T&amp;F rate, less </t>
  </si>
  <si>
    <t>% of FTE:</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</si>
  <si>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</si>
  <si>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</si>
  <si>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</si>
  <si>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</si>
  <si>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</si>
  <si>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</si>
  <si>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</si>
  <si>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</si>
  <si>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</si>
  <si>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</si>
  <si>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</si>
  <si>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</si>
  <si>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</si>
  <si>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</si>
  <si>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</si>
  <si>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</si>
  <si>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</si>
  <si>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</si>
  <si>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</si>
  <si>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</si>
  <si>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</si>
  <si>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</si>
  <si>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</si>
  <si>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</si>
  <si>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</si>
  <si>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NURSING BLEND</t>
  </si>
  <si>
    <t>S&amp;P Global Market Intelligence, Spring 2023 Forecast</t>
  </si>
  <si>
    <t>FY25</t>
  </si>
  <si>
    <t>FY26</t>
  </si>
  <si>
    <t>2026Q1</t>
  </si>
  <si>
    <t>2026Q2</t>
  </si>
  <si>
    <t>2026Q3</t>
  </si>
  <si>
    <t>2026Q4</t>
  </si>
  <si>
    <t>2027Q1</t>
  </si>
  <si>
    <t>2027Q2</t>
  </si>
  <si>
    <t>2027Q3</t>
  </si>
  <si>
    <t>2027Q4</t>
  </si>
  <si>
    <t>2028Q1</t>
  </si>
  <si>
    <t>2028Q2</t>
  </si>
  <si>
    <t>2028Q3</t>
  </si>
  <si>
    <t>2028Q4</t>
  </si>
  <si>
    <t>New Rates</t>
  </si>
  <si>
    <t>Assumption for new rates that are to be promulgated January 2024</t>
  </si>
  <si>
    <t>January 1, 2024 - December 31, 2025</t>
  </si>
  <si>
    <t xml:space="preserve"> </t>
  </si>
  <si>
    <t>CURRENT</t>
  </si>
  <si>
    <t>Hourly Rate</t>
  </si>
  <si>
    <t>Service Classification</t>
  </si>
  <si>
    <t xml:space="preserve">Rate </t>
  </si>
  <si>
    <t xml:space="preserve">Unit </t>
  </si>
  <si>
    <t>Orientation and Mobility (Level 1)</t>
  </si>
  <si>
    <t>Per Hour</t>
  </si>
  <si>
    <t>Orientation and Mobility (Level 2)</t>
  </si>
  <si>
    <t>Orientation and Mobility (Level 3)</t>
  </si>
  <si>
    <t>Deaf/Blind Community Access Network</t>
  </si>
  <si>
    <t>Assistive Technology Independent Living</t>
  </si>
  <si>
    <t>I.C.</t>
  </si>
  <si>
    <t>Device</t>
  </si>
  <si>
    <t>Home Care Assistance</t>
  </si>
  <si>
    <t>Metropolitan Boston</t>
  </si>
  <si>
    <t>Vocational Rehabilitation Assistant</t>
  </si>
  <si>
    <t>Brain Injury Community Outreach Service</t>
  </si>
  <si>
    <t>Per ¼ hour</t>
  </si>
  <si>
    <t>Brain Injury Site-based Service</t>
  </si>
  <si>
    <t>Brain Injury Direct Care Add-on</t>
  </si>
  <si>
    <t>Variance</t>
  </si>
  <si>
    <t>Brain Injury: Site-based and Community  Services</t>
  </si>
  <si>
    <t>Case Manager</t>
  </si>
  <si>
    <t xml:space="preserve">2022 BLS Benchmark </t>
  </si>
  <si>
    <t>Homecare Assistance</t>
  </si>
  <si>
    <t>Total FY16 Spend</t>
  </si>
  <si>
    <t>Projected Spend</t>
  </si>
  <si>
    <t>FY16 SPEND from CIW</t>
  </si>
  <si>
    <t>FY20 SPEND</t>
  </si>
  <si>
    <t>Anticipated spend at:</t>
  </si>
  <si>
    <t>Avg % Incr per Program</t>
  </si>
  <si>
    <t>Amt. Increased Cost (Annualized)</t>
  </si>
  <si>
    <t>Annualized Total Spend</t>
  </si>
  <si>
    <t>MCB</t>
  </si>
  <si>
    <t>General Programs - MCB/MRC</t>
  </si>
  <si>
    <t>MRC</t>
  </si>
  <si>
    <t>2220</t>
  </si>
  <si>
    <t>HCA</t>
  </si>
  <si>
    <t>2119</t>
  </si>
  <si>
    <t>HOMEMAKER</t>
  </si>
  <si>
    <t>ATIL</t>
  </si>
  <si>
    <t>Total FY17 Anticipated Spend</t>
  </si>
  <si>
    <t>2218</t>
  </si>
  <si>
    <t>Spend</t>
  </si>
  <si>
    <t>General Programs - DDS</t>
  </si>
  <si>
    <t>VR Asst</t>
  </si>
  <si>
    <t>DBCAN</t>
  </si>
  <si>
    <t>2405</t>
  </si>
  <si>
    <t>O&amp;M</t>
  </si>
  <si>
    <t>2121</t>
  </si>
  <si>
    <t>MOBILITY - NONMEDICAID</t>
  </si>
  <si>
    <t>Level I</t>
  </si>
  <si>
    <t>Approx. total spend for Rate Review</t>
  </si>
  <si>
    <t>DEPT</t>
  </si>
  <si>
    <t>Annual Variance</t>
  </si>
  <si>
    <t>1/2 Year variance</t>
  </si>
  <si>
    <t>2110</t>
  </si>
  <si>
    <t>PERSONAL VOC ADJ - MEDICAID</t>
  </si>
  <si>
    <t>BIIC</t>
  </si>
  <si>
    <t xml:space="preserve">Brain Injury </t>
  </si>
  <si>
    <t>FY23 Units</t>
  </si>
  <si>
    <t>Impact for January 2024</t>
  </si>
  <si>
    <t>Program Director</t>
  </si>
  <si>
    <t xml:space="preserve">Case Manager </t>
  </si>
  <si>
    <t>Program Supplies &amp; Expenses</t>
  </si>
  <si>
    <t>Provider Recccomendation</t>
  </si>
  <si>
    <t>Provider Reccomendation</t>
  </si>
  <si>
    <t>2022 UFR Data</t>
  </si>
  <si>
    <t>Staff Training &amp; Mileage</t>
  </si>
  <si>
    <t>BICC</t>
  </si>
  <si>
    <t>Supplies &amp; Materials</t>
  </si>
  <si>
    <t>Other Expenses</t>
  </si>
  <si>
    <t xml:space="preserve">Supplies &amp; Materials </t>
  </si>
  <si>
    <t>Brain Injury: New Program</t>
  </si>
  <si>
    <t>Total Days</t>
  </si>
  <si>
    <t>Daily Rate</t>
  </si>
  <si>
    <t>Monthly Rate</t>
  </si>
  <si>
    <t>Brain Injury - New Program</t>
  </si>
  <si>
    <t>N/A</t>
  </si>
  <si>
    <t>Monthly</t>
  </si>
  <si>
    <t xml:space="preserve">Other Expense </t>
  </si>
  <si>
    <t xml:space="preserve">Occupancy </t>
  </si>
  <si>
    <t>Post PH CHANGE</t>
  </si>
  <si>
    <t>Proposed</t>
  </si>
  <si>
    <t>M2022 BLS 50/50 Blend Cl. Mgr &amp; LICSW</t>
  </si>
  <si>
    <t>Doctorate Level</t>
  </si>
  <si>
    <t>M2024 BLS AVG of Occ Code 49-0000 and 49-9071 (MA 53%)</t>
  </si>
  <si>
    <t>M2024 BLS  Occ - Code 49-9099 (MA 53%)</t>
  </si>
  <si>
    <t>M2024 BLS  Occ - Code 37-0000 (MA 53%)</t>
  </si>
  <si>
    <t>M2024 BLS  Occ Code 29-1071 (MA 53rd %)</t>
  </si>
  <si>
    <t>M2024 BLS  Occ- Code 29-1222 (MA Mean)</t>
  </si>
  <si>
    <t xml:space="preserve">M2024 BLS  Occ- Code 29-1223 (Nat'l Mean)   </t>
  </si>
  <si>
    <t xml:space="preserve">Benchmarked to FY25  Commonwealth (office of the Comptroller) T&amp;F rate, less </t>
  </si>
  <si>
    <r>
      <t xml:space="preserve">Clerical, Support &amp; Direct Care Relief Staff are benched to Direct Care </t>
    </r>
    <r>
      <rPr>
        <b/>
        <i/>
        <sz val="11"/>
        <color theme="1"/>
        <rFont val="Calibri"/>
        <family val="2"/>
        <scheme val="minor"/>
      </rPr>
      <t>**</t>
    </r>
  </si>
  <si>
    <t>* - M2024 numbers came in lower so the prior M2023 amount was used</t>
  </si>
  <si>
    <t xml:space="preserve">Speech Language Pathologists (annual) </t>
  </si>
  <si>
    <t xml:space="preserve">
29-1129, 29-1127</t>
  </si>
  <si>
    <t xml:space="preserve">Speech Language Pathologists (hourly) </t>
  </si>
  <si>
    <t>Occupational Therapist (annual)</t>
  </si>
  <si>
    <t xml:space="preserve">
29-1129, 31-2011, 29-1122 (25%/25%/50%)</t>
  </si>
  <si>
    <t xml:space="preserve">Occupational Therapist (hourly) </t>
  </si>
  <si>
    <t xml:space="preserve"> 31-1131</t>
  </si>
  <si>
    <t xml:space="preserve">
21-1093, 31-1120, 31-2022, 31-9099</t>
  </si>
  <si>
    <t>BLS Occupational Code</t>
  </si>
  <si>
    <t>position</t>
  </si>
  <si>
    <t>S&amp;P Global Market Intelligence, Spring 2025</t>
  </si>
  <si>
    <t>FY27</t>
  </si>
  <si>
    <t>FY28</t>
  </si>
  <si>
    <t>2029Q1</t>
  </si>
  <si>
    <t>2029Q2</t>
  </si>
  <si>
    <t>2029Q3</t>
  </si>
  <si>
    <t>2029Q4</t>
  </si>
  <si>
    <t>2030Q1</t>
  </si>
  <si>
    <t>2030Q2</t>
  </si>
  <si>
    <t>2030Q3</t>
  </si>
  <si>
    <t>2030Q4</t>
  </si>
  <si>
    <t>Assumption for new rates that are to be promulgated January 1, 2026</t>
  </si>
  <si>
    <t>BASELINE SCENARIO</t>
  </si>
  <si>
    <t>Jan 1, 2026- Dec 31, 2027</t>
  </si>
  <si>
    <t>BLS 2024 Benchmark</t>
  </si>
  <si>
    <t>May 2024 BLS benchmark (53rd %)</t>
  </si>
  <si>
    <t>MA EOHHS C.257 FY25 Benchmark</t>
  </si>
  <si>
    <t>May 2024 BLS Benchmark (53rd %)</t>
  </si>
  <si>
    <t>SERVICE</t>
  </si>
  <si>
    <t>15 Min UNIT RATES</t>
  </si>
  <si>
    <t>MBY</t>
  </si>
  <si>
    <t>FY25 Spend</t>
  </si>
  <si>
    <t>Impact for January 2026</t>
  </si>
  <si>
    <t>MRC Brain injury Centers - Effective January 2026</t>
  </si>
  <si>
    <t>Holidays (11 days)</t>
  </si>
  <si>
    <t>Total FY25 Spend</t>
  </si>
  <si>
    <t>Half Day</t>
  </si>
  <si>
    <t>Prior rate w/ prior CAF applied</t>
  </si>
  <si>
    <t>Base 2025Q4 -Prospective CY26 &amp; CY27</t>
  </si>
  <si>
    <t xml:space="preserve"> Rate - Per person per HALF day</t>
  </si>
  <si>
    <t>Specialist</t>
  </si>
  <si>
    <t>UPDATED per MBY/BAMSI RECOMMNEDATIONS</t>
  </si>
  <si>
    <t xml:space="preserve"> Rate - Per person per FULL day</t>
  </si>
  <si>
    <t>FY26 Rate Review</t>
  </si>
  <si>
    <t>Full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</si>
</sst>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
    <numFmt numFmtId="168" formatCode="&quot;$&quot;#,##0.0000"/>
    <numFmt numFmtId="169" formatCode="_(&quot;$&quot;* #,##0_);_(&quot;$&quot;* \(#,##0\);_(&quot;$&quot;* &quot;-&quot;??_);_(@_)"/>
    <numFmt numFmtId="170" formatCode="\$#,##0.00"/>
    <numFmt numFmtId="171" formatCode="_(&quot;$&quot;* #,##0.000_);_(&quot;$&quot;* \(#,##0.000\);_(&quot;$&quot;* &quot;-&quot;??_);_(@_)"/>
    <numFmt numFmtId="172" formatCode="0.0000"/>
    <numFmt numFmtId="173" formatCode="_(&quot;$&quot;* #,##0.0000_);_(&quot;$&quot;* \(#,##0.0000\);_(&quot;$&quot;* &quot;-&quot;??_);_(@_)"/>
    <numFmt numFmtId="174" formatCode="0.000"/>
    <numFmt numFmtId="175" formatCode="0.0"/>
    <numFmt numFmtId="176" formatCode="#,##0.0"/>
    <numFmt numFmtId="177" formatCode="_(* #,##0_);_(* \(#,##0\);_(* &quot;-&quot;??_);_(@_)"/>
    <numFmt numFmtId="178" formatCode="_(* #,##0.0_);_(* \(#,##0.0\);_(* &quot;-&quot;??_);_(@_)"/>
    <numFmt numFmtId="179" formatCode="0.0%"/>
    <numFmt numFmtId="180" formatCode="_(&quot;$&quot;* #,##0.00_);_(&quot;$&quot;* \(#,##0.00\);_(&quot;$&quot;* &quot;-&quot;_);_(@_)"/>
    <numFmt numFmtId="181" formatCode="&quot;$&quot;#,##0.000"/>
    <numFmt numFmtId="182" formatCode="&quot;$&quot;#,##0;\(&quot;$&quot;#,##0\)"/>
  </numFmts>
  <fonts count="136">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sz val="10"/>
      <name val="MS Sans Serif"/>
      <family val="2"/>
    </font>
    <font>
      <sz val="14"/>
      <color theme="1"/>
      <name val="Calibri"/>
      <family val="2"/>
      <scheme val="minor"/>
    </font>
    <font>
      <sz val="11"/>
      <color theme="1"/>
      <name val="Calibri"/>
      <family val="2"/>
    </font>
    <font>
      <sz val="10"/>
      <color theme="1"/>
      <name val="Calibri"/>
      <family val="2"/>
    </font>
    <font>
      <b/>
      <sz val="10"/>
      <name val="Calibri"/>
      <family val="2"/>
    </font>
    <font>
      <sz val="10"/>
      <color indexed="8"/>
      <name val="Calibri"/>
      <family val="2"/>
    </font>
    <font>
      <b/>
      <sz val="10"/>
      <color indexed="8"/>
      <name val="Calibri"/>
      <family val="2"/>
    </font>
    <font>
      <b/>
      <sz val="10"/>
      <color theme="1"/>
      <name val="Calibri"/>
      <family val="2"/>
    </font>
    <font>
      <sz val="10"/>
      <color rgb="FF000000"/>
      <name val="Calibri"/>
      <family val="2"/>
    </font>
    <font>
      <sz val="10"/>
      <name val="Calibri"/>
      <family val="2"/>
    </font>
    <font>
      <sz val="10"/>
      <color indexed="17"/>
      <name val="Calibri"/>
      <family val="2"/>
    </font>
    <font>
      <sz val="10"/>
      <color indexed="30"/>
      <name val="Calibri"/>
      <family val="2"/>
    </font>
    <font>
      <sz val="11"/>
      <name val="Arial"/>
      <family val="2"/>
    </font>
    <font>
      <sz val="10"/>
      <color indexed="62"/>
      <name val="Calibri"/>
      <family val="2"/>
    </font>
    <font>
      <sz val="10"/>
      <color rgb="FFFF0000"/>
      <name val="Calibri"/>
      <family val="2"/>
    </font>
    <font>
      <sz val="10"/>
      <color theme="0" tint="-4.9989318521683403E-2"/>
      <name val="Calibri"/>
      <family val="2"/>
    </font>
    <font>
      <sz val="11"/>
      <color indexed="8"/>
      <name val="Calibri"/>
      <family val="2"/>
    </font>
    <font>
      <sz val="10"/>
      <color theme="1"/>
      <name val="Calibri"/>
      <family val="2"/>
      <scheme val="minor"/>
    </font>
    <font>
      <b/>
      <sz val="10"/>
      <color theme="1"/>
      <name val="Calibri"/>
      <family val="2"/>
      <scheme val="minor"/>
    </font>
    <font>
      <sz val="10"/>
      <name val="Calibri"/>
      <family val="2"/>
      <scheme val="minor"/>
    </font>
    <font>
      <sz val="9"/>
      <name val="Calibri"/>
      <family val="2"/>
    </font>
    <font>
      <sz val="9"/>
      <color indexed="8"/>
      <name val="Calibri"/>
      <family val="2"/>
    </font>
    <font>
      <sz val="10"/>
      <color theme="0" tint="-4.9989318521683403E-2"/>
      <name val="Calibri"/>
      <family val="2"/>
      <scheme val="minor"/>
    </font>
    <font>
      <b/>
      <sz val="12"/>
      <color theme="1"/>
      <name val="Calibri"/>
      <family val="2"/>
      <scheme val="minor"/>
    </font>
    <font>
      <b/>
      <sz val="14"/>
      <color theme="1"/>
      <name val="Calibri"/>
      <family val="2"/>
      <scheme val="minor"/>
    </font>
    <font>
      <i/>
      <sz val="10"/>
      <color theme="1"/>
      <name val="Calibri"/>
      <family val="2"/>
      <scheme val="minor"/>
    </font>
    <font>
      <b/>
      <sz val="10"/>
      <color theme="0"/>
      <name val="Calibri"/>
      <family val="2"/>
      <scheme val="minor"/>
    </font>
    <font>
      <b/>
      <sz val="10"/>
      <name val="Calibri"/>
      <family val="2"/>
      <scheme val="minor"/>
    </font>
    <font>
      <b/>
      <sz val="10"/>
      <color theme="0" tint="-4.9989318521683403E-2"/>
      <name val="Calibri"/>
      <family val="2"/>
      <scheme val="minor"/>
    </font>
    <font>
      <sz val="10"/>
      <color rgb="FF000000"/>
      <name val="Calibri"/>
      <family val="2"/>
      <scheme val="minor"/>
    </font>
    <font>
      <sz val="10"/>
      <color theme="3" tint="0.39997558519241921"/>
      <name val="Calibri"/>
      <family val="2"/>
      <scheme val="minor"/>
    </font>
    <font>
      <b/>
      <i/>
      <sz val="10"/>
      <color theme="1"/>
      <name val="Calibri"/>
      <family val="2"/>
      <scheme val="minor"/>
    </font>
    <font>
      <sz val="12"/>
      <color theme="1"/>
      <name val="Calibri"/>
      <family val="2"/>
    </font>
    <font>
      <b/>
      <sz val="10"/>
      <color indexed="12"/>
      <name val="Calibri"/>
      <family val="2"/>
    </font>
    <font>
      <b/>
      <u/>
      <sz val="10"/>
      <color indexed="8"/>
      <name val="Calibri"/>
      <family val="2"/>
    </font>
    <font>
      <sz val="10"/>
      <color theme="0"/>
      <name val="Calibri"/>
      <family val="2"/>
    </font>
    <font>
      <i/>
      <sz val="10"/>
      <color theme="0" tint="-4.9989318521683403E-2"/>
      <name val="Calibri"/>
      <family val="2"/>
    </font>
    <font>
      <b/>
      <sz val="12"/>
      <color theme="1"/>
      <name val="Calibri"/>
      <family val="2"/>
    </font>
    <font>
      <sz val="12"/>
      <color indexed="8"/>
      <name val="Calibri"/>
      <family val="2"/>
    </font>
    <font>
      <b/>
      <sz val="16"/>
      <color theme="1"/>
      <name val="Calibri"/>
      <family val="2"/>
    </font>
    <font>
      <b/>
      <sz val="9"/>
      <color indexed="81"/>
      <name val="Tahoma"/>
      <family val="2"/>
    </font>
    <font>
      <sz val="9"/>
      <color indexed="81"/>
      <name val="Tahoma"/>
      <family val="2"/>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theme="1"/>
      <name val="Tahom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b/>
      <sz val="8"/>
      <name val="Calibri"/>
      <family val="2"/>
      <scheme val="minor"/>
    </font>
    <font>
      <sz val="11"/>
      <name val="Calibri"/>
      <family val="2"/>
      <scheme val="minor"/>
    </font>
    <font>
      <b/>
      <sz val="8"/>
      <color indexed="8"/>
      <name val="Calibri"/>
      <family val="2"/>
      <scheme val="minor"/>
    </font>
    <font>
      <b/>
      <sz val="8"/>
      <color rgb="FF000000"/>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indexed="30"/>
      <name val="Calibri"/>
      <family val="2"/>
      <scheme val="minor"/>
    </font>
    <font>
      <sz val="8"/>
      <color indexed="8"/>
      <name val="Calibri"/>
      <family val="2"/>
      <scheme val="minor"/>
    </font>
    <font>
      <sz val="8"/>
      <color rgb="FF0070C0"/>
      <name val="Calibri"/>
      <family val="2"/>
      <scheme val="minor"/>
    </font>
    <font>
      <sz val="9"/>
      <name val="Calibri"/>
      <family val="2"/>
      <scheme val="minor"/>
    </font>
    <font>
      <b/>
      <sz val="9"/>
      <name val="Calibri"/>
      <family val="2"/>
      <scheme val="minor"/>
    </font>
    <font>
      <u/>
      <sz val="9"/>
      <name val="Calibri"/>
      <family val="2"/>
      <scheme val="minor"/>
    </font>
    <font>
      <sz val="9"/>
      <color theme="1"/>
      <name val="Calibri"/>
      <family val="2"/>
      <scheme val="minor"/>
    </font>
    <font>
      <b/>
      <sz val="9"/>
      <color indexed="8"/>
      <name val="Calibri"/>
      <family val="2"/>
      <scheme val="minor"/>
    </font>
    <font>
      <b/>
      <sz val="9"/>
      <color theme="1"/>
      <name val="Calibri"/>
      <family val="2"/>
      <scheme val="minor"/>
    </font>
    <font>
      <b/>
      <sz val="9"/>
      <color rgb="FFFF0000"/>
      <name val="Calibri"/>
      <family val="2"/>
      <scheme val="minor"/>
    </font>
    <font>
      <sz val="9"/>
      <color rgb="FFFF0000"/>
      <name val="Calibri"/>
      <family val="2"/>
      <scheme val="minor"/>
    </font>
    <font>
      <sz val="9"/>
      <color theme="0" tint="-0.499984740745262"/>
      <name val="Calibri"/>
      <family val="2"/>
      <scheme val="minor"/>
    </font>
    <font>
      <b/>
      <sz val="14"/>
      <color rgb="FF7030A0"/>
      <name val="Calibri"/>
      <family val="2"/>
    </font>
    <font>
      <b/>
      <sz val="11"/>
      <color rgb="FF7030A0"/>
      <name val="Calibri"/>
      <family val="2"/>
    </font>
    <font>
      <i/>
      <sz val="9"/>
      <name val="Calibri"/>
      <family val="2"/>
    </font>
    <font>
      <sz val="9"/>
      <color theme="3" tint="0.39997558519241921"/>
      <name val="Calibri"/>
      <family val="2"/>
      <scheme val="minor"/>
    </font>
    <font>
      <sz val="11"/>
      <color rgb="FF9C0006"/>
      <name val="Calibri"/>
      <family val="2"/>
    </font>
    <font>
      <b/>
      <sz val="9"/>
      <color indexed="8"/>
      <name val="Calibri"/>
      <family val="2"/>
    </font>
    <font>
      <u/>
      <sz val="11"/>
      <color indexed="12"/>
      <name val="Calibri"/>
      <family val="2"/>
      <charset val="1"/>
    </font>
    <font>
      <sz val="8"/>
      <color theme="1"/>
      <name val="Arial"/>
      <family val="2"/>
    </font>
    <font>
      <sz val="10"/>
      <name val="Verdana"/>
      <family val="2"/>
    </font>
    <font>
      <b/>
      <sz val="12"/>
      <color indexed="30"/>
      <name val="Calibri"/>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sz val="20"/>
      <color rgb="FFFF0000"/>
      <name val="Calibri"/>
      <family val="2"/>
      <scheme val="minor"/>
    </font>
    <font>
      <b/>
      <u/>
      <sz val="14"/>
      <name val="Arial"/>
      <family val="2"/>
    </font>
    <font>
      <sz val="14"/>
      <name val="Arial"/>
      <family val="2"/>
    </font>
    <font>
      <i/>
      <sz val="20"/>
      <color theme="1"/>
      <name val="Calibri"/>
      <family val="2"/>
      <scheme val="minor"/>
    </font>
    <font>
      <b/>
      <sz val="12"/>
      <color indexed="81"/>
      <name val="Tahoma"/>
      <family val="2"/>
    </font>
    <font>
      <sz val="10"/>
      <color indexed="81"/>
      <name val="Tahoma"/>
      <family val="2"/>
    </font>
    <font>
      <sz val="10"/>
      <color theme="1"/>
      <name val="Arial"/>
      <family val="2"/>
    </font>
    <font>
      <b/>
      <sz val="11"/>
      <color rgb="FF000000"/>
      <name val="Times New Roman"/>
      <family val="1"/>
    </font>
    <font>
      <sz val="11"/>
      <color theme="1"/>
      <name val="Times New Roman"/>
      <family val="1"/>
    </font>
    <font>
      <sz val="11"/>
      <color rgb="FF000000"/>
      <name val="Times New Roman"/>
      <family val="1"/>
    </font>
    <font>
      <i/>
      <sz val="9"/>
      <color rgb="FFFF0000"/>
      <name val="Calibri"/>
      <family val="2"/>
      <scheme val="minor"/>
    </font>
    <font>
      <sz val="8"/>
      <name val="Calibri"/>
      <family val="2"/>
    </font>
    <font>
      <b/>
      <sz val="11"/>
      <color rgb="FFFF0000"/>
      <name val="Calibri"/>
      <family val="2"/>
    </font>
    <font>
      <b/>
      <sz val="11"/>
      <color theme="1"/>
      <name val="Calibri"/>
      <family val="2"/>
    </font>
    <font>
      <b/>
      <sz val="10"/>
      <color rgb="FFFF0000"/>
      <name val="Calibri"/>
      <family val="2"/>
    </font>
    <font>
      <i/>
      <sz val="11"/>
      <color theme="1"/>
      <name val="Calibri"/>
      <family val="2"/>
    </font>
    <font>
      <sz val="10"/>
      <color rgb="FFFF0000"/>
      <name val="Calibri"/>
      <family val="2"/>
      <scheme val="minor"/>
    </font>
    <font>
      <b/>
      <sz val="10"/>
      <color rgb="FFFF0000"/>
      <name val="Calibri"/>
      <family val="2"/>
      <scheme val="minor"/>
    </font>
    <font>
      <sz val="11"/>
      <color rgb="FFFF0000"/>
      <name val="Calibri"/>
      <family val="2"/>
    </font>
    <font>
      <sz val="11"/>
      <color rgb="FFFF000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color rgb="FFFF0000"/>
      <name val="Calibri"/>
      <family val="2"/>
      <scheme val="minor"/>
    </font>
  </fonts>
  <fills count="46">
    <fill>
      <patternFill patternType="none"/>
    </fill>
    <fill>
      <patternFill patternType="gray125"/>
    </fill>
    <fill>
      <patternFill patternType="solid">
        <fgColor rgb="FFFFC7CE"/>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indexed="22"/>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FAFEC6"/>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8"/>
        <bgColor indexed="64"/>
      </patternFill>
    </fill>
  </fills>
  <borders count="130">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medium">
        <color indexed="64"/>
      </left>
      <right/>
      <top style="thin">
        <color indexed="58"/>
      </top>
      <bottom style="thin">
        <color indexed="58"/>
      </bottom>
      <diagonal/>
    </border>
    <border>
      <left style="medium">
        <color indexed="64"/>
      </left>
      <right/>
      <top style="thin">
        <color theme="0" tint="-0.14999847407452621"/>
      </top>
      <bottom style="double">
        <color indexed="64"/>
      </bottom>
      <diagonal/>
    </border>
    <border>
      <left/>
      <right/>
      <top style="thin">
        <color theme="0" tint="-0.14999847407452621"/>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ashed">
        <color rgb="FFBFBFBF"/>
      </bottom>
      <diagonal/>
    </border>
    <border>
      <left/>
      <right/>
      <top style="medium">
        <color rgb="FF0096D7"/>
      </top>
      <bottom/>
      <diagonal/>
    </border>
    <border>
      <left/>
      <right/>
      <top/>
      <bottom style="thick">
        <color rgb="FF0096D7"/>
      </bottom>
      <diagonal/>
    </border>
    <border>
      <left/>
      <right/>
      <top/>
      <bottom style="thin">
        <color rgb="FFBFBFB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rgb="FF000000"/>
      </right>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medium">
        <color indexed="64"/>
      </top>
      <bottom style="thin">
        <color indexed="22"/>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22"/>
      </top>
      <bottom style="thin">
        <color indexed="22"/>
      </bottom>
      <diagonal/>
    </border>
    <border>
      <left style="medium">
        <color indexed="64"/>
      </left>
      <right style="medium">
        <color indexed="64"/>
      </right>
      <top style="thin">
        <color indexed="22"/>
      </top>
      <bottom style="thin">
        <color indexed="22"/>
      </bottom>
      <diagonal/>
    </border>
    <border>
      <left/>
      <right style="medium">
        <color indexed="64"/>
      </right>
      <top style="thin">
        <color indexed="22"/>
      </top>
      <bottom/>
      <diagonal/>
    </border>
    <border>
      <left style="thin">
        <color indexed="64"/>
      </left>
      <right style="thin">
        <color indexed="64"/>
      </right>
      <top style="medium">
        <color indexed="64"/>
      </top>
      <bottom style="medium">
        <color indexed="64"/>
      </bottom>
      <diagonal/>
    </border>
    <border>
      <left style="medium">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style="medium">
        <color indexed="64"/>
      </right>
      <top style="thin">
        <color indexed="22"/>
      </top>
      <bottom style="thin">
        <color indexed="64"/>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diagonal/>
    </border>
    <border>
      <left style="medium">
        <color indexed="64"/>
      </left>
      <right style="medium">
        <color indexed="64"/>
      </right>
      <top style="thin">
        <color indexed="22"/>
      </top>
      <bottom/>
      <diagonal/>
    </border>
    <border>
      <left style="medium">
        <color indexed="64"/>
      </left>
      <right/>
      <top/>
      <bottom style="thin">
        <color indexed="22"/>
      </bottom>
      <diagonal/>
    </border>
    <border>
      <left style="medium">
        <color indexed="64"/>
      </left>
      <right/>
      <top style="thin">
        <color indexed="22"/>
      </top>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s>
  <cellStyleXfs count="363">
    <xf numFmtId="0" fontId="0" fillId="0" borderId="0"/>
    <xf numFmtId="9" fontId="5" fillId="0" borderId="0" applyFont="0" applyFill="0" applyBorder="0" applyAlignment="0" applyProtection="0"/>
    <xf numFmtId="0" fontId="6" fillId="0" borderId="0"/>
    <xf numFmtId="9" fontId="8"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9" fontId="20"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10" fillId="0" borderId="0"/>
    <xf numFmtId="0" fontId="50" fillId="0" borderId="0"/>
    <xf numFmtId="0" fontId="50" fillId="0" borderId="0"/>
    <xf numFmtId="0" fontId="50" fillId="0" borderId="0"/>
    <xf numFmtId="0" fontId="50" fillId="0" borderId="0"/>
    <xf numFmtId="0" fontId="50" fillId="0" borderId="0"/>
    <xf numFmtId="9" fontId="50" fillId="0" borderId="0" applyFont="0" applyFill="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59" fillId="21"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8" borderId="0" applyNumberFormat="0" applyBorder="0" applyAlignment="0" applyProtection="0"/>
    <xf numFmtId="0" fontId="60" fillId="12" borderId="0" applyNumberFormat="0" applyBorder="0" applyAlignment="0" applyProtection="0"/>
    <xf numFmtId="0" fontId="61" fillId="29" borderId="73" applyNumberFormat="0" applyAlignment="0" applyProtection="0"/>
    <xf numFmtId="0" fontId="61" fillId="29" borderId="73" applyNumberFormat="0" applyAlignment="0" applyProtection="0"/>
    <xf numFmtId="0" fontId="61" fillId="29" borderId="73" applyNumberFormat="0" applyAlignment="0" applyProtection="0"/>
    <xf numFmtId="0" fontId="62" fillId="30" borderId="74" applyNumberFormat="0" applyAlignment="0" applyProtection="0"/>
    <xf numFmtId="43" fontId="50"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2" fontId="5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10" fillId="0" borderId="0" applyFont="0" applyFill="0" applyBorder="0" applyAlignment="0" applyProtection="0"/>
    <xf numFmtId="44" fontId="50" fillId="0" borderId="0" applyFont="0" applyFill="0" applyBorder="0" applyAlignment="0" applyProtection="0"/>
    <xf numFmtId="44" fontId="5" fillId="0" borderId="0" applyFont="0" applyFill="0" applyBorder="0" applyAlignment="0" applyProtection="0"/>
    <xf numFmtId="44" fontId="5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65" fillId="0" borderId="75" applyNumberFormat="0" applyFill="0" applyAlignment="0" applyProtection="0"/>
    <xf numFmtId="0" fontId="66" fillId="0" borderId="76" applyNumberFormat="0" applyFill="0" applyAlignment="0" applyProtection="0"/>
    <xf numFmtId="0" fontId="67" fillId="0" borderId="77" applyNumberFormat="0" applyFill="0" applyAlignment="0" applyProtection="0"/>
    <xf numFmtId="0" fontId="67" fillId="0" borderId="0" applyNumberFormat="0" applyFill="0" applyBorder="0" applyAlignment="0" applyProtection="0"/>
    <xf numFmtId="0" fontId="68" fillId="16" borderId="73" applyNumberFormat="0" applyAlignment="0" applyProtection="0"/>
    <xf numFmtId="0" fontId="68" fillId="16" borderId="73" applyNumberFormat="0" applyAlignment="0" applyProtection="0"/>
    <xf numFmtId="0" fontId="68" fillId="16" borderId="73" applyNumberFormat="0" applyAlignment="0" applyProtection="0"/>
    <xf numFmtId="0" fontId="69" fillId="0" borderId="78" applyNumberFormat="0" applyFill="0" applyAlignment="0" applyProtection="0"/>
    <xf numFmtId="0" fontId="70" fillId="31" borderId="0" applyNumberFormat="0" applyBorder="0" applyAlignment="0" applyProtection="0"/>
    <xf numFmtId="0" fontId="50" fillId="0" borderId="0"/>
    <xf numFmtId="0" fontId="71" fillId="0" borderId="0"/>
    <xf numFmtId="0" fontId="50" fillId="0" borderId="0"/>
    <xf numFmtId="0" fontId="50" fillId="0" borderId="0"/>
    <xf numFmtId="0" fontId="50" fillId="0" borderId="0"/>
    <xf numFmtId="0" fontId="50" fillId="0" borderId="0"/>
    <xf numFmtId="0" fontId="5" fillId="0" borderId="0"/>
    <xf numFmtId="0" fontId="50" fillId="0" borderId="0"/>
    <xf numFmtId="0" fontId="5" fillId="0" borderId="0"/>
    <xf numFmtId="0" fontId="5" fillId="0" borderId="0"/>
    <xf numFmtId="0" fontId="50" fillId="0" borderId="0"/>
    <xf numFmtId="0" fontId="50" fillId="0" borderId="0"/>
    <xf numFmtId="0" fontId="50" fillId="0" borderId="0"/>
    <xf numFmtId="0" fontId="50" fillId="0" borderId="0"/>
    <xf numFmtId="0" fontId="50" fillId="0" borderId="0"/>
    <xf numFmtId="0" fontId="5"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72" fillId="0" borderId="0"/>
    <xf numFmtId="0" fontId="5" fillId="0" borderId="0"/>
    <xf numFmtId="0" fontId="5" fillId="0" borderId="0"/>
    <xf numFmtId="0" fontId="50" fillId="0" borderId="0"/>
    <xf numFmtId="0" fontId="5" fillId="0" borderId="0"/>
    <xf numFmtId="0" fontId="5" fillId="0" borderId="0"/>
    <xf numFmtId="0" fontId="50" fillId="0" borderId="0"/>
    <xf numFmtId="0" fontId="5" fillId="0" borderId="0"/>
    <xf numFmtId="0" fontId="5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0" fillId="0" borderId="0"/>
    <xf numFmtId="0" fontId="5" fillId="0" borderId="0"/>
    <xf numFmtId="0" fontId="5" fillId="0" borderId="0"/>
    <xf numFmtId="0" fontId="5" fillId="0" borderId="0"/>
    <xf numFmtId="0" fontId="50" fillId="32" borderId="79" applyNumberFormat="0" applyFont="0" applyAlignment="0" applyProtection="0"/>
    <xf numFmtId="0" fontId="50" fillId="32" borderId="79" applyNumberFormat="0" applyFont="0" applyAlignment="0" applyProtection="0"/>
    <xf numFmtId="0" fontId="50" fillId="32" borderId="79" applyNumberFormat="0" applyFont="0" applyAlignment="0" applyProtection="0"/>
    <xf numFmtId="0" fontId="50" fillId="32" borderId="79" applyNumberFormat="0" applyFont="0" applyAlignment="0" applyProtection="0"/>
    <xf numFmtId="0" fontId="73" fillId="29" borderId="80" applyNumberFormat="0" applyAlignment="0" applyProtection="0"/>
    <xf numFmtId="0" fontId="73" fillId="29" borderId="80" applyNumberFormat="0" applyAlignment="0" applyProtection="0"/>
    <xf numFmtId="0" fontId="73" fillId="29" borderId="8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0" fillId="0" borderId="0" applyFont="0" applyFill="0" applyBorder="0" applyAlignment="0" applyProtection="0"/>
    <xf numFmtId="9" fontId="7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8" fontId="35" fillId="33" borderId="35" applyFont="0" applyFill="0" applyAlignment="0">
      <alignment horizontal="left" vertical="center" wrapText="1"/>
    </xf>
    <xf numFmtId="8" fontId="35" fillId="33" borderId="35" applyFont="0" applyFill="0" applyAlignment="0">
      <alignment horizontal="left" vertical="center" wrapText="1"/>
    </xf>
    <xf numFmtId="0" fontId="75" fillId="0" borderId="0" applyNumberFormat="0" applyFill="0" applyBorder="0" applyAlignment="0" applyProtection="0"/>
    <xf numFmtId="0" fontId="76" fillId="0" borderId="81" applyNumberFormat="0" applyFill="0" applyAlignment="0" applyProtection="0"/>
    <xf numFmtId="0" fontId="76" fillId="0" borderId="81" applyNumberFormat="0" applyFill="0" applyAlignment="0" applyProtection="0"/>
    <xf numFmtId="0" fontId="76" fillId="0" borderId="81" applyNumberFormat="0" applyFill="0" applyAlignment="0" applyProtection="0"/>
    <xf numFmtId="0" fontId="77" fillId="0" borderId="0" applyNumberFormat="0" applyFill="0" applyBorder="0" applyAlignment="0" applyProtection="0"/>
    <xf numFmtId="0" fontId="20" fillId="0" borderId="0"/>
    <xf numFmtId="0" fontId="72" fillId="0" borderId="0"/>
    <xf numFmtId="43" fontId="5"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9" fontId="5" fillId="0" borderId="0" applyFont="0" applyFill="0" applyBorder="0" applyAlignment="0" applyProtection="0"/>
    <xf numFmtId="0" fontId="5" fillId="0" borderId="0"/>
    <xf numFmtId="0" fontId="101" fillId="2" borderId="0" applyNumberFormat="0" applyBorder="0" applyAlignment="0" applyProtection="0"/>
    <xf numFmtId="0" fontId="29" fillId="0" borderId="89" applyNumberFormat="0" applyFont="0" applyProtection="0">
      <alignment wrapText="1"/>
    </xf>
    <xf numFmtId="41" fontId="5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4"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29" fillId="0" borderId="0" applyNumberFormat="0" applyFill="0" applyBorder="0" applyAlignment="0" applyProtection="0"/>
    <xf numFmtId="0" fontId="29" fillId="0" borderId="90" applyNumberFormat="0" applyProtection="0">
      <alignment wrapText="1"/>
    </xf>
    <xf numFmtId="0" fontId="102" fillId="0" borderId="91" applyNumberFormat="0" applyProtection="0">
      <alignment wrapText="1"/>
    </xf>
    <xf numFmtId="0" fontId="65" fillId="0" borderId="75" applyNumberFormat="0" applyFill="0" applyAlignment="0" applyProtection="0"/>
    <xf numFmtId="0" fontId="65" fillId="0" borderId="75" applyNumberFormat="0" applyFill="0" applyAlignment="0" applyProtection="0"/>
    <xf numFmtId="0" fontId="66" fillId="0" borderId="76" applyNumberFormat="0" applyFill="0" applyAlignment="0" applyProtection="0"/>
    <xf numFmtId="0" fontId="66" fillId="0" borderId="76" applyNumberFormat="0" applyFill="0" applyAlignment="0" applyProtection="0"/>
    <xf numFmtId="0" fontId="67" fillId="0" borderId="77" applyNumberFormat="0" applyFill="0" applyAlignment="0" applyProtection="0"/>
    <xf numFmtId="0" fontId="67" fillId="0" borderId="77"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03" fillId="0" borderId="0" applyNumberFormat="0" applyFill="0" applyBorder="0" applyAlignment="0" applyProtection="0"/>
    <xf numFmtId="0" fontId="69" fillId="0" borderId="78" applyNumberFormat="0" applyFill="0" applyAlignment="0" applyProtection="0"/>
    <xf numFmtId="0" fontId="69" fillId="0" borderId="78" applyNumberFormat="0" applyFill="0" applyAlignment="0" applyProtection="0"/>
    <xf numFmtId="0" fontId="5" fillId="0" borderId="0"/>
    <xf numFmtId="0" fontId="5" fillId="0" borderId="0"/>
    <xf numFmtId="0" fontId="5" fillId="0" borderId="0"/>
    <xf numFmtId="0" fontId="5" fillId="0" borderId="0"/>
    <xf numFmtId="0" fontId="50" fillId="0" borderId="0"/>
    <xf numFmtId="0" fontId="50" fillId="0" borderId="0"/>
    <xf numFmtId="0" fontId="104" fillId="0" borderId="0"/>
    <xf numFmtId="0" fontId="20" fillId="0" borderId="0"/>
    <xf numFmtId="0" fontId="5" fillId="0" borderId="0"/>
    <xf numFmtId="0" fontId="5" fillId="0" borderId="0"/>
    <xf numFmtId="0" fontId="10" fillId="0" borderId="0"/>
    <xf numFmtId="0" fontId="24" fillId="0" borderId="0"/>
    <xf numFmtId="0" fontId="10" fillId="0" borderId="0"/>
    <xf numFmtId="0" fontId="24" fillId="0" borderId="0"/>
    <xf numFmtId="0" fontId="105" fillId="0" borderId="0"/>
    <xf numFmtId="0" fontId="50" fillId="0" borderId="0"/>
    <xf numFmtId="0" fontId="5" fillId="0" borderId="0"/>
    <xf numFmtId="0" fontId="5" fillId="0" borderId="0"/>
    <xf numFmtId="0" fontId="5" fillId="0" borderId="0"/>
    <xf numFmtId="0" fontId="71"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50"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102" fillId="0" borderId="92" applyNumberFormat="0" applyProtection="0">
      <alignment wrapText="1"/>
    </xf>
    <xf numFmtId="9" fontId="5"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0" fillId="0" borderId="0" applyFont="0" applyFill="0" applyBorder="0" applyAlignment="0" applyProtection="0"/>
    <xf numFmtId="0" fontId="106" fillId="0" borderId="0" applyNumberFormat="0" applyProtection="0">
      <alignment horizontal="left"/>
    </xf>
    <xf numFmtId="0" fontId="75"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4" fontId="10" fillId="0" borderId="0" applyFont="0" applyFill="0" applyBorder="0" applyAlignment="0" applyProtection="0"/>
    <xf numFmtId="0" fontId="4" fillId="0" borderId="0"/>
    <xf numFmtId="9" fontId="4" fillId="0" borderId="0" applyFont="0" applyFill="0" applyBorder="0" applyAlignment="0" applyProtection="0"/>
    <xf numFmtId="3" fontId="50" fillId="0" borderId="0">
      <alignment horizontal="left" vertical="top" wrapText="1"/>
    </xf>
    <xf numFmtId="0" fontId="118" fillId="0" borderId="0">
      <alignment horizontal="left" vertical="center" wrapText="1"/>
    </xf>
    <xf numFmtId="9" fontId="118"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0" fontId="71"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350">
    <xf numFmtId="0" fontId="0" fillId="0" borderId="0" xfId="0"/>
    <xf numFmtId="0" fontId="11" fillId="0" borderId="0" xfId="0" applyFont="1"/>
    <xf numFmtId="0" fontId="11" fillId="0" borderId="0" xfId="0" applyFont="1" applyAlignment="1">
      <alignment horizontal="center"/>
    </xf>
    <xf numFmtId="0" fontId="13" fillId="0" borderId="0" xfId="0" applyFont="1"/>
    <xf numFmtId="0" fontId="14" fillId="0" borderId="0" xfId="0" applyFont="1" applyAlignment="1">
      <alignment horizontal="center" vertical="center"/>
    </xf>
    <xf numFmtId="0" fontId="12" fillId="3" borderId="17" xfId="0" applyFont="1" applyFill="1" applyBorder="1" applyAlignment="1">
      <alignment horizontal="center" wrapText="1"/>
    </xf>
    <xf numFmtId="0" fontId="12" fillId="3" borderId="18"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0" borderId="0" xfId="0" applyFont="1" applyAlignment="1">
      <alignment horizontal="center" vertical="center"/>
    </xf>
    <xf numFmtId="167" fontId="14" fillId="0" borderId="19" xfId="0" applyNumberFormat="1" applyFont="1" applyBorder="1" applyAlignment="1">
      <alignment horizontal="center"/>
    </xf>
    <xf numFmtId="0" fontId="14" fillId="0" borderId="0" xfId="0" applyFont="1" applyAlignment="1">
      <alignment horizontal="center"/>
    </xf>
    <xf numFmtId="0" fontId="14" fillId="0" borderId="1" xfId="0" applyFont="1" applyBorder="1"/>
    <xf numFmtId="0" fontId="14" fillId="0" borderId="3" xfId="0" applyFont="1" applyBorder="1"/>
    <xf numFmtId="3" fontId="14" fillId="0" borderId="13" xfId="0" applyNumberFormat="1" applyFont="1" applyBorder="1" applyAlignment="1">
      <alignment horizontal="center" vertical="center"/>
    </xf>
    <xf numFmtId="3" fontId="14" fillId="0" borderId="0" xfId="0" applyNumberFormat="1" applyFont="1" applyAlignment="1">
      <alignment horizontal="center" vertical="center"/>
    </xf>
    <xf numFmtId="3" fontId="15" fillId="0" borderId="15" xfId="0" applyNumberFormat="1" applyFont="1" applyBorder="1" applyAlignment="1">
      <alignment wrapText="1"/>
    </xf>
    <xf numFmtId="3" fontId="15" fillId="0" borderId="7" xfId="0" applyNumberFormat="1" applyFont="1" applyBorder="1" applyAlignment="1">
      <alignment wrapText="1"/>
    </xf>
    <xf numFmtId="3" fontId="15" fillId="0" borderId="23" xfId="0" applyNumberFormat="1" applyFont="1" applyBorder="1" applyAlignment="1">
      <alignment horizontal="center"/>
    </xf>
    <xf numFmtId="0" fontId="11" fillId="0" borderId="24" xfId="0" applyFont="1" applyBorder="1" applyAlignment="1">
      <alignment horizontal="center"/>
    </xf>
    <xf numFmtId="0" fontId="11" fillId="0" borderId="23" xfId="0" applyFont="1" applyBorder="1" applyAlignment="1">
      <alignment horizontal="center"/>
    </xf>
    <xf numFmtId="0" fontId="14" fillId="0" borderId="11" xfId="0" applyFont="1" applyBorder="1"/>
    <xf numFmtId="10" fontId="12" fillId="0" borderId="25" xfId="1" applyNumberFormat="1" applyFont="1" applyFill="1" applyBorder="1" applyAlignment="1">
      <alignment horizontal="center"/>
    </xf>
    <xf numFmtId="0" fontId="13" fillId="0" borderId="26" xfId="0" applyFont="1" applyBorder="1"/>
    <xf numFmtId="0" fontId="13" fillId="0" borderId="13" xfId="0" applyFont="1" applyBorder="1"/>
    <xf numFmtId="0" fontId="14" fillId="0" borderId="27" xfId="0" applyFont="1" applyBorder="1"/>
    <xf numFmtId="0" fontId="14" fillId="0" borderId="28" xfId="0" applyFont="1" applyBorder="1"/>
    <xf numFmtId="0" fontId="14" fillId="0" borderId="28" xfId="0" applyFont="1" applyBorder="1" applyAlignment="1">
      <alignment horizontal="center"/>
    </xf>
    <xf numFmtId="0" fontId="14" fillId="0" borderId="29" xfId="0" applyFont="1" applyBorder="1" applyAlignment="1">
      <alignment horizontal="center"/>
    </xf>
    <xf numFmtId="0" fontId="11" fillId="0" borderId="27" xfId="0" applyFont="1" applyBorder="1" applyAlignment="1">
      <alignment wrapText="1"/>
    </xf>
    <xf numFmtId="0" fontId="11" fillId="0" borderId="0" xfId="0" applyFont="1" applyAlignment="1">
      <alignment wrapText="1"/>
    </xf>
    <xf numFmtId="3" fontId="11" fillId="4" borderId="30" xfId="0" applyNumberFormat="1" applyFont="1" applyFill="1" applyBorder="1" applyAlignment="1">
      <alignment horizontal="center"/>
    </xf>
    <xf numFmtId="0" fontId="11" fillId="0" borderId="30" xfId="0" applyFont="1" applyBorder="1" applyAlignment="1">
      <alignment horizontal="center"/>
    </xf>
    <xf numFmtId="167" fontId="17" fillId="0" borderId="11" xfId="0" applyNumberFormat="1" applyFont="1" applyBorder="1"/>
    <xf numFmtId="167" fontId="17" fillId="0" borderId="32" xfId="0" applyNumberFormat="1" applyFont="1" applyBorder="1" applyAlignment="1">
      <alignment horizontal="center"/>
    </xf>
    <xf numFmtId="167" fontId="12" fillId="0" borderId="11" xfId="0" applyNumberFormat="1" applyFont="1" applyBorder="1"/>
    <xf numFmtId="167" fontId="12" fillId="0" borderId="0" xfId="0" applyNumberFormat="1" applyFont="1"/>
    <xf numFmtId="0" fontId="14" fillId="0" borderId="13" xfId="0" applyFont="1" applyBorder="1" applyAlignment="1">
      <alignment horizontal="center"/>
    </xf>
    <xf numFmtId="0" fontId="11" fillId="0" borderId="33" xfId="0" applyFont="1" applyBorder="1" applyAlignment="1">
      <alignment vertical="center" wrapText="1"/>
    </xf>
    <xf numFmtId="0" fontId="11" fillId="0" borderId="34" xfId="0" applyFont="1" applyBorder="1" applyAlignment="1">
      <alignment vertical="center" wrapText="1"/>
    </xf>
    <xf numFmtId="3" fontId="11" fillId="4" borderId="35" xfId="0" applyNumberFormat="1" applyFont="1" applyFill="1" applyBorder="1" applyAlignment="1">
      <alignment horizontal="center" vertical="center"/>
    </xf>
    <xf numFmtId="0" fontId="16" fillId="0" borderId="36"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horizontal="center" vertical="center"/>
    </xf>
    <xf numFmtId="167" fontId="17" fillId="0" borderId="0" xfId="0" applyNumberFormat="1" applyFont="1"/>
    <xf numFmtId="42" fontId="18" fillId="0" borderId="0" xfId="0" applyNumberFormat="1" applyFont="1"/>
    <xf numFmtId="4" fontId="19" fillId="0" borderId="0" xfId="0" applyNumberFormat="1" applyFont="1" applyAlignment="1">
      <alignment horizontal="center"/>
    </xf>
    <xf numFmtId="42" fontId="13" fillId="0" borderId="13" xfId="0" applyNumberFormat="1" applyFont="1" applyBorder="1"/>
    <xf numFmtId="42" fontId="13" fillId="0" borderId="0" xfId="0" applyNumberFormat="1" applyFont="1"/>
    <xf numFmtId="0" fontId="11" fillId="0" borderId="33" xfId="0" applyFont="1" applyBorder="1" applyAlignment="1">
      <alignment wrapText="1"/>
    </xf>
    <xf numFmtId="0" fontId="11" fillId="0" borderId="34" xfId="0" applyFont="1" applyBorder="1" applyAlignment="1">
      <alignment wrapText="1"/>
    </xf>
    <xf numFmtId="3" fontId="11" fillId="4" borderId="35" xfId="0" applyNumberFormat="1" applyFont="1" applyFill="1" applyBorder="1" applyAlignment="1">
      <alignment horizontal="center"/>
    </xf>
    <xf numFmtId="0" fontId="11" fillId="0" borderId="35" xfId="0" applyFont="1" applyBorder="1" applyAlignment="1">
      <alignment horizontal="center"/>
    </xf>
    <xf numFmtId="167" fontId="17" fillId="0" borderId="27" xfId="0" applyNumberFormat="1" applyFont="1" applyBorder="1"/>
    <xf numFmtId="167" fontId="17" fillId="0" borderId="37" xfId="0" applyNumberFormat="1" applyFont="1" applyBorder="1" applyAlignment="1">
      <alignment horizontal="center"/>
    </xf>
    <xf numFmtId="0" fontId="13" fillId="0" borderId="28" xfId="0" applyFont="1" applyBorder="1"/>
    <xf numFmtId="0" fontId="13" fillId="0" borderId="29" xfId="0" applyFont="1" applyBorder="1"/>
    <xf numFmtId="0" fontId="11" fillId="4" borderId="33" xfId="5" applyFont="1" applyFill="1" applyBorder="1"/>
    <xf numFmtId="0" fontId="11" fillId="4" borderId="34" xfId="5" applyFont="1" applyFill="1" applyBorder="1"/>
    <xf numFmtId="4" fontId="11" fillId="4" borderId="36" xfId="0" applyNumberFormat="1" applyFont="1" applyFill="1" applyBorder="1" applyAlignment="1">
      <alignment horizontal="center"/>
    </xf>
    <xf numFmtId="0" fontId="12" fillId="0" borderId="11" xfId="0" applyFont="1" applyBorder="1" applyAlignment="1">
      <alignment horizontal="center"/>
    </xf>
    <xf numFmtId="0" fontId="12" fillId="0" borderId="32" xfId="0" applyFont="1" applyBorder="1" applyAlignment="1">
      <alignment horizontal="center"/>
    </xf>
    <xf numFmtId="0" fontId="16" fillId="4" borderId="39" xfId="5" applyFont="1" applyFill="1" applyBorder="1" applyAlignment="1">
      <alignment vertical="center" wrapText="1"/>
    </xf>
    <xf numFmtId="0" fontId="16" fillId="4" borderId="8" xfId="5" applyFont="1" applyFill="1" applyBorder="1" applyAlignment="1">
      <alignment vertical="center" wrapText="1"/>
    </xf>
    <xf numFmtId="3" fontId="11" fillId="4" borderId="40" xfId="0" applyNumberFormat="1" applyFont="1" applyFill="1" applyBorder="1" applyAlignment="1">
      <alignment horizontal="center"/>
    </xf>
    <xf numFmtId="4" fontId="11" fillId="4" borderId="41" xfId="0" applyNumberFormat="1" applyFont="1" applyFill="1" applyBorder="1" applyAlignment="1">
      <alignment horizontal="center"/>
    </xf>
    <xf numFmtId="0" fontId="11" fillId="0" borderId="42" xfId="0" applyFont="1" applyBorder="1" applyAlignment="1">
      <alignment horizontal="center"/>
    </xf>
    <xf numFmtId="0" fontId="12" fillId="0" borderId="32" xfId="0" quotePrefix="1" applyFont="1" applyBorder="1" applyAlignment="1">
      <alignment horizontal="center"/>
    </xf>
    <xf numFmtId="0" fontId="14" fillId="0" borderId="33" xfId="0" applyFont="1" applyBorder="1"/>
    <xf numFmtId="0" fontId="14" fillId="0" borderId="34" xfId="0" applyFont="1" applyBorder="1"/>
    <xf numFmtId="4" fontId="14" fillId="0" borderId="34" xfId="0" applyNumberFormat="1" applyFont="1" applyBorder="1" applyAlignment="1">
      <alignment horizontal="center"/>
    </xf>
    <xf numFmtId="42" fontId="14" fillId="0" borderId="43" xfId="0" applyNumberFormat="1" applyFont="1" applyBorder="1"/>
    <xf numFmtId="0" fontId="15" fillId="0" borderId="15" xfId="0" applyFont="1" applyBorder="1" applyAlignment="1">
      <alignment wrapText="1"/>
    </xf>
    <xf numFmtId="0" fontId="15" fillId="0" borderId="7" xfId="0" applyFont="1" applyBorder="1" applyAlignment="1">
      <alignment wrapText="1"/>
    </xf>
    <xf numFmtId="2" fontId="17" fillId="0" borderId="32" xfId="0" applyNumberFormat="1" applyFont="1" applyBorder="1" applyAlignment="1">
      <alignment horizontal="center"/>
    </xf>
    <xf numFmtId="0" fontId="13" fillId="0" borderId="0" xfId="0" applyFont="1" applyAlignment="1">
      <alignment horizontal="center"/>
    </xf>
    <xf numFmtId="42" fontId="14" fillId="0" borderId="0" xfId="0" applyNumberFormat="1" applyFont="1"/>
    <xf numFmtId="0" fontId="15" fillId="0" borderId="27" xfId="0" applyFont="1" applyBorder="1" applyAlignment="1">
      <alignment wrapText="1"/>
    </xf>
    <xf numFmtId="0" fontId="15" fillId="0" borderId="0" xfId="0" applyFont="1" applyAlignment="1">
      <alignment wrapText="1"/>
    </xf>
    <xf numFmtId="3" fontId="15" fillId="0" borderId="30" xfId="0" applyNumberFormat="1" applyFont="1" applyBorder="1" applyAlignment="1">
      <alignment horizontal="center"/>
    </xf>
    <xf numFmtId="168" fontId="11" fillId="0" borderId="0" xfId="0" applyNumberFormat="1" applyFont="1"/>
    <xf numFmtId="0" fontId="13" fillId="0" borderId="11" xfId="0" applyFont="1" applyBorder="1"/>
    <xf numFmtId="0" fontId="14" fillId="0" borderId="0" xfId="0" applyFont="1"/>
    <xf numFmtId="10" fontId="14" fillId="0" borderId="0" xfId="0" applyNumberFormat="1" applyFont="1"/>
    <xf numFmtId="169" fontId="13" fillId="0" borderId="13" xfId="0" applyNumberFormat="1" applyFont="1" applyBorder="1"/>
    <xf numFmtId="0" fontId="11" fillId="0" borderId="11" xfId="0" applyFont="1" applyBorder="1" applyAlignment="1">
      <alignment wrapText="1"/>
    </xf>
    <xf numFmtId="0" fontId="11" fillId="0" borderId="8" xfId="0" applyFont="1" applyBorder="1" applyAlignment="1">
      <alignment wrapText="1"/>
    </xf>
    <xf numFmtId="4" fontId="11" fillId="0" borderId="44" xfId="0" applyNumberFormat="1" applyFont="1" applyBorder="1" applyAlignment="1">
      <alignment horizontal="center"/>
    </xf>
    <xf numFmtId="10" fontId="18" fillId="0" borderId="0" xfId="0" applyNumberFormat="1" applyFont="1"/>
    <xf numFmtId="2" fontId="17" fillId="0" borderId="37" xfId="0" applyNumberFormat="1" applyFont="1" applyBorder="1" applyAlignment="1">
      <alignment horizontal="center"/>
    </xf>
    <xf numFmtId="44" fontId="14" fillId="0" borderId="34" xfId="0" applyNumberFormat="1" applyFont="1" applyBorder="1" applyAlignment="1">
      <alignment horizontal="center"/>
    </xf>
    <xf numFmtId="3" fontId="15" fillId="0" borderId="0" xfId="0" applyNumberFormat="1" applyFont="1" applyAlignment="1">
      <alignment horizontal="center"/>
    </xf>
    <xf numFmtId="0" fontId="14" fillId="0" borderId="11" xfId="0" applyFont="1" applyBorder="1" applyAlignment="1">
      <alignment horizontal="center"/>
    </xf>
    <xf numFmtId="0" fontId="12" fillId="0" borderId="26" xfId="0" applyFont="1" applyBorder="1" applyAlignment="1">
      <alignment horizontal="center"/>
    </xf>
    <xf numFmtId="0" fontId="13" fillId="0" borderId="45" xfId="0" applyFont="1" applyBorder="1"/>
    <xf numFmtId="0" fontId="17" fillId="0" borderId="11" xfId="0" applyFont="1" applyBorder="1"/>
    <xf numFmtId="10" fontId="17" fillId="0" borderId="26" xfId="0" applyNumberFormat="1" applyFont="1" applyBorder="1" applyAlignment="1">
      <alignment horizontal="center"/>
    </xf>
    <xf numFmtId="169" fontId="13" fillId="0" borderId="0" xfId="0" applyNumberFormat="1" applyFont="1" applyAlignment="1">
      <alignment horizontal="center"/>
    </xf>
    <xf numFmtId="0" fontId="15" fillId="0" borderId="1" xfId="0" applyFont="1" applyBorder="1"/>
    <xf numFmtId="0" fontId="15" fillId="0" borderId="3" xfId="0" applyFont="1" applyBorder="1"/>
    <xf numFmtId="0" fontId="11" fillId="0" borderId="3" xfId="0" applyFont="1" applyBorder="1"/>
    <xf numFmtId="0" fontId="15" fillId="0" borderId="18" xfId="0" applyFont="1" applyBorder="1" applyAlignment="1">
      <alignment horizontal="center"/>
    </xf>
    <xf numFmtId="0" fontId="13" fillId="0" borderId="11" xfId="5" applyFont="1" applyBorder="1"/>
    <xf numFmtId="167" fontId="17" fillId="0" borderId="26" xfId="0" applyNumberFormat="1" applyFont="1" applyBorder="1" applyAlignment="1">
      <alignment horizontal="center"/>
    </xf>
    <xf numFmtId="0" fontId="13" fillId="0" borderId="0" xfId="0" applyFont="1" applyAlignment="1">
      <alignment horizontal="right"/>
    </xf>
    <xf numFmtId="9" fontId="13" fillId="0" borderId="0" xfId="0" applyNumberFormat="1" applyFont="1" applyAlignment="1">
      <alignment horizontal="right"/>
    </xf>
    <xf numFmtId="169" fontId="13" fillId="0" borderId="0" xfId="0" applyNumberFormat="1" applyFont="1"/>
    <xf numFmtId="166" fontId="14" fillId="0" borderId="47" xfId="0" applyNumberFormat="1" applyFont="1" applyBorder="1"/>
    <xf numFmtId="165" fontId="14" fillId="0" borderId="47" xfId="0" applyNumberFormat="1" applyFont="1" applyBorder="1" applyAlignment="1">
      <alignment horizontal="center"/>
    </xf>
    <xf numFmtId="0" fontId="14" fillId="0" borderId="47" xfId="0" applyFont="1" applyBorder="1"/>
    <xf numFmtId="165" fontId="14" fillId="5" borderId="30" xfId="0" applyNumberFormat="1" applyFont="1" applyFill="1" applyBorder="1" applyAlignment="1">
      <alignment horizontal="center"/>
    </xf>
    <xf numFmtId="165" fontId="11" fillId="0" borderId="0" xfId="0" applyNumberFormat="1" applyFont="1"/>
    <xf numFmtId="165" fontId="14" fillId="5" borderId="35" xfId="0" applyNumberFormat="1" applyFont="1" applyFill="1" applyBorder="1" applyAlignment="1">
      <alignment horizontal="center"/>
    </xf>
    <xf numFmtId="0" fontId="14" fillId="0" borderId="50" xfId="0" applyFont="1" applyBorder="1"/>
    <xf numFmtId="165" fontId="14" fillId="0" borderId="50" xfId="0" applyNumberFormat="1" applyFont="1" applyBorder="1" applyAlignment="1">
      <alignment horizontal="center"/>
    </xf>
    <xf numFmtId="165" fontId="14" fillId="5" borderId="42" xfId="0" applyNumberFormat="1" applyFont="1" applyFill="1" applyBorder="1" applyAlignment="1">
      <alignment horizontal="center"/>
    </xf>
    <xf numFmtId="49" fontId="16" fillId="0" borderId="26" xfId="6" applyNumberFormat="1" applyFont="1" applyBorder="1"/>
    <xf numFmtId="0" fontId="14" fillId="0" borderId="34" xfId="0" applyFont="1" applyBorder="1" applyAlignment="1">
      <alignment horizontal="center"/>
    </xf>
    <xf numFmtId="0" fontId="17" fillId="0" borderId="27" xfId="0" applyFont="1" applyBorder="1"/>
    <xf numFmtId="10" fontId="17" fillId="0" borderId="38" xfId="0" applyNumberFormat="1" applyFont="1" applyBorder="1" applyAlignment="1">
      <alignment horizontal="center"/>
    </xf>
    <xf numFmtId="0" fontId="17" fillId="0" borderId="38" xfId="0" applyFont="1" applyBorder="1"/>
    <xf numFmtId="0" fontId="17" fillId="0" borderId="28" xfId="0" applyFont="1" applyBorder="1"/>
    <xf numFmtId="0" fontId="17" fillId="0" borderId="51" xfId="0" applyFont="1" applyBorder="1"/>
    <xf numFmtId="0" fontId="17" fillId="0" borderId="52" xfId="0" applyFont="1" applyBorder="1"/>
    <xf numFmtId="10" fontId="17" fillId="0" borderId="52" xfId="0" applyNumberFormat="1" applyFont="1" applyBorder="1"/>
    <xf numFmtId="0" fontId="17" fillId="0" borderId="52" xfId="0" applyFont="1" applyBorder="1" applyAlignment="1">
      <alignment horizontal="center"/>
    </xf>
    <xf numFmtId="42" fontId="17" fillId="0" borderId="53" xfId="0" applyNumberFormat="1" applyFont="1" applyBorder="1"/>
    <xf numFmtId="166" fontId="13" fillId="0" borderId="0" xfId="0" applyNumberFormat="1" applyFont="1"/>
    <xf numFmtId="165" fontId="13" fillId="0" borderId="0" xfId="0" applyNumberFormat="1" applyFont="1" applyAlignment="1">
      <alignment horizontal="center"/>
    </xf>
    <xf numFmtId="0" fontId="17" fillId="0" borderId="48" xfId="0" applyFont="1" applyBorder="1"/>
    <xf numFmtId="10" fontId="21" fillId="0" borderId="50" xfId="7" applyNumberFormat="1" applyFont="1" applyFill="1" applyBorder="1" applyAlignment="1">
      <alignment horizontal="center"/>
    </xf>
    <xf numFmtId="0" fontId="13" fillId="0" borderId="54" xfId="0" applyFont="1" applyBorder="1"/>
    <xf numFmtId="0" fontId="13" fillId="0" borderId="8" xfId="0" applyFont="1" applyBorder="1"/>
    <xf numFmtId="0" fontId="13" fillId="0" borderId="55" xfId="0" applyFont="1" applyBorder="1"/>
    <xf numFmtId="0" fontId="14" fillId="0" borderId="56" xfId="0" applyFont="1" applyBorder="1"/>
    <xf numFmtId="0" fontId="14" fillId="0" borderId="57" xfId="0" applyFont="1" applyBorder="1"/>
    <xf numFmtId="0" fontId="13" fillId="0" borderId="57" xfId="0" applyFont="1" applyBorder="1"/>
    <xf numFmtId="0" fontId="13" fillId="0" borderId="57" xfId="0" applyFont="1" applyBorder="1" applyAlignment="1">
      <alignment horizontal="center"/>
    </xf>
    <xf numFmtId="42" fontId="14" fillId="0" borderId="58" xfId="0" applyNumberFormat="1" applyFont="1" applyBorder="1"/>
    <xf numFmtId="169" fontId="22" fillId="0" borderId="0" xfId="0" applyNumberFormat="1" applyFont="1"/>
    <xf numFmtId="0" fontId="13" fillId="0" borderId="19" xfId="0" applyFont="1" applyBorder="1"/>
    <xf numFmtId="0" fontId="13" fillId="0" borderId="2" xfId="0" applyFont="1" applyBorder="1"/>
    <xf numFmtId="0" fontId="13" fillId="0" borderId="2" xfId="0" applyFont="1" applyBorder="1" applyAlignment="1">
      <alignment horizontal="center"/>
    </xf>
    <xf numFmtId="0" fontId="13" fillId="0" borderId="22" xfId="0" applyFont="1" applyBorder="1"/>
    <xf numFmtId="10" fontId="23" fillId="0" borderId="0" xfId="7" applyNumberFormat="1" applyFont="1" applyFill="1" applyBorder="1" applyAlignment="1">
      <alignment horizontal="center"/>
    </xf>
    <xf numFmtId="0" fontId="23" fillId="0" borderId="0" xfId="0" applyFont="1"/>
    <xf numFmtId="166" fontId="13" fillId="0" borderId="33" xfId="0" applyNumberFormat="1" applyFont="1" applyBorder="1"/>
    <xf numFmtId="166" fontId="13" fillId="0" borderId="34" xfId="0" applyNumberFormat="1" applyFont="1" applyBorder="1"/>
    <xf numFmtId="166" fontId="13" fillId="0" borderId="34" xfId="0" applyNumberFormat="1" applyFont="1" applyBorder="1" applyAlignment="1">
      <alignment horizontal="center"/>
    </xf>
    <xf numFmtId="166" fontId="13" fillId="0" borderId="43" xfId="0" applyNumberFormat="1" applyFont="1" applyBorder="1"/>
    <xf numFmtId="0" fontId="17" fillId="0" borderId="0" xfId="0" applyFont="1"/>
    <xf numFmtId="10" fontId="23" fillId="0" borderId="0" xfId="1" applyNumberFormat="1" applyFont="1" applyFill="1" applyAlignment="1">
      <alignment horizontal="center"/>
    </xf>
    <xf numFmtId="10" fontId="19" fillId="0" borderId="0" xfId="0" applyNumberFormat="1" applyFont="1"/>
    <xf numFmtId="169" fontId="13" fillId="0" borderId="13" xfId="8" applyNumberFormat="1" applyFont="1" applyBorder="1"/>
    <xf numFmtId="165" fontId="11" fillId="0" borderId="47" xfId="0" applyNumberFormat="1" applyFont="1" applyBorder="1" applyAlignment="1">
      <alignment horizontal="center"/>
    </xf>
    <xf numFmtId="0" fontId="11" fillId="0" borderId="35" xfId="0" applyFont="1" applyBorder="1"/>
    <xf numFmtId="10" fontId="23" fillId="0" borderId="0" xfId="0" applyNumberFormat="1" applyFont="1" applyAlignment="1">
      <alignment horizontal="center"/>
    </xf>
    <xf numFmtId="0" fontId="13" fillId="0" borderId="27" xfId="0" applyFont="1" applyBorder="1"/>
    <xf numFmtId="9" fontId="13" fillId="0" borderId="28" xfId="0" applyNumberFormat="1" applyFont="1" applyBorder="1"/>
    <xf numFmtId="44" fontId="13" fillId="0" borderId="28" xfId="8" applyFont="1" applyBorder="1" applyAlignment="1">
      <alignment horizontal="center"/>
    </xf>
    <xf numFmtId="44" fontId="14" fillId="5" borderId="29" xfId="8" applyFont="1" applyFill="1" applyBorder="1"/>
    <xf numFmtId="170" fontId="17" fillId="0" borderId="39" xfId="0" applyNumberFormat="1" applyFont="1" applyBorder="1"/>
    <xf numFmtId="170" fontId="17" fillId="0" borderId="12" xfId="0" applyNumberFormat="1" applyFont="1" applyBorder="1"/>
    <xf numFmtId="9" fontId="17" fillId="0" borderId="12" xfId="0" applyNumberFormat="1" applyFont="1" applyBorder="1"/>
    <xf numFmtId="44" fontId="17" fillId="0" borderId="12" xfId="8" applyFont="1" applyFill="1" applyBorder="1" applyAlignment="1">
      <alignment horizontal="center"/>
    </xf>
    <xf numFmtId="44" fontId="17" fillId="0" borderId="59" xfId="8" applyFont="1" applyFill="1" applyBorder="1" applyAlignment="1"/>
    <xf numFmtId="170" fontId="17" fillId="0" borderId="6" xfId="0" applyNumberFormat="1" applyFont="1" applyBorder="1"/>
    <xf numFmtId="170" fontId="17" fillId="0" borderId="7" xfId="0" applyNumberFormat="1" applyFont="1" applyBorder="1"/>
    <xf numFmtId="9" fontId="17" fillId="0" borderId="7" xfId="0" applyNumberFormat="1" applyFont="1" applyBorder="1"/>
    <xf numFmtId="44" fontId="17" fillId="0" borderId="7" xfId="8" applyFont="1" applyBorder="1" applyAlignment="1">
      <alignment horizontal="center"/>
    </xf>
    <xf numFmtId="44" fontId="17" fillId="0" borderId="9" xfId="8" applyFont="1" applyBorder="1" applyAlignment="1"/>
    <xf numFmtId="169" fontId="13" fillId="0" borderId="0" xfId="8" applyNumberFormat="1" applyFont="1" applyFill="1" applyBorder="1"/>
    <xf numFmtId="166" fontId="13" fillId="0" borderId="48" xfId="0" applyNumberFormat="1" applyFont="1" applyBorder="1"/>
    <xf numFmtId="166" fontId="13" fillId="0" borderId="8" xfId="0" applyNumberFormat="1" applyFont="1" applyBorder="1"/>
    <xf numFmtId="165" fontId="11" fillId="0" borderId="50" xfId="0" applyNumberFormat="1" applyFont="1" applyBorder="1" applyAlignment="1">
      <alignment horizontal="center"/>
    </xf>
    <xf numFmtId="0" fontId="11" fillId="0" borderId="42" xfId="0" applyFont="1" applyBorder="1"/>
    <xf numFmtId="10" fontId="11" fillId="0" borderId="0" xfId="1" applyNumberFormat="1" applyFont="1"/>
    <xf numFmtId="44" fontId="14" fillId="0" borderId="0" xfId="8" applyFont="1" applyFill="1" applyBorder="1"/>
    <xf numFmtId="44" fontId="17" fillId="0" borderId="0" xfId="8" applyFont="1" applyFill="1" applyBorder="1" applyAlignment="1"/>
    <xf numFmtId="165" fontId="13" fillId="0" borderId="0" xfId="0" applyNumberFormat="1" applyFont="1"/>
    <xf numFmtId="44" fontId="11" fillId="0" borderId="0" xfId="0" applyNumberFormat="1" applyFont="1"/>
    <xf numFmtId="0" fontId="15" fillId="0" borderId="0" xfId="0" applyFont="1"/>
    <xf numFmtId="0" fontId="25" fillId="0" borderId="0" xfId="0" applyFont="1"/>
    <xf numFmtId="0" fontId="25" fillId="0" borderId="19" xfId="0" applyFont="1" applyBorder="1"/>
    <xf numFmtId="0" fontId="25" fillId="0" borderId="2" xfId="0" applyFont="1" applyBorder="1"/>
    <xf numFmtId="3" fontId="25" fillId="0" borderId="22" xfId="0" applyNumberFormat="1" applyFont="1" applyBorder="1"/>
    <xf numFmtId="0" fontId="26" fillId="0" borderId="18" xfId="0" applyFont="1" applyBorder="1" applyAlignment="1">
      <alignment horizontal="center"/>
    </xf>
    <xf numFmtId="0" fontId="25" fillId="0" borderId="27" xfId="0" applyFont="1" applyBorder="1"/>
    <xf numFmtId="0" fontId="25" fillId="0" borderId="28" xfId="0" applyFont="1" applyBorder="1"/>
    <xf numFmtId="0" fontId="25" fillId="0" borderId="28" xfId="0" applyFont="1" applyBorder="1" applyAlignment="1">
      <alignment horizontal="center"/>
    </xf>
    <xf numFmtId="0" fontId="25" fillId="0" borderId="29" xfId="0" applyFont="1" applyBorder="1"/>
    <xf numFmtId="0" fontId="25" fillId="0" borderId="11" xfId="0" applyFont="1" applyBorder="1"/>
    <xf numFmtId="169" fontId="25" fillId="0" borderId="60" xfId="9" applyNumberFormat="1" applyFont="1" applyFill="1" applyBorder="1"/>
    <xf numFmtId="169" fontId="25" fillId="0" borderId="0" xfId="0" applyNumberFormat="1" applyFont="1"/>
    <xf numFmtId="2" fontId="25" fillId="0" borderId="0" xfId="0" applyNumberFormat="1" applyFont="1" applyAlignment="1">
      <alignment horizontal="center"/>
    </xf>
    <xf numFmtId="169" fontId="25" fillId="0" borderId="43" xfId="0" applyNumberFormat="1" applyFont="1" applyBorder="1"/>
    <xf numFmtId="10" fontId="25" fillId="0" borderId="32" xfId="10" applyNumberFormat="1" applyFont="1" applyFill="1" applyBorder="1"/>
    <xf numFmtId="49" fontId="16" fillId="0" borderId="13" xfId="6" applyNumberFormat="1" applyFont="1" applyBorder="1"/>
    <xf numFmtId="0" fontId="25" fillId="0" borderId="6" xfId="0" applyFont="1" applyBorder="1"/>
    <xf numFmtId="0" fontId="25" fillId="0" borderId="7" xfId="0" applyFont="1" applyBorder="1"/>
    <xf numFmtId="169" fontId="25" fillId="0" borderId="9" xfId="0" applyNumberFormat="1" applyFont="1" applyBorder="1"/>
    <xf numFmtId="169" fontId="25" fillId="0" borderId="32" xfId="9" applyNumberFormat="1" applyFont="1" applyFill="1" applyBorder="1"/>
    <xf numFmtId="0" fontId="25" fillId="0" borderId="13" xfId="0" applyFont="1" applyBorder="1"/>
    <xf numFmtId="0" fontId="27" fillId="0" borderId="11" xfId="0" applyFont="1" applyBorder="1"/>
    <xf numFmtId="10" fontId="25" fillId="0" borderId="3" xfId="0" applyNumberFormat="1" applyFont="1" applyBorder="1"/>
    <xf numFmtId="0" fontId="25" fillId="0" borderId="3" xfId="0" applyFont="1" applyBorder="1"/>
    <xf numFmtId="169" fontId="25" fillId="0" borderId="4" xfId="0" applyNumberFormat="1" applyFont="1" applyBorder="1"/>
    <xf numFmtId="0" fontId="25" fillId="0" borderId="51" xfId="0" applyFont="1" applyBorder="1"/>
    <xf numFmtId="10" fontId="25" fillId="0" borderId="52" xfId="1" applyNumberFormat="1" applyFont="1" applyBorder="1"/>
    <xf numFmtId="0" fontId="25" fillId="0" borderId="52" xfId="0" applyFont="1" applyBorder="1"/>
    <xf numFmtId="169" fontId="25" fillId="0" borderId="53" xfId="0" applyNumberFormat="1" applyFont="1" applyBorder="1"/>
    <xf numFmtId="10" fontId="17" fillId="0" borderId="32" xfId="1" applyNumberFormat="1" applyFont="1" applyFill="1" applyBorder="1" applyAlignment="1">
      <alignment horizontal="right"/>
    </xf>
    <xf numFmtId="169" fontId="25" fillId="0" borderId="13" xfId="0" applyNumberFormat="1" applyFont="1" applyBorder="1"/>
    <xf numFmtId="0" fontId="28" fillId="0" borderId="11" xfId="0" applyFont="1" applyBorder="1"/>
    <xf numFmtId="10" fontId="25" fillId="0" borderId="32" xfId="1" applyNumberFormat="1" applyFont="1" applyFill="1" applyBorder="1"/>
    <xf numFmtId="0" fontId="17" fillId="0" borderId="13" xfId="0" applyFont="1" applyBorder="1"/>
    <xf numFmtId="9" fontId="25" fillId="0" borderId="0" xfId="1" applyFont="1" applyBorder="1"/>
    <xf numFmtId="10" fontId="25" fillId="0" borderId="61" xfId="10" applyNumberFormat="1" applyFont="1" applyFill="1" applyBorder="1"/>
    <xf numFmtId="49" fontId="16" fillId="0" borderId="9" xfId="6" applyNumberFormat="1" applyFont="1" applyBorder="1"/>
    <xf numFmtId="10" fontId="25" fillId="0" borderId="7" xfId="10" applyNumberFormat="1" applyFont="1" applyFill="1" applyBorder="1"/>
    <xf numFmtId="0" fontId="29" fillId="0" borderId="42" xfId="0" applyFont="1" applyBorder="1"/>
    <xf numFmtId="0" fontId="25" fillId="0" borderId="33" xfId="0" applyFont="1" applyBorder="1"/>
    <xf numFmtId="10" fontId="25" fillId="0" borderId="34" xfId="0" applyNumberFormat="1" applyFont="1" applyBorder="1"/>
    <xf numFmtId="0" fontId="25" fillId="0" borderId="34" xfId="0" applyFont="1" applyBorder="1"/>
    <xf numFmtId="0" fontId="25" fillId="0" borderId="15" xfId="0" applyFont="1" applyBorder="1"/>
    <xf numFmtId="0" fontId="25" fillId="0" borderId="16" xfId="0" applyFont="1" applyBorder="1"/>
    <xf numFmtId="169" fontId="25" fillId="0" borderId="17" xfId="0" applyNumberFormat="1" applyFont="1" applyBorder="1"/>
    <xf numFmtId="10" fontId="25" fillId="0" borderId="0" xfId="0" applyNumberFormat="1" applyFont="1"/>
    <xf numFmtId="0" fontId="30" fillId="0" borderId="0" xfId="0" applyFont="1"/>
    <xf numFmtId="44" fontId="25" fillId="5" borderId="17" xfId="0" applyNumberFormat="1" applyFont="1" applyFill="1" applyBorder="1"/>
    <xf numFmtId="44" fontId="30" fillId="0" borderId="0" xfId="0" applyNumberFormat="1" applyFont="1"/>
    <xf numFmtId="44" fontId="25" fillId="0" borderId="0" xfId="0" applyNumberFormat="1" applyFont="1"/>
    <xf numFmtId="171" fontId="25" fillId="0" borderId="0" xfId="0" applyNumberFormat="1" applyFont="1"/>
    <xf numFmtId="10" fontId="25" fillId="0" borderId="0" xfId="1" applyNumberFormat="1" applyFont="1"/>
    <xf numFmtId="2" fontId="25" fillId="0" borderId="0" xfId="0" applyNumberFormat="1" applyFont="1"/>
    <xf numFmtId="0" fontId="26" fillId="0" borderId="0" xfId="11" applyFont="1"/>
    <xf numFmtId="0" fontId="25" fillId="0" borderId="0" xfId="11" applyFont="1"/>
    <xf numFmtId="0" fontId="25" fillId="0" borderId="0" xfId="11" applyFont="1" applyAlignment="1">
      <alignment horizontal="center"/>
    </xf>
    <xf numFmtId="0" fontId="26" fillId="4" borderId="63" xfId="11" applyFont="1" applyFill="1" applyBorder="1" applyAlignment="1">
      <alignment horizontal="center"/>
    </xf>
    <xf numFmtId="0" fontId="26" fillId="4" borderId="5" xfId="11" applyFont="1" applyFill="1" applyBorder="1" applyAlignment="1">
      <alignment horizontal="center"/>
    </xf>
    <xf numFmtId="10" fontId="25" fillId="0" borderId="0" xfId="1" applyNumberFormat="1" applyFont="1" applyFill="1" applyBorder="1"/>
    <xf numFmtId="0" fontId="26" fillId="4" borderId="26" xfId="11" applyFont="1" applyFill="1" applyBorder="1" applyAlignment="1">
      <alignment horizontal="center"/>
    </xf>
    <xf numFmtId="0" fontId="26" fillId="4" borderId="14" xfId="11" applyFont="1" applyFill="1" applyBorder="1" applyAlignment="1">
      <alignment horizontal="center"/>
    </xf>
    <xf numFmtId="165" fontId="25" fillId="0" borderId="38" xfId="11" applyNumberFormat="1" applyFont="1" applyBorder="1" applyAlignment="1">
      <alignment horizontal="center"/>
    </xf>
    <xf numFmtId="168" fontId="25" fillId="0" borderId="38" xfId="11" applyNumberFormat="1" applyFont="1" applyBorder="1" applyAlignment="1">
      <alignment horizontal="center"/>
    </xf>
    <xf numFmtId="0" fontId="25" fillId="0" borderId="36" xfId="11" applyFont="1" applyBorder="1" applyAlignment="1">
      <alignment horizontal="center"/>
    </xf>
    <xf numFmtId="0" fontId="25" fillId="0" borderId="41" xfId="11" applyFont="1" applyBorder="1" applyAlignment="1">
      <alignment horizontal="center"/>
    </xf>
    <xf numFmtId="165" fontId="25" fillId="0" borderId="54" xfId="11" applyNumberFormat="1" applyFont="1" applyBorder="1" applyAlignment="1">
      <alignment horizontal="center"/>
    </xf>
    <xf numFmtId="168" fontId="25" fillId="0" borderId="54" xfId="11" applyNumberFormat="1" applyFont="1" applyBorder="1" applyAlignment="1">
      <alignment horizontal="center"/>
    </xf>
    <xf numFmtId="10" fontId="32" fillId="0" borderId="0" xfId="1" applyNumberFormat="1" applyFont="1" applyFill="1" applyBorder="1" applyAlignment="1">
      <alignment horizontal="center"/>
    </xf>
    <xf numFmtId="0" fontId="25" fillId="0" borderId="0" xfId="11" applyFont="1" applyAlignment="1">
      <alignment horizontal="right"/>
    </xf>
    <xf numFmtId="10" fontId="25" fillId="0" borderId="0" xfId="11" applyNumberFormat="1" applyFont="1"/>
    <xf numFmtId="165" fontId="25" fillId="0" borderId="0" xfId="11" applyNumberFormat="1" applyFont="1" applyAlignment="1">
      <alignment horizontal="center"/>
    </xf>
    <xf numFmtId="169" fontId="25" fillId="0" borderId="0" xfId="12" applyNumberFormat="1" applyFont="1"/>
    <xf numFmtId="14" fontId="33" fillId="0" borderId="0" xfId="11" applyNumberFormat="1" applyFont="1" applyAlignment="1">
      <alignment horizontal="left"/>
    </xf>
    <xf numFmtId="0" fontId="35" fillId="0" borderId="0" xfId="11" applyFont="1"/>
    <xf numFmtId="0" fontId="34" fillId="7" borderId="24" xfId="11" applyFont="1" applyFill="1" applyBorder="1" applyAlignment="1">
      <alignment horizontal="center" vertical="center" wrapText="1"/>
    </xf>
    <xf numFmtId="0" fontId="36" fillId="7" borderId="66" xfId="11" applyFont="1" applyFill="1" applyBorder="1" applyAlignment="1">
      <alignment horizontal="center" vertical="center" wrapText="1"/>
    </xf>
    <xf numFmtId="0" fontId="34" fillId="7" borderId="18" xfId="11" applyFont="1" applyFill="1" applyBorder="1" applyAlignment="1">
      <alignment horizontal="center" vertical="center" wrapText="1"/>
    </xf>
    <xf numFmtId="0" fontId="34" fillId="7" borderId="18" xfId="11" applyFont="1" applyFill="1" applyBorder="1" applyAlignment="1">
      <alignment horizontal="center" vertical="center"/>
    </xf>
    <xf numFmtId="0" fontId="26" fillId="0" borderId="1" xfId="11" applyFont="1" applyBorder="1"/>
    <xf numFmtId="0" fontId="26" fillId="0" borderId="3" xfId="11" applyFont="1" applyBorder="1"/>
    <xf numFmtId="0" fontId="26" fillId="0" borderId="1" xfId="11" applyFont="1" applyBorder="1" applyAlignment="1">
      <alignment horizontal="right"/>
    </xf>
    <xf numFmtId="37" fontId="26" fillId="0" borderId="4" xfId="11" applyNumberFormat="1" applyFont="1" applyBorder="1" applyAlignment="1">
      <alignment horizontal="center"/>
    </xf>
    <xf numFmtId="3" fontId="26" fillId="0" borderId="24" xfId="11" applyNumberFormat="1" applyFont="1" applyBorder="1" applyAlignment="1">
      <alignment wrapText="1"/>
    </xf>
    <xf numFmtId="3" fontId="26" fillId="0" borderId="23" xfId="11" applyNumberFormat="1" applyFont="1" applyBorder="1" applyAlignment="1">
      <alignment horizontal="center"/>
    </xf>
    <xf numFmtId="0" fontId="26" fillId="0" borderId="24" xfId="11" applyFont="1" applyBorder="1" applyAlignment="1">
      <alignment horizontal="center"/>
    </xf>
    <xf numFmtId="0" fontId="26" fillId="0" borderId="23" xfId="11" applyFont="1" applyBorder="1" applyAlignment="1">
      <alignment horizontal="center"/>
    </xf>
    <xf numFmtId="167" fontId="27" fillId="0" borderId="11" xfId="11" applyNumberFormat="1" applyFont="1" applyBorder="1" applyAlignment="1">
      <alignment horizontal="left"/>
    </xf>
    <xf numFmtId="167" fontId="27" fillId="0" borderId="25" xfId="11" applyNumberFormat="1" applyFont="1" applyBorder="1" applyAlignment="1">
      <alignment horizontal="center"/>
    </xf>
    <xf numFmtId="49" fontId="25" fillId="0" borderId="26" xfId="11" applyNumberFormat="1" applyFont="1" applyBorder="1"/>
    <xf numFmtId="49" fontId="25" fillId="0" borderId="0" xfId="11" applyNumberFormat="1" applyFont="1"/>
    <xf numFmtId="49" fontId="25" fillId="0" borderId="13" xfId="11" applyNumberFormat="1" applyFont="1" applyBorder="1"/>
    <xf numFmtId="10" fontId="11" fillId="0" borderId="0" xfId="1" applyNumberFormat="1" applyFont="1" applyBorder="1"/>
    <xf numFmtId="0" fontId="35" fillId="0" borderId="33" xfId="11" applyFont="1" applyBorder="1" applyAlignment="1">
      <alignment horizontal="center" vertical="center"/>
    </xf>
    <xf numFmtId="0" fontId="35" fillId="0" borderId="34" xfId="11" applyFont="1" applyBorder="1" applyAlignment="1">
      <alignment horizontal="center" vertical="center"/>
    </xf>
    <xf numFmtId="0" fontId="35" fillId="0" borderId="43" xfId="11" applyFont="1" applyBorder="1" applyAlignment="1">
      <alignment horizontal="center" vertical="center"/>
    </xf>
    <xf numFmtId="0" fontId="25" fillId="0" borderId="31" xfId="11" applyFont="1" applyBorder="1" applyAlignment="1">
      <alignment wrapText="1"/>
    </xf>
    <xf numFmtId="0" fontId="25" fillId="0" borderId="30" xfId="11" applyFont="1" applyBorder="1" applyAlignment="1">
      <alignment horizontal="center"/>
    </xf>
    <xf numFmtId="167" fontId="27" fillId="0" borderId="32" xfId="11" applyNumberFormat="1" applyFont="1" applyBorder="1" applyAlignment="1">
      <alignment horizontal="center"/>
    </xf>
    <xf numFmtId="0" fontId="25" fillId="0" borderId="0" xfId="11" applyFont="1" applyAlignment="1">
      <alignment vertical="center"/>
    </xf>
    <xf numFmtId="167" fontId="26" fillId="0" borderId="11" xfId="11" applyNumberFormat="1" applyFont="1" applyBorder="1"/>
    <xf numFmtId="169" fontId="11" fillId="0" borderId="0" xfId="12" applyNumberFormat="1" applyFont="1" applyBorder="1"/>
    <xf numFmtId="39" fontId="25" fillId="0" borderId="0" xfId="11" applyNumberFormat="1" applyFont="1"/>
    <xf numFmtId="169" fontId="11" fillId="0" borderId="13" xfId="12" applyNumberFormat="1" applyFont="1" applyFill="1" applyBorder="1"/>
    <xf numFmtId="0" fontId="25" fillId="0" borderId="36" xfId="11" applyFont="1" applyBorder="1" applyAlignment="1">
      <alignment vertical="center" wrapText="1"/>
    </xf>
    <xf numFmtId="3" fontId="25" fillId="4" borderId="35" xfId="11" applyNumberFormat="1" applyFont="1" applyFill="1" applyBorder="1" applyAlignment="1">
      <alignment horizontal="center" vertical="center"/>
    </xf>
    <xf numFmtId="0" fontId="37" fillId="0" borderId="36" xfId="11" applyFont="1" applyBorder="1" applyAlignment="1">
      <alignment horizontal="center" vertical="center"/>
    </xf>
    <xf numFmtId="0" fontId="25" fillId="0" borderId="35" xfId="11" applyFont="1" applyBorder="1" applyAlignment="1">
      <alignment horizontal="center" vertical="center"/>
    </xf>
    <xf numFmtId="9" fontId="11" fillId="0" borderId="0" xfId="1" applyFont="1" applyBorder="1"/>
    <xf numFmtId="169" fontId="11" fillId="0" borderId="13" xfId="12" applyNumberFormat="1" applyFont="1" applyBorder="1"/>
    <xf numFmtId="0" fontId="25" fillId="0" borderId="36" xfId="11" applyFont="1" applyBorder="1" applyAlignment="1">
      <alignment wrapText="1"/>
    </xf>
    <xf numFmtId="3" fontId="25" fillId="4" borderId="35" xfId="11" applyNumberFormat="1" applyFont="1" applyFill="1" applyBorder="1" applyAlignment="1">
      <alignment horizontal="center"/>
    </xf>
    <xf numFmtId="0" fontId="25" fillId="0" borderId="35" xfId="11" applyFont="1" applyBorder="1" applyAlignment="1">
      <alignment horizontal="center"/>
    </xf>
    <xf numFmtId="0" fontId="25" fillId="0" borderId="11" xfId="11" applyFont="1" applyBorder="1"/>
    <xf numFmtId="167" fontId="27" fillId="0" borderId="27" xfId="11" applyNumberFormat="1" applyFont="1" applyBorder="1" applyAlignment="1">
      <alignment horizontal="left"/>
    </xf>
    <xf numFmtId="167" fontId="27" fillId="0" borderId="37" xfId="11" applyNumberFormat="1" applyFont="1" applyBorder="1" applyAlignment="1">
      <alignment horizontal="center"/>
    </xf>
    <xf numFmtId="49" fontId="25" fillId="0" borderId="28" xfId="11" applyNumberFormat="1" applyFont="1" applyBorder="1"/>
    <xf numFmtId="49" fontId="25" fillId="0" borderId="29" xfId="11" applyNumberFormat="1" applyFont="1" applyBorder="1"/>
    <xf numFmtId="0" fontId="25" fillId="0" borderId="11" xfId="11" applyFont="1" applyBorder="1" applyAlignment="1">
      <alignment horizontal="left"/>
    </xf>
    <xf numFmtId="0" fontId="11" fillId="4" borderId="36" xfId="13" applyFont="1" applyFill="1" applyBorder="1"/>
    <xf numFmtId="4" fontId="25" fillId="4" borderId="36" xfId="11" applyNumberFormat="1" applyFont="1" applyFill="1" applyBorder="1" applyAlignment="1">
      <alignment horizontal="center"/>
    </xf>
    <xf numFmtId="49" fontId="25" fillId="0" borderId="68" xfId="11" applyNumberFormat="1" applyFont="1" applyBorder="1"/>
    <xf numFmtId="49" fontId="25" fillId="0" borderId="34" xfId="11" applyNumberFormat="1" applyFont="1" applyBorder="1"/>
    <xf numFmtId="49" fontId="25" fillId="0" borderId="43" xfId="11" applyNumberFormat="1" applyFont="1" applyBorder="1"/>
    <xf numFmtId="0" fontId="25" fillId="0" borderId="11" xfId="11" applyFont="1" applyBorder="1" applyAlignment="1">
      <alignment horizontal="left" wrapText="1"/>
    </xf>
    <xf numFmtId="0" fontId="37" fillId="4" borderId="69" xfId="13" applyFont="1" applyFill="1" applyBorder="1" applyAlignment="1">
      <alignment vertical="center" wrapText="1"/>
    </xf>
    <xf numFmtId="3" fontId="25" fillId="4" borderId="40" xfId="11" applyNumberFormat="1" applyFont="1" applyFill="1" applyBorder="1" applyAlignment="1">
      <alignment horizontal="center"/>
    </xf>
    <xf numFmtId="4" fontId="25" fillId="4" borderId="41" xfId="11" applyNumberFormat="1" applyFont="1" applyFill="1" applyBorder="1" applyAlignment="1">
      <alignment horizontal="center"/>
    </xf>
    <xf numFmtId="0" fontId="25" fillId="0" borderId="42" xfId="11" applyFont="1" applyBorder="1" applyAlignment="1">
      <alignment horizontal="center"/>
    </xf>
    <xf numFmtId="2" fontId="27" fillId="0" borderId="32" xfId="11" applyNumberFormat="1" applyFont="1" applyBorder="1" applyAlignment="1">
      <alignment horizontal="center"/>
    </xf>
    <xf numFmtId="0" fontId="26" fillId="0" borderId="24" xfId="11" applyFont="1" applyBorder="1" applyAlignment="1">
      <alignment wrapText="1"/>
    </xf>
    <xf numFmtId="0" fontId="26" fillId="0" borderId="31" xfId="11" applyFont="1" applyBorder="1" applyAlignment="1">
      <alignment wrapText="1"/>
    </xf>
    <xf numFmtId="3" fontId="26" fillId="0" borderId="30" xfId="11" applyNumberFormat="1" applyFont="1" applyBorder="1" applyAlignment="1">
      <alignment horizontal="center"/>
    </xf>
    <xf numFmtId="169" fontId="11" fillId="0" borderId="0" xfId="12" applyNumberFormat="1" applyFont="1" applyFill="1" applyBorder="1"/>
    <xf numFmtId="0" fontId="25" fillId="0" borderId="70" xfId="11" applyFont="1" applyBorder="1" applyAlignment="1">
      <alignment wrapText="1"/>
    </xf>
    <xf numFmtId="4" fontId="25" fillId="0" borderId="44" xfId="11" applyNumberFormat="1" applyFont="1" applyBorder="1" applyAlignment="1">
      <alignment horizontal="center"/>
    </xf>
    <xf numFmtId="0" fontId="26" fillId="0" borderId="33" xfId="11" applyFont="1" applyBorder="1"/>
    <xf numFmtId="37" fontId="26" fillId="0" borderId="34" xfId="11" applyNumberFormat="1" applyFont="1" applyBorder="1"/>
    <xf numFmtId="39" fontId="26" fillId="0" borderId="34" xfId="11" applyNumberFormat="1" applyFont="1" applyBorder="1"/>
    <xf numFmtId="169" fontId="26" fillId="0" borderId="43" xfId="12" applyNumberFormat="1" applyFont="1" applyBorder="1"/>
    <xf numFmtId="2" fontId="27" fillId="0" borderId="37" xfId="11" applyNumberFormat="1" applyFont="1" applyBorder="1" applyAlignment="1">
      <alignment horizontal="center"/>
    </xf>
    <xf numFmtId="10" fontId="25" fillId="0" borderId="0" xfId="1" applyNumberFormat="1" applyFont="1" applyBorder="1"/>
    <xf numFmtId="39" fontId="26" fillId="0" borderId="0" xfId="11" applyNumberFormat="1" applyFont="1"/>
    <xf numFmtId="0" fontId="25" fillId="0" borderId="34" xfId="11" applyFont="1" applyBorder="1" applyAlignment="1">
      <alignment horizontal="left"/>
    </xf>
    <xf numFmtId="0" fontId="25" fillId="0" borderId="43" xfId="11" applyFont="1" applyBorder="1" applyAlignment="1">
      <alignment horizontal="left"/>
    </xf>
    <xf numFmtId="0" fontId="25" fillId="0" borderId="56" xfId="11" applyFont="1" applyBorder="1"/>
    <xf numFmtId="10" fontId="25" fillId="0" borderId="57" xfId="11" applyNumberFormat="1" applyFont="1" applyBorder="1"/>
    <xf numFmtId="37" fontId="25" fillId="0" borderId="57" xfId="11" applyNumberFormat="1" applyFont="1" applyBorder="1"/>
    <xf numFmtId="169" fontId="11" fillId="0" borderId="58" xfId="12" applyNumberFormat="1" applyFont="1" applyBorder="1"/>
    <xf numFmtId="0" fontId="27" fillId="0" borderId="11" xfId="11" applyFont="1" applyBorder="1" applyAlignment="1">
      <alignment horizontal="left"/>
    </xf>
    <xf numFmtId="10" fontId="27" fillId="0" borderId="32" xfId="11" applyNumberFormat="1" applyFont="1" applyBorder="1" applyAlignment="1">
      <alignment horizontal="center" vertical="center"/>
    </xf>
    <xf numFmtId="0" fontId="25" fillId="0" borderId="0" xfId="11" applyFont="1" applyAlignment="1">
      <alignment horizontal="left"/>
    </xf>
    <xf numFmtId="0" fontId="25" fillId="0" borderId="13" xfId="11" applyFont="1" applyBorder="1" applyAlignment="1">
      <alignment horizontal="left"/>
    </xf>
    <xf numFmtId="0" fontId="26" fillId="0" borderId="56" xfId="11" applyFont="1" applyBorder="1"/>
    <xf numFmtId="37" fontId="26" fillId="0" borderId="57" xfId="11" applyNumberFormat="1" applyFont="1" applyBorder="1"/>
    <xf numFmtId="169" fontId="26" fillId="0" borderId="58" xfId="12" applyNumberFormat="1" applyFont="1" applyBorder="1"/>
    <xf numFmtId="37" fontId="25" fillId="0" borderId="0" xfId="11" applyNumberFormat="1" applyFont="1"/>
    <xf numFmtId="0" fontId="27" fillId="0" borderId="11" xfId="11" applyFont="1" applyBorder="1"/>
    <xf numFmtId="0" fontId="27" fillId="0" borderId="27" xfId="11" applyFont="1" applyBorder="1"/>
    <xf numFmtId="10" fontId="27" fillId="0" borderId="37" xfId="11" applyNumberFormat="1" applyFont="1" applyBorder="1" applyAlignment="1">
      <alignment horizontal="center" vertical="center"/>
    </xf>
    <xf numFmtId="0" fontId="25" fillId="0" borderId="28" xfId="11" applyFont="1" applyBorder="1" applyAlignment="1">
      <alignment horizontal="left"/>
    </xf>
    <xf numFmtId="0" fontId="25" fillId="0" borderId="29" xfId="11" applyFont="1" applyBorder="1" applyAlignment="1">
      <alignment horizontal="left"/>
    </xf>
    <xf numFmtId="172" fontId="25" fillId="0" borderId="0" xfId="11" applyNumberFormat="1" applyFont="1"/>
    <xf numFmtId="0" fontId="27" fillId="0" borderId="68" xfId="11" applyFont="1" applyBorder="1" applyAlignment="1">
      <alignment horizontal="left"/>
    </xf>
    <xf numFmtId="0" fontId="27" fillId="0" borderId="9" xfId="11" applyFont="1" applyBorder="1" applyAlignment="1">
      <alignment horizontal="left"/>
    </xf>
    <xf numFmtId="0" fontId="30" fillId="0" borderId="48" xfId="11" applyFont="1" applyBorder="1"/>
    <xf numFmtId="10" fontId="30" fillId="0" borderId="50" xfId="7" applyNumberFormat="1" applyFont="1" applyFill="1" applyBorder="1" applyAlignment="1">
      <alignment horizontal="center"/>
    </xf>
    <xf numFmtId="0" fontId="27" fillId="0" borderId="7" xfId="11" applyFont="1" applyBorder="1" applyAlignment="1">
      <alignment horizontal="left"/>
    </xf>
    <xf numFmtId="0" fontId="25" fillId="0" borderId="9" xfId="11" applyFont="1" applyBorder="1" applyAlignment="1">
      <alignment horizontal="left"/>
    </xf>
    <xf numFmtId="0" fontId="30" fillId="0" borderId="0" xfId="11" applyFont="1"/>
    <xf numFmtId="10" fontId="30" fillId="0" borderId="0" xfId="1" applyNumberFormat="1" applyFont="1" applyFill="1" applyBorder="1" applyAlignment="1">
      <alignment horizontal="center"/>
    </xf>
    <xf numFmtId="0" fontId="26" fillId="0" borderId="11" xfId="11" applyFont="1" applyBorder="1"/>
    <xf numFmtId="169" fontId="26" fillId="0" borderId="13" xfId="12" applyNumberFormat="1" applyFont="1" applyBorder="1"/>
    <xf numFmtId="10" fontId="30" fillId="0" borderId="0" xfId="11" applyNumberFormat="1" applyFont="1" applyAlignment="1">
      <alignment horizontal="center"/>
    </xf>
    <xf numFmtId="0" fontId="26" fillId="0" borderId="48" xfId="11" applyFont="1" applyBorder="1"/>
    <xf numFmtId="0" fontId="26" fillId="0" borderId="8" xfId="11" applyFont="1" applyBorder="1"/>
    <xf numFmtId="39" fontId="26" fillId="0" borderId="8" xfId="11" applyNumberFormat="1" applyFont="1" applyBorder="1"/>
    <xf numFmtId="44" fontId="26" fillId="5" borderId="55" xfId="12" applyFont="1" applyFill="1" applyBorder="1"/>
    <xf numFmtId="173" fontId="25" fillId="0" borderId="0" xfId="11" applyNumberFormat="1" applyFont="1"/>
    <xf numFmtId="0" fontId="34" fillId="0" borderId="0" xfId="11" applyFont="1" applyAlignment="1">
      <alignment horizontal="center" vertical="center"/>
    </xf>
    <xf numFmtId="44" fontId="25" fillId="0" borderId="0" xfId="12" applyFont="1"/>
    <xf numFmtId="0" fontId="26" fillId="0" borderId="0" xfId="11" applyFont="1" applyAlignment="1">
      <alignment horizontal="center"/>
    </xf>
    <xf numFmtId="0" fontId="26" fillId="0" borderId="45" xfId="11" applyFont="1" applyBorder="1"/>
    <xf numFmtId="10" fontId="38" fillId="0" borderId="12" xfId="7" applyNumberFormat="1" applyFont="1" applyFill="1" applyBorder="1" applyAlignment="1">
      <alignment horizontal="right"/>
    </xf>
    <xf numFmtId="0" fontId="25" fillId="0" borderId="12" xfId="11" applyFont="1" applyBorder="1" applyAlignment="1">
      <alignment horizontal="left"/>
    </xf>
    <xf numFmtId="0" fontId="25" fillId="0" borderId="71" xfId="11" applyFont="1" applyBorder="1" applyAlignment="1">
      <alignment horizontal="left"/>
    </xf>
    <xf numFmtId="0" fontId="25" fillId="0" borderId="26" xfId="11" applyFont="1" applyBorder="1"/>
    <xf numFmtId="0" fontId="25" fillId="0" borderId="72" xfId="11" applyFont="1" applyBorder="1"/>
    <xf numFmtId="0" fontId="25" fillId="0" borderId="0" xfId="11" applyFont="1" applyAlignment="1">
      <alignment horizontal="center" vertical="center"/>
    </xf>
    <xf numFmtId="0" fontId="25" fillId="0" borderId="38" xfId="11" applyFont="1" applyBorder="1"/>
    <xf numFmtId="0" fontId="25" fillId="0" borderId="28" xfId="11" applyFont="1" applyBorder="1"/>
    <xf numFmtId="0" fontId="25" fillId="0" borderId="67" xfId="11" applyFont="1" applyBorder="1"/>
    <xf numFmtId="0" fontId="26" fillId="0" borderId="0" xfId="11" applyFont="1" applyAlignment="1">
      <alignment horizontal="right"/>
    </xf>
    <xf numFmtId="0" fontId="40" fillId="0" borderId="0" xfId="0" applyFont="1"/>
    <xf numFmtId="0" fontId="17" fillId="0" borderId="0" xfId="0" applyFont="1" applyAlignment="1">
      <alignment horizontal="center"/>
    </xf>
    <xf numFmtId="1" fontId="41" fillId="0" borderId="0" xfId="0" applyNumberFormat="1" applyFont="1" applyAlignment="1">
      <alignment horizontal="right"/>
    </xf>
    <xf numFmtId="167" fontId="14" fillId="0" borderId="2" xfId="0" applyNumberFormat="1" applyFont="1" applyBorder="1" applyAlignment="1">
      <alignment horizontal="center"/>
    </xf>
    <xf numFmtId="0" fontId="14" fillId="0" borderId="3" xfId="0" applyFont="1" applyBorder="1" applyAlignment="1">
      <alignment horizontal="center"/>
    </xf>
    <xf numFmtId="3" fontId="14" fillId="0" borderId="4" xfId="0" applyNumberFormat="1" applyFont="1" applyBorder="1" applyAlignment="1">
      <alignment horizontal="center"/>
    </xf>
    <xf numFmtId="0" fontId="12" fillId="0" borderId="11" xfId="0" applyFont="1" applyBorder="1"/>
    <xf numFmtId="167" fontId="12" fillId="0" borderId="32" xfId="0" applyNumberFormat="1" applyFont="1" applyBorder="1" applyAlignment="1">
      <alignment horizontal="center"/>
    </xf>
    <xf numFmtId="167" fontId="14" fillId="0" borderId="0" xfId="0" applyNumberFormat="1" applyFont="1" applyAlignment="1">
      <alignment horizontal="center"/>
    </xf>
    <xf numFmtId="167" fontId="14" fillId="0" borderId="13" xfId="0" applyNumberFormat="1" applyFont="1" applyBorder="1" applyAlignment="1">
      <alignment horizontal="center"/>
    </xf>
    <xf numFmtId="167" fontId="17" fillId="0" borderId="13" xfId="0" applyNumberFormat="1" applyFont="1" applyBorder="1"/>
    <xf numFmtId="42" fontId="17" fillId="0" borderId="13" xfId="0" applyNumberFormat="1" applyFont="1" applyBorder="1"/>
    <xf numFmtId="167" fontId="17" fillId="0" borderId="28" xfId="0" applyNumberFormat="1" applyFont="1" applyBorder="1"/>
    <xf numFmtId="167" fontId="17" fillId="0" borderId="29" xfId="0" applyNumberFormat="1" applyFont="1" applyBorder="1"/>
    <xf numFmtId="0" fontId="12" fillId="0" borderId="34" xfId="0" quotePrefix="1" applyFont="1" applyBorder="1" applyAlignment="1">
      <alignment horizontal="center"/>
    </xf>
    <xf numFmtId="0" fontId="12" fillId="0" borderId="43" xfId="0" quotePrefix="1" applyFont="1" applyBorder="1" applyAlignment="1">
      <alignment horizontal="center"/>
    </xf>
    <xf numFmtId="0" fontId="12" fillId="0" borderId="0" xfId="0" quotePrefix="1" applyFont="1" applyAlignment="1">
      <alignment horizontal="center"/>
    </xf>
    <xf numFmtId="0" fontId="12" fillId="0" borderId="13" xfId="0" quotePrefix="1" applyFont="1" applyBorder="1" applyAlignment="1">
      <alignment horizontal="center"/>
    </xf>
    <xf numFmtId="0" fontId="12" fillId="0" borderId="34" xfId="0" applyFont="1" applyBorder="1"/>
    <xf numFmtId="4" fontId="12" fillId="0" borderId="34" xfId="0" applyNumberFormat="1" applyFont="1" applyBorder="1" applyAlignment="1">
      <alignment horizontal="center"/>
    </xf>
    <xf numFmtId="42" fontId="12" fillId="0" borderId="43" xfId="0" applyNumberFormat="1" applyFont="1" applyBorder="1"/>
    <xf numFmtId="10" fontId="17" fillId="0" borderId="0" xfId="0" applyNumberFormat="1" applyFont="1"/>
    <xf numFmtId="169" fontId="17" fillId="0" borderId="13" xfId="0" applyNumberFormat="1" applyFont="1" applyBorder="1"/>
    <xf numFmtId="2" fontId="17" fillId="0" borderId="26" xfId="0" applyNumberFormat="1" applyFont="1" applyBorder="1" applyAlignment="1">
      <alignment horizontal="center"/>
    </xf>
    <xf numFmtId="2" fontId="17" fillId="0" borderId="0" xfId="0" applyNumberFormat="1" applyFont="1" applyAlignment="1">
      <alignment horizontal="center"/>
    </xf>
    <xf numFmtId="2" fontId="17" fillId="0" borderId="13" xfId="0" applyNumberFormat="1" applyFont="1" applyBorder="1" applyAlignment="1">
      <alignment horizontal="center"/>
    </xf>
    <xf numFmtId="44" fontId="12" fillId="0" borderId="34" xfId="0" applyNumberFormat="1" applyFont="1" applyBorder="1" applyAlignment="1">
      <alignment horizontal="center"/>
    </xf>
    <xf numFmtId="167" fontId="17" fillId="0" borderId="38" xfId="0" applyNumberFormat="1" applyFont="1" applyBorder="1"/>
    <xf numFmtId="0" fontId="42" fillId="0" borderId="34" xfId="0" applyFont="1" applyBorder="1" applyAlignment="1">
      <alignment horizontal="center"/>
    </xf>
    <xf numFmtId="0" fontId="42" fillId="0" borderId="43" xfId="0" applyFont="1" applyBorder="1" applyAlignment="1">
      <alignment horizontal="center"/>
    </xf>
    <xf numFmtId="10" fontId="17" fillId="0" borderId="25" xfId="0" applyNumberFormat="1" applyFont="1" applyBorder="1" applyAlignment="1">
      <alignment horizontal="center"/>
    </xf>
    <xf numFmtId="10" fontId="17" fillId="0" borderId="13" xfId="0" applyNumberFormat="1" applyFont="1" applyBorder="1"/>
    <xf numFmtId="1" fontId="17" fillId="0" borderId="0" xfId="0" applyNumberFormat="1" applyFont="1"/>
    <xf numFmtId="1" fontId="17" fillId="0" borderId="13" xfId="0" applyNumberFormat="1" applyFont="1" applyBorder="1"/>
    <xf numFmtId="170" fontId="17" fillId="0" borderId="32" xfId="0" applyNumberFormat="1" applyFont="1" applyBorder="1" applyAlignment="1">
      <alignment horizontal="center"/>
    </xf>
    <xf numFmtId="0" fontId="12" fillId="0" borderId="34" xfId="0" applyFont="1" applyBorder="1" applyAlignment="1">
      <alignment horizontal="center"/>
    </xf>
    <xf numFmtId="10" fontId="17" fillId="0" borderId="32" xfId="0" applyNumberFormat="1" applyFont="1" applyBorder="1" applyAlignment="1">
      <alignment horizontal="center"/>
    </xf>
    <xf numFmtId="169" fontId="14" fillId="0" borderId="13" xfId="8" applyNumberFormat="1" applyFont="1" applyBorder="1"/>
    <xf numFmtId="0" fontId="17" fillId="0" borderId="11" xfId="5" applyFont="1" applyBorder="1"/>
    <xf numFmtId="10" fontId="17" fillId="0" borderId="37" xfId="0" applyNumberFormat="1" applyFont="1" applyBorder="1" applyAlignment="1">
      <alignment horizontal="center"/>
    </xf>
    <xf numFmtId="1" fontId="17" fillId="0" borderId="38" xfId="0" applyNumberFormat="1" applyFont="1" applyBorder="1"/>
    <xf numFmtId="1" fontId="17" fillId="0" borderId="28" xfId="0" applyNumberFormat="1" applyFont="1" applyBorder="1"/>
    <xf numFmtId="1" fontId="17" fillId="0" borderId="29" xfId="0" applyNumberFormat="1" applyFont="1" applyBorder="1"/>
    <xf numFmtId="0" fontId="13" fillId="0" borderId="15" xfId="0" applyFont="1" applyBorder="1"/>
    <xf numFmtId="0" fontId="13" fillId="0" borderId="16" xfId="0" applyFont="1" applyBorder="1"/>
    <xf numFmtId="44" fontId="13" fillId="0" borderId="16" xfId="8" applyFont="1" applyBorder="1" applyAlignment="1">
      <alignment horizontal="center"/>
    </xf>
    <xf numFmtId="44" fontId="14" fillId="5" borderId="17" xfId="8" applyFont="1" applyFill="1" applyBorder="1"/>
    <xf numFmtId="0" fontId="43" fillId="0" borderId="48" xfId="0" applyFont="1" applyBorder="1"/>
    <xf numFmtId="10" fontId="43" fillId="0" borderId="61" xfId="7" applyNumberFormat="1" applyFont="1" applyFill="1" applyBorder="1" applyAlignment="1">
      <alignment horizontal="center"/>
    </xf>
    <xf numFmtId="0" fontId="17" fillId="0" borderId="54" xfId="0" applyFont="1" applyBorder="1"/>
    <xf numFmtId="10" fontId="17" fillId="0" borderId="7" xfId="0" applyNumberFormat="1" applyFont="1" applyBorder="1"/>
    <xf numFmtId="10" fontId="17" fillId="0" borderId="9" xfId="0" applyNumberFormat="1" applyFont="1" applyBorder="1"/>
    <xf numFmtId="0" fontId="15" fillId="0" borderId="0" xfId="0" applyFont="1" applyAlignment="1">
      <alignment horizontal="center"/>
    </xf>
    <xf numFmtId="6" fontId="15" fillId="0" borderId="0" xfId="0" applyNumberFormat="1" applyFont="1" applyAlignment="1">
      <alignment horizontal="center"/>
    </xf>
    <xf numFmtId="0" fontId="44" fillId="0" borderId="0" xfId="0" applyFont="1"/>
    <xf numFmtId="10" fontId="44" fillId="0" borderId="0" xfId="1" applyNumberFormat="1" applyFont="1" applyFill="1" applyAlignment="1">
      <alignment horizontal="center"/>
    </xf>
    <xf numFmtId="0" fontId="45" fillId="0" borderId="0" xfId="0" applyFont="1" applyAlignment="1">
      <alignment horizontal="center"/>
    </xf>
    <xf numFmtId="3" fontId="45" fillId="0" borderId="0" xfId="0" applyNumberFormat="1" applyFont="1" applyAlignment="1">
      <alignment horizontal="center"/>
    </xf>
    <xf numFmtId="0" fontId="40" fillId="0" borderId="0" xfId="0" applyFont="1" applyAlignment="1">
      <alignment horizontal="center"/>
    </xf>
    <xf numFmtId="169" fontId="45" fillId="0" borderId="0" xfId="0" applyNumberFormat="1" applyFont="1" applyAlignment="1">
      <alignment horizontal="center"/>
    </xf>
    <xf numFmtId="4" fontId="45" fillId="0" borderId="0" xfId="1" applyNumberFormat="1" applyFont="1" applyBorder="1" applyAlignment="1">
      <alignment horizontal="center"/>
    </xf>
    <xf numFmtId="0" fontId="45" fillId="0" borderId="0" xfId="0" applyFont="1" applyAlignment="1">
      <alignment horizontal="left"/>
    </xf>
    <xf numFmtId="0" fontId="46" fillId="0" borderId="0" xfId="0" applyFont="1"/>
    <xf numFmtId="0" fontId="45" fillId="0" borderId="0" xfId="0" applyFont="1" applyAlignment="1">
      <alignment horizontal="right"/>
    </xf>
    <xf numFmtId="6" fontId="45" fillId="0" borderId="0" xfId="0" applyNumberFormat="1" applyFont="1" applyAlignment="1">
      <alignment horizontal="center"/>
    </xf>
    <xf numFmtId="10" fontId="45" fillId="0" borderId="0" xfId="1" applyNumberFormat="1" applyFont="1" applyBorder="1" applyAlignment="1">
      <alignment horizontal="center"/>
    </xf>
    <xf numFmtId="38" fontId="45" fillId="0" borderId="0" xfId="0" applyNumberFormat="1" applyFont="1" applyAlignment="1">
      <alignment horizontal="center"/>
    </xf>
    <xf numFmtId="0" fontId="47" fillId="0" borderId="0" xfId="0" applyFont="1"/>
    <xf numFmtId="0" fontId="35" fillId="0" borderId="0" xfId="211" applyFont="1"/>
    <xf numFmtId="0" fontId="5" fillId="0" borderId="0" xfId="6"/>
    <xf numFmtId="0" fontId="79" fillId="0" borderId="0" xfId="6" applyFont="1"/>
    <xf numFmtId="0" fontId="78" fillId="34" borderId="19" xfId="11" applyFont="1" applyFill="1" applyBorder="1" applyAlignment="1">
      <alignment horizontal="left" vertical="center"/>
    </xf>
    <xf numFmtId="0" fontId="78" fillId="34" borderId="82" xfId="11" applyFont="1" applyFill="1" applyBorder="1" applyAlignment="1">
      <alignment horizontal="right" vertical="center"/>
    </xf>
    <xf numFmtId="2" fontId="78" fillId="34" borderId="4" xfId="11" applyNumberFormat="1" applyFont="1" applyFill="1" applyBorder="1" applyAlignment="1">
      <alignment horizontal="right" vertical="center"/>
    </xf>
    <xf numFmtId="0" fontId="80" fillId="4" borderId="19" xfId="212" applyFont="1" applyFill="1" applyBorder="1" applyAlignment="1">
      <alignment vertical="center"/>
    </xf>
    <xf numFmtId="3" fontId="80" fillId="4" borderId="22" xfId="212" applyNumberFormat="1" applyFont="1" applyFill="1" applyBorder="1" applyAlignment="1">
      <alignment horizontal="center" vertical="center"/>
    </xf>
    <xf numFmtId="0" fontId="78" fillId="4" borderId="39" xfId="11" applyFont="1" applyFill="1" applyBorder="1" applyAlignment="1">
      <alignment horizontal="left" vertical="center"/>
    </xf>
    <xf numFmtId="3" fontId="78" fillId="4" borderId="25" xfId="11" applyNumberFormat="1" applyFont="1" applyFill="1" applyBorder="1" applyAlignment="1">
      <alignment vertical="center"/>
    </xf>
    <xf numFmtId="3" fontId="78" fillId="4" borderId="40" xfId="11" applyNumberFormat="1" applyFont="1" applyFill="1" applyBorder="1" applyAlignment="1">
      <alignment vertical="center"/>
    </xf>
    <xf numFmtId="0" fontId="80" fillId="4" borderId="27" xfId="212" applyFont="1" applyFill="1" applyBorder="1" applyAlignment="1">
      <alignment vertical="center"/>
    </xf>
    <xf numFmtId="0" fontId="80" fillId="4" borderId="28" xfId="212" applyFont="1" applyFill="1" applyBorder="1" applyAlignment="1">
      <alignment horizontal="right" vertical="center"/>
    </xf>
    <xf numFmtId="0" fontId="80" fillId="4" borderId="29" xfId="212" applyFont="1" applyFill="1" applyBorder="1" applyAlignment="1">
      <alignment horizontal="right" vertical="center"/>
    </xf>
    <xf numFmtId="0" fontId="83" fillId="4" borderId="39" xfId="11" applyFont="1" applyFill="1" applyBorder="1" applyAlignment="1">
      <alignment horizontal="left" vertical="center"/>
    </xf>
    <xf numFmtId="3" fontId="83" fillId="4" borderId="25" xfId="11" applyNumberFormat="1" applyFont="1" applyFill="1" applyBorder="1" applyAlignment="1">
      <alignment vertical="center"/>
    </xf>
    <xf numFmtId="3" fontId="83" fillId="4" borderId="59" xfId="11" applyNumberFormat="1" applyFont="1" applyFill="1" applyBorder="1" applyAlignment="1">
      <alignment vertical="center"/>
    </xf>
    <xf numFmtId="0" fontId="83" fillId="4" borderId="11" xfId="156" applyFont="1" applyFill="1" applyBorder="1" applyAlignment="1">
      <alignment vertical="center"/>
    </xf>
    <xf numFmtId="42" fontId="86" fillId="4" borderId="13" xfId="212" applyNumberFormat="1" applyFont="1" applyFill="1" applyBorder="1" applyAlignment="1">
      <alignment vertical="center"/>
    </xf>
    <xf numFmtId="0" fontId="83" fillId="4" borderId="11" xfId="11" applyFont="1" applyFill="1" applyBorder="1" applyAlignment="1">
      <alignment horizontal="left" vertical="center"/>
    </xf>
    <xf numFmtId="176" fontId="83" fillId="4" borderId="32" xfId="11" applyNumberFormat="1" applyFont="1" applyFill="1" applyBorder="1" applyAlignment="1">
      <alignment vertical="center"/>
    </xf>
    <xf numFmtId="3" fontId="83" fillId="4" borderId="32" xfId="11" applyNumberFormat="1" applyFont="1" applyFill="1" applyBorder="1" applyAlignment="1">
      <alignment vertical="center"/>
    </xf>
    <xf numFmtId="3" fontId="83" fillId="4" borderId="13" xfId="11" applyNumberFormat="1" applyFont="1" applyFill="1" applyBorder="1" applyAlignment="1">
      <alignment vertical="center"/>
    </xf>
    <xf numFmtId="0" fontId="83" fillId="4" borderId="11" xfId="11" applyFont="1" applyFill="1" applyBorder="1" applyAlignment="1">
      <alignment horizontal="left" vertical="center" wrapText="1"/>
    </xf>
    <xf numFmtId="0" fontId="83" fillId="4" borderId="27" xfId="11" applyFont="1" applyFill="1" applyBorder="1" applyAlignment="1">
      <alignment horizontal="left" vertical="center"/>
    </xf>
    <xf numFmtId="176" fontId="83" fillId="0" borderId="37" xfId="11" applyNumberFormat="1" applyFont="1" applyBorder="1" applyAlignment="1">
      <alignment vertical="center"/>
    </xf>
    <xf numFmtId="3" fontId="83" fillId="0" borderId="37" xfId="11" applyNumberFormat="1" applyFont="1" applyBorder="1" applyAlignment="1">
      <alignment vertical="center"/>
    </xf>
    <xf numFmtId="3" fontId="83" fillId="0" borderId="30" xfId="11" applyNumberFormat="1" applyFont="1" applyBorder="1" applyAlignment="1">
      <alignment vertical="center"/>
    </xf>
    <xf numFmtId="0" fontId="80" fillId="4" borderId="33" xfId="212" applyFont="1" applyFill="1" applyBorder="1" applyAlignment="1">
      <alignment vertical="center"/>
    </xf>
    <xf numFmtId="0" fontId="80" fillId="4" borderId="34" xfId="212" applyFont="1" applyFill="1" applyBorder="1" applyAlignment="1">
      <alignment vertical="center"/>
    </xf>
    <xf numFmtId="4" fontId="80" fillId="4" borderId="34" xfId="212" applyNumberFormat="1" applyFont="1" applyFill="1" applyBorder="1" applyAlignment="1">
      <alignment vertical="center"/>
    </xf>
    <xf numFmtId="42" fontId="80" fillId="4" borderId="43" xfId="212" applyNumberFormat="1" applyFont="1" applyFill="1" applyBorder="1" applyAlignment="1">
      <alignment vertical="center"/>
    </xf>
    <xf numFmtId="3" fontId="83" fillId="0" borderId="0" xfId="11" applyNumberFormat="1" applyFont="1" applyAlignment="1">
      <alignment vertical="center"/>
    </xf>
    <xf numFmtId="3" fontId="83" fillId="0" borderId="13" xfId="11" applyNumberFormat="1" applyFont="1" applyBorder="1" applyAlignment="1">
      <alignment vertical="center"/>
    </xf>
    <xf numFmtId="175" fontId="86" fillId="4" borderId="11" xfId="212" applyNumberFormat="1" applyFont="1" applyFill="1" applyBorder="1" applyAlignment="1">
      <alignment vertical="center"/>
    </xf>
    <xf numFmtId="169" fontId="86" fillId="4" borderId="13" xfId="212" applyNumberFormat="1" applyFont="1" applyFill="1" applyBorder="1" applyAlignment="1">
      <alignment vertical="center"/>
    </xf>
    <xf numFmtId="0" fontId="78" fillId="4" borderId="11" xfId="11" applyFont="1" applyFill="1" applyBorder="1" applyAlignment="1">
      <alignment horizontal="left" vertical="center"/>
    </xf>
    <xf numFmtId="3" fontId="78" fillId="4" borderId="0" xfId="11" applyNumberFormat="1" applyFont="1" applyFill="1" applyAlignment="1">
      <alignment vertical="center"/>
    </xf>
    <xf numFmtId="3" fontId="78" fillId="4" borderId="13" xfId="11" applyNumberFormat="1" applyFont="1" applyFill="1" applyBorder="1" applyAlignment="1">
      <alignment vertical="center"/>
    </xf>
    <xf numFmtId="0" fontId="86" fillId="4" borderId="11" xfId="212" applyFont="1" applyFill="1" applyBorder="1" applyAlignment="1">
      <alignment vertical="center"/>
    </xf>
    <xf numFmtId="0" fontId="78" fillId="4" borderId="27" xfId="11" applyFont="1" applyFill="1" applyBorder="1" applyAlignment="1">
      <alignment horizontal="left" vertical="center"/>
    </xf>
    <xf numFmtId="3" fontId="83" fillId="4" borderId="28" xfId="11" applyNumberFormat="1" applyFont="1" applyFill="1" applyBorder="1" applyAlignment="1">
      <alignment vertical="center"/>
    </xf>
    <xf numFmtId="3" fontId="83" fillId="4" borderId="29" xfId="11" applyNumberFormat="1" applyFont="1" applyFill="1" applyBorder="1" applyAlignment="1">
      <alignment vertical="center"/>
    </xf>
    <xf numFmtId="0" fontId="80" fillId="4" borderId="51" xfId="212" applyFont="1" applyFill="1" applyBorder="1" applyAlignment="1">
      <alignment vertical="center"/>
    </xf>
    <xf numFmtId="44" fontId="80" fillId="4" borderId="52" xfId="212" applyNumberFormat="1" applyFont="1" applyFill="1" applyBorder="1" applyAlignment="1">
      <alignment vertical="center"/>
    </xf>
    <xf numFmtId="42" fontId="80" fillId="4" borderId="53" xfId="212" applyNumberFormat="1" applyFont="1" applyFill="1" applyBorder="1" applyAlignment="1">
      <alignment vertical="center"/>
    </xf>
    <xf numFmtId="4" fontId="78" fillId="4" borderId="0" xfId="213" applyNumberFormat="1" applyFont="1" applyFill="1" applyBorder="1" applyAlignment="1">
      <alignment vertical="center"/>
    </xf>
    <xf numFmtId="4" fontId="78" fillId="4" borderId="13" xfId="213" applyNumberFormat="1" applyFont="1" applyFill="1" applyBorder="1" applyAlignment="1">
      <alignment vertical="center"/>
    </xf>
    <xf numFmtId="0" fontId="84" fillId="0" borderId="0" xfId="6" applyFont="1"/>
    <xf numFmtId="169" fontId="86" fillId="4" borderId="13" xfId="72" applyNumberFormat="1" applyFont="1" applyFill="1" applyBorder="1" applyAlignment="1">
      <alignment vertical="center"/>
    </xf>
    <xf numFmtId="0" fontId="78" fillId="4" borderId="15" xfId="11" applyFont="1" applyFill="1" applyBorder="1" applyAlignment="1">
      <alignment horizontal="left" vertical="center"/>
    </xf>
    <xf numFmtId="43" fontId="78" fillId="4" borderId="16" xfId="11" applyNumberFormat="1" applyFont="1" applyFill="1" applyBorder="1" applyAlignment="1">
      <alignment vertical="center"/>
    </xf>
    <xf numFmtId="2" fontId="78" fillId="4" borderId="16" xfId="11" applyNumberFormat="1" applyFont="1" applyFill="1" applyBorder="1" applyAlignment="1">
      <alignment vertical="center"/>
    </xf>
    <xf numFmtId="3" fontId="78" fillId="4" borderId="17" xfId="11" applyNumberFormat="1" applyFont="1" applyFill="1" applyBorder="1" applyAlignment="1">
      <alignment vertical="center"/>
    </xf>
    <xf numFmtId="169" fontId="86" fillId="4" borderId="29" xfId="72" applyNumberFormat="1" applyFont="1" applyFill="1" applyBorder="1" applyAlignment="1">
      <alignment vertical="center"/>
    </xf>
    <xf numFmtId="0" fontId="80" fillId="4" borderId="56" xfId="212" applyFont="1" applyFill="1" applyBorder="1" applyAlignment="1">
      <alignment vertical="center"/>
    </xf>
    <xf numFmtId="0" fontId="86" fillId="4" borderId="57" xfId="212" applyFont="1" applyFill="1" applyBorder="1" applyAlignment="1">
      <alignment vertical="center"/>
    </xf>
    <xf numFmtId="42" fontId="80" fillId="4" borderId="58" xfId="212" applyNumberFormat="1" applyFont="1" applyFill="1" applyBorder="1" applyAlignment="1">
      <alignment vertical="center"/>
    </xf>
    <xf numFmtId="0" fontId="5" fillId="0" borderId="0" xfId="6" applyAlignment="1">
      <alignment vertical="center"/>
    </xf>
    <xf numFmtId="0" fontId="80" fillId="4" borderId="11" xfId="212" applyFont="1" applyFill="1" applyBorder="1" applyAlignment="1">
      <alignment vertical="center"/>
    </xf>
    <xf numFmtId="42" fontId="80" fillId="4" borderId="13" xfId="212" applyNumberFormat="1" applyFont="1" applyFill="1" applyBorder="1" applyAlignment="1">
      <alignment vertical="center"/>
    </xf>
    <xf numFmtId="169" fontId="80" fillId="4" borderId="13" xfId="212" applyNumberFormat="1" applyFont="1" applyFill="1" applyBorder="1" applyAlignment="1">
      <alignment horizontal="right" vertical="center"/>
    </xf>
    <xf numFmtId="0" fontId="86" fillId="4" borderId="15" xfId="212" applyFont="1" applyFill="1" applyBorder="1" applyAlignment="1">
      <alignment vertical="center"/>
    </xf>
    <xf numFmtId="10" fontId="83" fillId="4" borderId="16" xfId="11" applyNumberFormat="1" applyFont="1" applyFill="1" applyBorder="1" applyAlignment="1">
      <alignment vertical="center"/>
    </xf>
    <xf numFmtId="0" fontId="83" fillId="4" borderId="16" xfId="11" applyFont="1" applyFill="1" applyBorder="1" applyAlignment="1">
      <alignment vertical="center"/>
    </xf>
    <xf numFmtId="44" fontId="88" fillId="0" borderId="17" xfId="72" applyFont="1" applyFill="1" applyBorder="1" applyAlignment="1">
      <alignment horizontal="center" vertical="center"/>
    </xf>
    <xf numFmtId="0" fontId="80" fillId="4" borderId="6" xfId="212" applyFont="1" applyFill="1" applyBorder="1" applyAlignment="1">
      <alignment vertical="center"/>
    </xf>
    <xf numFmtId="10" fontId="83" fillId="4" borderId="7" xfId="11" applyNumberFormat="1" applyFont="1" applyFill="1" applyBorder="1" applyAlignment="1">
      <alignment vertical="center"/>
    </xf>
    <xf numFmtId="0" fontId="83" fillId="4" borderId="7" xfId="11" applyFont="1" applyFill="1" applyBorder="1" applyAlignment="1">
      <alignment vertical="center"/>
    </xf>
    <xf numFmtId="44" fontId="89" fillId="5" borderId="10" xfId="72" applyFont="1" applyFill="1" applyBorder="1" applyAlignment="1">
      <alignment horizontal="center" vertical="center"/>
    </xf>
    <xf numFmtId="44" fontId="5" fillId="0" borderId="0" xfId="6" applyNumberFormat="1"/>
    <xf numFmtId="0" fontId="5" fillId="0" borderId="0" xfId="6" applyAlignment="1">
      <alignment vertical="center" wrapText="1"/>
    </xf>
    <xf numFmtId="44" fontId="0" fillId="0" borderId="0" xfId="72" applyFont="1"/>
    <xf numFmtId="0" fontId="89" fillId="0" borderId="0" xfId="211" applyFont="1"/>
    <xf numFmtId="42" fontId="88" fillId="0" borderId="0" xfId="211" applyNumberFormat="1" applyFont="1"/>
    <xf numFmtId="0" fontId="88" fillId="0" borderId="0" xfId="211" applyFont="1"/>
    <xf numFmtId="0" fontId="90" fillId="0" borderId="0" xfId="211" applyFont="1" applyAlignment="1">
      <alignment vertical="center"/>
    </xf>
    <xf numFmtId="167" fontId="89" fillId="0" borderId="0" xfId="211" applyNumberFormat="1" applyFont="1"/>
    <xf numFmtId="0" fontId="89" fillId="0" borderId="0" xfId="138" applyFont="1" applyAlignment="1">
      <alignment horizontal="center"/>
    </xf>
    <xf numFmtId="0" fontId="88" fillId="0" borderId="15" xfId="211" applyFont="1" applyBorder="1" applyAlignment="1">
      <alignment horizontal="right"/>
    </xf>
    <xf numFmtId="1" fontId="88" fillId="0" borderId="16" xfId="211" applyNumberFormat="1" applyFont="1" applyBorder="1"/>
    <xf numFmtId="0" fontId="88" fillId="0" borderId="16" xfId="211" applyFont="1" applyBorder="1" applyAlignment="1">
      <alignment horizontal="right"/>
    </xf>
    <xf numFmtId="177" fontId="88" fillId="0" borderId="16" xfId="215" applyNumberFormat="1" applyFont="1" applyFill="1" applyBorder="1"/>
    <xf numFmtId="177" fontId="88" fillId="0" borderId="17" xfId="215" applyNumberFormat="1" applyFont="1" applyFill="1" applyBorder="1"/>
    <xf numFmtId="43" fontId="88" fillId="0" borderId="0" xfId="50" applyFont="1" applyFill="1" applyBorder="1"/>
    <xf numFmtId="167" fontId="89" fillId="0" borderId="64" xfId="135" applyNumberFormat="1" applyFont="1" applyBorder="1" applyAlignment="1">
      <alignment horizontal="center"/>
    </xf>
    <xf numFmtId="167" fontId="88" fillId="0" borderId="11" xfId="211" applyNumberFormat="1" applyFont="1" applyBorder="1"/>
    <xf numFmtId="167" fontId="88" fillId="0" borderId="0" xfId="211" applyNumberFormat="1" applyFont="1"/>
    <xf numFmtId="167" fontId="88" fillId="0" borderId="0" xfId="211" applyNumberFormat="1" applyFont="1" applyAlignment="1">
      <alignment horizontal="right"/>
    </xf>
    <xf numFmtId="177" fontId="88" fillId="0" borderId="0" xfId="50" applyNumberFormat="1" applyFont="1" applyFill="1" applyBorder="1"/>
    <xf numFmtId="42" fontId="89" fillId="0" borderId="13" xfId="211" applyNumberFormat="1" applyFont="1" applyBorder="1"/>
    <xf numFmtId="167" fontId="88" fillId="0" borderId="1" xfId="211" applyNumberFormat="1" applyFont="1" applyBorder="1"/>
    <xf numFmtId="6" fontId="88" fillId="0" borderId="3" xfId="135" applyNumberFormat="1" applyFont="1" applyBorder="1" applyAlignment="1">
      <alignment horizontal="center"/>
    </xf>
    <xf numFmtId="42" fontId="92" fillId="0" borderId="0" xfId="138" applyNumberFormat="1" applyFont="1"/>
    <xf numFmtId="0" fontId="89" fillId="0" borderId="11" xfId="211" applyFont="1" applyBorder="1"/>
    <xf numFmtId="0" fontId="89" fillId="0" borderId="0" xfId="211" applyFont="1" applyAlignment="1">
      <alignment horizontal="center"/>
    </xf>
    <xf numFmtId="167" fontId="89" fillId="0" borderId="0" xfId="211" applyNumberFormat="1" applyFont="1" applyAlignment="1">
      <alignment horizontal="center"/>
    </xf>
    <xf numFmtId="42" fontId="89" fillId="0" borderId="13" xfId="211" applyNumberFormat="1" applyFont="1" applyBorder="1" applyAlignment="1">
      <alignment horizontal="center"/>
    </xf>
    <xf numFmtId="42" fontId="89" fillId="0" borderId="0" xfId="138" applyNumberFormat="1" applyFont="1" applyAlignment="1">
      <alignment horizontal="center"/>
    </xf>
    <xf numFmtId="6" fontId="88" fillId="0" borderId="0" xfId="135" applyNumberFormat="1" applyFont="1" applyAlignment="1">
      <alignment horizontal="center"/>
    </xf>
    <xf numFmtId="178" fontId="88" fillId="0" borderId="0" xfId="215" applyNumberFormat="1" applyFont="1" applyFill="1" applyBorder="1" applyAlignment="1">
      <alignment horizontal="right"/>
    </xf>
    <xf numFmtId="175" fontId="88" fillId="0" borderId="0" xfId="211" applyNumberFormat="1" applyFont="1" applyAlignment="1">
      <alignment horizontal="right"/>
    </xf>
    <xf numFmtId="42" fontId="88" fillId="0" borderId="13" xfId="216" applyNumberFormat="1" applyFont="1" applyFill="1" applyBorder="1"/>
    <xf numFmtId="42" fontId="88" fillId="0" borderId="0" xfId="81" applyNumberFormat="1" applyFont="1" applyFill="1" applyBorder="1"/>
    <xf numFmtId="175" fontId="88" fillId="0" borderId="11" xfId="211" applyNumberFormat="1" applyFont="1" applyBorder="1"/>
    <xf numFmtId="42" fontId="89" fillId="0" borderId="0" xfId="81" applyNumberFormat="1" applyFont="1" applyFill="1" applyBorder="1" applyAlignment="1">
      <alignment horizontal="center"/>
    </xf>
    <xf numFmtId="42" fontId="88" fillId="0" borderId="0" xfId="138" applyNumberFormat="1" applyFont="1"/>
    <xf numFmtId="42" fontId="88" fillId="0" borderId="13" xfId="216" applyNumberFormat="1" applyFont="1" applyFill="1" applyBorder="1" applyAlignment="1">
      <alignment horizontal="center"/>
    </xf>
    <xf numFmtId="2" fontId="88" fillId="0" borderId="0" xfId="211" applyNumberFormat="1" applyFont="1" applyAlignment="1">
      <alignment horizontal="right"/>
    </xf>
    <xf numFmtId="167" fontId="88" fillId="0" borderId="11" xfId="135" applyNumberFormat="1" applyFont="1" applyBorder="1"/>
    <xf numFmtId="0" fontId="89" fillId="0" borderId="83" xfId="211" applyFont="1" applyBorder="1"/>
    <xf numFmtId="167" fontId="89" fillId="0" borderId="34" xfId="211" applyNumberFormat="1" applyFont="1" applyBorder="1"/>
    <xf numFmtId="178" fontId="89" fillId="0" borderId="34" xfId="215" applyNumberFormat="1" applyFont="1" applyFill="1" applyBorder="1" applyAlignment="1">
      <alignment horizontal="right"/>
    </xf>
    <xf numFmtId="42" fontId="89" fillId="0" borderId="43" xfId="216" applyNumberFormat="1" applyFont="1" applyFill="1" applyBorder="1" applyAlignment="1">
      <alignment horizontal="center"/>
    </xf>
    <xf numFmtId="10" fontId="88" fillId="0" borderId="0" xfId="217" applyNumberFormat="1" applyFont="1" applyFill="1" applyBorder="1" applyAlignment="1"/>
    <xf numFmtId="10" fontId="88" fillId="0" borderId="0" xfId="211" applyNumberFormat="1" applyFont="1" applyAlignment="1">
      <alignment horizontal="center"/>
    </xf>
    <xf numFmtId="42" fontId="88" fillId="0" borderId="13" xfId="211" applyNumberFormat="1" applyFont="1" applyBorder="1"/>
    <xf numFmtId="0" fontId="88" fillId="0" borderId="11" xfId="135" applyFont="1" applyBorder="1"/>
    <xf numFmtId="5" fontId="89" fillId="0" borderId="0" xfId="138" applyNumberFormat="1" applyFont="1"/>
    <xf numFmtId="0" fontId="88" fillId="0" borderId="11" xfId="211" applyFont="1" applyBorder="1"/>
    <xf numFmtId="9" fontId="88" fillId="0" borderId="0" xfId="211" applyNumberFormat="1" applyFont="1" applyAlignment="1">
      <alignment horizontal="left"/>
    </xf>
    <xf numFmtId="169" fontId="88" fillId="0" borderId="0" xfId="81" applyNumberFormat="1" applyFont="1" applyFill="1" applyBorder="1"/>
    <xf numFmtId="10" fontId="89" fillId="0" borderId="34" xfId="211" applyNumberFormat="1" applyFont="1" applyBorder="1" applyAlignment="1">
      <alignment horizontal="center"/>
    </xf>
    <xf numFmtId="42" fontId="88" fillId="0" borderId="0" xfId="216" applyNumberFormat="1" applyFont="1" applyFill="1" applyBorder="1"/>
    <xf numFmtId="44" fontId="88" fillId="0" borderId="0" xfId="211" applyNumberFormat="1" applyFont="1"/>
    <xf numFmtId="165" fontId="89" fillId="0" borderId="0" xfId="138" applyNumberFormat="1" applyFont="1"/>
    <xf numFmtId="6" fontId="88" fillId="0" borderId="0" xfId="211" applyNumberFormat="1" applyFont="1"/>
    <xf numFmtId="6" fontId="88" fillId="0" borderId="13" xfId="216" applyNumberFormat="1" applyFont="1" applyFill="1" applyBorder="1"/>
    <xf numFmtId="167" fontId="88" fillId="0" borderId="6" xfId="135" applyNumberFormat="1" applyFont="1" applyBorder="1"/>
    <xf numFmtId="10" fontId="88" fillId="0" borderId="7" xfId="217" applyNumberFormat="1" applyFont="1" applyFill="1" applyBorder="1" applyAlignment="1"/>
    <xf numFmtId="0" fontId="88" fillId="0" borderId="1" xfId="211" applyFont="1" applyBorder="1"/>
    <xf numFmtId="0" fontId="88" fillId="0" borderId="3" xfId="211" applyFont="1" applyBorder="1"/>
    <xf numFmtId="0" fontId="88" fillId="0" borderId="4" xfId="211" applyFont="1" applyBorder="1"/>
    <xf numFmtId="0" fontId="89" fillId="0" borderId="33" xfId="211" applyFont="1" applyBorder="1"/>
    <xf numFmtId="0" fontId="89" fillId="0" borderId="34" xfId="211" applyFont="1" applyBorder="1"/>
    <xf numFmtId="10" fontId="88" fillId="0" borderId="34" xfId="211" applyNumberFormat="1" applyFont="1" applyBorder="1" applyAlignment="1">
      <alignment horizontal="center"/>
    </xf>
    <xf numFmtId="0" fontId="88" fillId="0" borderId="34" xfId="211" applyFont="1" applyBorder="1"/>
    <xf numFmtId="42" fontId="88" fillId="0" borderId="43" xfId="216" applyNumberFormat="1" applyFont="1" applyFill="1" applyBorder="1"/>
    <xf numFmtId="0" fontId="88" fillId="0" borderId="13" xfId="211" applyFont="1" applyBorder="1"/>
    <xf numFmtId="0" fontId="88" fillId="0" borderId="57" xfId="211" applyFont="1" applyBorder="1"/>
    <xf numFmtId="0" fontId="89" fillId="0" borderId="51" xfId="211" applyFont="1" applyBorder="1"/>
    <xf numFmtId="0" fontId="88" fillId="0" borderId="52" xfId="211" applyFont="1" applyBorder="1"/>
    <xf numFmtId="0" fontId="88" fillId="0" borderId="52" xfId="211" applyFont="1" applyBorder="1" applyAlignment="1">
      <alignment horizontal="center"/>
    </xf>
    <xf numFmtId="42" fontId="89" fillId="0" borderId="53" xfId="211" applyNumberFormat="1" applyFont="1" applyBorder="1"/>
    <xf numFmtId="0" fontId="88" fillId="0" borderId="6" xfId="211" applyFont="1" applyBorder="1"/>
    <xf numFmtId="0" fontId="88" fillId="0" borderId="7" xfId="211" applyFont="1" applyBorder="1"/>
    <xf numFmtId="0" fontId="88" fillId="0" borderId="9" xfId="211" applyFont="1" applyBorder="1"/>
    <xf numFmtId="0" fontId="89" fillId="0" borderId="6" xfId="211" applyFont="1" applyBorder="1"/>
    <xf numFmtId="0" fontId="89" fillId="0" borderId="7" xfId="211" applyFont="1" applyBorder="1"/>
    <xf numFmtId="10" fontId="88" fillId="0" borderId="7" xfId="214" applyNumberFormat="1" applyFont="1" applyFill="1" applyBorder="1" applyAlignment="1">
      <alignment horizontal="center"/>
    </xf>
    <xf numFmtId="10" fontId="89" fillId="0" borderId="7" xfId="214" applyNumberFormat="1" applyFont="1" applyFill="1" applyBorder="1"/>
    <xf numFmtId="42" fontId="89" fillId="0" borderId="9" xfId="211" applyNumberFormat="1" applyFont="1" applyBorder="1"/>
    <xf numFmtId="167" fontId="88" fillId="0" borderId="84" xfId="135" applyNumberFormat="1" applyFont="1" applyBorder="1" applyAlignment="1">
      <alignment wrapText="1"/>
    </xf>
    <xf numFmtId="179" fontId="88" fillId="0" borderId="85" xfId="135" applyNumberFormat="1" applyFont="1" applyBorder="1"/>
    <xf numFmtId="10" fontId="88" fillId="0" borderId="86" xfId="214" applyNumberFormat="1" applyFont="1" applyFill="1" applyBorder="1" applyAlignment="1">
      <alignment horizontal="center"/>
    </xf>
    <xf numFmtId="8" fontId="88" fillId="0" borderId="86" xfId="135" applyNumberFormat="1" applyFont="1" applyBorder="1" applyAlignment="1">
      <alignment horizontal="right" wrapText="1"/>
    </xf>
    <xf numFmtId="42" fontId="89" fillId="0" borderId="58" xfId="211" applyNumberFormat="1" applyFont="1" applyBorder="1"/>
    <xf numFmtId="0" fontId="88" fillId="0" borderId="0" xfId="211" applyFont="1" applyAlignment="1">
      <alignment horizontal="center"/>
    </xf>
    <xf numFmtId="44" fontId="88" fillId="0" borderId="13" xfId="216" applyFont="1" applyFill="1" applyBorder="1"/>
    <xf numFmtId="180" fontId="89" fillId="5" borderId="9" xfId="211" applyNumberFormat="1" applyFont="1" applyFill="1" applyBorder="1"/>
    <xf numFmtId="10" fontId="88" fillId="0" borderId="0" xfId="1" applyNumberFormat="1" applyFont="1" applyFill="1" applyBorder="1"/>
    <xf numFmtId="10" fontId="89" fillId="0" borderId="0" xfId="214" applyNumberFormat="1" applyFont="1" applyFill="1" applyBorder="1"/>
    <xf numFmtId="0" fontId="91" fillId="0" borderId="0" xfId="6" applyFont="1" applyAlignment="1">
      <alignment vertical="center" wrapText="1"/>
    </xf>
    <xf numFmtId="0" fontId="88" fillId="0" borderId="0" xfId="211" applyFont="1" applyAlignment="1">
      <alignment horizontal="right"/>
    </xf>
    <xf numFmtId="177" fontId="88" fillId="0" borderId="0" xfId="215" applyNumberFormat="1" applyFont="1" applyFill="1" applyBorder="1"/>
    <xf numFmtId="42" fontId="89" fillId="0" borderId="0" xfId="211" applyNumberFormat="1" applyFont="1"/>
    <xf numFmtId="42" fontId="89" fillId="0" borderId="0" xfId="211" applyNumberFormat="1" applyFont="1" applyAlignment="1">
      <alignment horizontal="center"/>
    </xf>
    <xf numFmtId="175" fontId="88" fillId="0" borderId="0" xfId="211" applyNumberFormat="1" applyFont="1"/>
    <xf numFmtId="42" fontId="88" fillId="0" borderId="0" xfId="216" applyNumberFormat="1" applyFont="1" applyFill="1" applyBorder="1" applyAlignment="1">
      <alignment horizontal="center"/>
    </xf>
    <xf numFmtId="178" fontId="89" fillId="0" borderId="0" xfId="215" applyNumberFormat="1" applyFont="1" applyFill="1" applyBorder="1"/>
    <xf numFmtId="42" fontId="89" fillId="0" borderId="0" xfId="216" applyNumberFormat="1" applyFont="1" applyFill="1" applyBorder="1" applyAlignment="1">
      <alignment horizontal="center"/>
    </xf>
    <xf numFmtId="9" fontId="88" fillId="0" borderId="0" xfId="211" applyNumberFormat="1" applyFont="1"/>
    <xf numFmtId="0" fontId="94" fillId="0" borderId="0" xfId="138" applyFont="1" applyAlignment="1">
      <alignment horizontal="center"/>
    </xf>
    <xf numFmtId="10" fontId="89" fillId="0" borderId="0" xfId="211" applyNumberFormat="1" applyFont="1" applyAlignment="1">
      <alignment horizontal="center"/>
    </xf>
    <xf numFmtId="7" fontId="88" fillId="0" borderId="0" xfId="211" applyNumberFormat="1" applyFont="1"/>
    <xf numFmtId="8" fontId="88" fillId="0" borderId="0" xfId="211" applyNumberFormat="1" applyFont="1"/>
    <xf numFmtId="165" fontId="89" fillId="0" borderId="0" xfId="211" applyNumberFormat="1" applyFont="1"/>
    <xf numFmtId="167" fontId="95" fillId="0" borderId="0" xfId="211" applyNumberFormat="1" applyFont="1"/>
    <xf numFmtId="0" fontId="95" fillId="0" borderId="0" xfId="211" applyFont="1"/>
    <xf numFmtId="10" fontId="95" fillId="0" borderId="0" xfId="211" applyNumberFormat="1" applyFont="1" applyAlignment="1">
      <alignment horizontal="center"/>
    </xf>
    <xf numFmtId="42" fontId="95" fillId="0" borderId="0" xfId="216" applyNumberFormat="1" applyFont="1" applyFill="1" applyBorder="1"/>
    <xf numFmtId="0" fontId="92" fillId="0" borderId="0" xfId="211" applyFont="1"/>
    <xf numFmtId="1" fontId="95" fillId="0" borderId="0" xfId="211" applyNumberFormat="1" applyFont="1"/>
    <xf numFmtId="177" fontId="95" fillId="0" borderId="0" xfId="215" applyNumberFormat="1" applyFont="1" applyFill="1" applyBorder="1"/>
    <xf numFmtId="43" fontId="88" fillId="0" borderId="0" xfId="215" applyFont="1" applyFill="1" applyBorder="1"/>
    <xf numFmtId="44" fontId="88" fillId="0" borderId="0" xfId="216" applyFont="1" applyFill="1" applyBorder="1"/>
    <xf numFmtId="42" fontId="92" fillId="0" borderId="0" xfId="211" applyNumberFormat="1" applyFont="1"/>
    <xf numFmtId="10" fontId="88" fillId="0" borderId="0" xfId="214" applyNumberFormat="1" applyFont="1" applyFill="1" applyBorder="1" applyAlignment="1">
      <alignment horizontal="center"/>
    </xf>
    <xf numFmtId="167" fontId="95" fillId="0" borderId="0" xfId="135" applyNumberFormat="1" applyFont="1" applyAlignment="1">
      <alignment wrapText="1"/>
    </xf>
    <xf numFmtId="179" fontId="95" fillId="0" borderId="0" xfId="135" applyNumberFormat="1" applyFont="1"/>
    <xf numFmtId="10" fontId="95" fillId="0" borderId="0" xfId="214" applyNumberFormat="1" applyFont="1" applyFill="1" applyBorder="1" applyAlignment="1">
      <alignment horizontal="center"/>
    </xf>
    <xf numFmtId="8" fontId="95" fillId="0" borderId="0" xfId="135" applyNumberFormat="1" applyFont="1" applyAlignment="1">
      <alignment horizontal="right" wrapText="1"/>
    </xf>
    <xf numFmtId="42" fontId="94" fillId="0" borderId="0" xfId="211" applyNumberFormat="1" applyFont="1"/>
    <xf numFmtId="167" fontId="92" fillId="0" borderId="0" xfId="211" applyNumberFormat="1" applyFont="1" applyAlignment="1">
      <alignment horizontal="center"/>
    </xf>
    <xf numFmtId="175" fontId="95" fillId="0" borderId="0" xfId="211" applyNumberFormat="1" applyFont="1" applyAlignment="1">
      <alignment horizontal="right"/>
    </xf>
    <xf numFmtId="178" fontId="94" fillId="0" borderId="0" xfId="215" applyNumberFormat="1" applyFont="1" applyFill="1" applyBorder="1" applyAlignment="1">
      <alignment horizontal="right"/>
    </xf>
    <xf numFmtId="0" fontId="92" fillId="0" borderId="0" xfId="211" applyFont="1" applyAlignment="1">
      <alignment horizontal="center"/>
    </xf>
    <xf numFmtId="180" fontId="89" fillId="0" borderId="0" xfId="211" applyNumberFormat="1" applyFont="1"/>
    <xf numFmtId="180" fontId="88" fillId="0" borderId="0" xfId="211" applyNumberFormat="1" applyFont="1"/>
    <xf numFmtId="42" fontId="96" fillId="0" borderId="0" xfId="211" applyNumberFormat="1" applyFont="1" applyAlignment="1">
      <alignment vertical="top" wrapText="1"/>
    </xf>
    <xf numFmtId="180" fontId="96" fillId="0" borderId="0" xfId="211" applyNumberFormat="1" applyFont="1" applyAlignment="1">
      <alignment vertical="top" wrapText="1"/>
    </xf>
    <xf numFmtId="42" fontId="88" fillId="0" borderId="0" xfId="211" applyNumberFormat="1" applyFont="1" applyAlignment="1">
      <alignment horizontal="right"/>
    </xf>
    <xf numFmtId="0" fontId="5" fillId="0" borderId="0" xfId="6" applyAlignment="1">
      <alignment horizontal="center"/>
    </xf>
    <xf numFmtId="0" fontId="5" fillId="0" borderId="0" xfId="6" applyAlignment="1">
      <alignment horizontal="center" wrapText="1"/>
    </xf>
    <xf numFmtId="14" fontId="99" fillId="0" borderId="0" xfId="6" applyNumberFormat="1" applyFont="1" applyAlignment="1">
      <alignment horizontal="left"/>
    </xf>
    <xf numFmtId="0" fontId="7" fillId="0" borderId="5" xfId="6" applyFont="1" applyBorder="1" applyAlignment="1">
      <alignment horizontal="center"/>
    </xf>
    <xf numFmtId="0" fontId="79" fillId="0" borderId="19" xfId="6" applyFont="1" applyBorder="1" applyAlignment="1">
      <alignment horizontal="right"/>
    </xf>
    <xf numFmtId="166" fontId="79" fillId="0" borderId="87" xfId="6" applyNumberFormat="1" applyFont="1" applyBorder="1" applyAlignment="1">
      <alignment horizontal="center"/>
    </xf>
    <xf numFmtId="0" fontId="79" fillId="0" borderId="33" xfId="6" applyFont="1" applyBorder="1" applyAlignment="1">
      <alignment horizontal="right"/>
    </xf>
    <xf numFmtId="10" fontId="5" fillId="0" borderId="36" xfId="6" applyNumberFormat="1" applyBorder="1" applyAlignment="1">
      <alignment horizontal="center"/>
    </xf>
    <xf numFmtId="0" fontId="79" fillId="0" borderId="47" xfId="6" applyFont="1" applyBorder="1"/>
    <xf numFmtId="0" fontId="79" fillId="0" borderId="35" xfId="6" applyFont="1" applyBorder="1"/>
    <xf numFmtId="166" fontId="5" fillId="0" borderId="36" xfId="6" applyNumberFormat="1" applyBorder="1" applyAlignment="1">
      <alignment horizontal="center"/>
    </xf>
    <xf numFmtId="10" fontId="5" fillId="0" borderId="0" xfId="6" applyNumberFormat="1"/>
    <xf numFmtId="5" fontId="5" fillId="0" borderId="36" xfId="72" applyNumberFormat="1" applyFont="1" applyFill="1" applyBorder="1" applyAlignment="1">
      <alignment horizontal="center"/>
    </xf>
    <xf numFmtId="10" fontId="79" fillId="0" borderId="47" xfId="6" applyNumberFormat="1" applyFont="1" applyBorder="1" applyAlignment="1">
      <alignment horizontal="center"/>
    </xf>
    <xf numFmtId="0" fontId="79" fillId="0" borderId="35" xfId="156" applyFont="1" applyBorder="1" applyAlignment="1">
      <alignment horizontal="left" vertical="center" wrapText="1"/>
    </xf>
    <xf numFmtId="37" fontId="5" fillId="0" borderId="36" xfId="50" applyNumberFormat="1" applyFont="1" applyBorder="1" applyAlignment="1">
      <alignment horizontal="center"/>
    </xf>
    <xf numFmtId="165" fontId="79" fillId="0" borderId="36" xfId="6" applyNumberFormat="1" applyFont="1" applyBorder="1" applyAlignment="1">
      <alignment horizontal="center"/>
    </xf>
    <xf numFmtId="0" fontId="7" fillId="0" borderId="48" xfId="6" applyFont="1" applyBorder="1" applyAlignment="1">
      <alignment horizontal="right"/>
    </xf>
    <xf numFmtId="7" fontId="7" fillId="5" borderId="41" xfId="72" applyNumberFormat="1" applyFont="1" applyFill="1" applyBorder="1" applyAlignment="1">
      <alignment horizontal="center"/>
    </xf>
    <xf numFmtId="0" fontId="79" fillId="0" borderId="50" xfId="6" applyFont="1" applyBorder="1"/>
    <xf numFmtId="0" fontId="79" fillId="0" borderId="42" xfId="6" applyFont="1" applyBorder="1"/>
    <xf numFmtId="0" fontId="5" fillId="0" borderId="13" xfId="6" applyBorder="1"/>
    <xf numFmtId="0" fontId="5" fillId="0" borderId="0" xfId="6" applyAlignment="1">
      <alignment wrapText="1"/>
    </xf>
    <xf numFmtId="0" fontId="89" fillId="0" borderId="1" xfId="218" applyFont="1" applyBorder="1"/>
    <xf numFmtId="0" fontId="89" fillId="0" borderId="3" xfId="218" applyFont="1" applyBorder="1"/>
    <xf numFmtId="0" fontId="89" fillId="0" borderId="3" xfId="218" applyFont="1" applyBorder="1" applyAlignment="1">
      <alignment horizontal="center"/>
    </xf>
    <xf numFmtId="167" fontId="89" fillId="0" borderId="4" xfId="218" applyNumberFormat="1" applyFont="1" applyBorder="1" applyAlignment="1">
      <alignment horizontal="center"/>
    </xf>
    <xf numFmtId="167" fontId="89" fillId="0" borderId="0" xfId="218" applyNumberFormat="1" applyFont="1" applyAlignment="1">
      <alignment horizontal="center"/>
    </xf>
    <xf numFmtId="0" fontId="89" fillId="0" borderId="0" xfId="218" applyFont="1"/>
    <xf numFmtId="0" fontId="89" fillId="0" borderId="0" xfId="218" applyFont="1" applyAlignment="1">
      <alignment horizontal="center"/>
    </xf>
    <xf numFmtId="0" fontId="88" fillId="0" borderId="11" xfId="218" applyFont="1" applyBorder="1"/>
    <xf numFmtId="0" fontId="88" fillId="0" borderId="0" xfId="218" applyFont="1" applyAlignment="1">
      <alignment horizontal="right"/>
    </xf>
    <xf numFmtId="0" fontId="88" fillId="0" borderId="0" xfId="218" applyFont="1" applyAlignment="1">
      <alignment horizontal="center"/>
    </xf>
    <xf numFmtId="0" fontId="88" fillId="0" borderId="13" xfId="218" applyFont="1" applyBorder="1" applyAlignment="1">
      <alignment horizontal="center"/>
    </xf>
    <xf numFmtId="0" fontId="91" fillId="0" borderId="0" xfId="6" applyFont="1"/>
    <xf numFmtId="0" fontId="88" fillId="0" borderId="0" xfId="218" applyFont="1"/>
    <xf numFmtId="0" fontId="100" fillId="0" borderId="0" xfId="218" applyFont="1" applyAlignment="1">
      <alignment horizontal="center"/>
    </xf>
    <xf numFmtId="0" fontId="88" fillId="0" borderId="27" xfId="218" applyFont="1" applyBorder="1"/>
    <xf numFmtId="0" fontId="88" fillId="0" borderId="28" xfId="218" applyFont="1" applyBorder="1" applyAlignment="1">
      <alignment horizontal="right"/>
    </xf>
    <xf numFmtId="1" fontId="88" fillId="0" borderId="28" xfId="218" applyNumberFormat="1" applyFont="1" applyBorder="1" applyAlignment="1">
      <alignment horizontal="center"/>
    </xf>
    <xf numFmtId="1" fontId="88" fillId="0" borderId="29" xfId="218" applyNumberFormat="1" applyFont="1" applyBorder="1" applyAlignment="1">
      <alignment horizontal="center"/>
    </xf>
    <xf numFmtId="1" fontId="88" fillId="0" borderId="0" xfId="218" applyNumberFormat="1" applyFont="1" applyAlignment="1">
      <alignment horizontal="center"/>
    </xf>
    <xf numFmtId="0" fontId="91" fillId="0" borderId="0" xfId="6" applyFont="1" applyAlignment="1">
      <alignment horizontal="left"/>
    </xf>
    <xf numFmtId="0" fontId="88" fillId="0" borderId="0" xfId="218" applyFont="1" applyAlignment="1">
      <alignment horizontal="left"/>
    </xf>
    <xf numFmtId="0" fontId="83" fillId="0" borderId="0" xfId="218" applyFont="1" applyAlignment="1">
      <alignment horizontal="right"/>
    </xf>
    <xf numFmtId="1" fontId="100" fillId="0" borderId="0" xfId="218" applyNumberFormat="1" applyFont="1" applyAlignment="1">
      <alignment horizontal="center"/>
    </xf>
    <xf numFmtId="1" fontId="88" fillId="0" borderId="13" xfId="218" applyNumberFormat="1" applyFont="1" applyBorder="1" applyAlignment="1">
      <alignment horizontal="center"/>
    </xf>
    <xf numFmtId="0" fontId="88" fillId="0" borderId="6" xfId="218" applyFont="1" applyBorder="1"/>
    <xf numFmtId="0" fontId="88" fillId="0" borderId="7" xfId="218" applyFont="1" applyBorder="1"/>
    <xf numFmtId="0" fontId="88" fillId="0" borderId="7" xfId="218" applyFont="1" applyBorder="1" applyAlignment="1">
      <alignment horizontal="right"/>
    </xf>
    <xf numFmtId="1" fontId="88" fillId="0" borderId="9" xfId="218" applyNumberFormat="1" applyFont="1" applyBorder="1" applyAlignment="1">
      <alignment horizontal="center"/>
    </xf>
    <xf numFmtId="165" fontId="5" fillId="0" borderId="0" xfId="6" applyNumberFormat="1" applyAlignment="1">
      <alignment horizontal="center"/>
    </xf>
    <xf numFmtId="181" fontId="5" fillId="0" borderId="0" xfId="6" applyNumberFormat="1" applyAlignment="1">
      <alignment horizontal="center"/>
    </xf>
    <xf numFmtId="168" fontId="5" fillId="0" borderId="0" xfId="6" applyNumberFormat="1" applyAlignment="1">
      <alignment horizontal="center"/>
    </xf>
    <xf numFmtId="0" fontId="107" fillId="0" borderId="0" xfId="345" applyFont="1"/>
    <xf numFmtId="0" fontId="108" fillId="0" borderId="0" xfId="345" applyFont="1" applyAlignment="1">
      <alignment horizontal="center"/>
    </xf>
    <xf numFmtId="0" fontId="107" fillId="0" borderId="0" xfId="345" applyFont="1" applyAlignment="1">
      <alignment wrapText="1"/>
    </xf>
    <xf numFmtId="17" fontId="109" fillId="0" borderId="0" xfId="345" applyNumberFormat="1" applyFont="1" applyAlignment="1">
      <alignment horizontal="center"/>
    </xf>
    <xf numFmtId="164" fontId="110" fillId="0" borderId="0" xfId="345" applyNumberFormat="1" applyFont="1" applyAlignment="1">
      <alignment horizontal="left" vertical="top"/>
    </xf>
    <xf numFmtId="0" fontId="110" fillId="0" borderId="0" xfId="345" applyFont="1" applyAlignment="1">
      <alignment horizontal="center"/>
    </xf>
    <xf numFmtId="0" fontId="110" fillId="0" borderId="0" xfId="345" applyFont="1"/>
    <xf numFmtId="9" fontId="110" fillId="0" borderId="0" xfId="345" applyNumberFormat="1" applyFont="1" applyAlignment="1">
      <alignment horizontal="center" wrapText="1"/>
    </xf>
    <xf numFmtId="0" fontId="110" fillId="0" borderId="0" xfId="345" applyFont="1" applyAlignment="1">
      <alignment horizontal="left" wrapText="1"/>
    </xf>
    <xf numFmtId="0" fontId="111" fillId="0" borderId="1" xfId="345" applyFont="1" applyBorder="1"/>
    <xf numFmtId="165" fontId="107" fillId="0" borderId="2" xfId="345" applyNumberFormat="1" applyFont="1" applyBorder="1" applyAlignment="1">
      <alignment horizontal="center"/>
    </xf>
    <xf numFmtId="0" fontId="111" fillId="0" borderId="6" xfId="345" applyFont="1" applyBorder="1"/>
    <xf numFmtId="166" fontId="107" fillId="0" borderId="7" xfId="345" applyNumberFormat="1" applyFont="1" applyBorder="1" applyAlignment="1">
      <alignment horizontal="center"/>
    </xf>
    <xf numFmtId="0" fontId="107" fillId="0" borderId="1" xfId="345" applyFont="1" applyBorder="1"/>
    <xf numFmtId="0" fontId="107" fillId="0" borderId="3" xfId="345" applyFont="1" applyBorder="1"/>
    <xf numFmtId="0" fontId="107" fillId="0" borderId="11" xfId="345" applyFont="1" applyBorder="1"/>
    <xf numFmtId="166" fontId="107" fillId="0" borderId="0" xfId="345" applyNumberFormat="1" applyFont="1" applyAlignment="1">
      <alignment horizontal="center"/>
    </xf>
    <xf numFmtId="0" fontId="107" fillId="0" borderId="6" xfId="345" applyFont="1" applyBorder="1"/>
    <xf numFmtId="0" fontId="107" fillId="0" borderId="7" xfId="345" applyFont="1" applyBorder="1"/>
    <xf numFmtId="0" fontId="107" fillId="0" borderId="1" xfId="345" applyFont="1" applyBorder="1" applyAlignment="1">
      <alignment wrapText="1"/>
    </xf>
    <xf numFmtId="0" fontId="107" fillId="0" borderId="6" xfId="345" applyFont="1" applyBorder="1" applyAlignment="1">
      <alignment wrapText="1"/>
    </xf>
    <xf numFmtId="166" fontId="112" fillId="0" borderId="7" xfId="345" applyNumberFormat="1" applyFont="1" applyBorder="1" applyAlignment="1">
      <alignment horizontal="center"/>
    </xf>
    <xf numFmtId="165" fontId="107" fillId="0" borderId="3" xfId="345" applyNumberFormat="1" applyFont="1" applyBorder="1" applyAlignment="1">
      <alignment horizontal="center"/>
    </xf>
    <xf numFmtId="165" fontId="107" fillId="0" borderId="0" xfId="345" applyNumberFormat="1" applyFont="1" applyAlignment="1">
      <alignment horizontal="center"/>
    </xf>
    <xf numFmtId="0" fontId="111" fillId="0" borderId="11" xfId="345" applyFont="1" applyBorder="1"/>
    <xf numFmtId="0" fontId="51" fillId="0" borderId="1" xfId="345" applyFont="1" applyBorder="1"/>
    <xf numFmtId="0" fontId="113" fillId="0" borderId="4" xfId="345" applyFont="1" applyBorder="1"/>
    <xf numFmtId="0" fontId="51" fillId="0" borderId="11" xfId="345" applyFont="1" applyBorder="1"/>
    <xf numFmtId="0" fontId="51" fillId="0" borderId="0" xfId="345" applyFont="1" applyAlignment="1">
      <alignment horizontal="center"/>
    </xf>
    <xf numFmtId="167" fontId="51" fillId="0" borderId="0" xfId="345" applyNumberFormat="1" applyFont="1" applyAlignment="1">
      <alignment horizontal="center"/>
    </xf>
    <xf numFmtId="1" fontId="51" fillId="0" borderId="13" xfId="345" applyNumberFormat="1" applyFont="1" applyBorder="1" applyAlignment="1">
      <alignment horizontal="right"/>
    </xf>
    <xf numFmtId="0" fontId="114" fillId="0" borderId="11" xfId="345" applyFont="1" applyBorder="1"/>
    <xf numFmtId="0" fontId="114" fillId="0" borderId="0" xfId="345" applyFont="1" applyAlignment="1">
      <alignment horizontal="center"/>
    </xf>
    <xf numFmtId="0" fontId="115" fillId="0" borderId="0" xfId="345" applyFont="1" applyAlignment="1">
      <alignment horizontal="right" wrapText="1"/>
    </xf>
    <xf numFmtId="0" fontId="114" fillId="0" borderId="27" xfId="345" applyFont="1" applyBorder="1"/>
    <xf numFmtId="0" fontId="114" fillId="0" borderId="28" xfId="345" applyFont="1" applyBorder="1" applyAlignment="1">
      <alignment horizontal="center"/>
    </xf>
    <xf numFmtId="1" fontId="51" fillId="0" borderId="29" xfId="345" applyNumberFormat="1" applyFont="1" applyBorder="1" applyAlignment="1">
      <alignment horizontal="right"/>
    </xf>
    <xf numFmtId="0" fontId="107" fillId="0" borderId="0" xfId="345" applyFont="1" applyAlignment="1">
      <alignment horizontal="center"/>
    </xf>
    <xf numFmtId="0" fontId="114" fillId="0" borderId="0" xfId="345" applyFont="1" applyAlignment="1">
      <alignment horizontal="right"/>
    </xf>
    <xf numFmtId="175" fontId="51" fillId="0" borderId="13" xfId="345" applyNumberFormat="1" applyFont="1" applyBorder="1" applyAlignment="1">
      <alignment horizontal="right"/>
    </xf>
    <xf numFmtId="0" fontId="107" fillId="0" borderId="0" xfId="345" applyFont="1" applyAlignment="1">
      <alignment horizontal="right"/>
    </xf>
    <xf numFmtId="10" fontId="107" fillId="0" borderId="0" xfId="346" applyNumberFormat="1" applyFont="1" applyAlignment="1">
      <alignment horizontal="center"/>
    </xf>
    <xf numFmtId="0" fontId="114" fillId="0" borderId="6" xfId="345" applyFont="1" applyBorder="1"/>
    <xf numFmtId="0" fontId="114" fillId="0" borderId="7" xfId="345" applyFont="1" applyBorder="1" applyAlignment="1">
      <alignment horizontal="right"/>
    </xf>
    <xf numFmtId="179" fontId="114" fillId="0" borderId="7" xfId="328" applyNumberFormat="1" applyFont="1" applyBorder="1" applyAlignment="1">
      <alignment horizontal="center"/>
    </xf>
    <xf numFmtId="179" fontId="114" fillId="0" borderId="9" xfId="328" quotePrefix="1" applyNumberFormat="1" applyFont="1" applyBorder="1" applyAlignment="1">
      <alignment horizontal="center"/>
    </xf>
    <xf numFmtId="9" fontId="107" fillId="0" borderId="0" xfId="346" applyFont="1" applyAlignment="1">
      <alignment horizontal="center"/>
    </xf>
    <xf numFmtId="9" fontId="107" fillId="0" borderId="0" xfId="346" applyFont="1"/>
    <xf numFmtId="0" fontId="111" fillId="0" borderId="0" xfId="345" applyFont="1" applyAlignment="1">
      <alignment horizontal="right"/>
    </xf>
    <xf numFmtId="6" fontId="107" fillId="0" borderId="0" xfId="345" applyNumberFormat="1" applyFont="1" applyAlignment="1">
      <alignment horizontal="center"/>
    </xf>
    <xf numFmtId="0" fontId="110" fillId="0" borderId="0" xfId="345" applyFont="1" applyAlignment="1">
      <alignment horizontal="right"/>
    </xf>
    <xf numFmtId="0" fontId="110" fillId="0" borderId="0" xfId="345" applyFont="1" applyAlignment="1">
      <alignment horizontal="right" vertical="top"/>
    </xf>
    <xf numFmtId="0" fontId="9" fillId="0" borderId="0" xfId="345" applyFont="1"/>
    <xf numFmtId="165" fontId="9" fillId="0" borderId="0" xfId="345" applyNumberFormat="1" applyFont="1"/>
    <xf numFmtId="0" fontId="50" fillId="0" borderId="0" xfId="123"/>
    <xf numFmtId="0" fontId="52" fillId="9" borderId="0" xfId="123" applyFont="1" applyFill="1"/>
    <xf numFmtId="0" fontId="53" fillId="9" borderId="13" xfId="123" applyFont="1" applyFill="1" applyBorder="1"/>
    <xf numFmtId="0" fontId="54" fillId="9" borderId="7" xfId="123" applyFont="1" applyFill="1" applyBorder="1"/>
    <xf numFmtId="0" fontId="53" fillId="9" borderId="9" xfId="123" applyFont="1" applyFill="1" applyBorder="1"/>
    <xf numFmtId="0" fontId="53" fillId="0" borderId="0" xfId="123" applyFont="1"/>
    <xf numFmtId="0" fontId="55" fillId="0" borderId="0" xfId="15" applyFont="1"/>
    <xf numFmtId="0" fontId="55" fillId="7" borderId="0" xfId="15" applyFont="1" applyFill="1"/>
    <xf numFmtId="3" fontId="55" fillId="35" borderId="0" xfId="347" applyFont="1" applyFill="1" applyAlignment="1">
      <alignment horizontal="center"/>
    </xf>
    <xf numFmtId="3" fontId="55" fillId="36" borderId="0" xfId="347" applyFont="1" applyFill="1" applyAlignment="1">
      <alignment horizontal="center"/>
    </xf>
    <xf numFmtId="3" fontId="55" fillId="10" borderId="0" xfId="347" applyFont="1" applyFill="1" applyAlignment="1">
      <alignment horizontal="center"/>
    </xf>
    <xf numFmtId="14" fontId="53" fillId="0" borderId="0" xfId="123" applyNumberFormat="1" applyFont="1"/>
    <xf numFmtId="174" fontId="50" fillId="0" borderId="0" xfId="123" applyNumberFormat="1"/>
    <xf numFmtId="2" fontId="50" fillId="0" borderId="0" xfId="123" applyNumberFormat="1"/>
    <xf numFmtId="0" fontId="53" fillId="0" borderId="0" xfId="348" applyFont="1" applyAlignment="1"/>
    <xf numFmtId="0" fontId="118" fillId="0" borderId="0" xfId="348" applyAlignment="1"/>
    <xf numFmtId="0" fontId="56" fillId="0" borderId="0" xfId="348" applyFont="1" applyAlignment="1"/>
    <xf numFmtId="0" fontId="57" fillId="0" borderId="0" xfId="348" applyFont="1" applyAlignment="1"/>
    <xf numFmtId="175" fontId="50" fillId="0" borderId="0" xfId="123" applyNumberFormat="1"/>
    <xf numFmtId="0" fontId="118" fillId="0" borderId="45" xfId="348" applyBorder="1" applyAlignment="1"/>
    <xf numFmtId="0" fontId="118" fillId="0" borderId="12" xfId="348" applyBorder="1" applyAlignment="1"/>
    <xf numFmtId="0" fontId="118" fillId="0" borderId="71" xfId="348" applyBorder="1" applyAlignment="1"/>
    <xf numFmtId="0" fontId="118" fillId="0" borderId="26" xfId="348" applyBorder="1" applyAlignment="1"/>
    <xf numFmtId="0" fontId="118" fillId="0" borderId="0" xfId="348" applyAlignment="1">
      <alignment horizontal="right"/>
    </xf>
    <xf numFmtId="0" fontId="53" fillId="0" borderId="0" xfId="348" applyFont="1" applyAlignment="1">
      <alignment horizontal="center"/>
    </xf>
    <xf numFmtId="0" fontId="118" fillId="0" borderId="72" xfId="348" applyBorder="1" applyAlignment="1"/>
    <xf numFmtId="3" fontId="53" fillId="0" borderId="0" xfId="347" applyFont="1" applyAlignment="1"/>
    <xf numFmtId="0" fontId="58" fillId="0" borderId="72" xfId="348" applyFont="1" applyBorder="1" applyAlignment="1">
      <alignment horizontal="center"/>
    </xf>
    <xf numFmtId="174" fontId="50" fillId="0" borderId="68" xfId="347" applyNumberFormat="1" applyBorder="1" applyAlignment="1"/>
    <xf numFmtId="174" fontId="50" fillId="0" borderId="0" xfId="347" applyNumberFormat="1" applyAlignment="1"/>
    <xf numFmtId="174" fontId="118" fillId="0" borderId="72" xfId="348" applyNumberFormat="1" applyBorder="1" applyAlignment="1">
      <alignment horizontal="center"/>
    </xf>
    <xf numFmtId="0" fontId="118" fillId="0" borderId="72" xfId="348" applyBorder="1" applyAlignment="1">
      <alignment horizontal="center"/>
    </xf>
    <xf numFmtId="0" fontId="118" fillId="0" borderId="26" xfId="348" applyBorder="1" applyAlignment="1">
      <alignment horizontal="right"/>
    </xf>
    <xf numFmtId="174" fontId="50" fillId="0" borderId="47" xfId="347" applyNumberFormat="1" applyBorder="1" applyAlignment="1"/>
    <xf numFmtId="0" fontId="53" fillId="5" borderId="0" xfId="348" applyFont="1" applyFill="1" applyAlignment="1">
      <alignment horizontal="right"/>
    </xf>
    <xf numFmtId="10" fontId="53" fillId="5" borderId="72" xfId="349" applyNumberFormat="1" applyFont="1" applyFill="1" applyBorder="1" applyAlignment="1">
      <alignment horizontal="center"/>
    </xf>
    <xf numFmtId="0" fontId="118" fillId="0" borderId="38" xfId="348" applyBorder="1" applyAlignment="1"/>
    <xf numFmtId="0" fontId="118" fillId="0" borderId="28" xfId="348" applyBorder="1" applyAlignment="1"/>
    <xf numFmtId="0" fontId="118" fillId="0" borderId="67" xfId="348" applyBorder="1" applyAlignment="1"/>
    <xf numFmtId="180" fontId="88" fillId="6" borderId="0" xfId="211" applyNumberFormat="1" applyFont="1" applyFill="1"/>
    <xf numFmtId="0" fontId="120" fillId="0" borderId="96" xfId="0" applyFont="1" applyBorder="1" applyAlignment="1">
      <alignment vertical="center"/>
    </xf>
    <xf numFmtId="8" fontId="121" fillId="0" borderId="9" xfId="0" applyNumberFormat="1" applyFont="1" applyBorder="1" applyAlignment="1">
      <alignment horizontal="center" vertical="center"/>
    </xf>
    <xf numFmtId="0" fontId="121" fillId="0" borderId="9" xfId="0" applyFont="1" applyBorder="1" applyAlignment="1">
      <alignment horizontal="center" vertical="center"/>
    </xf>
    <xf numFmtId="0" fontId="120" fillId="0" borderId="96" xfId="0" applyFont="1" applyBorder="1" applyAlignment="1">
      <alignment vertical="center" wrapText="1"/>
    </xf>
    <xf numFmtId="0" fontId="120" fillId="0" borderId="9" xfId="0" applyFont="1" applyBorder="1" applyAlignment="1">
      <alignment horizontal="center" vertical="center"/>
    </xf>
    <xf numFmtId="0" fontId="120" fillId="0" borderId="96" xfId="0" applyFont="1" applyBorder="1" applyAlignment="1">
      <alignment horizontal="left" vertical="center" wrapText="1" indent="2"/>
    </xf>
    <xf numFmtId="0" fontId="119" fillId="0" borderId="15" xfId="0" applyFont="1" applyBorder="1" applyAlignment="1">
      <alignment horizontal="center" vertical="center"/>
    </xf>
    <xf numFmtId="0" fontId="0" fillId="5" borderId="5" xfId="0" applyFill="1" applyBorder="1" applyAlignment="1">
      <alignment horizontal="center"/>
    </xf>
    <xf numFmtId="0" fontId="119" fillId="5" borderId="18" xfId="0" applyFont="1" applyFill="1" applyBorder="1" applyAlignment="1">
      <alignment horizontal="center" vertical="center" wrapText="1"/>
    </xf>
    <xf numFmtId="0" fontId="119" fillId="0" borderId="16" xfId="0" applyFont="1" applyBorder="1" applyAlignment="1">
      <alignment horizontal="center" vertical="center" wrapText="1"/>
    </xf>
    <xf numFmtId="0" fontId="0" fillId="6" borderId="5" xfId="0" applyFill="1" applyBorder="1" applyAlignment="1">
      <alignment horizontal="center"/>
    </xf>
    <xf numFmtId="0" fontId="121" fillId="0" borderId="7" xfId="0" applyFont="1" applyBorder="1" applyAlignment="1">
      <alignment horizontal="center" vertical="center"/>
    </xf>
    <xf numFmtId="0" fontId="119" fillId="6" borderId="5" xfId="0" applyFont="1" applyFill="1" applyBorder="1" applyAlignment="1">
      <alignment horizontal="center" vertical="center" wrapText="1"/>
    </xf>
    <xf numFmtId="44" fontId="0" fillId="0" borderId="93" xfId="344" applyFont="1" applyBorder="1"/>
    <xf numFmtId="44" fontId="0" fillId="0" borderId="94" xfId="344" applyFont="1" applyBorder="1"/>
    <xf numFmtId="44" fontId="0" fillId="0" borderId="94" xfId="0" applyNumberFormat="1" applyBorder="1"/>
    <xf numFmtId="0" fontId="0" fillId="0" borderId="94" xfId="0" applyBorder="1"/>
    <xf numFmtId="44" fontId="0" fillId="0" borderId="95" xfId="344" applyFont="1" applyBorder="1"/>
    <xf numFmtId="10" fontId="0" fillId="0" borderId="93" xfId="1" applyNumberFormat="1" applyFont="1" applyBorder="1"/>
    <xf numFmtId="10" fontId="0" fillId="0" borderId="94" xfId="1" applyNumberFormat="1" applyFont="1" applyBorder="1"/>
    <xf numFmtId="10" fontId="0" fillId="0" borderId="95" xfId="1" applyNumberFormat="1" applyFont="1" applyBorder="1"/>
    <xf numFmtId="169" fontId="88" fillId="0" borderId="13" xfId="216" applyNumberFormat="1" applyFont="1" applyFill="1" applyBorder="1"/>
    <xf numFmtId="169" fontId="88" fillId="0" borderId="0" xfId="211" applyNumberFormat="1" applyFont="1"/>
    <xf numFmtId="14" fontId="122" fillId="0" borderId="0" xfId="211" applyNumberFormat="1" applyFont="1" applyAlignment="1">
      <alignment horizontal="left"/>
    </xf>
    <xf numFmtId="0" fontId="91" fillId="4" borderId="0" xfId="6" applyFont="1" applyFill="1"/>
    <xf numFmtId="44" fontId="88" fillId="0" borderId="0" xfId="344" applyFont="1"/>
    <xf numFmtId="10" fontId="0" fillId="0" borderId="0" xfId="0" applyNumberFormat="1"/>
    <xf numFmtId="0" fontId="0" fillId="0" borderId="0" xfId="0" applyAlignment="1">
      <alignment horizontal="center"/>
    </xf>
    <xf numFmtId="0" fontId="26" fillId="38" borderId="62" xfId="351" applyFont="1" applyFill="1" applyBorder="1" applyAlignment="1">
      <alignment horizontal="center" vertical="center" wrapText="1"/>
    </xf>
    <xf numFmtId="0" fontId="26" fillId="0" borderId="3" xfId="351" applyFont="1" applyBorder="1" applyAlignment="1">
      <alignment horizontal="center" vertical="center" wrapText="1"/>
    </xf>
    <xf numFmtId="0" fontId="26" fillId="0" borderId="82" xfId="351" applyFont="1" applyBorder="1" applyAlignment="1">
      <alignment horizontal="center" vertical="center"/>
    </xf>
    <xf numFmtId="0" fontId="26" fillId="0" borderId="88" xfId="351" applyFont="1" applyBorder="1" applyAlignment="1">
      <alignment horizontal="center" vertical="center"/>
    </xf>
    <xf numFmtId="0" fontId="11" fillId="0" borderId="16" xfId="0" applyFont="1" applyBorder="1" applyAlignment="1">
      <alignment vertical="center" wrapText="1"/>
    </xf>
    <xf numFmtId="10" fontId="11" fillId="0" borderId="16" xfId="352" applyNumberFormat="1" applyFont="1" applyBorder="1"/>
    <xf numFmtId="0" fontId="11" fillId="0" borderId="16" xfId="0" applyFont="1" applyBorder="1"/>
    <xf numFmtId="0" fontId="26" fillId="38" borderId="18" xfId="351" applyFont="1" applyFill="1" applyBorder="1" applyAlignment="1">
      <alignment horizontal="center" vertical="center" wrapText="1"/>
    </xf>
    <xf numFmtId="0" fontId="26" fillId="38" borderId="15" xfId="351" applyFont="1" applyFill="1" applyBorder="1" applyAlignment="1">
      <alignment horizontal="center" vertical="center" wrapText="1"/>
    </xf>
    <xf numFmtId="0" fontId="26" fillId="38" borderId="24" xfId="351" applyFont="1" applyFill="1" applyBorder="1" applyAlignment="1">
      <alignment horizontal="center" vertical="center" wrapText="1"/>
    </xf>
    <xf numFmtId="0" fontId="26" fillId="5" borderId="18" xfId="351" applyFont="1" applyFill="1" applyBorder="1" applyAlignment="1">
      <alignment horizontal="center" vertical="center" wrapText="1"/>
    </xf>
    <xf numFmtId="0" fontId="26" fillId="39" borderId="0" xfId="351" applyFont="1" applyFill="1" applyAlignment="1">
      <alignment horizontal="center" vertical="center" wrapText="1"/>
    </xf>
    <xf numFmtId="0" fontId="26" fillId="39" borderId="37" xfId="351" applyFont="1" applyFill="1" applyBorder="1" applyAlignment="1">
      <alignment horizontal="center" vertical="center"/>
    </xf>
    <xf numFmtId="0" fontId="26" fillId="39" borderId="30" xfId="351" applyFont="1" applyFill="1" applyBorder="1" applyAlignment="1">
      <alignment horizontal="center" vertical="center"/>
    </xf>
    <xf numFmtId="0" fontId="11" fillId="39" borderId="0" xfId="0" applyFont="1" applyFill="1"/>
    <xf numFmtId="0" fontId="15" fillId="39" borderId="0" xfId="0" applyFont="1" applyFill="1" applyAlignment="1">
      <alignment horizontal="center" vertical="center"/>
    </xf>
    <xf numFmtId="0" fontId="15" fillId="39" borderId="11" xfId="0" applyFont="1" applyFill="1" applyBorder="1" applyAlignment="1">
      <alignment horizontal="center" vertical="center"/>
    </xf>
    <xf numFmtId="0" fontId="15" fillId="39" borderId="13" xfId="0" applyFont="1" applyFill="1" applyBorder="1" applyAlignment="1">
      <alignment horizontal="center" vertical="center"/>
    </xf>
    <xf numFmtId="0" fontId="11" fillId="39" borderId="0" xfId="0" applyFont="1" applyFill="1" applyAlignment="1">
      <alignment vertical="center" wrapText="1"/>
    </xf>
    <xf numFmtId="10" fontId="11" fillId="39" borderId="0" xfId="352" applyNumberFormat="1" applyFont="1" applyFill="1" applyBorder="1"/>
    <xf numFmtId="0" fontId="26" fillId="39" borderId="5" xfId="351" applyFont="1" applyFill="1" applyBorder="1" applyAlignment="1">
      <alignment horizontal="center" vertical="center" wrapText="1"/>
    </xf>
    <xf numFmtId="0" fontId="26" fillId="39" borderId="11" xfId="351" applyFont="1" applyFill="1" applyBorder="1" applyAlignment="1">
      <alignment horizontal="center" vertical="center" wrapText="1"/>
    </xf>
    <xf numFmtId="0" fontId="11" fillId="0" borderId="0" xfId="0" applyFont="1" applyAlignment="1">
      <alignment vertical="center" wrapText="1"/>
    </xf>
    <xf numFmtId="10" fontId="11" fillId="0" borderId="0" xfId="352" applyNumberFormat="1" applyFont="1" applyBorder="1"/>
    <xf numFmtId="0" fontId="25" fillId="40" borderId="36" xfId="351" applyFont="1" applyFill="1" applyBorder="1" applyAlignment="1">
      <alignment horizontal="center"/>
    </xf>
    <xf numFmtId="6" fontId="26" fillId="0" borderId="47" xfId="351" applyNumberFormat="1" applyFont="1" applyBorder="1" applyAlignment="1">
      <alignment horizontal="center"/>
    </xf>
    <xf numFmtId="6" fontId="26" fillId="0" borderId="35" xfId="351" applyNumberFormat="1" applyFont="1" applyBorder="1" applyAlignment="1">
      <alignment horizontal="center"/>
    </xf>
    <xf numFmtId="0" fontId="13" fillId="0" borderId="79" xfId="353" applyFont="1" applyBorder="1" applyAlignment="1">
      <alignment horizontal="left" wrapText="1"/>
    </xf>
    <xf numFmtId="0" fontId="13" fillId="0" borderId="100" xfId="353" applyFont="1" applyBorder="1" applyAlignment="1">
      <alignment wrapText="1"/>
    </xf>
    <xf numFmtId="0" fontId="13" fillId="0" borderId="100" xfId="353" applyFont="1" applyBorder="1" applyAlignment="1">
      <alignment horizontal="center" wrapText="1"/>
    </xf>
    <xf numFmtId="182" fontId="13" fillId="41" borderId="100" xfId="353" applyNumberFormat="1" applyFont="1" applyFill="1" applyBorder="1" applyAlignment="1">
      <alignment horizontal="right" wrapText="1"/>
    </xf>
    <xf numFmtId="0" fontId="13" fillId="0" borderId="101" xfId="353" applyFont="1" applyBorder="1"/>
    <xf numFmtId="0" fontId="13" fillId="0" borderId="102" xfId="353" applyFont="1" applyBorder="1" applyAlignment="1">
      <alignment horizontal="center" wrapText="1"/>
    </xf>
    <xf numFmtId="0" fontId="13" fillId="0" borderId="103" xfId="353" applyFont="1" applyBorder="1" applyAlignment="1">
      <alignment wrapText="1"/>
    </xf>
    <xf numFmtId="182" fontId="13" fillId="41" borderId="104" xfId="353" applyNumberFormat="1" applyFont="1" applyFill="1" applyBorder="1" applyAlignment="1">
      <alignment horizontal="right" wrapText="1"/>
    </xf>
    <xf numFmtId="169" fontId="11" fillId="0" borderId="0" xfId="354" applyNumberFormat="1" applyFont="1" applyBorder="1"/>
    <xf numFmtId="169" fontId="11" fillId="0" borderId="0" xfId="0" applyNumberFormat="1" applyFont="1"/>
    <xf numFmtId="182" fontId="13" fillId="41" borderId="105" xfId="353" applyNumberFormat="1" applyFont="1" applyFill="1" applyBorder="1" applyAlignment="1">
      <alignment horizontal="right" wrapText="1"/>
    </xf>
    <xf numFmtId="182" fontId="13" fillId="41" borderId="11" xfId="353" applyNumberFormat="1" applyFont="1" applyFill="1" applyBorder="1" applyAlignment="1">
      <alignment horizontal="right" wrapText="1"/>
    </xf>
    <xf numFmtId="5" fontId="0" fillId="5" borderId="14" xfId="0" applyNumberFormat="1" applyFill="1" applyBorder="1"/>
    <xf numFmtId="0" fontId="25" fillId="34" borderId="106" xfId="351" applyFont="1" applyFill="1" applyBorder="1" applyAlignment="1">
      <alignment horizontal="center"/>
    </xf>
    <xf numFmtId="6" fontId="26" fillId="0" borderId="107" xfId="351" applyNumberFormat="1" applyFont="1" applyBorder="1" applyAlignment="1">
      <alignment horizontal="center"/>
    </xf>
    <xf numFmtId="6" fontId="26" fillId="0" borderId="108" xfId="351" applyNumberFormat="1" applyFont="1" applyBorder="1" applyAlignment="1">
      <alignment horizontal="center"/>
    </xf>
    <xf numFmtId="0" fontId="13" fillId="0" borderId="79" xfId="353" applyFont="1" applyBorder="1" applyAlignment="1">
      <alignment wrapText="1"/>
    </xf>
    <xf numFmtId="0" fontId="13" fillId="0" borderId="79" xfId="353" applyFont="1" applyBorder="1" applyAlignment="1">
      <alignment horizontal="center" wrapText="1"/>
    </xf>
    <xf numFmtId="182" fontId="13" fillId="41" borderId="79" xfId="353" applyNumberFormat="1" applyFont="1" applyFill="1" applyBorder="1" applyAlignment="1">
      <alignment horizontal="right" wrapText="1"/>
    </xf>
    <xf numFmtId="0" fontId="13" fillId="0" borderId="97" xfId="353" applyFont="1" applyBorder="1"/>
    <xf numFmtId="0" fontId="13" fillId="0" borderId="79" xfId="353" applyFont="1" applyBorder="1" applyAlignment="1">
      <alignment horizontal="center" vertical="center" wrapText="1"/>
    </xf>
    <xf numFmtId="0" fontId="13" fillId="0" borderId="98" xfId="353" applyFont="1" applyBorder="1" applyAlignment="1">
      <alignment horizontal="center" wrapText="1"/>
    </xf>
    <xf numFmtId="0" fontId="13" fillId="0" borderId="99" xfId="353" applyFont="1" applyBorder="1" applyAlignment="1">
      <alignment horizontal="left"/>
    </xf>
    <xf numFmtId="182" fontId="13" fillId="41" borderId="109" xfId="353" applyNumberFormat="1" applyFont="1" applyFill="1" applyBorder="1" applyAlignment="1">
      <alignment horizontal="right" wrapText="1"/>
    </xf>
    <xf numFmtId="169" fontId="11" fillId="0" borderId="7" xfId="0" applyNumberFormat="1" applyFont="1" applyBorder="1"/>
    <xf numFmtId="182" fontId="13" fillId="41" borderId="110" xfId="353" applyNumberFormat="1" applyFont="1" applyFill="1" applyBorder="1" applyAlignment="1">
      <alignment horizontal="right" wrapText="1"/>
    </xf>
    <xf numFmtId="182" fontId="13" fillId="41" borderId="111" xfId="353" applyNumberFormat="1" applyFont="1" applyFill="1" applyBorder="1" applyAlignment="1">
      <alignment horizontal="right" wrapText="1"/>
    </xf>
    <xf numFmtId="6" fontId="125" fillId="0" borderId="0" xfId="0" applyNumberFormat="1" applyFont="1"/>
    <xf numFmtId="0" fontId="0" fillId="0" borderId="0" xfId="0" applyAlignment="1">
      <alignment vertical="center"/>
    </xf>
    <xf numFmtId="8" fontId="0" fillId="0" borderId="0" xfId="0" applyNumberFormat="1"/>
    <xf numFmtId="0" fontId="11" fillId="0" borderId="11" xfId="0" applyFont="1" applyBorder="1"/>
    <xf numFmtId="0" fontId="11" fillId="0" borderId="0" xfId="0" applyFont="1" applyAlignment="1">
      <alignment horizontal="left"/>
    </xf>
    <xf numFmtId="0" fontId="11" fillId="0" borderId="32" xfId="0" applyFont="1" applyBorder="1"/>
    <xf numFmtId="0" fontId="11" fillId="0" borderId="13" xfId="0" applyFont="1" applyBorder="1"/>
    <xf numFmtId="182" fontId="13" fillId="0" borderId="110" xfId="353" applyNumberFormat="1" applyFont="1" applyBorder="1" applyAlignment="1">
      <alignment horizontal="right" wrapText="1"/>
    </xf>
    <xf numFmtId="182" fontId="13" fillId="0" borderId="11" xfId="353" applyNumberFormat="1" applyFont="1" applyBorder="1" applyAlignment="1">
      <alignment horizontal="right" wrapText="1"/>
    </xf>
    <xf numFmtId="0" fontId="13" fillId="0" borderId="99" xfId="353" applyFont="1" applyBorder="1" applyAlignment="1">
      <alignment wrapText="1"/>
    </xf>
    <xf numFmtId="0" fontId="26" fillId="0" borderId="16" xfId="351" applyFont="1" applyBorder="1" applyAlignment="1">
      <alignment horizontal="center" vertical="center" wrapText="1"/>
    </xf>
    <xf numFmtId="0" fontId="26" fillId="0" borderId="112" xfId="351" applyFont="1" applyBorder="1" applyAlignment="1">
      <alignment horizontal="center" vertical="center"/>
    </xf>
    <xf numFmtId="0" fontId="26" fillId="0" borderId="23" xfId="351" applyFont="1" applyBorder="1" applyAlignment="1">
      <alignment horizontal="center" vertical="center"/>
    </xf>
    <xf numFmtId="182" fontId="13" fillId="0" borderId="14" xfId="353" applyNumberFormat="1" applyFont="1" applyBorder="1" applyAlignment="1">
      <alignment horizontal="right" wrapText="1"/>
    </xf>
    <xf numFmtId="0" fontId="124" fillId="0" borderId="0" xfId="0" applyFont="1" applyAlignment="1">
      <alignment horizontal="left"/>
    </xf>
    <xf numFmtId="0" fontId="25" fillId="42" borderId="36" xfId="351" applyFont="1" applyFill="1" applyBorder="1" applyAlignment="1">
      <alignment horizontal="center"/>
    </xf>
    <xf numFmtId="177" fontId="13" fillId="41" borderId="14" xfId="350" applyNumberFormat="1" applyFont="1" applyFill="1" applyBorder="1" applyAlignment="1">
      <alignment horizontal="right" wrapText="1"/>
    </xf>
    <xf numFmtId="0" fontId="11" fillId="0" borderId="39" xfId="0" applyFont="1" applyBorder="1"/>
    <xf numFmtId="0" fontId="11" fillId="0" borderId="12" xfId="0" applyFont="1" applyBorder="1" applyAlignment="1">
      <alignment horizontal="center" vertical="center"/>
    </xf>
    <xf numFmtId="0" fontId="11" fillId="0" borderId="12" xfId="0" applyFont="1" applyBorder="1" applyAlignment="1">
      <alignment horizontal="center"/>
    </xf>
    <xf numFmtId="0" fontId="11" fillId="0" borderId="25" xfId="0" applyFont="1" applyBorder="1"/>
    <xf numFmtId="0" fontId="11" fillId="0" borderId="59" xfId="0" applyFont="1" applyBorder="1"/>
    <xf numFmtId="0" fontId="11" fillId="0" borderId="12" xfId="0" applyFont="1" applyBorder="1" applyAlignment="1">
      <alignment vertical="center" wrapText="1"/>
    </xf>
    <xf numFmtId="10" fontId="11" fillId="0" borderId="12" xfId="352" applyNumberFormat="1" applyFont="1" applyBorder="1"/>
    <xf numFmtId="169" fontId="11" fillId="0" borderId="12" xfId="0" applyNumberFormat="1" applyFont="1" applyBorder="1"/>
    <xf numFmtId="0" fontId="25" fillId="34" borderId="36" xfId="351" applyFont="1" applyFill="1" applyBorder="1" applyAlignment="1">
      <alignment horizontal="center"/>
    </xf>
    <xf numFmtId="0" fontId="13" fillId="0" borderId="113" xfId="353" applyFont="1" applyBorder="1"/>
    <xf numFmtId="0" fontId="13" fillId="0" borderId="114" xfId="353" applyFont="1" applyBorder="1" applyAlignment="1">
      <alignment horizontal="center" vertical="center" wrapText="1"/>
    </xf>
    <xf numFmtId="0" fontId="13" fillId="0" borderId="115" xfId="353" applyFont="1" applyBorder="1" applyAlignment="1">
      <alignment horizontal="center" wrapText="1"/>
    </xf>
    <xf numFmtId="0" fontId="13" fillId="0" borderId="116" xfId="353" applyFont="1" applyBorder="1" applyAlignment="1">
      <alignment wrapText="1"/>
    </xf>
    <xf numFmtId="182" fontId="13" fillId="41" borderId="117" xfId="353" applyNumberFormat="1" applyFont="1" applyFill="1" applyBorder="1" applyAlignment="1">
      <alignment horizontal="right" wrapText="1"/>
    </xf>
    <xf numFmtId="0" fontId="11" fillId="0" borderId="28" xfId="0" applyFont="1" applyBorder="1"/>
    <xf numFmtId="169" fontId="11" fillId="0" borderId="28" xfId="354" applyNumberFormat="1" applyFont="1" applyBorder="1"/>
    <xf numFmtId="169" fontId="11" fillId="0" borderId="28" xfId="0" applyNumberFormat="1" applyFont="1" applyBorder="1"/>
    <xf numFmtId="182" fontId="13" fillId="41" borderId="118" xfId="353" applyNumberFormat="1" applyFont="1" applyFill="1" applyBorder="1" applyAlignment="1">
      <alignment horizontal="right" wrapText="1"/>
    </xf>
    <xf numFmtId="182" fontId="13" fillId="41" borderId="14" xfId="353" applyNumberFormat="1" applyFont="1" applyFill="1" applyBorder="1" applyAlignment="1">
      <alignment horizontal="right" wrapText="1"/>
    </xf>
    <xf numFmtId="8" fontId="125" fillId="0" borderId="0" xfId="0" applyNumberFormat="1" applyFont="1"/>
    <xf numFmtId="0" fontId="13" fillId="0" borderId="114" xfId="353" applyFont="1" applyBorder="1" applyAlignment="1">
      <alignment wrapText="1"/>
    </xf>
    <xf numFmtId="0" fontId="13" fillId="0" borderId="114" xfId="353" applyFont="1" applyBorder="1" applyAlignment="1">
      <alignment horizontal="center" wrapText="1"/>
    </xf>
    <xf numFmtId="182" fontId="13" fillId="41" borderId="114" xfId="353" applyNumberFormat="1" applyFont="1" applyFill="1" applyBorder="1" applyAlignment="1">
      <alignment horizontal="right" wrapText="1"/>
    </xf>
    <xf numFmtId="0" fontId="13" fillId="0" borderId="119" xfId="353" applyFont="1" applyBorder="1"/>
    <xf numFmtId="0" fontId="13" fillId="0" borderId="120" xfId="353" applyFont="1" applyBorder="1" applyAlignment="1">
      <alignment horizontal="center" vertical="center" wrapText="1"/>
    </xf>
    <xf numFmtId="0" fontId="13" fillId="0" borderId="121" xfId="353" applyFont="1" applyBorder="1" applyAlignment="1">
      <alignment horizontal="center" wrapText="1"/>
    </xf>
    <xf numFmtId="0" fontId="13" fillId="0" borderId="122" xfId="353" applyFont="1" applyBorder="1" applyAlignment="1">
      <alignment wrapText="1"/>
    </xf>
    <xf numFmtId="182" fontId="13" fillId="41" borderId="123" xfId="353" applyNumberFormat="1" applyFont="1" applyFill="1" applyBorder="1" applyAlignment="1">
      <alignment horizontal="right" wrapText="1"/>
    </xf>
    <xf numFmtId="0" fontId="0" fillId="0" borderId="0" xfId="0" applyAlignment="1">
      <alignment horizontal="left"/>
    </xf>
    <xf numFmtId="6" fontId="26" fillId="0" borderId="7" xfId="351" applyNumberFormat="1" applyFont="1" applyBorder="1" applyAlignment="1">
      <alignment horizontal="center"/>
    </xf>
    <xf numFmtId="0" fontId="13" fillId="0" borderId="7" xfId="353" applyFont="1" applyBorder="1" applyAlignment="1">
      <alignment horizontal="left" wrapText="1"/>
    </xf>
    <xf numFmtId="0" fontId="13" fillId="0" borderId="7" xfId="353" applyFont="1" applyBorder="1" applyAlignment="1">
      <alignment wrapText="1"/>
    </xf>
    <xf numFmtId="0" fontId="13" fillId="0" borderId="7" xfId="353" applyFont="1" applyBorder="1" applyAlignment="1">
      <alignment horizontal="center" wrapText="1"/>
    </xf>
    <xf numFmtId="182" fontId="13" fillId="41" borderId="7" xfId="353" applyNumberFormat="1" applyFont="1" applyFill="1" applyBorder="1" applyAlignment="1">
      <alignment horizontal="right" wrapText="1"/>
    </xf>
    <xf numFmtId="0" fontId="11" fillId="0" borderId="7" xfId="0" applyFont="1" applyBorder="1"/>
    <xf numFmtId="0" fontId="13" fillId="0" borderId="7" xfId="353" applyFont="1" applyBorder="1" applyAlignment="1">
      <alignment horizontal="center" vertical="center" wrapText="1"/>
    </xf>
    <xf numFmtId="169" fontId="11" fillId="0" borderId="7" xfId="354" applyNumberFormat="1" applyFont="1" applyBorder="1"/>
    <xf numFmtId="182" fontId="13" fillId="41" borderId="10" xfId="353" applyNumberFormat="1" applyFont="1" applyFill="1" applyBorder="1" applyAlignment="1">
      <alignment horizontal="right" wrapText="1"/>
    </xf>
    <xf numFmtId="177" fontId="13" fillId="41" borderId="10" xfId="350" applyNumberFormat="1" applyFont="1" applyFill="1" applyBorder="1" applyAlignment="1">
      <alignment horizontal="right" wrapText="1"/>
    </xf>
    <xf numFmtId="5" fontId="0" fillId="5" borderId="10" xfId="0" applyNumberFormat="1" applyFill="1" applyBorder="1"/>
    <xf numFmtId="0" fontId="11" fillId="0" borderId="15" xfId="0" applyFont="1" applyBorder="1"/>
    <xf numFmtId="0" fontId="11" fillId="0" borderId="16" xfId="0" applyFont="1" applyBorder="1" applyAlignment="1">
      <alignment horizontal="center"/>
    </xf>
    <xf numFmtId="182" fontId="11" fillId="0" borderId="16" xfId="0" applyNumberFormat="1" applyFont="1" applyBorder="1"/>
    <xf numFmtId="182" fontId="15" fillId="5" borderId="17" xfId="0" applyNumberFormat="1" applyFont="1" applyFill="1" applyBorder="1"/>
    <xf numFmtId="169" fontId="15" fillId="5" borderId="17" xfId="0" applyNumberFormat="1" applyFont="1" applyFill="1" applyBorder="1"/>
    <xf numFmtId="182" fontId="13" fillId="0" borderId="18" xfId="353" applyNumberFormat="1" applyFont="1" applyBorder="1" applyAlignment="1">
      <alignment horizontal="right" wrapText="1"/>
    </xf>
    <xf numFmtId="10" fontId="126" fillId="43" borderId="18" xfId="352" applyNumberFormat="1" applyFont="1" applyFill="1" applyBorder="1"/>
    <xf numFmtId="182" fontId="11" fillId="43" borderId="15" xfId="0" applyNumberFormat="1" applyFont="1" applyFill="1" applyBorder="1"/>
    <xf numFmtId="182" fontId="11" fillId="43" borderId="17" xfId="0" applyNumberFormat="1" applyFont="1" applyFill="1" applyBorder="1"/>
    <xf numFmtId="7" fontId="0" fillId="5" borderId="18" xfId="0" applyNumberFormat="1" applyFill="1" applyBorder="1"/>
    <xf numFmtId="10" fontId="0" fillId="0" borderId="0" xfId="352" applyNumberFormat="1" applyFont="1"/>
    <xf numFmtId="182" fontId="11" fillId="0" borderId="0" xfId="0" applyNumberFormat="1" applyFont="1"/>
    <xf numFmtId="10" fontId="11" fillId="0" borderId="0" xfId="352" applyNumberFormat="1" applyFont="1"/>
    <xf numFmtId="0" fontId="93" fillId="38" borderId="5" xfId="355" applyFont="1" applyFill="1" applyBorder="1" applyAlignment="1">
      <alignment horizontal="center" vertical="center" wrapText="1"/>
    </xf>
    <xf numFmtId="0" fontId="26" fillId="38" borderId="5" xfId="356" applyFont="1" applyFill="1" applyBorder="1" applyAlignment="1">
      <alignment horizontal="center" vertical="center" wrapText="1"/>
    </xf>
    <xf numFmtId="0" fontId="26" fillId="38" borderId="5" xfId="351" applyFont="1" applyFill="1" applyBorder="1" applyAlignment="1">
      <alignment horizontal="center" vertical="center" wrapText="1"/>
    </xf>
    <xf numFmtId="0" fontId="26" fillId="5" borderId="5" xfId="351" applyFont="1" applyFill="1" applyBorder="1" applyAlignment="1">
      <alignment horizontal="center" vertical="center" wrapText="1"/>
    </xf>
    <xf numFmtId="0" fontId="0" fillId="38" borderId="3" xfId="0" applyFill="1" applyBorder="1"/>
    <xf numFmtId="0" fontId="11" fillId="38" borderId="3" xfId="0" applyFont="1" applyFill="1" applyBorder="1"/>
    <xf numFmtId="0" fontId="26" fillId="38" borderId="4" xfId="356" applyFont="1" applyFill="1" applyBorder="1" applyAlignment="1">
      <alignment horizontal="center" vertical="center" wrapText="1"/>
    </xf>
    <xf numFmtId="3" fontId="0" fillId="0" borderId="34" xfId="0" applyNumberFormat="1" applyBorder="1"/>
    <xf numFmtId="0" fontId="0" fillId="0" borderId="34" xfId="0" applyBorder="1"/>
    <xf numFmtId="0" fontId="0" fillId="0" borderId="34" xfId="0" applyBorder="1" applyAlignment="1">
      <alignment horizontal="center"/>
    </xf>
    <xf numFmtId="182" fontId="0" fillId="0" borderId="34" xfId="0" applyNumberFormat="1" applyBorder="1" applyAlignment="1">
      <alignment horizontal="center"/>
    </xf>
    <xf numFmtId="5" fontId="0" fillId="0" borderId="34" xfId="0" applyNumberFormat="1" applyBorder="1" applyAlignment="1">
      <alignment horizontal="center"/>
    </xf>
    <xf numFmtId="0" fontId="0" fillId="0" borderId="12" xfId="0" applyBorder="1"/>
    <xf numFmtId="0" fontId="11" fillId="0" borderId="12" xfId="0" applyFont="1" applyBorder="1"/>
    <xf numFmtId="182" fontId="0" fillId="0" borderId="0" xfId="0" applyNumberFormat="1"/>
    <xf numFmtId="177" fontId="0" fillId="0" borderId="0" xfId="0" applyNumberFormat="1"/>
    <xf numFmtId="3" fontId="0" fillId="0" borderId="28" xfId="0" applyNumberFormat="1" applyBorder="1"/>
    <xf numFmtId="0" fontId="13" fillId="0" borderId="28" xfId="353" applyFont="1" applyBorder="1" applyAlignment="1">
      <alignment wrapText="1"/>
    </xf>
    <xf numFmtId="0" fontId="13" fillId="0" borderId="28" xfId="353" applyFont="1" applyBorder="1" applyAlignment="1">
      <alignment horizontal="center" wrapText="1"/>
    </xf>
    <xf numFmtId="182" fontId="13" fillId="44" borderId="28" xfId="353" applyNumberFormat="1" applyFont="1" applyFill="1" applyBorder="1" applyAlignment="1">
      <alignment horizontal="right" wrapText="1"/>
    </xf>
    <xf numFmtId="0" fontId="0" fillId="0" borderId="28" xfId="0" applyBorder="1"/>
    <xf numFmtId="182" fontId="13" fillId="41" borderId="124" xfId="353" applyNumberFormat="1" applyFont="1" applyFill="1" applyBorder="1" applyAlignment="1">
      <alignment horizontal="right" wrapText="1"/>
    </xf>
    <xf numFmtId="182" fontId="13" fillId="41" borderId="125" xfId="353" applyNumberFormat="1" applyFont="1" applyFill="1" applyBorder="1" applyAlignment="1">
      <alignment horizontal="right" wrapText="1"/>
    </xf>
    <xf numFmtId="0" fontId="26" fillId="39" borderId="64" xfId="351" applyFont="1" applyFill="1" applyBorder="1" applyAlignment="1">
      <alignment horizontal="center" vertical="center" wrapText="1"/>
    </xf>
    <xf numFmtId="182" fontId="13" fillId="41" borderId="126" xfId="353" applyNumberFormat="1" applyFont="1" applyFill="1" applyBorder="1" applyAlignment="1">
      <alignment horizontal="right" wrapText="1"/>
    </xf>
    <xf numFmtId="182" fontId="13" fillId="41" borderId="127" xfId="353" applyNumberFormat="1" applyFont="1" applyFill="1" applyBorder="1" applyAlignment="1">
      <alignment horizontal="right" wrapText="1"/>
    </xf>
    <xf numFmtId="182" fontId="13" fillId="0" borderId="44" xfId="353" applyNumberFormat="1" applyFont="1" applyBorder="1" applyAlignment="1">
      <alignment horizontal="right" wrapText="1"/>
    </xf>
    <xf numFmtId="182" fontId="13" fillId="41" borderId="44" xfId="353" applyNumberFormat="1" applyFont="1" applyFill="1" applyBorder="1" applyAlignment="1">
      <alignment horizontal="right" wrapText="1"/>
    </xf>
    <xf numFmtId="6" fontId="26" fillId="0" borderId="28" xfId="351" applyNumberFormat="1" applyFont="1" applyBorder="1" applyAlignment="1">
      <alignment horizontal="center"/>
    </xf>
    <xf numFmtId="0" fontId="13" fillId="0" borderId="28" xfId="353" applyFont="1" applyBorder="1" applyAlignment="1">
      <alignment horizontal="left" wrapText="1"/>
    </xf>
    <xf numFmtId="182" fontId="13" fillId="41" borderId="28" xfId="353" applyNumberFormat="1" applyFont="1" applyFill="1" applyBorder="1" applyAlignment="1">
      <alignment horizontal="right" wrapText="1"/>
    </xf>
    <xf numFmtId="0" fontId="13" fillId="0" borderId="28" xfId="353" applyFont="1" applyBorder="1" applyAlignment="1">
      <alignment horizontal="center" vertical="center" wrapText="1"/>
    </xf>
    <xf numFmtId="0" fontId="13" fillId="0" borderId="38" xfId="353" applyFont="1" applyBorder="1" applyAlignment="1">
      <alignment wrapText="1"/>
    </xf>
    <xf numFmtId="0" fontId="25" fillId="42" borderId="11" xfId="351" applyFont="1" applyFill="1" applyBorder="1" applyAlignment="1">
      <alignment horizontal="center"/>
    </xf>
    <xf numFmtId="0" fontId="25" fillId="40" borderId="95" xfId="351" applyFont="1" applyFill="1" applyBorder="1" applyAlignment="1">
      <alignment horizontal="center"/>
    </xf>
    <xf numFmtId="0" fontId="13" fillId="0" borderId="34" xfId="353" applyFont="1" applyBorder="1" applyAlignment="1">
      <alignment wrapText="1"/>
    </xf>
    <xf numFmtId="0" fontId="13" fillId="0" borderId="34" xfId="353" applyFont="1" applyBorder="1" applyAlignment="1">
      <alignment horizontal="center" vertical="center" wrapText="1"/>
    </xf>
    <xf numFmtId="0" fontId="13" fillId="0" borderId="34" xfId="353" applyFont="1" applyBorder="1" applyAlignment="1">
      <alignment horizontal="center" wrapText="1"/>
    </xf>
    <xf numFmtId="10" fontId="11" fillId="0" borderId="0" xfId="354" applyNumberFormat="1" applyFont="1" applyBorder="1"/>
    <xf numFmtId="10" fontId="11" fillId="0" borderId="0" xfId="1" applyNumberFormat="1" applyFont="1" applyAlignment="1">
      <alignment horizontal="center"/>
    </xf>
    <xf numFmtId="44" fontId="40" fillId="0" borderId="0" xfId="344" applyFont="1"/>
    <xf numFmtId="0" fontId="26" fillId="39" borderId="1" xfId="351" applyFont="1" applyFill="1" applyBorder="1" applyAlignment="1">
      <alignment horizontal="center" vertical="center" wrapText="1"/>
    </xf>
    <xf numFmtId="182" fontId="13" fillId="0" borderId="0" xfId="353" applyNumberFormat="1" applyFont="1" applyAlignment="1">
      <alignment horizontal="right" wrapText="1"/>
    </xf>
    <xf numFmtId="5" fontId="0" fillId="5" borderId="13" xfId="0" applyNumberFormat="1" applyFill="1" applyBorder="1"/>
    <xf numFmtId="182" fontId="13" fillId="41" borderId="6" xfId="353" applyNumberFormat="1" applyFont="1" applyFill="1" applyBorder="1" applyAlignment="1">
      <alignment horizontal="right" wrapText="1"/>
    </xf>
    <xf numFmtId="177" fontId="13" fillId="41" borderId="5" xfId="350" applyNumberFormat="1" applyFont="1" applyFill="1" applyBorder="1" applyAlignment="1">
      <alignment horizontal="right" wrapText="1"/>
    </xf>
    <xf numFmtId="0" fontId="26" fillId="0" borderId="3" xfId="355" applyFont="1" applyBorder="1" applyAlignment="1">
      <alignment horizontal="center" vertical="center" wrapText="1"/>
    </xf>
    <xf numFmtId="0" fontId="0" fillId="0" borderId="3" xfId="0" applyBorder="1"/>
    <xf numFmtId="0" fontId="0" fillId="0" borderId="3" xfId="0" applyBorder="1" applyAlignment="1">
      <alignment horizontal="center"/>
    </xf>
    <xf numFmtId="0" fontId="0" fillId="40" borderId="33" xfId="0" applyFill="1" applyBorder="1"/>
    <xf numFmtId="5" fontId="0" fillId="0" borderId="43" xfId="0" applyNumberFormat="1" applyBorder="1" applyAlignment="1">
      <alignment horizontal="center"/>
    </xf>
    <xf numFmtId="0" fontId="0" fillId="34" borderId="33" xfId="0" applyFill="1" applyBorder="1"/>
    <xf numFmtId="0" fontId="0" fillId="42" borderId="27" xfId="0" applyFill="1" applyBorder="1"/>
    <xf numFmtId="0" fontId="0" fillId="0" borderId="6" xfId="0" applyBorder="1"/>
    <xf numFmtId="0" fontId="0" fillId="0" borderId="7" xfId="0" applyBorder="1"/>
    <xf numFmtId="0" fontId="0" fillId="0" borderId="7" xfId="0" applyBorder="1" applyAlignment="1">
      <alignment horizontal="center"/>
    </xf>
    <xf numFmtId="182" fontId="0" fillId="0" borderId="7" xfId="0" applyNumberFormat="1" applyBorder="1" applyAlignment="1">
      <alignment horizontal="center"/>
    </xf>
    <xf numFmtId="5" fontId="0" fillId="0" borderId="7" xfId="0" applyNumberFormat="1" applyBorder="1" applyAlignment="1">
      <alignment horizontal="center"/>
    </xf>
    <xf numFmtId="5" fontId="0" fillId="0" borderId="9" xfId="0" applyNumberFormat="1" applyBorder="1" applyAlignment="1">
      <alignment horizontal="center"/>
    </xf>
    <xf numFmtId="182" fontId="0" fillId="0" borderId="52" xfId="0" applyNumberFormat="1" applyBorder="1" applyAlignment="1">
      <alignment horizontal="center"/>
    </xf>
    <xf numFmtId="5" fontId="0" fillId="0" borderId="53" xfId="0" applyNumberFormat="1" applyBorder="1" applyAlignment="1">
      <alignment horizontal="center"/>
    </xf>
    <xf numFmtId="0" fontId="2" fillId="0" borderId="0" xfId="6" applyFont="1"/>
    <xf numFmtId="167" fontId="89" fillId="0" borderId="3" xfId="135" applyNumberFormat="1" applyFont="1" applyBorder="1" applyAlignment="1">
      <alignment horizontal="center"/>
    </xf>
    <xf numFmtId="165" fontId="25" fillId="0" borderId="0" xfId="11" applyNumberFormat="1" applyFont="1"/>
    <xf numFmtId="0" fontId="128" fillId="0" borderId="0" xfId="11" applyFont="1"/>
    <xf numFmtId="169" fontId="88" fillId="0" borderId="0" xfId="211" applyNumberFormat="1" applyFont="1" applyAlignment="1">
      <alignment horizontal="center"/>
    </xf>
    <xf numFmtId="169" fontId="88" fillId="0" borderId="0" xfId="135" applyNumberFormat="1" applyFont="1" applyAlignment="1">
      <alignment wrapText="1"/>
    </xf>
    <xf numFmtId="167" fontId="89" fillId="0" borderId="5" xfId="135" applyNumberFormat="1" applyFont="1" applyBorder="1" applyAlignment="1">
      <alignment horizontal="center"/>
    </xf>
    <xf numFmtId="167" fontId="88" fillId="0" borderId="1" xfId="135" applyNumberFormat="1" applyFont="1" applyBorder="1"/>
    <xf numFmtId="175" fontId="88" fillId="0" borderId="6" xfId="211" applyNumberFormat="1" applyFont="1" applyBorder="1"/>
    <xf numFmtId="6" fontId="88" fillId="0" borderId="7" xfId="135" applyNumberFormat="1" applyFont="1" applyBorder="1" applyAlignment="1">
      <alignment horizontal="center"/>
    </xf>
    <xf numFmtId="167" fontId="88" fillId="0" borderId="64" xfId="135" applyNumberFormat="1" applyFont="1" applyBorder="1"/>
    <xf numFmtId="167" fontId="88" fillId="0" borderId="44" xfId="135" applyNumberFormat="1" applyFont="1" applyBorder="1"/>
    <xf numFmtId="0" fontId="88" fillId="0" borderId="44" xfId="211" applyFont="1" applyBorder="1"/>
    <xf numFmtId="0" fontId="88" fillId="4" borderId="44" xfId="6" applyFont="1" applyFill="1" applyBorder="1"/>
    <xf numFmtId="0" fontId="88" fillId="0" borderId="65" xfId="156" applyFont="1" applyBorder="1" applyAlignment="1">
      <alignment horizontal="left" vertical="center" wrapText="1"/>
    </xf>
    <xf numFmtId="0" fontId="129" fillId="0" borderId="0" xfId="211" applyFont="1"/>
    <xf numFmtId="0" fontId="78" fillId="4" borderId="34" xfId="212" applyFont="1" applyFill="1" applyBorder="1" applyAlignment="1">
      <alignment vertical="center"/>
    </xf>
    <xf numFmtId="0" fontId="78" fillId="4" borderId="52" xfId="212" applyFont="1" applyFill="1" applyBorder="1" applyAlignment="1">
      <alignment vertical="center"/>
    </xf>
    <xf numFmtId="0" fontId="83" fillId="4" borderId="57" xfId="212" applyFont="1" applyFill="1" applyBorder="1" applyAlignment="1">
      <alignment vertical="center"/>
    </xf>
    <xf numFmtId="5" fontId="83" fillId="4" borderId="0" xfId="156" applyNumberFormat="1" applyFont="1" applyFill="1" applyAlignment="1">
      <alignment vertical="center"/>
    </xf>
    <xf numFmtId="0" fontId="82" fillId="4" borderId="40" xfId="156" applyFont="1" applyFill="1" applyBorder="1" applyAlignment="1">
      <alignment horizontal="center" vertical="center"/>
    </xf>
    <xf numFmtId="0" fontId="83" fillId="4" borderId="1" xfId="156" applyFont="1" applyFill="1" applyBorder="1" applyAlignment="1">
      <alignment vertical="center"/>
    </xf>
    <xf numFmtId="0" fontId="83" fillId="4" borderId="6" xfId="156" applyFont="1" applyFill="1" applyBorder="1" applyAlignment="1">
      <alignment vertical="center"/>
    </xf>
    <xf numFmtId="0" fontId="84" fillId="4" borderId="64" xfId="6" applyFont="1" applyFill="1" applyBorder="1"/>
    <xf numFmtId="0" fontId="84" fillId="4" borderId="44" xfId="6" applyFont="1" applyFill="1" applyBorder="1"/>
    <xf numFmtId="0" fontId="84" fillId="4" borderId="65" xfId="6" applyFont="1" applyFill="1" applyBorder="1"/>
    <xf numFmtId="10" fontId="83" fillId="4" borderId="0" xfId="1" applyNumberFormat="1" applyFont="1" applyFill="1" applyBorder="1" applyAlignment="1">
      <alignment vertical="center"/>
    </xf>
    <xf numFmtId="10" fontId="83" fillId="4" borderId="7" xfId="1" applyNumberFormat="1" applyFont="1" applyFill="1" applyBorder="1" applyAlignment="1">
      <alignment vertical="center"/>
    </xf>
    <xf numFmtId="0" fontId="83" fillId="4" borderId="44" xfId="156" applyFont="1" applyFill="1" applyBorder="1" applyAlignment="1">
      <alignment vertical="center"/>
    </xf>
    <xf numFmtId="0" fontId="83" fillId="4" borderId="65" xfId="156" applyFont="1" applyFill="1" applyBorder="1" applyAlignment="1">
      <alignment vertical="center"/>
    </xf>
    <xf numFmtId="0" fontId="25" fillId="0" borderId="0" xfId="6" applyFont="1" applyAlignment="1">
      <alignment horizontal="center" vertical="center" wrapText="1"/>
    </xf>
    <xf numFmtId="0" fontId="25" fillId="0" borderId="0" xfId="6" applyFont="1" applyAlignment="1">
      <alignment horizontal="left" vertical="center" wrapText="1"/>
    </xf>
    <xf numFmtId="0" fontId="97" fillId="0" borderId="0" xfId="6" applyFont="1"/>
    <xf numFmtId="0" fontId="98" fillId="0" borderId="0" xfId="6" applyFont="1" applyAlignment="1">
      <alignment horizontal="center"/>
    </xf>
    <xf numFmtId="0" fontId="98" fillId="0" borderId="0" xfId="6" applyFont="1" applyAlignment="1">
      <alignment horizontal="center" wrapText="1"/>
    </xf>
    <xf numFmtId="0" fontId="98" fillId="0" borderId="0" xfId="6" applyFont="1"/>
    <xf numFmtId="0" fontId="79" fillId="0" borderId="1" xfId="6" applyFont="1" applyBorder="1"/>
    <xf numFmtId="0" fontId="5" fillId="0" borderId="6" xfId="6" applyBorder="1"/>
    <xf numFmtId="10" fontId="0" fillId="0" borderId="7" xfId="1" applyNumberFormat="1" applyFont="1" applyBorder="1" applyAlignment="1">
      <alignment horizontal="center" wrapText="1"/>
    </xf>
    <xf numFmtId="0" fontId="5" fillId="0" borderId="9" xfId="6" applyBorder="1" applyAlignment="1">
      <alignment horizontal="center"/>
    </xf>
    <xf numFmtId="10" fontId="5" fillId="0" borderId="0" xfId="1" applyNumberFormat="1" applyAlignment="1">
      <alignment horizontal="center"/>
    </xf>
    <xf numFmtId="167" fontId="88" fillId="0" borderId="44" xfId="135" applyNumberFormat="1" applyFont="1" applyBorder="1" applyAlignment="1">
      <alignment wrapText="1"/>
    </xf>
    <xf numFmtId="167" fontId="88" fillId="0" borderId="65" xfId="135" applyNumberFormat="1" applyFont="1" applyBorder="1" applyAlignment="1">
      <alignment wrapText="1"/>
    </xf>
    <xf numFmtId="10" fontId="88" fillId="0" borderId="0" xfId="1" applyNumberFormat="1" applyFont="1" applyFill="1"/>
    <xf numFmtId="42" fontId="89" fillId="0" borderId="128" xfId="211" applyNumberFormat="1" applyFont="1" applyBorder="1"/>
    <xf numFmtId="0" fontId="88" fillId="0" borderId="7" xfId="211" applyFont="1" applyBorder="1" applyAlignment="1">
      <alignment horizontal="center"/>
    </xf>
    <xf numFmtId="169" fontId="88" fillId="0" borderId="9" xfId="216" applyNumberFormat="1" applyFont="1" applyFill="1" applyBorder="1"/>
    <xf numFmtId="0" fontId="88" fillId="0" borderId="16" xfId="211" applyFont="1" applyBorder="1"/>
    <xf numFmtId="167" fontId="89" fillId="0" borderId="14" xfId="135" applyNumberFormat="1" applyFont="1" applyBorder="1" applyAlignment="1">
      <alignment horizontal="center"/>
    </xf>
    <xf numFmtId="0" fontId="91" fillId="4" borderId="64" xfId="6" applyFont="1" applyFill="1" applyBorder="1"/>
    <xf numFmtId="0" fontId="91" fillId="4" borderId="44" xfId="6" applyFont="1" applyFill="1" applyBorder="1"/>
    <xf numFmtId="0" fontId="91" fillId="4" borderId="65" xfId="6" applyFont="1" applyFill="1" applyBorder="1"/>
    <xf numFmtId="0" fontId="120" fillId="0" borderId="18" xfId="0" applyFont="1" applyBorder="1" applyAlignment="1">
      <alignment vertical="center" wrapText="1"/>
    </xf>
    <xf numFmtId="0" fontId="0" fillId="0" borderId="18" xfId="0" applyBorder="1"/>
    <xf numFmtId="0" fontId="0" fillId="0" borderId="15" xfId="0" applyBorder="1"/>
    <xf numFmtId="0" fontId="121" fillId="0" borderId="18" xfId="0" applyFont="1" applyBorder="1" applyAlignment="1">
      <alignment horizontal="center" vertical="center"/>
    </xf>
    <xf numFmtId="42" fontId="0" fillId="0" borderId="18" xfId="0" applyNumberFormat="1" applyBorder="1"/>
    <xf numFmtId="10" fontId="11" fillId="0" borderId="7" xfId="1" applyNumberFormat="1" applyFont="1" applyBorder="1"/>
    <xf numFmtId="44" fontId="0" fillId="0" borderId="0" xfId="344" applyFont="1"/>
    <xf numFmtId="44" fontId="0" fillId="0" borderId="0" xfId="0" applyNumberFormat="1"/>
    <xf numFmtId="0" fontId="130" fillId="0" borderId="0" xfId="0" applyFont="1"/>
    <xf numFmtId="0" fontId="26" fillId="4" borderId="64" xfId="11" applyFont="1" applyFill="1" applyBorder="1" applyAlignment="1">
      <alignment horizontal="center" wrapText="1"/>
    </xf>
    <xf numFmtId="0" fontId="26" fillId="4" borderId="44" xfId="11" applyFont="1" applyFill="1" applyBorder="1" applyAlignment="1">
      <alignment horizontal="center" wrapText="1"/>
    </xf>
    <xf numFmtId="10" fontId="26" fillId="0" borderId="44" xfId="1" applyNumberFormat="1" applyFont="1" applyFill="1" applyBorder="1" applyAlignment="1">
      <alignment horizontal="center"/>
    </xf>
    <xf numFmtId="0" fontId="25" fillId="0" borderId="87" xfId="11" applyFont="1" applyBorder="1" applyAlignment="1">
      <alignment horizontal="center"/>
    </xf>
    <xf numFmtId="165" fontId="25" fillId="0" borderId="21" xfId="11" applyNumberFormat="1" applyFont="1" applyBorder="1" applyAlignment="1">
      <alignment horizontal="center"/>
    </xf>
    <xf numFmtId="168" fontId="25" fillId="0" borderId="21" xfId="11" applyNumberFormat="1" applyFont="1" applyBorder="1" applyAlignment="1">
      <alignment horizontal="center"/>
    </xf>
    <xf numFmtId="165" fontId="26" fillId="5" borderId="88" xfId="11" applyNumberFormat="1" applyFont="1" applyFill="1" applyBorder="1" applyAlignment="1">
      <alignment horizontal="center"/>
    </xf>
    <xf numFmtId="165" fontId="26" fillId="5" borderId="35" xfId="11" applyNumberFormat="1" applyFont="1" applyFill="1" applyBorder="1" applyAlignment="1">
      <alignment horizontal="center"/>
    </xf>
    <xf numFmtId="165" fontId="26" fillId="5" borderId="42" xfId="11" applyNumberFormat="1" applyFont="1" applyFill="1" applyBorder="1" applyAlignment="1">
      <alignment horizontal="center"/>
    </xf>
    <xf numFmtId="0" fontId="1" fillId="0" borderId="0" xfId="358"/>
    <xf numFmtId="0" fontId="25" fillId="43" borderId="0" xfId="359" applyFont="1" applyFill="1"/>
    <xf numFmtId="6" fontId="25" fillId="43" borderId="0" xfId="359" applyNumberFormat="1" applyFont="1" applyFill="1" applyAlignment="1">
      <alignment horizontal="center"/>
    </xf>
    <xf numFmtId="0" fontId="25" fillId="43" borderId="0" xfId="359" applyFont="1" applyFill="1" applyAlignment="1">
      <alignment horizontal="right"/>
    </xf>
    <xf numFmtId="44" fontId="0" fillId="0" borderId="0" xfId="361" applyFont="1"/>
    <xf numFmtId="0" fontId="1" fillId="0" borderId="0" xfId="359" applyAlignment="1">
      <alignment wrapText="1"/>
    </xf>
    <xf numFmtId="0" fontId="1" fillId="0" borderId="0" xfId="359"/>
    <xf numFmtId="166" fontId="1" fillId="0" borderId="0" xfId="359" applyNumberFormat="1" applyAlignment="1">
      <alignment horizontal="center"/>
    </xf>
    <xf numFmtId="0" fontId="1" fillId="0" borderId="0" xfId="359" applyAlignment="1">
      <alignment horizontal="right"/>
    </xf>
    <xf numFmtId="0" fontId="133" fillId="0" borderId="0" xfId="359" applyFont="1" applyAlignment="1">
      <alignment horizontal="right"/>
    </xf>
    <xf numFmtId="0" fontId="1" fillId="0" borderId="0" xfId="359" applyAlignment="1">
      <alignment horizontal="center"/>
    </xf>
    <xf numFmtId="9" fontId="1" fillId="0" borderId="0" xfId="360" applyFont="1"/>
    <xf numFmtId="9" fontId="1" fillId="0" borderId="0" xfId="360" applyFont="1" applyAlignment="1">
      <alignment horizontal="center"/>
    </xf>
    <xf numFmtId="10" fontId="1" fillId="0" borderId="0" xfId="360" applyNumberFormat="1" applyFont="1" applyAlignment="1">
      <alignment horizontal="center"/>
    </xf>
    <xf numFmtId="0" fontId="134" fillId="0" borderId="0" xfId="359" applyFont="1" applyAlignment="1">
      <alignment horizontal="right" wrapText="1"/>
    </xf>
    <xf numFmtId="0" fontId="131" fillId="0" borderId="0" xfId="358" applyFont="1"/>
    <xf numFmtId="0" fontId="1" fillId="0" borderId="7" xfId="359" applyBorder="1"/>
    <xf numFmtId="44" fontId="0" fillId="0" borderId="7" xfId="361" applyFont="1" applyBorder="1"/>
    <xf numFmtId="0" fontId="1" fillId="0" borderId="6" xfId="359" applyBorder="1"/>
    <xf numFmtId="0" fontId="1" fillId="0" borderId="3" xfId="359" applyBorder="1"/>
    <xf numFmtId="44" fontId="1" fillId="0" borderId="3" xfId="358" applyNumberFormat="1" applyBorder="1"/>
    <xf numFmtId="0" fontId="1" fillId="0" borderId="1" xfId="359" applyBorder="1"/>
    <xf numFmtId="44" fontId="1" fillId="0" borderId="7" xfId="358" applyNumberFormat="1" applyBorder="1"/>
    <xf numFmtId="0" fontId="134" fillId="0" borderId="6" xfId="359" applyFont="1" applyBorder="1"/>
    <xf numFmtId="0" fontId="134" fillId="0" borderId="1" xfId="359" applyFont="1" applyBorder="1"/>
    <xf numFmtId="0" fontId="135" fillId="0" borderId="0" xfId="358" applyFont="1" applyAlignment="1">
      <alignment horizontal="right"/>
    </xf>
    <xf numFmtId="0" fontId="134" fillId="0" borderId="11" xfId="359" applyFont="1" applyBorder="1"/>
    <xf numFmtId="44" fontId="1" fillId="0" borderId="0" xfId="358" applyNumberFormat="1"/>
    <xf numFmtId="0" fontId="1" fillId="0" borderId="7" xfId="359" applyBorder="1" applyAlignment="1">
      <alignment wrapText="1"/>
    </xf>
    <xf numFmtId="0" fontId="1" fillId="0" borderId="0" xfId="358" applyAlignment="1">
      <alignment horizontal="center"/>
    </xf>
    <xf numFmtId="0" fontId="132" fillId="0" borderId="0" xfId="359" applyFont="1"/>
    <xf numFmtId="0" fontId="132" fillId="0" borderId="0" xfId="359" applyFont="1" applyAlignment="1">
      <alignment horizontal="left" wrapText="1"/>
    </xf>
    <xf numFmtId="17" fontId="1" fillId="0" borderId="0" xfId="358" applyNumberFormat="1" applyAlignment="1">
      <alignment horizontal="center"/>
    </xf>
    <xf numFmtId="0" fontId="50" fillId="0" borderId="0" xfId="16"/>
    <xf numFmtId="0" fontId="50" fillId="42" borderId="0" xfId="16" applyFill="1"/>
    <xf numFmtId="0" fontId="50" fillId="37" borderId="0" xfId="16" applyFill="1"/>
    <xf numFmtId="0" fontId="50" fillId="6" borderId="0" xfId="16" applyFill="1"/>
    <xf numFmtId="0" fontId="50" fillId="45" borderId="0" xfId="16" applyFill="1"/>
    <xf numFmtId="44" fontId="83" fillId="4" borderId="3" xfId="156" applyNumberFormat="1" applyFont="1" applyFill="1" applyBorder="1" applyAlignment="1">
      <alignment vertical="center"/>
    </xf>
    <xf numFmtId="0" fontId="84" fillId="4" borderId="65" xfId="156" applyFont="1" applyFill="1" applyBorder="1" applyAlignment="1">
      <alignment horizontal="left" vertical="center"/>
    </xf>
    <xf numFmtId="44" fontId="83" fillId="4" borderId="0" xfId="156" applyNumberFormat="1" applyFont="1" applyFill="1" applyAlignment="1">
      <alignment vertical="center"/>
    </xf>
    <xf numFmtId="44" fontId="83" fillId="4" borderId="7" xfId="156" applyNumberFormat="1" applyFont="1" applyFill="1" applyBorder="1" applyAlignment="1">
      <alignment vertical="center"/>
    </xf>
    <xf numFmtId="44" fontId="88" fillId="0" borderId="3" xfId="135" applyNumberFormat="1" applyFont="1" applyBorder="1" applyAlignment="1">
      <alignment horizontal="center"/>
    </xf>
    <xf numFmtId="44" fontId="88" fillId="0" borderId="0" xfId="135" applyNumberFormat="1" applyFont="1" applyAlignment="1">
      <alignment horizontal="center"/>
    </xf>
    <xf numFmtId="44" fontId="88" fillId="0" borderId="7" xfId="135" applyNumberFormat="1" applyFont="1" applyBorder="1" applyAlignment="1">
      <alignment horizontal="center"/>
    </xf>
    <xf numFmtId="9" fontId="89" fillId="0" borderId="0" xfId="1" applyFont="1"/>
    <xf numFmtId="14" fontId="0" fillId="0" borderId="0" xfId="0" applyNumberFormat="1"/>
    <xf numFmtId="0" fontId="0" fillId="0" borderId="13" xfId="0" applyBorder="1"/>
    <xf numFmtId="0" fontId="0" fillId="0" borderId="11" xfId="0" applyBorder="1"/>
    <xf numFmtId="44" fontId="0" fillId="0" borderId="0" xfId="344" applyFont="1" applyBorder="1"/>
    <xf numFmtId="44" fontId="0" fillId="0" borderId="13" xfId="344" applyFont="1" applyBorder="1"/>
    <xf numFmtId="44" fontId="0" fillId="0" borderId="7" xfId="344" applyFont="1" applyBorder="1"/>
    <xf numFmtId="44" fontId="0" fillId="0" borderId="9" xfId="344" applyFont="1" applyBorder="1"/>
    <xf numFmtId="0" fontId="22" fillId="0" borderId="31" xfId="0" applyFont="1" applyBorder="1" applyAlignment="1">
      <alignment horizontal="center" vertical="center"/>
    </xf>
    <xf numFmtId="3" fontId="128" fillId="4" borderId="30" xfId="11" applyNumberFormat="1" applyFont="1" applyFill="1" applyBorder="1" applyAlignment="1">
      <alignment horizontal="center"/>
    </xf>
    <xf numFmtId="0" fontId="128" fillId="0" borderId="31" xfId="11" applyFont="1" applyBorder="1" applyAlignment="1">
      <alignment horizontal="center" vertical="center"/>
    </xf>
    <xf numFmtId="10" fontId="0" fillId="0" borderId="0" xfId="1" applyNumberFormat="1" applyFont="1"/>
    <xf numFmtId="0" fontId="88" fillId="38" borderId="11" xfId="211" applyFont="1" applyFill="1" applyBorder="1"/>
    <xf numFmtId="0" fontId="88" fillId="38" borderId="0" xfId="211" applyFont="1" applyFill="1"/>
    <xf numFmtId="0" fontId="88" fillId="38" borderId="0" xfId="211" applyFont="1" applyFill="1" applyAlignment="1">
      <alignment horizontal="center"/>
    </xf>
    <xf numFmtId="44" fontId="88" fillId="38" borderId="13" xfId="216" applyFont="1" applyFill="1" applyBorder="1"/>
    <xf numFmtId="0" fontId="89" fillId="38" borderId="6" xfId="211" applyFont="1" applyFill="1" applyBorder="1"/>
    <xf numFmtId="0" fontId="88" fillId="38" borderId="7" xfId="211" applyFont="1" applyFill="1" applyBorder="1"/>
    <xf numFmtId="180" fontId="89" fillId="38" borderId="9" xfId="211" applyNumberFormat="1" applyFont="1" applyFill="1" applyBorder="1"/>
    <xf numFmtId="0" fontId="88" fillId="3" borderId="11" xfId="211" applyFont="1" applyFill="1" applyBorder="1"/>
    <xf numFmtId="0" fontId="88" fillId="3" borderId="0" xfId="211" applyFont="1" applyFill="1"/>
    <xf numFmtId="0" fontId="88" fillId="3" borderId="0" xfId="211" applyFont="1" applyFill="1" applyAlignment="1">
      <alignment horizontal="center"/>
    </xf>
    <xf numFmtId="180" fontId="89" fillId="3" borderId="43" xfId="211" applyNumberFormat="1" applyFont="1" applyFill="1" applyBorder="1"/>
    <xf numFmtId="0" fontId="89" fillId="3" borderId="11" xfId="211" applyFont="1" applyFill="1" applyBorder="1"/>
    <xf numFmtId="0" fontId="89" fillId="3" borderId="0" xfId="211" applyFont="1" applyFill="1"/>
    <xf numFmtId="44" fontId="89" fillId="3" borderId="0" xfId="211" applyNumberFormat="1" applyFont="1" applyFill="1"/>
    <xf numFmtId="167" fontId="89" fillId="0" borderId="7" xfId="211" applyNumberFormat="1" applyFont="1" applyBorder="1"/>
    <xf numFmtId="167" fontId="88" fillId="0" borderId="3" xfId="211" applyNumberFormat="1" applyFont="1" applyBorder="1"/>
    <xf numFmtId="167" fontId="88" fillId="0" borderId="3" xfId="211" applyNumberFormat="1" applyFont="1" applyBorder="1" applyAlignment="1">
      <alignment horizontal="right"/>
    </xf>
    <xf numFmtId="177" fontId="88" fillId="0" borderId="3" xfId="50" applyNumberFormat="1" applyFont="1" applyFill="1" applyBorder="1"/>
    <xf numFmtId="42" fontId="89" fillId="0" borderId="4" xfId="211" applyNumberFormat="1" applyFont="1" applyBorder="1"/>
    <xf numFmtId="178" fontId="89" fillId="0" borderId="7" xfId="215" applyNumberFormat="1" applyFont="1" applyFill="1" applyBorder="1" applyAlignment="1">
      <alignment horizontal="right"/>
    </xf>
    <xf numFmtId="42" fontId="89" fillId="0" borderId="9" xfId="216" applyNumberFormat="1" applyFont="1" applyFill="1" applyBorder="1" applyAlignment="1">
      <alignment horizontal="center"/>
    </xf>
    <xf numFmtId="167" fontId="88" fillId="0" borderId="27" xfId="211" applyNumberFormat="1" applyFont="1" applyBorder="1"/>
    <xf numFmtId="178" fontId="88" fillId="0" borderId="28" xfId="215" applyNumberFormat="1" applyFont="1" applyFill="1" applyBorder="1" applyAlignment="1">
      <alignment horizontal="right"/>
    </xf>
    <xf numFmtId="167" fontId="88" fillId="0" borderId="28" xfId="211" applyNumberFormat="1" applyFont="1" applyBorder="1"/>
    <xf numFmtId="2" fontId="88" fillId="0" borderId="28" xfId="211" applyNumberFormat="1" applyFont="1" applyBorder="1" applyAlignment="1">
      <alignment horizontal="right"/>
    </xf>
    <xf numFmtId="42" fontId="88" fillId="0" borderId="29" xfId="216" applyNumberFormat="1" applyFont="1" applyFill="1" applyBorder="1" applyAlignment="1">
      <alignment horizontal="center"/>
    </xf>
    <xf numFmtId="177" fontId="88" fillId="5" borderId="16" xfId="215" applyNumberFormat="1" applyFont="1" applyFill="1" applyBorder="1"/>
    <xf numFmtId="1" fontId="88" fillId="5" borderId="16" xfId="211" applyNumberFormat="1" applyFont="1" applyFill="1" applyBorder="1"/>
    <xf numFmtId="10" fontId="25" fillId="0" borderId="0" xfId="1" applyNumberFormat="1" applyFont="1" applyFill="1"/>
    <xf numFmtId="44" fontId="11" fillId="0" borderId="0" xfId="0" applyNumberFormat="1" applyFont="1" applyAlignment="1">
      <alignment horizontal="center"/>
    </xf>
    <xf numFmtId="10" fontId="11" fillId="0" borderId="0" xfId="1" applyNumberFormat="1" applyFont="1" applyFill="1" applyBorder="1"/>
    <xf numFmtId="42" fontId="17" fillId="0" borderId="0" xfId="0" applyNumberFormat="1" applyFont="1"/>
    <xf numFmtId="4" fontId="17" fillId="0" borderId="0" xfId="0" applyNumberFormat="1" applyFont="1" applyAlignment="1">
      <alignment horizontal="center"/>
    </xf>
    <xf numFmtId="0" fontId="12" fillId="0" borderId="0" xfId="0" applyFont="1" applyAlignment="1">
      <alignment horizontal="center"/>
    </xf>
    <xf numFmtId="44" fontId="17" fillId="0" borderId="0" xfId="0" applyNumberFormat="1" applyFont="1" applyAlignment="1">
      <alignment horizontal="center"/>
    </xf>
    <xf numFmtId="8" fontId="84" fillId="0" borderId="0" xfId="6" applyNumberFormat="1" applyFont="1"/>
    <xf numFmtId="10" fontId="84" fillId="0" borderId="0" xfId="1" applyNumberFormat="1" applyFont="1" applyFill="1"/>
    <xf numFmtId="5" fontId="83" fillId="4" borderId="0" xfId="212" applyNumberFormat="1" applyFont="1" applyFill="1" applyAlignment="1">
      <alignment vertical="center"/>
    </xf>
    <xf numFmtId="4" fontId="85" fillId="4" borderId="0" xfId="212" applyNumberFormat="1" applyFont="1" applyFill="1" applyAlignment="1">
      <alignment vertical="center"/>
    </xf>
    <xf numFmtId="10" fontId="83" fillId="4" borderId="0" xfId="212" applyNumberFormat="1" applyFont="1" applyFill="1" applyAlignment="1">
      <alignment vertical="center"/>
    </xf>
    <xf numFmtId="0" fontId="80" fillId="4" borderId="0" xfId="212" applyFont="1" applyFill="1" applyAlignment="1">
      <alignment vertical="center"/>
    </xf>
    <xf numFmtId="0" fontId="86" fillId="4" borderId="0" xfId="212" applyFont="1" applyFill="1" applyAlignment="1">
      <alignment vertical="center"/>
    </xf>
    <xf numFmtId="166" fontId="83" fillId="4" borderId="0" xfId="212" applyNumberFormat="1" applyFont="1" applyFill="1" applyAlignment="1">
      <alignment horizontal="center" vertical="center"/>
    </xf>
    <xf numFmtId="44" fontId="80" fillId="4" borderId="0" xfId="212" applyNumberFormat="1" applyFont="1" applyFill="1" applyAlignment="1">
      <alignment vertical="center"/>
    </xf>
    <xf numFmtId="10" fontId="87" fillId="4" borderId="0" xfId="212" applyNumberFormat="1" applyFont="1" applyFill="1" applyAlignment="1">
      <alignment vertical="center"/>
    </xf>
    <xf numFmtId="0" fontId="120" fillId="0" borderId="0" xfId="0" applyFont="1" applyAlignment="1">
      <alignment vertical="center" wrapText="1"/>
    </xf>
    <xf numFmtId="0" fontId="121" fillId="0" borderId="0" xfId="0" applyFont="1" applyAlignment="1">
      <alignment horizontal="center" vertical="center"/>
    </xf>
    <xf numFmtId="10" fontId="0" fillId="0" borderId="0" xfId="1" applyNumberFormat="1" applyFont="1" applyBorder="1"/>
    <xf numFmtId="10" fontId="0" fillId="3" borderId="0" xfId="1" applyNumberFormat="1" applyFont="1" applyFill="1" applyBorder="1"/>
    <xf numFmtId="10" fontId="130" fillId="0" borderId="0" xfId="1" applyNumberFormat="1" applyFont="1" applyBorder="1"/>
    <xf numFmtId="42" fontId="0" fillId="0" borderId="0" xfId="0" applyNumberFormat="1"/>
    <xf numFmtId="8" fontId="121" fillId="0" borderId="47" xfId="0" applyNumberFormat="1" applyFont="1" applyBorder="1" applyAlignment="1">
      <alignment horizontal="center" vertical="center"/>
    </xf>
    <xf numFmtId="0" fontId="121" fillId="3" borderId="47" xfId="0" applyFont="1" applyFill="1" applyBorder="1" applyAlignment="1">
      <alignment horizontal="center" vertical="center"/>
    </xf>
    <xf numFmtId="0" fontId="0" fillId="0" borderId="87" xfId="0" applyBorder="1"/>
    <xf numFmtId="0" fontId="0" fillId="5" borderId="82" xfId="0" applyFill="1" applyBorder="1" applyAlignment="1">
      <alignment horizontal="center"/>
    </xf>
    <xf numFmtId="0" fontId="0" fillId="0" borderId="82" xfId="0" applyBorder="1"/>
    <xf numFmtId="0" fontId="0" fillId="6" borderId="88" xfId="0" applyFill="1" applyBorder="1" applyAlignment="1">
      <alignment horizontal="center"/>
    </xf>
    <xf numFmtId="0" fontId="120" fillId="0" borderId="36" xfId="0" applyFont="1" applyBorder="1" applyAlignment="1">
      <alignment vertical="center" wrapText="1"/>
    </xf>
    <xf numFmtId="44" fontId="0" fillId="3" borderId="35" xfId="0" applyNumberFormat="1" applyFill="1" applyBorder="1"/>
    <xf numFmtId="0" fontId="120" fillId="0" borderId="41" xfId="0" applyFont="1" applyBorder="1" applyAlignment="1">
      <alignment vertical="center" wrapText="1"/>
    </xf>
    <xf numFmtId="8" fontId="120" fillId="0" borderId="50" xfId="0" applyNumberFormat="1" applyFont="1" applyBorder="1" applyAlignment="1">
      <alignment horizontal="center" vertical="center"/>
    </xf>
    <xf numFmtId="0" fontId="120" fillId="0" borderId="50" xfId="0" applyFont="1" applyBorder="1" applyAlignment="1">
      <alignment horizontal="center" vertical="center"/>
    </xf>
    <xf numFmtId="44" fontId="0" fillId="0" borderId="42" xfId="344" applyFont="1" applyBorder="1"/>
    <xf numFmtId="0" fontId="120" fillId="0" borderId="31" xfId="0" applyFont="1" applyBorder="1" applyAlignment="1">
      <alignment vertical="center" wrapText="1"/>
    </xf>
    <xf numFmtId="8" fontId="121" fillId="0" borderId="37" xfId="0" applyNumberFormat="1" applyFont="1" applyBorder="1" applyAlignment="1">
      <alignment horizontal="center" vertical="center"/>
    </xf>
    <xf numFmtId="0" fontId="121" fillId="0" borderId="37" xfId="0" applyFont="1" applyBorder="1" applyAlignment="1">
      <alignment horizontal="center" vertical="center"/>
    </xf>
    <xf numFmtId="44" fontId="0" fillId="0" borderId="30" xfId="0" applyNumberFormat="1" applyBorder="1"/>
    <xf numFmtId="0" fontId="119" fillId="0" borderId="41" xfId="0" applyFont="1" applyBorder="1" applyAlignment="1">
      <alignment horizontal="center" vertical="center"/>
    </xf>
    <xf numFmtId="0" fontId="119" fillId="5" borderId="50" xfId="0" applyFont="1" applyFill="1" applyBorder="1" applyAlignment="1">
      <alignment horizontal="center" vertical="center" wrapText="1"/>
    </xf>
    <xf numFmtId="0" fontId="119" fillId="0" borderId="50" xfId="0" applyFont="1" applyBorder="1" applyAlignment="1">
      <alignment horizontal="center" vertical="center" wrapText="1"/>
    </xf>
    <xf numFmtId="0" fontId="119" fillId="6" borderId="42" xfId="0" applyFont="1" applyFill="1" applyBorder="1" applyAlignment="1">
      <alignment horizontal="center" vertical="center" wrapText="1"/>
    </xf>
    <xf numFmtId="44" fontId="25" fillId="0" borderId="0" xfId="344" applyFont="1"/>
    <xf numFmtId="44" fontId="13" fillId="0" borderId="0" xfId="8" applyFont="1" applyFill="1" applyBorder="1"/>
    <xf numFmtId="44" fontId="88" fillId="0" borderId="0" xfId="72" applyFont="1" applyFill="1" applyBorder="1" applyAlignment="1">
      <alignment horizontal="center" vertical="center"/>
    </xf>
    <xf numFmtId="7" fontId="79" fillId="0" borderId="41" xfId="72" applyNumberFormat="1" applyFont="1" applyFill="1" applyBorder="1" applyAlignment="1">
      <alignment horizontal="center"/>
    </xf>
    <xf numFmtId="0" fontId="1" fillId="0" borderId="0" xfId="359" applyAlignment="1">
      <alignment horizontal="left" vertical="top" wrapText="1"/>
    </xf>
    <xf numFmtId="0" fontId="1" fillId="0" borderId="0" xfId="359" applyAlignment="1">
      <alignment horizontal="center"/>
    </xf>
    <xf numFmtId="0" fontId="1" fillId="0" borderId="4" xfId="359" applyBorder="1" applyAlignment="1">
      <alignment horizontal="left" vertical="center" wrapText="1"/>
    </xf>
    <xf numFmtId="0" fontId="1" fillId="0" borderId="9" xfId="359" applyBorder="1" applyAlignment="1">
      <alignment horizontal="left" vertical="center" wrapText="1"/>
    </xf>
    <xf numFmtId="0" fontId="1" fillId="0" borderId="4" xfId="362" applyBorder="1" applyAlignment="1">
      <alignment horizontal="left" vertical="center" wrapText="1"/>
    </xf>
    <xf numFmtId="0" fontId="1" fillId="0" borderId="9" xfId="362" applyBorder="1" applyAlignment="1">
      <alignment horizontal="left" vertical="center" wrapText="1"/>
    </xf>
    <xf numFmtId="0" fontId="1" fillId="0" borderId="13" xfId="359" applyBorder="1" applyAlignment="1">
      <alignment horizontal="left" vertical="center" wrapText="1"/>
    </xf>
    <xf numFmtId="0" fontId="1" fillId="0" borderId="3" xfId="359" applyBorder="1" applyAlignment="1">
      <alignment vertical="top" wrapText="1"/>
    </xf>
    <xf numFmtId="0" fontId="1" fillId="0" borderId="7" xfId="359" applyBorder="1" applyAlignment="1">
      <alignment vertical="top" wrapText="1"/>
    </xf>
    <xf numFmtId="49" fontId="1" fillId="0" borderId="4" xfId="362" applyNumberFormat="1" applyBorder="1" applyAlignment="1">
      <alignment horizontal="left" vertical="center" wrapText="1"/>
    </xf>
    <xf numFmtId="49" fontId="1" fillId="0" borderId="9" xfId="362" applyNumberFormat="1" applyBorder="1" applyAlignment="1">
      <alignment horizontal="left" vertical="center" wrapText="1"/>
    </xf>
    <xf numFmtId="0" fontId="1" fillId="0" borderId="13" xfId="362" applyBorder="1" applyAlignment="1">
      <alignment horizontal="left" vertical="center" wrapText="1"/>
    </xf>
    <xf numFmtId="0" fontId="1" fillId="0" borderId="3" xfId="359" applyBorder="1" applyAlignment="1">
      <alignment horizontal="left" vertical="top" wrapText="1"/>
    </xf>
    <xf numFmtId="0" fontId="1" fillId="0" borderId="7" xfId="359" applyBorder="1" applyAlignment="1">
      <alignment horizontal="left" vertical="top"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27" fillId="43" borderId="15" xfId="0" applyFont="1" applyFill="1" applyBorder="1" applyAlignment="1">
      <alignment horizontal="center"/>
    </xf>
    <xf numFmtId="0" fontId="127" fillId="43" borderId="16" xfId="0" applyFont="1" applyFill="1" applyBorder="1" applyAlignment="1">
      <alignment horizontal="center"/>
    </xf>
    <xf numFmtId="0" fontId="127" fillId="43" borderId="17" xfId="0" applyFont="1" applyFill="1" applyBorder="1" applyAlignment="1">
      <alignment horizontal="center"/>
    </xf>
    <xf numFmtId="0" fontId="107" fillId="0" borderId="4" xfId="345" applyFont="1" applyBorder="1" applyAlignment="1">
      <alignment horizontal="left" vertical="center" wrapText="1"/>
    </xf>
    <xf numFmtId="0" fontId="107" fillId="0" borderId="9" xfId="345" applyFont="1" applyBorder="1" applyAlignment="1">
      <alignment horizontal="left" vertical="center" wrapText="1"/>
    </xf>
    <xf numFmtId="0" fontId="107" fillId="0" borderId="3" xfId="345" applyFont="1" applyBorder="1" applyAlignment="1">
      <alignment horizontal="left" vertical="top" wrapText="1"/>
    </xf>
    <xf numFmtId="0" fontId="107" fillId="0" borderId="7" xfId="345" applyFont="1" applyBorder="1" applyAlignment="1">
      <alignment horizontal="left" vertical="top" wrapText="1"/>
    </xf>
    <xf numFmtId="0" fontId="107" fillId="0" borderId="13" xfId="345" applyFont="1" applyBorder="1" applyAlignment="1">
      <alignment horizontal="left" vertical="center" wrapText="1"/>
    </xf>
    <xf numFmtId="0" fontId="107" fillId="0" borderId="3" xfId="345" applyFont="1" applyBorder="1" applyAlignment="1">
      <alignment vertical="top" wrapText="1"/>
    </xf>
    <xf numFmtId="0" fontId="107" fillId="0" borderId="7" xfId="345" applyFont="1" applyBorder="1" applyAlignment="1">
      <alignment vertical="top" wrapText="1"/>
    </xf>
    <xf numFmtId="49" fontId="107" fillId="0" borderId="4" xfId="345" applyNumberFormat="1" applyFont="1" applyBorder="1" applyAlignment="1">
      <alignment horizontal="left" vertical="center" wrapText="1"/>
    </xf>
    <xf numFmtId="49" fontId="107" fillId="0" borderId="9" xfId="345" applyNumberFormat="1" applyFont="1" applyBorder="1" applyAlignment="1">
      <alignment horizontal="left" vertical="center" wrapText="1"/>
    </xf>
    <xf numFmtId="0" fontId="113" fillId="0" borderId="3" xfId="345" applyFont="1" applyBorder="1" applyAlignment="1">
      <alignment horizontal="center"/>
    </xf>
    <xf numFmtId="0" fontId="107" fillId="0" borderId="0" xfId="345" applyFont="1" applyAlignment="1">
      <alignment horizontal="left" vertical="top" wrapText="1"/>
    </xf>
    <xf numFmtId="0" fontId="107" fillId="0" borderId="0" xfId="345" applyFont="1" applyAlignment="1">
      <alignment horizontal="center"/>
    </xf>
    <xf numFmtId="0" fontId="109" fillId="0" borderId="0" xfId="345" applyFont="1" applyAlignment="1">
      <alignment horizontal="center"/>
    </xf>
    <xf numFmtId="0" fontId="14" fillId="0" borderId="33" xfId="0" applyFont="1" applyBorder="1" applyAlignment="1">
      <alignment horizontal="left"/>
    </xf>
    <xf numFmtId="0" fontId="14" fillId="0" borderId="46" xfId="0" applyFont="1" applyBorder="1" applyAlignment="1">
      <alignment horizontal="left"/>
    </xf>
    <xf numFmtId="0" fontId="14" fillId="0" borderId="48" xfId="0" applyFont="1" applyBorder="1" applyAlignment="1">
      <alignment horizontal="left"/>
    </xf>
    <xf numFmtId="0" fontId="14" fillId="0" borderId="49" xfId="0" applyFont="1" applyBorder="1" applyAlignment="1">
      <alignment horizontal="left"/>
    </xf>
    <xf numFmtId="167" fontId="12" fillId="0" borderId="0" xfId="0" applyNumberFormat="1" applyFont="1" applyAlignment="1">
      <alignment horizont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167" fontId="14" fillId="0" borderId="19" xfId="0" applyNumberFormat="1" applyFont="1" applyBorder="1" applyAlignment="1">
      <alignment horizontal="center"/>
    </xf>
    <xf numFmtId="167" fontId="14" fillId="0" borderId="20" xfId="0" applyNumberFormat="1" applyFont="1" applyBorder="1" applyAlignment="1">
      <alignment horizontal="center"/>
    </xf>
    <xf numFmtId="0" fontId="14" fillId="0" borderId="21" xfId="0" applyFont="1" applyBorder="1" applyAlignment="1">
      <alignment horizontal="center"/>
    </xf>
    <xf numFmtId="0" fontId="14" fillId="0" borderId="2" xfId="0" applyFont="1" applyBorder="1" applyAlignment="1">
      <alignment horizontal="center"/>
    </xf>
    <xf numFmtId="0" fontId="14" fillId="0" borderId="22" xfId="0" applyFont="1" applyBorder="1" applyAlignment="1">
      <alignment horizontal="center"/>
    </xf>
    <xf numFmtId="0" fontId="25" fillId="0" borderId="7" xfId="11" applyFont="1" applyBorder="1" applyAlignment="1">
      <alignment horizontal="center"/>
    </xf>
    <xf numFmtId="0" fontId="31" fillId="0" borderId="15" xfId="11" applyFont="1" applyBorder="1" applyAlignment="1">
      <alignment horizontal="center" vertical="center"/>
    </xf>
    <xf numFmtId="0" fontId="31" fillId="0" borderId="17" xfId="11" applyFont="1" applyBorder="1" applyAlignment="1">
      <alignment horizontal="center" vertical="center"/>
    </xf>
    <xf numFmtId="0" fontId="31" fillId="0" borderId="15" xfId="11" applyFont="1" applyBorder="1" applyAlignment="1">
      <alignment horizontal="center"/>
    </xf>
    <xf numFmtId="0" fontId="31" fillId="0" borderId="17" xfId="11" applyFont="1" applyBorder="1" applyAlignment="1">
      <alignment horizontal="center"/>
    </xf>
    <xf numFmtId="0" fontId="26" fillId="0" borderId="62" xfId="11" applyFont="1" applyBorder="1" applyAlignment="1">
      <alignment horizontal="center" vertical="center"/>
    </xf>
    <xf numFmtId="0" fontId="26" fillId="0" borderId="11" xfId="11" applyFont="1" applyBorder="1" applyAlignment="1">
      <alignment horizontal="center" vertical="center"/>
    </xf>
    <xf numFmtId="0" fontId="26" fillId="0" borderId="70" xfId="11" applyFont="1" applyBorder="1" applyAlignment="1">
      <alignment horizontal="center" vertical="center"/>
    </xf>
    <xf numFmtId="0" fontId="35" fillId="0" borderId="33" xfId="11" applyFont="1" applyBorder="1" applyAlignment="1">
      <alignment horizontal="center"/>
    </xf>
    <xf numFmtId="0" fontId="35" fillId="0" borderId="46" xfId="11" applyFont="1" applyBorder="1" applyAlignment="1">
      <alignment horizontal="center"/>
    </xf>
    <xf numFmtId="0" fontId="34" fillId="0" borderId="15" xfId="11" applyFont="1" applyBorder="1" applyAlignment="1">
      <alignment horizontal="center" vertical="center"/>
    </xf>
    <xf numFmtId="0" fontId="34" fillId="0" borderId="16" xfId="11" applyFont="1" applyBorder="1" applyAlignment="1">
      <alignment horizontal="center" vertical="center"/>
    </xf>
    <xf numFmtId="0" fontId="34" fillId="0" borderId="17" xfId="11" applyFont="1" applyBorder="1" applyAlignment="1">
      <alignment horizontal="center" vertical="center"/>
    </xf>
    <xf numFmtId="0" fontId="34" fillId="7" borderId="15" xfId="11" applyFont="1" applyFill="1" applyBorder="1" applyAlignment="1">
      <alignment horizontal="center" vertical="center"/>
    </xf>
    <xf numFmtId="0" fontId="34" fillId="7" borderId="16" xfId="11" applyFont="1" applyFill="1" applyBorder="1" applyAlignment="1">
      <alignment horizontal="center" vertical="center"/>
    </xf>
    <xf numFmtId="0" fontId="34" fillId="7" borderId="17" xfId="11" applyFont="1" applyFill="1" applyBorder="1" applyAlignment="1">
      <alignment horizontal="center" vertical="center"/>
    </xf>
    <xf numFmtId="0" fontId="35" fillId="0" borderId="27" xfId="11" applyFont="1" applyBorder="1" applyAlignment="1">
      <alignment horizontal="center" vertical="center"/>
    </xf>
    <xf numFmtId="0" fontId="35" fillId="0" borderId="67" xfId="11" applyFont="1" applyBorder="1" applyAlignment="1">
      <alignment horizontal="center" vertical="center"/>
    </xf>
    <xf numFmtId="0" fontId="35" fillId="0" borderId="38" xfId="11" applyFont="1" applyBorder="1" applyAlignment="1">
      <alignment horizontal="center" vertical="center"/>
    </xf>
    <xf numFmtId="0" fontId="35" fillId="0" borderId="28" xfId="11" applyFont="1" applyBorder="1" applyAlignment="1">
      <alignment horizontal="center" vertical="center"/>
    </xf>
    <xf numFmtId="0" fontId="35" fillId="0" borderId="29" xfId="11" applyFont="1" applyBorder="1" applyAlignment="1">
      <alignment horizontal="center" vertical="center"/>
    </xf>
    <xf numFmtId="167" fontId="35" fillId="0" borderId="33" xfId="11" applyNumberFormat="1" applyFont="1" applyBorder="1" applyAlignment="1">
      <alignment horizontal="center"/>
    </xf>
    <xf numFmtId="167" fontId="35" fillId="0" borderId="46" xfId="11" applyNumberFormat="1" applyFont="1" applyBorder="1" applyAlignment="1">
      <alignment horizontal="center"/>
    </xf>
    <xf numFmtId="0" fontId="25" fillId="6" borderId="15" xfId="0" applyFont="1" applyFill="1" applyBorder="1" applyAlignment="1">
      <alignment horizontal="center"/>
    </xf>
    <xf numFmtId="0" fontId="25" fillId="6" borderId="16" xfId="0" applyFont="1" applyFill="1" applyBorder="1" applyAlignment="1">
      <alignment horizontal="center"/>
    </xf>
    <xf numFmtId="0" fontId="25" fillId="6" borderId="17" xfId="0" applyFont="1" applyFill="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26" fillId="0" borderId="17" xfId="0" applyFont="1" applyBorder="1" applyAlignment="1">
      <alignment horizontal="center"/>
    </xf>
    <xf numFmtId="0" fontId="14" fillId="8" borderId="15" xfId="0" applyFont="1" applyFill="1" applyBorder="1" applyAlignment="1">
      <alignment horizontal="center" vertical="center"/>
    </xf>
    <xf numFmtId="0" fontId="14" fillId="8" borderId="16" xfId="0" applyFont="1" applyFill="1" applyBorder="1" applyAlignment="1">
      <alignment horizontal="center" vertical="center"/>
    </xf>
    <xf numFmtId="0" fontId="14" fillId="8" borderId="17" xfId="0" applyFont="1" applyFill="1" applyBorder="1" applyAlignment="1">
      <alignment horizontal="center" vertical="center"/>
    </xf>
    <xf numFmtId="167" fontId="14" fillId="0" borderId="21" xfId="0" applyNumberFormat="1" applyFont="1" applyBorder="1" applyAlignment="1">
      <alignment horizontal="center"/>
    </xf>
    <xf numFmtId="167" fontId="14" fillId="0" borderId="2" xfId="0" applyNumberFormat="1" applyFont="1" applyBorder="1" applyAlignment="1">
      <alignment horizontal="center"/>
    </xf>
    <xf numFmtId="167" fontId="14" fillId="0" borderId="22" xfId="0" applyNumberFormat="1" applyFont="1" applyBorder="1" applyAlignment="1">
      <alignment horizontal="center"/>
    </xf>
    <xf numFmtId="0" fontId="12" fillId="0" borderId="33" xfId="0" applyFont="1" applyBorder="1" applyAlignment="1">
      <alignment horizontal="center"/>
    </xf>
    <xf numFmtId="0" fontId="12" fillId="0" borderId="46" xfId="0" applyFont="1" applyBorder="1" applyAlignment="1">
      <alignment horizontal="center"/>
    </xf>
    <xf numFmtId="0" fontId="14" fillId="0" borderId="33" xfId="0" applyFont="1" applyBorder="1" applyAlignment="1">
      <alignment horizontal="center"/>
    </xf>
    <xf numFmtId="0" fontId="14" fillId="0" borderId="46" xfId="0" applyFont="1" applyBorder="1" applyAlignment="1">
      <alignment horizontal="center"/>
    </xf>
    <xf numFmtId="0" fontId="25" fillId="0" borderId="15" xfId="6" applyFont="1" applyBorder="1" applyAlignment="1">
      <alignment horizontal="center" vertical="center" wrapText="1"/>
    </xf>
    <xf numFmtId="0" fontId="25" fillId="0" borderId="16" xfId="6" applyFont="1" applyBorder="1" applyAlignment="1">
      <alignment horizontal="center" vertical="center" wrapText="1"/>
    </xf>
    <xf numFmtId="0" fontId="25" fillId="0" borderId="17" xfId="6" applyFont="1" applyBorder="1" applyAlignment="1">
      <alignment horizontal="center" vertical="center" wrapText="1"/>
    </xf>
    <xf numFmtId="0" fontId="78" fillId="34" borderId="15" xfId="212" applyFont="1" applyFill="1" applyBorder="1" applyAlignment="1">
      <alignment horizontal="center" vertical="center"/>
    </xf>
    <xf numFmtId="0" fontId="78" fillId="34" borderId="16" xfId="212" applyFont="1" applyFill="1" applyBorder="1" applyAlignment="1">
      <alignment horizontal="center" vertical="center"/>
    </xf>
    <xf numFmtId="0" fontId="78" fillId="34" borderId="17" xfId="212" applyFont="1" applyFill="1" applyBorder="1" applyAlignment="1">
      <alignment horizontal="center" vertical="center"/>
    </xf>
    <xf numFmtId="167" fontId="78" fillId="34" borderId="15" xfId="156" applyNumberFormat="1" applyFont="1" applyFill="1" applyBorder="1" applyAlignment="1">
      <alignment horizontal="center" vertical="center"/>
    </xf>
    <xf numFmtId="167" fontId="78" fillId="34" borderId="16" xfId="156" applyNumberFormat="1" applyFont="1" applyFill="1" applyBorder="1" applyAlignment="1">
      <alignment horizontal="center" vertical="center"/>
    </xf>
    <xf numFmtId="167" fontId="78" fillId="34" borderId="4" xfId="156" applyNumberFormat="1" applyFont="1" applyFill="1" applyBorder="1" applyAlignment="1">
      <alignment horizontal="center" vertical="center"/>
    </xf>
    <xf numFmtId="0" fontId="80" fillId="4" borderId="2" xfId="212" applyFont="1" applyFill="1" applyBorder="1" applyAlignment="1">
      <alignment horizontal="right" vertical="center"/>
    </xf>
    <xf numFmtId="167" fontId="81" fillId="4" borderId="1" xfId="156" applyNumberFormat="1" applyFont="1" applyFill="1" applyBorder="1" applyAlignment="1">
      <alignment horizontal="center" vertical="center"/>
    </xf>
    <xf numFmtId="167" fontId="81" fillId="4" borderId="3" xfId="156" applyNumberFormat="1" applyFont="1" applyFill="1" applyBorder="1" applyAlignment="1">
      <alignment horizontal="center" vertical="center"/>
    </xf>
    <xf numFmtId="0" fontId="78" fillId="4" borderId="6" xfId="156" applyFont="1" applyFill="1" applyBorder="1" applyAlignment="1">
      <alignment horizontal="center" vertical="center"/>
    </xf>
    <xf numFmtId="0" fontId="78" fillId="4" borderId="7" xfId="156" applyFont="1" applyFill="1" applyBorder="1" applyAlignment="1">
      <alignment horizontal="center" vertical="center"/>
    </xf>
    <xf numFmtId="0" fontId="89" fillId="0" borderId="0" xfId="211" applyFont="1" applyAlignment="1">
      <alignment horizontal="center"/>
    </xf>
    <xf numFmtId="0" fontId="89" fillId="6" borderId="15" xfId="138" applyFont="1" applyFill="1" applyBorder="1" applyAlignment="1">
      <alignment horizontal="center"/>
    </xf>
    <xf numFmtId="0" fontId="89" fillId="6" borderId="16" xfId="138" applyFont="1" applyFill="1" applyBorder="1" applyAlignment="1">
      <alignment horizontal="center"/>
    </xf>
    <xf numFmtId="0" fontId="89" fillId="6" borderId="17" xfId="138" applyFont="1" applyFill="1" applyBorder="1" applyAlignment="1">
      <alignment horizontal="center"/>
    </xf>
    <xf numFmtId="167" fontId="89" fillId="6" borderId="15" xfId="135" applyNumberFormat="1" applyFont="1" applyFill="1" applyBorder="1" applyAlignment="1">
      <alignment horizontal="center" vertical="center"/>
    </xf>
    <xf numFmtId="167" fontId="89" fillId="6" borderId="16" xfId="135" applyNumberFormat="1" applyFont="1" applyFill="1" applyBorder="1" applyAlignment="1">
      <alignment horizontal="center" vertical="center"/>
    </xf>
    <xf numFmtId="167" fontId="89" fillId="6" borderId="17" xfId="135" applyNumberFormat="1" applyFont="1" applyFill="1" applyBorder="1" applyAlignment="1">
      <alignment horizontal="center" vertical="center"/>
    </xf>
    <xf numFmtId="167" fontId="89" fillId="0" borderId="15" xfId="135" applyNumberFormat="1" applyFont="1" applyBorder="1" applyAlignment="1">
      <alignment horizontal="center"/>
    </xf>
    <xf numFmtId="167" fontId="89" fillId="0" borderId="129" xfId="135" applyNumberFormat="1" applyFont="1" applyBorder="1" applyAlignment="1">
      <alignment horizontal="center"/>
    </xf>
    <xf numFmtId="167" fontId="89" fillId="0" borderId="1" xfId="135" applyNumberFormat="1" applyFont="1" applyBorder="1" applyAlignment="1">
      <alignment horizontal="center"/>
    </xf>
    <xf numFmtId="167" fontId="89" fillId="0" borderId="3" xfId="135" applyNumberFormat="1" applyFont="1" applyBorder="1" applyAlignment="1">
      <alignment horizontal="center"/>
    </xf>
    <xf numFmtId="0" fontId="91" fillId="0" borderId="1" xfId="6" applyFont="1" applyBorder="1" applyAlignment="1">
      <alignment horizontal="left" vertical="center" wrapText="1"/>
    </xf>
    <xf numFmtId="0" fontId="91" fillId="0" borderId="3" xfId="6" applyFont="1" applyBorder="1" applyAlignment="1">
      <alignment horizontal="left" vertical="center" wrapText="1"/>
    </xf>
    <xf numFmtId="0" fontId="91" fillId="0" borderId="4" xfId="6" applyFont="1" applyBorder="1" applyAlignment="1">
      <alignment horizontal="left" vertical="center" wrapText="1"/>
    </xf>
    <xf numFmtId="0" fontId="91" fillId="0" borderId="11" xfId="6" applyFont="1" applyBorder="1" applyAlignment="1">
      <alignment horizontal="left" vertical="center" wrapText="1"/>
    </xf>
    <xf numFmtId="0" fontId="91" fillId="0" borderId="0" xfId="6" applyFont="1" applyAlignment="1">
      <alignment horizontal="left" vertical="center" wrapText="1"/>
    </xf>
    <xf numFmtId="0" fontId="91" fillId="0" borderId="13" xfId="6" applyFont="1" applyBorder="1" applyAlignment="1">
      <alignment horizontal="left" vertical="center" wrapText="1"/>
    </xf>
    <xf numFmtId="0" fontId="91" fillId="0" borderId="6" xfId="6" applyFont="1" applyBorder="1" applyAlignment="1">
      <alignment horizontal="left" vertical="center" wrapText="1"/>
    </xf>
    <xf numFmtId="0" fontId="91" fillId="0" borderId="7" xfId="6" applyFont="1" applyBorder="1" applyAlignment="1">
      <alignment horizontal="left" vertical="center" wrapText="1"/>
    </xf>
    <xf numFmtId="0" fontId="91" fillId="0" borderId="9" xfId="6" applyFont="1" applyBorder="1" applyAlignment="1">
      <alignment horizontal="left" vertical="center" wrapText="1"/>
    </xf>
    <xf numFmtId="0" fontId="89" fillId="37" borderId="15" xfId="138" applyFont="1" applyFill="1" applyBorder="1" applyAlignment="1">
      <alignment horizontal="center"/>
    </xf>
    <xf numFmtId="0" fontId="89" fillId="37" borderId="16" xfId="138" applyFont="1" applyFill="1" applyBorder="1" applyAlignment="1">
      <alignment horizontal="center"/>
    </xf>
    <xf numFmtId="0" fontId="89" fillId="37" borderId="17" xfId="138" applyFont="1" applyFill="1" applyBorder="1" applyAlignment="1">
      <alignment horizontal="center"/>
    </xf>
    <xf numFmtId="0" fontId="79" fillId="0" borderId="47" xfId="6" applyFont="1" applyBorder="1"/>
    <xf numFmtId="0" fontId="79" fillId="0" borderId="35" xfId="6" applyFont="1" applyBorder="1"/>
    <xf numFmtId="0" fontId="98" fillId="0" borderId="0" xfId="6" applyFont="1" applyAlignment="1">
      <alignment horizontal="left"/>
    </xf>
    <xf numFmtId="0" fontId="7" fillId="0" borderId="1" xfId="6" applyFont="1" applyBorder="1" applyAlignment="1">
      <alignment horizontal="center"/>
    </xf>
    <xf numFmtId="0" fontId="79" fillId="0" borderId="4" xfId="6" applyFont="1" applyBorder="1"/>
    <xf numFmtId="0" fontId="79" fillId="0" borderId="82" xfId="6" applyFont="1" applyBorder="1"/>
    <xf numFmtId="0" fontId="79" fillId="0" borderId="88" xfId="6" applyFont="1" applyBorder="1"/>
    <xf numFmtId="167" fontId="89" fillId="0" borderId="11" xfId="135" applyNumberFormat="1" applyFont="1" applyBorder="1" applyAlignment="1">
      <alignment horizontal="center"/>
    </xf>
    <xf numFmtId="167" fontId="89" fillId="0" borderId="0" xfId="135" applyNumberFormat="1" applyFont="1" applyAlignment="1">
      <alignment horizontal="center"/>
    </xf>
    <xf numFmtId="0" fontId="51" fillId="9" borderId="3" xfId="123" applyFont="1" applyFill="1" applyBorder="1" applyAlignment="1">
      <alignment horizontal="left"/>
    </xf>
    <xf numFmtId="0" fontId="51" fillId="9" borderId="4" xfId="123" applyFont="1" applyFill="1" applyBorder="1" applyAlignment="1">
      <alignment horizontal="left"/>
    </xf>
    <xf numFmtId="0" fontId="118" fillId="0" borderId="26" xfId="348" applyBorder="1" applyAlignment="1">
      <alignment horizontal="right"/>
    </xf>
    <xf numFmtId="0" fontId="118" fillId="0" borderId="0" xfId="348" applyAlignment="1">
      <alignment horizontal="right"/>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cellXfs>
  <cellStyles count="363">
    <cellStyle name="20% - Accent1 2" xfId="20" xr:uid="{00000000-0005-0000-0000-000000000000}"/>
    <cellStyle name="20% - Accent2 2" xfId="21" xr:uid="{00000000-0005-0000-0000-000001000000}"/>
    <cellStyle name="20% - Accent3 2" xfId="22" xr:uid="{00000000-0005-0000-0000-000002000000}"/>
    <cellStyle name="20% - Accent4 2" xfId="23" xr:uid="{00000000-0005-0000-0000-000003000000}"/>
    <cellStyle name="20% - Accent5 2" xfId="24" xr:uid="{00000000-0005-0000-0000-000004000000}"/>
    <cellStyle name="20% - Accent6 2" xfId="25" xr:uid="{00000000-0005-0000-0000-000005000000}"/>
    <cellStyle name="40% - Accent1 2" xfId="26" xr:uid="{00000000-0005-0000-0000-000006000000}"/>
    <cellStyle name="40% - Accent2 2" xfId="27" xr:uid="{00000000-0005-0000-0000-000007000000}"/>
    <cellStyle name="40% - Accent3 2" xfId="28" xr:uid="{00000000-0005-0000-0000-000008000000}"/>
    <cellStyle name="40% - Accent4 2" xfId="29" xr:uid="{00000000-0005-0000-0000-000009000000}"/>
    <cellStyle name="40% - Accent5 2" xfId="30" xr:uid="{00000000-0005-0000-0000-00000A000000}"/>
    <cellStyle name="40% - Accent6 2" xfId="31" xr:uid="{00000000-0005-0000-0000-00000B000000}"/>
    <cellStyle name="60% - Accent1 2" xfId="32" xr:uid="{00000000-0005-0000-0000-00000C000000}"/>
    <cellStyle name="60% - Accent2 2" xfId="33" xr:uid="{00000000-0005-0000-0000-00000D000000}"/>
    <cellStyle name="60% - Accent3 2" xfId="34" xr:uid="{00000000-0005-0000-0000-00000E000000}"/>
    <cellStyle name="60% - Accent4 2" xfId="35" xr:uid="{00000000-0005-0000-0000-00000F000000}"/>
    <cellStyle name="60% - Accent5 2" xfId="36" xr:uid="{00000000-0005-0000-0000-000010000000}"/>
    <cellStyle name="60% - Accent6 2" xfId="37" xr:uid="{00000000-0005-0000-0000-000011000000}"/>
    <cellStyle name="Accent1 2" xfId="38" xr:uid="{00000000-0005-0000-0000-000012000000}"/>
    <cellStyle name="Accent2 2" xfId="39" xr:uid="{00000000-0005-0000-0000-000013000000}"/>
    <cellStyle name="Accent3 2" xfId="40" xr:uid="{00000000-0005-0000-0000-000014000000}"/>
    <cellStyle name="Accent4 2" xfId="41" xr:uid="{00000000-0005-0000-0000-000015000000}"/>
    <cellStyle name="Accent5 2" xfId="42" xr:uid="{00000000-0005-0000-0000-000016000000}"/>
    <cellStyle name="Accent6 2" xfId="43" xr:uid="{00000000-0005-0000-0000-000017000000}"/>
    <cellStyle name="Bad 2" xfId="44" xr:uid="{00000000-0005-0000-0000-000018000000}"/>
    <cellStyle name="Bad 3" xfId="219" xr:uid="{00000000-0005-0000-0000-000019000000}"/>
    <cellStyle name="Body: normal cell" xfId="220" xr:uid="{00000000-0005-0000-0000-00001A000000}"/>
    <cellStyle name="Calculation 2" xfId="45" xr:uid="{00000000-0005-0000-0000-00001B000000}"/>
    <cellStyle name="Calculation 2 2" xfId="46" xr:uid="{00000000-0005-0000-0000-00001C000000}"/>
    <cellStyle name="Calculation 2 3" xfId="47" xr:uid="{00000000-0005-0000-0000-00001D000000}"/>
    <cellStyle name="Check Cell 2" xfId="48" xr:uid="{00000000-0005-0000-0000-00001E000000}"/>
    <cellStyle name="Comma" xfId="350" builtinId="3"/>
    <cellStyle name="Comma [0] 2" xfId="221" xr:uid="{00000000-0005-0000-0000-00001F000000}"/>
    <cellStyle name="Comma 10" xfId="222" xr:uid="{00000000-0005-0000-0000-000020000000}"/>
    <cellStyle name="Comma 11" xfId="223" xr:uid="{00000000-0005-0000-0000-000021000000}"/>
    <cellStyle name="Comma 12" xfId="224" xr:uid="{00000000-0005-0000-0000-000022000000}"/>
    <cellStyle name="Comma 2" xfId="49" xr:uid="{00000000-0005-0000-0000-000023000000}"/>
    <cellStyle name="Comma 2 2" xfId="50" xr:uid="{00000000-0005-0000-0000-000024000000}"/>
    <cellStyle name="Comma 2 2 2" xfId="51" xr:uid="{00000000-0005-0000-0000-000025000000}"/>
    <cellStyle name="Comma 2 2 3" xfId="52" xr:uid="{00000000-0005-0000-0000-000026000000}"/>
    <cellStyle name="Comma 2 2 4" xfId="53" xr:uid="{00000000-0005-0000-0000-000027000000}"/>
    <cellStyle name="Comma 2 3" xfId="225" xr:uid="{00000000-0005-0000-0000-000028000000}"/>
    <cellStyle name="Comma 3" xfId="54" xr:uid="{00000000-0005-0000-0000-000029000000}"/>
    <cellStyle name="Comma 3 2" xfId="55" xr:uid="{00000000-0005-0000-0000-00002A000000}"/>
    <cellStyle name="Comma 3 3" xfId="56" xr:uid="{00000000-0005-0000-0000-00002B000000}"/>
    <cellStyle name="Comma 3 4" xfId="213" xr:uid="{00000000-0005-0000-0000-00002C000000}"/>
    <cellStyle name="Comma 4" xfId="57" xr:uid="{00000000-0005-0000-0000-00002D000000}"/>
    <cellStyle name="Comma 4 2" xfId="58" xr:uid="{00000000-0005-0000-0000-00002E000000}"/>
    <cellStyle name="Comma 4 3" xfId="59" xr:uid="{00000000-0005-0000-0000-00002F000000}"/>
    <cellStyle name="Comma 4 4" xfId="60" xr:uid="{00000000-0005-0000-0000-000030000000}"/>
    <cellStyle name="Comma 5" xfId="61" xr:uid="{00000000-0005-0000-0000-000031000000}"/>
    <cellStyle name="Comma 5 2" xfId="226" xr:uid="{00000000-0005-0000-0000-000032000000}"/>
    <cellStyle name="Comma 5 3" xfId="227" xr:uid="{00000000-0005-0000-0000-000033000000}"/>
    <cellStyle name="Comma 6" xfId="62" xr:uid="{00000000-0005-0000-0000-000034000000}"/>
    <cellStyle name="Comma 6 2" xfId="63" xr:uid="{00000000-0005-0000-0000-000035000000}"/>
    <cellStyle name="Comma 7" xfId="64" xr:uid="{00000000-0005-0000-0000-000036000000}"/>
    <cellStyle name="Comma 7 2" xfId="65" xr:uid="{00000000-0005-0000-0000-000037000000}"/>
    <cellStyle name="Comma 7 2 2" xfId="66" xr:uid="{00000000-0005-0000-0000-000038000000}"/>
    <cellStyle name="Comma 7 2 3" xfId="67" xr:uid="{00000000-0005-0000-0000-000039000000}"/>
    <cellStyle name="Comma 7 3" xfId="68" xr:uid="{00000000-0005-0000-0000-00003A000000}"/>
    <cellStyle name="Comma 7 4" xfId="69" xr:uid="{00000000-0005-0000-0000-00003B000000}"/>
    <cellStyle name="Comma 8" xfId="70" xr:uid="{00000000-0005-0000-0000-00003C000000}"/>
    <cellStyle name="Comma 9" xfId="215" xr:uid="{00000000-0005-0000-0000-00003D000000}"/>
    <cellStyle name="Currency" xfId="344" builtinId="4"/>
    <cellStyle name="Currency [0] 2" xfId="71" xr:uid="{00000000-0005-0000-0000-00003E000000}"/>
    <cellStyle name="Currency 10" xfId="72" xr:uid="{00000000-0005-0000-0000-00003F000000}"/>
    <cellStyle name="Currency 10 2" xfId="357" xr:uid="{7D18D51A-D9A6-451D-8787-4BEEE9915A61}"/>
    <cellStyle name="Currency 11" xfId="73" xr:uid="{00000000-0005-0000-0000-000040000000}"/>
    <cellStyle name="Currency 12" xfId="74" xr:uid="{00000000-0005-0000-0000-000041000000}"/>
    <cellStyle name="Currency 13" xfId="75" xr:uid="{00000000-0005-0000-0000-000042000000}"/>
    <cellStyle name="Currency 14" xfId="76" xr:uid="{00000000-0005-0000-0000-000043000000}"/>
    <cellStyle name="Currency 15" xfId="77" xr:uid="{00000000-0005-0000-0000-000044000000}"/>
    <cellStyle name="Currency 16" xfId="228" xr:uid="{00000000-0005-0000-0000-000045000000}"/>
    <cellStyle name="Currency 17" xfId="229" xr:uid="{00000000-0005-0000-0000-000046000000}"/>
    <cellStyle name="Currency 18" xfId="230" xr:uid="{00000000-0005-0000-0000-000047000000}"/>
    <cellStyle name="Currency 19" xfId="231" xr:uid="{00000000-0005-0000-0000-000048000000}"/>
    <cellStyle name="Currency 2" xfId="78" xr:uid="{00000000-0005-0000-0000-000049000000}"/>
    <cellStyle name="Currency 2 2" xfId="79" xr:uid="{00000000-0005-0000-0000-00004A000000}"/>
    <cellStyle name="Currency 2 2 2" xfId="232" xr:uid="{00000000-0005-0000-0000-00004B000000}"/>
    <cellStyle name="Currency 2 2 2 2" xfId="233" xr:uid="{00000000-0005-0000-0000-00004C000000}"/>
    <cellStyle name="Currency 2 2 2 3" xfId="234" xr:uid="{00000000-0005-0000-0000-00004D000000}"/>
    <cellStyle name="Currency 2 3" xfId="80" xr:uid="{00000000-0005-0000-0000-00004E000000}"/>
    <cellStyle name="Currency 2 4" xfId="81" xr:uid="{00000000-0005-0000-0000-00004F000000}"/>
    <cellStyle name="Currency 2 4 2" xfId="82" xr:uid="{00000000-0005-0000-0000-000050000000}"/>
    <cellStyle name="Currency 2 4 3" xfId="83" xr:uid="{00000000-0005-0000-0000-000051000000}"/>
    <cellStyle name="Currency 2 4 4" xfId="84" xr:uid="{00000000-0005-0000-0000-000052000000}"/>
    <cellStyle name="Currency 2 5" xfId="216" xr:uid="{00000000-0005-0000-0000-000053000000}"/>
    <cellStyle name="Currency 20" xfId="235" xr:uid="{00000000-0005-0000-0000-000054000000}"/>
    <cellStyle name="Currency 21" xfId="236" xr:uid="{00000000-0005-0000-0000-000055000000}"/>
    <cellStyle name="Currency 22" xfId="237" xr:uid="{00000000-0005-0000-0000-000056000000}"/>
    <cellStyle name="Currency 23" xfId="238" xr:uid="{00000000-0005-0000-0000-000057000000}"/>
    <cellStyle name="Currency 24" xfId="239" xr:uid="{00000000-0005-0000-0000-000058000000}"/>
    <cellStyle name="Currency 25" xfId="240" xr:uid="{00000000-0005-0000-0000-000059000000}"/>
    <cellStyle name="Currency 26" xfId="241" xr:uid="{00000000-0005-0000-0000-00005A000000}"/>
    <cellStyle name="Currency 27" xfId="242" xr:uid="{00000000-0005-0000-0000-00005B000000}"/>
    <cellStyle name="Currency 28" xfId="243" xr:uid="{00000000-0005-0000-0000-00005C000000}"/>
    <cellStyle name="Currency 29" xfId="244" xr:uid="{00000000-0005-0000-0000-00005D000000}"/>
    <cellStyle name="Currency 3" xfId="85" xr:uid="{00000000-0005-0000-0000-00005E000000}"/>
    <cellStyle name="Currency 3 2" xfId="86" xr:uid="{00000000-0005-0000-0000-00005F000000}"/>
    <cellStyle name="Currency 3 3" xfId="87" xr:uid="{00000000-0005-0000-0000-000060000000}"/>
    <cellStyle name="Currency 3 4" xfId="245" xr:uid="{00000000-0005-0000-0000-000061000000}"/>
    <cellStyle name="Currency 3 5" xfId="246" xr:uid="{00000000-0005-0000-0000-000062000000}"/>
    <cellStyle name="Currency 30" xfId="247" xr:uid="{00000000-0005-0000-0000-000063000000}"/>
    <cellStyle name="Currency 31" xfId="248" xr:uid="{00000000-0005-0000-0000-000064000000}"/>
    <cellStyle name="Currency 32" xfId="249" xr:uid="{00000000-0005-0000-0000-000065000000}"/>
    <cellStyle name="Currency 33" xfId="250" xr:uid="{00000000-0005-0000-0000-000066000000}"/>
    <cellStyle name="Currency 34" xfId="251" xr:uid="{00000000-0005-0000-0000-000067000000}"/>
    <cellStyle name="Currency 35" xfId="252" xr:uid="{00000000-0005-0000-0000-000068000000}"/>
    <cellStyle name="Currency 36" xfId="253" xr:uid="{00000000-0005-0000-0000-000069000000}"/>
    <cellStyle name="Currency 37" xfId="254" xr:uid="{00000000-0005-0000-0000-00006A000000}"/>
    <cellStyle name="Currency 38" xfId="255" xr:uid="{00000000-0005-0000-0000-00006B000000}"/>
    <cellStyle name="Currency 39" xfId="256" xr:uid="{00000000-0005-0000-0000-00006C000000}"/>
    <cellStyle name="Currency 4" xfId="8" xr:uid="{00000000-0005-0000-0000-00006D000000}"/>
    <cellStyle name="Currency 4 2" xfId="88" xr:uid="{00000000-0005-0000-0000-00006E000000}"/>
    <cellStyle name="Currency 4 2 2" xfId="89" xr:uid="{00000000-0005-0000-0000-00006F000000}"/>
    <cellStyle name="Currency 4 2 2 2" xfId="257" xr:uid="{00000000-0005-0000-0000-000070000000}"/>
    <cellStyle name="Currency 4 2 2 3" xfId="258" xr:uid="{00000000-0005-0000-0000-000071000000}"/>
    <cellStyle name="Currency 4 2 3" xfId="259" xr:uid="{00000000-0005-0000-0000-000072000000}"/>
    <cellStyle name="Currency 4 3" xfId="90" xr:uid="{00000000-0005-0000-0000-000073000000}"/>
    <cellStyle name="Currency 4 3 2" xfId="260" xr:uid="{00000000-0005-0000-0000-000074000000}"/>
    <cellStyle name="Currency 4 3 3" xfId="261" xr:uid="{00000000-0005-0000-0000-000075000000}"/>
    <cellStyle name="Currency 4 4" xfId="12" xr:uid="{00000000-0005-0000-0000-000076000000}"/>
    <cellStyle name="Currency 4 4 2" xfId="91" xr:uid="{00000000-0005-0000-0000-000077000000}"/>
    <cellStyle name="Currency 4 4 3" xfId="92" xr:uid="{00000000-0005-0000-0000-000078000000}"/>
    <cellStyle name="Currency 4 5" xfId="262" xr:uid="{00000000-0005-0000-0000-000079000000}"/>
    <cellStyle name="Currency 40" xfId="263" xr:uid="{00000000-0005-0000-0000-00007A000000}"/>
    <cellStyle name="Currency 41" xfId="264" xr:uid="{00000000-0005-0000-0000-00007B000000}"/>
    <cellStyle name="Currency 42" xfId="265" xr:uid="{00000000-0005-0000-0000-00007C000000}"/>
    <cellStyle name="Currency 43" xfId="266" xr:uid="{00000000-0005-0000-0000-00007D000000}"/>
    <cellStyle name="Currency 44" xfId="267" xr:uid="{00000000-0005-0000-0000-00007E000000}"/>
    <cellStyle name="Currency 45" xfId="268" xr:uid="{00000000-0005-0000-0000-00007F000000}"/>
    <cellStyle name="Currency 46" xfId="269" xr:uid="{00000000-0005-0000-0000-000080000000}"/>
    <cellStyle name="Currency 47" xfId="354" xr:uid="{3452C7B5-0650-4C07-B48F-294A85ABC546}"/>
    <cellStyle name="Currency 48" xfId="361" xr:uid="{51A1D027-1554-43E9-BA26-64C7B9587855}"/>
    <cellStyle name="Currency 5" xfId="93" xr:uid="{00000000-0005-0000-0000-000081000000}"/>
    <cellStyle name="Currency 5 2" xfId="94" xr:uid="{00000000-0005-0000-0000-000082000000}"/>
    <cellStyle name="Currency 5 2 2" xfId="270" xr:uid="{00000000-0005-0000-0000-000083000000}"/>
    <cellStyle name="Currency 5 3" xfId="95" xr:uid="{00000000-0005-0000-0000-000084000000}"/>
    <cellStyle name="Currency 5 3 2" xfId="96" xr:uid="{00000000-0005-0000-0000-000085000000}"/>
    <cellStyle name="Currency 5 3 3" xfId="97" xr:uid="{00000000-0005-0000-0000-000086000000}"/>
    <cellStyle name="Currency 5 4" xfId="98" xr:uid="{00000000-0005-0000-0000-000087000000}"/>
    <cellStyle name="Currency 5 5" xfId="99" xr:uid="{00000000-0005-0000-0000-000088000000}"/>
    <cellStyle name="Currency 5 6" xfId="271" xr:uid="{00000000-0005-0000-0000-000089000000}"/>
    <cellStyle name="Currency 6" xfId="100" xr:uid="{00000000-0005-0000-0000-00008A000000}"/>
    <cellStyle name="Currency 6 2" xfId="101" xr:uid="{00000000-0005-0000-0000-00008B000000}"/>
    <cellStyle name="Currency 6 2 2" xfId="102" xr:uid="{00000000-0005-0000-0000-00008C000000}"/>
    <cellStyle name="Currency 6 2 3" xfId="103" xr:uid="{00000000-0005-0000-0000-00008D000000}"/>
    <cellStyle name="Currency 6 3" xfId="104" xr:uid="{00000000-0005-0000-0000-00008E000000}"/>
    <cellStyle name="Currency 6 4" xfId="105" xr:uid="{00000000-0005-0000-0000-00008F000000}"/>
    <cellStyle name="Currency 7" xfId="9" xr:uid="{00000000-0005-0000-0000-000090000000}"/>
    <cellStyle name="Currency 7 2" xfId="106" xr:uid="{00000000-0005-0000-0000-000091000000}"/>
    <cellStyle name="Currency 7 3" xfId="107" xr:uid="{00000000-0005-0000-0000-000092000000}"/>
    <cellStyle name="Currency 8" xfId="108" xr:uid="{00000000-0005-0000-0000-000093000000}"/>
    <cellStyle name="Currency 8 2" xfId="272" xr:uid="{00000000-0005-0000-0000-000094000000}"/>
    <cellStyle name="Currency 9" xfId="109" xr:uid="{00000000-0005-0000-0000-000095000000}"/>
    <cellStyle name="Currency 9 2" xfId="110" xr:uid="{00000000-0005-0000-0000-000096000000}"/>
    <cellStyle name="Currency 9 3" xfId="111" xr:uid="{00000000-0005-0000-0000-000097000000}"/>
    <cellStyle name="Explanatory Text 2" xfId="112" xr:uid="{00000000-0005-0000-0000-000098000000}"/>
    <cellStyle name="Explanatory Text 2 2" xfId="273" xr:uid="{00000000-0005-0000-0000-000099000000}"/>
    <cellStyle name="Explanatory Text 2 3" xfId="274" xr:uid="{00000000-0005-0000-0000-00009A000000}"/>
    <cellStyle name="Font: Calibri, 9pt regular" xfId="275" xr:uid="{00000000-0005-0000-0000-00009B000000}"/>
    <cellStyle name="Footnotes: top row" xfId="276" xr:uid="{00000000-0005-0000-0000-00009C000000}"/>
    <cellStyle name="Good 2" xfId="113" xr:uid="{00000000-0005-0000-0000-00009D000000}"/>
    <cellStyle name="Header: bottom row" xfId="277" xr:uid="{00000000-0005-0000-0000-00009E000000}"/>
    <cellStyle name="Heading 1 2" xfId="114" xr:uid="{00000000-0005-0000-0000-00009F000000}"/>
    <cellStyle name="Heading 1 2 2" xfId="278" xr:uid="{00000000-0005-0000-0000-0000A0000000}"/>
    <cellStyle name="Heading 1 2 3" xfId="279" xr:uid="{00000000-0005-0000-0000-0000A1000000}"/>
    <cellStyle name="Heading 2 2" xfId="115" xr:uid="{00000000-0005-0000-0000-0000A2000000}"/>
    <cellStyle name="Heading 2 2 2" xfId="280" xr:uid="{00000000-0005-0000-0000-0000A3000000}"/>
    <cellStyle name="Heading 2 2 3" xfId="281" xr:uid="{00000000-0005-0000-0000-0000A4000000}"/>
    <cellStyle name="Heading 3 2" xfId="116" xr:uid="{00000000-0005-0000-0000-0000A5000000}"/>
    <cellStyle name="Heading 3 2 2" xfId="282" xr:uid="{00000000-0005-0000-0000-0000A6000000}"/>
    <cellStyle name="Heading 3 2 3" xfId="283" xr:uid="{00000000-0005-0000-0000-0000A7000000}"/>
    <cellStyle name="Heading 4 2" xfId="117" xr:uid="{00000000-0005-0000-0000-0000A8000000}"/>
    <cellStyle name="Heading 4 2 2" xfId="284" xr:uid="{00000000-0005-0000-0000-0000A9000000}"/>
    <cellStyle name="Heading 4 2 3" xfId="285" xr:uid="{00000000-0005-0000-0000-0000AA000000}"/>
    <cellStyle name="Hyperlink 2" xfId="286" xr:uid="{00000000-0005-0000-0000-0000AB000000}"/>
    <cellStyle name="Input 2" xfId="118" xr:uid="{00000000-0005-0000-0000-0000AC000000}"/>
    <cellStyle name="Input 2 2" xfId="119" xr:uid="{00000000-0005-0000-0000-0000AD000000}"/>
    <cellStyle name="Input 2 3" xfId="120" xr:uid="{00000000-0005-0000-0000-0000AE000000}"/>
    <cellStyle name="Linked Cell 2" xfId="121" xr:uid="{00000000-0005-0000-0000-0000AF000000}"/>
    <cellStyle name="Linked Cell 2 2" xfId="287" xr:uid="{00000000-0005-0000-0000-0000B0000000}"/>
    <cellStyle name="Linked Cell 2 3" xfId="288" xr:uid="{00000000-0005-0000-0000-0000B1000000}"/>
    <cellStyle name="Neutral 2" xfId="122" xr:uid="{00000000-0005-0000-0000-0000B2000000}"/>
    <cellStyle name="Normal" xfId="0" builtinId="0"/>
    <cellStyle name="Normal 10" xfId="123" xr:uid="{00000000-0005-0000-0000-0000B4000000}"/>
    <cellStyle name="Normal 10 2" xfId="6" xr:uid="{00000000-0005-0000-0000-0000B5000000}"/>
    <cellStyle name="Normal 10 2 2" xfId="14" xr:uid="{00000000-0005-0000-0000-0000B6000000}"/>
    <cellStyle name="Normal 10 3" xfId="289" xr:uid="{00000000-0005-0000-0000-0000B7000000}"/>
    <cellStyle name="Normal 10 3 2" xfId="290" xr:uid="{00000000-0005-0000-0000-0000B8000000}"/>
    <cellStyle name="Normal 10 3 3" xfId="16" xr:uid="{00000000-0005-0000-0000-0000B9000000}"/>
    <cellStyle name="Normal 11" xfId="124" xr:uid="{00000000-0005-0000-0000-0000BA000000}"/>
    <cellStyle name="Normal 11 2" xfId="291" xr:uid="{00000000-0005-0000-0000-0000BB000000}"/>
    <cellStyle name="Normal 11 2 2" xfId="292" xr:uid="{00000000-0005-0000-0000-0000BC000000}"/>
    <cellStyle name="Normal 12" xfId="125" xr:uid="{00000000-0005-0000-0000-0000BD000000}"/>
    <cellStyle name="Normal 12 2" xfId="126" xr:uid="{00000000-0005-0000-0000-0000BE000000}"/>
    <cellStyle name="Normal 13" xfId="127" xr:uid="{00000000-0005-0000-0000-0000BF000000}"/>
    <cellStyle name="Normal 13 2" xfId="293" xr:uid="{00000000-0005-0000-0000-0000C0000000}"/>
    <cellStyle name="Normal 14" xfId="128" xr:uid="{00000000-0005-0000-0000-0000C1000000}"/>
    <cellStyle name="Normal 14 2" xfId="294" xr:uid="{00000000-0005-0000-0000-0000C2000000}"/>
    <cellStyle name="Normal 15" xfId="129" xr:uid="{00000000-0005-0000-0000-0000C3000000}"/>
    <cellStyle name="Normal 15 2" xfId="130" xr:uid="{00000000-0005-0000-0000-0000C4000000}"/>
    <cellStyle name="Normal 15 3" xfId="131" xr:uid="{00000000-0005-0000-0000-0000C5000000}"/>
    <cellStyle name="Normal 15 4" xfId="132" xr:uid="{00000000-0005-0000-0000-0000C6000000}"/>
    <cellStyle name="Normal 16" xfId="295" xr:uid="{00000000-0005-0000-0000-0000C7000000}"/>
    <cellStyle name="Normal 17" xfId="211" xr:uid="{00000000-0005-0000-0000-0000C8000000}"/>
    <cellStyle name="Normal 17 2" xfId="296" xr:uid="{00000000-0005-0000-0000-0000C9000000}"/>
    <cellStyle name="Normal 18" xfId="297" xr:uid="{00000000-0005-0000-0000-0000CA000000}"/>
    <cellStyle name="Normal 19" xfId="298" xr:uid="{00000000-0005-0000-0000-0000CB000000}"/>
    <cellStyle name="Normal 2" xfId="133" xr:uid="{00000000-0005-0000-0000-0000CC000000}"/>
    <cellStyle name="Normal 2 2" xfId="134" xr:uid="{00000000-0005-0000-0000-0000CD000000}"/>
    <cellStyle name="Normal 2 2 2" xfId="135" xr:uid="{00000000-0005-0000-0000-0000CE000000}"/>
    <cellStyle name="Normal 2 2 3" xfId="299" xr:uid="{00000000-0005-0000-0000-0000CF000000}"/>
    <cellStyle name="Normal 2 2 4" xfId="347" xr:uid="{C65C905B-A468-4C6A-88E1-9646E23D2D86}"/>
    <cellStyle name="Normal 2 3" xfId="136" xr:uid="{00000000-0005-0000-0000-0000D0000000}"/>
    <cellStyle name="Normal 2 3 2" xfId="300" xr:uid="{00000000-0005-0000-0000-0000D1000000}"/>
    <cellStyle name="Normal 2 3 3" xfId="137" xr:uid="{00000000-0005-0000-0000-0000D2000000}"/>
    <cellStyle name="Normal 2 3 3 2" xfId="18" xr:uid="{00000000-0005-0000-0000-0000D3000000}"/>
    <cellStyle name="Normal 2 4" xfId="138" xr:uid="{00000000-0005-0000-0000-0000D4000000}"/>
    <cellStyle name="Normal 2 4 2" xfId="139" xr:uid="{00000000-0005-0000-0000-0000D5000000}"/>
    <cellStyle name="Normal 2 4 3" xfId="140" xr:uid="{00000000-0005-0000-0000-0000D6000000}"/>
    <cellStyle name="Normal 2 4 4" xfId="141" xr:uid="{00000000-0005-0000-0000-0000D7000000}"/>
    <cellStyle name="Normal 2 5" xfId="301" xr:uid="{00000000-0005-0000-0000-0000D8000000}"/>
    <cellStyle name="Normal 2 5 2" xfId="302" xr:uid="{00000000-0005-0000-0000-0000D9000000}"/>
    <cellStyle name="Normal 2 6" xfId="303" xr:uid="{00000000-0005-0000-0000-0000DA000000}"/>
    <cellStyle name="Normal 20" xfId="304" xr:uid="{00000000-0005-0000-0000-0000DB000000}"/>
    <cellStyle name="Normal 21" xfId="305" xr:uid="{00000000-0005-0000-0000-0000DC000000}"/>
    <cellStyle name="Normal 22" xfId="306" xr:uid="{00000000-0005-0000-0000-0000DD000000}"/>
    <cellStyle name="Normal 23" xfId="307" xr:uid="{00000000-0005-0000-0000-0000DE000000}"/>
    <cellStyle name="Normal 24" xfId="358" xr:uid="{6A237D9D-8ADC-4673-8FF1-B30B3CD58D41}"/>
    <cellStyle name="Normal 3" xfId="11" xr:uid="{00000000-0005-0000-0000-0000DF000000}"/>
    <cellStyle name="Normal 3 2" xfId="142" xr:uid="{00000000-0005-0000-0000-0000E0000000}"/>
    <cellStyle name="Normal 3 2 2" xfId="143" xr:uid="{00000000-0005-0000-0000-0000E1000000}"/>
    <cellStyle name="Normal 3 2 2 2" xfId="356" xr:uid="{8CEB2900-6941-4E9C-9494-1C48E6ED6835}"/>
    <cellStyle name="Normal 3 2 3" xfId="144" xr:uid="{00000000-0005-0000-0000-0000E2000000}"/>
    <cellStyle name="Normal 3 2 4" xfId="212" xr:uid="{00000000-0005-0000-0000-0000E3000000}"/>
    <cellStyle name="Normal 3 3" xfId="145" xr:uid="{00000000-0005-0000-0000-0000E4000000}"/>
    <cellStyle name="Normal 3 3 2" xfId="146" xr:uid="{00000000-0005-0000-0000-0000E5000000}"/>
    <cellStyle name="Normal 3 3 3" xfId="147" xr:uid="{00000000-0005-0000-0000-0000E6000000}"/>
    <cellStyle name="Normal 3 4" xfId="148" xr:uid="{00000000-0005-0000-0000-0000E7000000}"/>
    <cellStyle name="Normal 3 4 2" xfId="308" xr:uid="{00000000-0005-0000-0000-0000E8000000}"/>
    <cellStyle name="Normal 3 5" xfId="149" xr:uid="{00000000-0005-0000-0000-0000E9000000}"/>
    <cellStyle name="Normal 3 6" xfId="150" xr:uid="{00000000-0005-0000-0000-0000EA000000}"/>
    <cellStyle name="Normal 3 6 2" xfId="355" xr:uid="{F01FE152-B382-4ABB-B55E-8A8A6E277AE2}"/>
    <cellStyle name="Normal 3 7" xfId="151" xr:uid="{00000000-0005-0000-0000-0000EB000000}"/>
    <cellStyle name="Normal 3 8" xfId="351" xr:uid="{97EA5FDC-1D06-439B-8B34-C6B44348A985}"/>
    <cellStyle name="Normal 3 9" xfId="309" xr:uid="{00000000-0005-0000-0000-0000EC000000}"/>
    <cellStyle name="Normal 4" xfId="5" xr:uid="{00000000-0005-0000-0000-0000ED000000}"/>
    <cellStyle name="Normal 4 2" xfId="152" xr:uid="{00000000-0005-0000-0000-0000EE000000}"/>
    <cellStyle name="Normal 4 2 2" xfId="17" xr:uid="{00000000-0005-0000-0000-0000EF000000}"/>
    <cellStyle name="Normal 4 2 2 2" xfId="310" xr:uid="{00000000-0005-0000-0000-0000F0000000}"/>
    <cellStyle name="Normal 4 2 3" xfId="311" xr:uid="{00000000-0005-0000-0000-0000F1000000}"/>
    <cellStyle name="Normal 4 2 3 2" xfId="312" xr:uid="{00000000-0005-0000-0000-0000F2000000}"/>
    <cellStyle name="Normal 4 3" xfId="13" xr:uid="{00000000-0005-0000-0000-0000F3000000}"/>
    <cellStyle name="Normal 4 3 2" xfId="313" xr:uid="{00000000-0005-0000-0000-0000F4000000}"/>
    <cellStyle name="Normal 4 3 3" xfId="314" xr:uid="{00000000-0005-0000-0000-0000F5000000}"/>
    <cellStyle name="Normal 4 4" xfId="153" xr:uid="{00000000-0005-0000-0000-0000F6000000}"/>
    <cellStyle name="Normal 4 5" xfId="154" xr:uid="{00000000-0005-0000-0000-0000F7000000}"/>
    <cellStyle name="Normal 4 5 6" xfId="348" xr:uid="{80685898-FE3C-4CA1-8A3E-25EFDFFD9A0F}"/>
    <cellStyle name="Normal 5" xfId="155" xr:uid="{00000000-0005-0000-0000-0000F8000000}"/>
    <cellStyle name="Normal 5 10" xfId="345" xr:uid="{62EF8F8E-68AC-494E-B564-91FE87D49E3A}"/>
    <cellStyle name="Normal 5 10 2" xfId="359" xr:uid="{C445CBF3-FB29-4725-9A10-646DE4717C4F}"/>
    <cellStyle name="Normal 5 2" xfId="2" xr:uid="{00000000-0005-0000-0000-0000F9000000}"/>
    <cellStyle name="Normal 5 2 2" xfId="315" xr:uid="{00000000-0005-0000-0000-0000FA000000}"/>
    <cellStyle name="Normal 5 3" xfId="316" xr:uid="{00000000-0005-0000-0000-0000FB000000}"/>
    <cellStyle name="Normal 5 5 2" xfId="362" xr:uid="{DE2A5D2F-8ED9-4621-9B67-81C3D69A7244}"/>
    <cellStyle name="Normal 6" xfId="156" xr:uid="{00000000-0005-0000-0000-0000FC000000}"/>
    <cellStyle name="Normal 6 2" xfId="157" xr:uid="{00000000-0005-0000-0000-0000FD000000}"/>
    <cellStyle name="Normal 6 2 2" xfId="15" xr:uid="{00000000-0005-0000-0000-0000FE000000}"/>
    <cellStyle name="Normal 6 2 2 2" xfId="317" xr:uid="{00000000-0005-0000-0000-0000FF000000}"/>
    <cellStyle name="Normal 6 2 3" xfId="318" xr:uid="{00000000-0005-0000-0000-000000010000}"/>
    <cellStyle name="Normal 6 2 4" xfId="319" xr:uid="{00000000-0005-0000-0000-000001010000}"/>
    <cellStyle name="Normal 6 3" xfId="158" xr:uid="{00000000-0005-0000-0000-000002010000}"/>
    <cellStyle name="Normal 6 4" xfId="159" xr:uid="{00000000-0005-0000-0000-000003010000}"/>
    <cellStyle name="Normal 6 5" xfId="160" xr:uid="{00000000-0005-0000-0000-000004010000}"/>
    <cellStyle name="Normal 7" xfId="161" xr:uid="{00000000-0005-0000-0000-000005010000}"/>
    <cellStyle name="Normal 7 2" xfId="162" xr:uid="{00000000-0005-0000-0000-000006010000}"/>
    <cellStyle name="Normal 7 2 2" xfId="163" xr:uid="{00000000-0005-0000-0000-000007010000}"/>
    <cellStyle name="Normal 7 2 3" xfId="164" xr:uid="{00000000-0005-0000-0000-000008010000}"/>
    <cellStyle name="Normal 7 3" xfId="165" xr:uid="{00000000-0005-0000-0000-000009010000}"/>
    <cellStyle name="Normal 7 4" xfId="166" xr:uid="{00000000-0005-0000-0000-00000A010000}"/>
    <cellStyle name="Normal 8" xfId="167" xr:uid="{00000000-0005-0000-0000-00000B010000}"/>
    <cellStyle name="Normal 8 2" xfId="168" xr:uid="{00000000-0005-0000-0000-00000C010000}"/>
    <cellStyle name="Normal 8 2 2" xfId="218" xr:uid="{00000000-0005-0000-0000-00000D010000}"/>
    <cellStyle name="Normal 8 3" xfId="320" xr:uid="{00000000-0005-0000-0000-00000E010000}"/>
    <cellStyle name="Normal 8 4" xfId="321" xr:uid="{00000000-0005-0000-0000-00000F010000}"/>
    <cellStyle name="Normal 8 5" xfId="322" xr:uid="{00000000-0005-0000-0000-000010010000}"/>
    <cellStyle name="Normal 9" xfId="169" xr:uid="{00000000-0005-0000-0000-000011010000}"/>
    <cellStyle name="Normal 9 2" xfId="170" xr:uid="{00000000-0005-0000-0000-000012010000}"/>
    <cellStyle name="Normal 9 2 2" xfId="323" xr:uid="{00000000-0005-0000-0000-000013010000}"/>
    <cellStyle name="Normal 9 2 3" xfId="324" xr:uid="{00000000-0005-0000-0000-000014010000}"/>
    <cellStyle name="Normal 9 3" xfId="171" xr:uid="{00000000-0005-0000-0000-000015010000}"/>
    <cellStyle name="Normal_Fiscal Impact" xfId="353" xr:uid="{18251784-41EC-4967-B7EE-4FBD936566C1}"/>
    <cellStyle name="Note 2" xfId="172" xr:uid="{00000000-0005-0000-0000-000016010000}"/>
    <cellStyle name="Note 2 2" xfId="173" xr:uid="{00000000-0005-0000-0000-000017010000}"/>
    <cellStyle name="Note 2 3" xfId="174" xr:uid="{00000000-0005-0000-0000-000018010000}"/>
    <cellStyle name="Note 2 4" xfId="175" xr:uid="{00000000-0005-0000-0000-000019010000}"/>
    <cellStyle name="Output 2" xfId="176" xr:uid="{00000000-0005-0000-0000-00001A010000}"/>
    <cellStyle name="Output 2 2" xfId="177" xr:uid="{00000000-0005-0000-0000-00001B010000}"/>
    <cellStyle name="Output 2 3" xfId="178" xr:uid="{00000000-0005-0000-0000-00001C010000}"/>
    <cellStyle name="Parent row" xfId="325" xr:uid="{00000000-0005-0000-0000-00001D010000}"/>
    <cellStyle name="Percent" xfId="1" builtinId="5"/>
    <cellStyle name="Percent 10" xfId="4" xr:uid="{00000000-0005-0000-0000-00001F010000}"/>
    <cellStyle name="Percent 10 2" xfId="326" xr:uid="{00000000-0005-0000-0000-000020010000}"/>
    <cellStyle name="Percent 11" xfId="179" xr:uid="{00000000-0005-0000-0000-000021010000}"/>
    <cellStyle name="Percent 12" xfId="180" xr:uid="{00000000-0005-0000-0000-000022010000}"/>
    <cellStyle name="Percent 13" xfId="352" xr:uid="{CCE477B4-1889-497F-99C7-A8B474405616}"/>
    <cellStyle name="Percent 14" xfId="360" xr:uid="{70C14528-EA74-4B37-B731-AD55E622DC11}"/>
    <cellStyle name="Percent 2" xfId="181" xr:uid="{00000000-0005-0000-0000-000023010000}"/>
    <cellStyle name="Percent 2 2" xfId="182" xr:uid="{00000000-0005-0000-0000-000024010000}"/>
    <cellStyle name="Percent 2 2 2" xfId="183" xr:uid="{00000000-0005-0000-0000-000025010000}"/>
    <cellStyle name="Percent 2 2 2 2" xfId="327" xr:uid="{00000000-0005-0000-0000-000026010000}"/>
    <cellStyle name="Percent 2 2 3" xfId="328" xr:uid="{00000000-0005-0000-0000-000027010000}"/>
    <cellStyle name="Percent 2 2 3 2" xfId="19" xr:uid="{00000000-0005-0000-0000-000028010000}"/>
    <cellStyle name="Percent 2 3" xfId="184" xr:uid="{00000000-0005-0000-0000-000029010000}"/>
    <cellStyle name="Percent 2 4" xfId="3" xr:uid="{00000000-0005-0000-0000-00002A010000}"/>
    <cellStyle name="Percent 2 4 2" xfId="329" xr:uid="{00000000-0005-0000-0000-00002B010000}"/>
    <cellStyle name="Percent 2 5" xfId="217" xr:uid="{00000000-0005-0000-0000-00002C010000}"/>
    <cellStyle name="Percent 2 6" xfId="346" xr:uid="{055AFE5B-5B8A-4F70-8BB3-CB1EB16D8DAC}"/>
    <cellStyle name="Percent 2 7" xfId="349" xr:uid="{5D1A019F-D21B-44AF-813E-2B03835DE33C}"/>
    <cellStyle name="Percent 3" xfId="7" xr:uid="{00000000-0005-0000-0000-00002D010000}"/>
    <cellStyle name="Percent 3 2" xfId="185" xr:uid="{00000000-0005-0000-0000-00002E010000}"/>
    <cellStyle name="Percent 3 2 2" xfId="214" xr:uid="{00000000-0005-0000-0000-00002F010000}"/>
    <cellStyle name="Percent 3 2 3" xfId="330" xr:uid="{00000000-0005-0000-0000-000030010000}"/>
    <cellStyle name="Percent 3 3" xfId="331" xr:uid="{00000000-0005-0000-0000-000031010000}"/>
    <cellStyle name="Percent 4" xfId="186" xr:uid="{00000000-0005-0000-0000-000032010000}"/>
    <cellStyle name="Percent 4 2" xfId="187" xr:uid="{00000000-0005-0000-0000-000033010000}"/>
    <cellStyle name="Percent 4 2 2" xfId="188" xr:uid="{00000000-0005-0000-0000-000034010000}"/>
    <cellStyle name="Percent 4 2 3" xfId="189" xr:uid="{00000000-0005-0000-0000-000035010000}"/>
    <cellStyle name="Percent 4 3" xfId="332" xr:uid="{00000000-0005-0000-0000-000036010000}"/>
    <cellStyle name="Percent 5" xfId="190" xr:uid="{00000000-0005-0000-0000-000037010000}"/>
    <cellStyle name="Percent 5 2" xfId="191" xr:uid="{00000000-0005-0000-0000-000038010000}"/>
    <cellStyle name="Percent 5 2 2" xfId="333" xr:uid="{00000000-0005-0000-0000-000039010000}"/>
    <cellStyle name="Percent 5 3" xfId="192" xr:uid="{00000000-0005-0000-0000-00003A010000}"/>
    <cellStyle name="Percent 5 4" xfId="193" xr:uid="{00000000-0005-0000-0000-00003B010000}"/>
    <cellStyle name="Percent 5 5" xfId="334" xr:uid="{00000000-0005-0000-0000-00003C010000}"/>
    <cellStyle name="Percent 6" xfId="194" xr:uid="{00000000-0005-0000-0000-00003D010000}"/>
    <cellStyle name="Percent 6 2" xfId="195" xr:uid="{00000000-0005-0000-0000-00003E010000}"/>
    <cellStyle name="Percent 6 2 2" xfId="196" xr:uid="{00000000-0005-0000-0000-00003F010000}"/>
    <cellStyle name="Percent 6 2 3" xfId="197" xr:uid="{00000000-0005-0000-0000-000040010000}"/>
    <cellStyle name="Percent 6 3" xfId="198" xr:uid="{00000000-0005-0000-0000-000041010000}"/>
    <cellStyle name="Percent 6 4" xfId="335" xr:uid="{00000000-0005-0000-0000-000042010000}"/>
    <cellStyle name="Percent 7" xfId="10" xr:uid="{00000000-0005-0000-0000-000043010000}"/>
    <cellStyle name="Percent 7 2" xfId="199" xr:uid="{00000000-0005-0000-0000-000044010000}"/>
    <cellStyle name="Percent 7 3" xfId="200" xr:uid="{00000000-0005-0000-0000-000045010000}"/>
    <cellStyle name="Percent 7 4" xfId="336" xr:uid="{00000000-0005-0000-0000-000046010000}"/>
    <cellStyle name="Percent 8" xfId="201" xr:uid="{00000000-0005-0000-0000-000047010000}"/>
    <cellStyle name="Percent 8 2" xfId="337" xr:uid="{00000000-0005-0000-0000-000048010000}"/>
    <cellStyle name="Percent 8 3" xfId="338" xr:uid="{00000000-0005-0000-0000-000049010000}"/>
    <cellStyle name="Percent 9" xfId="202" xr:uid="{00000000-0005-0000-0000-00004A010000}"/>
    <cellStyle name="Percent 9 2" xfId="203" xr:uid="{00000000-0005-0000-0000-00004B010000}"/>
    <cellStyle name="Style 1" xfId="204" xr:uid="{00000000-0005-0000-0000-00004C010000}"/>
    <cellStyle name="Style 2" xfId="205" xr:uid="{00000000-0005-0000-0000-00004D010000}"/>
    <cellStyle name="Table title" xfId="339" xr:uid="{00000000-0005-0000-0000-00004E010000}"/>
    <cellStyle name="Title 2" xfId="206" xr:uid="{00000000-0005-0000-0000-00004F010000}"/>
    <cellStyle name="Title 2 2" xfId="340" xr:uid="{00000000-0005-0000-0000-000050010000}"/>
    <cellStyle name="Title 2 3" xfId="341" xr:uid="{00000000-0005-0000-0000-000051010000}"/>
    <cellStyle name="Total 2" xfId="207" xr:uid="{00000000-0005-0000-0000-000052010000}"/>
    <cellStyle name="Total 2 2" xfId="208" xr:uid="{00000000-0005-0000-0000-000053010000}"/>
    <cellStyle name="Total 2 3" xfId="209" xr:uid="{00000000-0005-0000-0000-000054010000}"/>
    <cellStyle name="Warning Text 2" xfId="210" xr:uid="{00000000-0005-0000-0000-000055010000}"/>
    <cellStyle name="Warning Text 2 2" xfId="342" xr:uid="{00000000-0005-0000-0000-000056010000}"/>
    <cellStyle name="Warning Text 2 3" xfId="343" xr:uid="{00000000-0005-0000-0000-00005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20" Type="http://schemas.openxmlformats.org/officeDocument/2006/relationships/externalLink" Target="externalLinks/externalLink2.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8B641A49-4DD8-424A-8E90-0BE5A5B44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W_Pricing\POS\Year%203%20Projects\Year%203%20Plan\Service%20Classes\Youth%20Intermediate%20Term%20Stabilization\3470%20DPH%20BSAS%20Youth%20Residential\YITS-DPH\YITS_DPH_Yr%203%20review_FY2010-2011_General%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C:\Users\MRohmann\Downloads\BLS%20M2024%20Detail.xlsx" TargetMode="External"/><Relationship Id="rId1" Type="http://schemas.openxmlformats.org/officeDocument/2006/relationships/externalLinkPath" Target="file:///C:\Users\MRohmann\Downloads\BLS%20M2024%20Detail.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General%20Programs%20-%20MCB%20&amp;%20MRC-CMR%20422\2022%20Rate%20Review\1.%20Strategy%20Materials\Gen%20Prog%208.3.21.xlsx" TargetMode="External"/><Relationship Id="rId1" Type="http://schemas.openxmlformats.org/officeDocument/2006/relationships/externalLinkPath" Target="file:///X:\Administrative%20Services-POS%20Policy%20Office\Rate%20Setting\Rate%20Projects\General%20Programs%20-%20MCB%20&amp;%20MRC-CMR%20422\2022%20Rate%20Review\1.%20Strategy%20Materials\Gen%20Prog%208.3.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sheetData sheetId="1">
        <row r="7">
          <cell r="X7">
            <v>22.520400000000002</v>
          </cell>
        </row>
        <row r="8">
          <cell r="X8">
            <v>46842.432000000008</v>
          </cell>
        </row>
        <row r="16">
          <cell r="X16">
            <v>27.109919999999999</v>
          </cell>
        </row>
        <row r="17">
          <cell r="X17">
            <v>56388.633600000001</v>
          </cell>
        </row>
        <row r="20">
          <cell r="X20">
            <v>22.0016</v>
          </cell>
        </row>
        <row r="21">
          <cell r="X21">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IL FY16"/>
      <sheetName val="ATIL FY15 FI"/>
      <sheetName val="Fall 2018"/>
      <sheetName val="Fiscal Impact(FY19)"/>
      <sheetName val="Chart BLS"/>
      <sheetName val="Chart for Reg"/>
      <sheetName val="Chart for Reg Current"/>
      <sheetName val="Fiscal Impact - wip"/>
      <sheetName val="1. O&amp;M Model Budge current"/>
      <sheetName val="Fiscal Impact fy 21"/>
      <sheetName val="1. O&amp;M Model - 2121"/>
      <sheetName val="Below the line 2121"/>
      <sheetName val="1a. VR Assistant Current"/>
      <sheetName val="1a. VR Assistant- 3253"/>
      <sheetName val="Below the line 3253"/>
      <sheetName val="2. HCA-Post PH Current"/>
      <sheetName val="2. HCA-2220"/>
      <sheetName val="3. ATILSingleSiteModel Current"/>
      <sheetName val="Below the line 2220"/>
      <sheetName val="3. ATILSingleSiteModel- 2218"/>
      <sheetName val="Below the line 2218"/>
      <sheetName val="3. ATIL UFR 2020"/>
      <sheetName val="4. Mobile Eye Model Budget Curr"/>
      <sheetName val="4. Mobile Eye Model - 2406 "/>
      <sheetName val="5. DBCAN Model Budget Current"/>
      <sheetName val="5. DBCAN Model - 2405"/>
      <sheetName val="Below the line 2405"/>
      <sheetName val="FY18 Spend"/>
      <sheetName val="Spring2017 CAF"/>
      <sheetName val="Salary Compare"/>
      <sheetName val="Activity Codes"/>
      <sheetName val="Spring 2019 CAF"/>
      <sheetName val="2020 UFR 2405"/>
      <sheetName val="CMR 422 Master Lookup"/>
      <sheetName val="CAF Spring 2021"/>
      <sheetName val="CMR 422 Master Lookup Curr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9">
          <cell r="L19">
            <v>82267.710000000006</v>
          </cell>
        </row>
        <row r="23">
          <cell r="L23">
            <v>374893.8</v>
          </cell>
        </row>
        <row r="28">
          <cell r="L28">
            <v>1214833.6800000002</v>
          </cell>
        </row>
        <row r="84">
          <cell r="L84">
            <v>3059503.22</v>
          </cell>
        </row>
        <row r="87">
          <cell r="L87">
            <v>510611.9</v>
          </cell>
        </row>
        <row r="96">
          <cell r="L96">
            <v>199673.87</v>
          </cell>
        </row>
      </sheetData>
      <sheetData sheetId="28">
        <row r="27">
          <cell r="BK27">
            <v>2.7235921972764018E-2</v>
          </cell>
        </row>
      </sheetData>
      <sheetData sheetId="29"/>
      <sheetData sheetId="30"/>
      <sheetData sheetId="31"/>
      <sheetData sheetId="32"/>
      <sheetData sheetId="33"/>
      <sheetData sheetId="34"/>
      <sheetData sheetId="3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persons/person.xml><?xml version="1.0" encoding="utf-8"?>
<personList xmlns="http://schemas.microsoft.com/office/spreadsheetml/2018/threadedcomments" xmlns:x="http://schemas.openxmlformats.org/spreadsheetml/2006/main">
  <person displayName="Farrell, Conor (EHS)" id="{EAEC732D-CF53-41E1-8F35-5BD0D5ECBB30}"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EAEC732D-CF53-41E1-8F35-5BD0D5ECBB30}" id="{B03B6840-4C32-4BC1-B4E0-4AF1FAA78A18}">
    <text>$46.22 May 2024 @ 53rd</text>
  </threadedComment>
  <threadedComment ref="C29" dT="2025-04-03T16:03:13.97" personId="{EAEC732D-CF53-41E1-8F35-5BD0D5ECBB30}" id="{2B9D29C0-D76F-476E-80F1-B7BF00315544}">
    <text>$40.83 May 2024 @ 53rd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54A60-59F5-4452-A55D-6204328D4AD6}">
  <dimension ref="A2:F55"/>
  <sheetViews>
    <sheetView zoomScale="80" zoomScaleNormal="80" workbookViewId="0">
      <selection activeCell="I15" sqref="I15"/>
    </sheetView>
  </sheetViews>
  <sheetFormatPr defaultColWidth="9.140625" defaultRowHeight="15"/>
  <cols>
    <col min="1" max="1" width="9.140625" style="1074"/>
    <col min="2" max="2" width="39.7109375" style="1074" bestFit="1" customWidth="1"/>
    <col min="3" max="3" width="15.85546875" style="1074" customWidth="1"/>
    <col min="4" max="6" width="39.7109375" style="1074" customWidth="1"/>
    <col min="7" max="8" width="9.140625" style="1074"/>
    <col min="9" max="9" width="26.28515625" style="1074" bestFit="1" customWidth="1"/>
    <col min="10" max="10" width="16.28515625" style="1074" customWidth="1"/>
    <col min="11" max="16384" width="9.140625" style="1074"/>
  </cols>
  <sheetData>
    <row r="2" spans="2:6">
      <c r="C2" s="1106">
        <v>45413</v>
      </c>
    </row>
    <row r="3" spans="2:6">
      <c r="C3" s="1103" t="s">
        <v>1</v>
      </c>
    </row>
    <row r="4" spans="2:6" ht="30.75" thickBot="1">
      <c r="B4" s="1104" t="s">
        <v>543</v>
      </c>
      <c r="C4" s="1103" t="s">
        <v>350</v>
      </c>
      <c r="D4" s="1104" t="s">
        <v>3</v>
      </c>
      <c r="E4" s="1105" t="s">
        <v>4</v>
      </c>
      <c r="F4" s="1104" t="s">
        <v>542</v>
      </c>
    </row>
    <row r="5" spans="2:6">
      <c r="B5" s="1098" t="s">
        <v>5</v>
      </c>
      <c r="C5" s="1094">
        <f>'[20]DC.DCIII.CNA'!X7</f>
        <v>22.520400000000002</v>
      </c>
      <c r="D5" s="1218" t="s">
        <v>6</v>
      </c>
      <c r="E5" s="1208" t="s">
        <v>7</v>
      </c>
      <c r="F5" s="1210" t="s">
        <v>541</v>
      </c>
    </row>
    <row r="6" spans="2:6" ht="15.75" customHeight="1" thickBot="1">
      <c r="B6" s="1097" t="s">
        <v>8</v>
      </c>
      <c r="C6" s="1091">
        <f>'[20]DC.DCIII.CNA'!X8</f>
        <v>46842.432000000008</v>
      </c>
      <c r="D6" s="1219"/>
      <c r="E6" s="1209"/>
      <c r="F6" s="1211"/>
    </row>
    <row r="7" spans="2:6" ht="15.75" customHeight="1">
      <c r="B7" s="1095" t="s">
        <v>9</v>
      </c>
      <c r="C7" s="1094">
        <f>'[20]DC.DCIII.CNA'!X16</f>
        <v>27.109919999999999</v>
      </c>
      <c r="D7" s="1093" t="s">
        <v>10</v>
      </c>
      <c r="E7" s="1208" t="s">
        <v>11</v>
      </c>
      <c r="F7" s="1210" t="s">
        <v>353</v>
      </c>
    </row>
    <row r="8" spans="2:6" ht="27" customHeight="1" thickBot="1">
      <c r="B8" s="1092" t="s">
        <v>12</v>
      </c>
      <c r="C8" s="1091">
        <f>'[20]DC.DCIII.CNA'!X17</f>
        <v>56388.633600000001</v>
      </c>
      <c r="D8" s="1102" t="s">
        <v>354</v>
      </c>
      <c r="E8" s="1209"/>
      <c r="F8" s="1211"/>
    </row>
    <row r="9" spans="2:6">
      <c r="B9" s="1095" t="s">
        <v>13</v>
      </c>
      <c r="C9" s="1094">
        <f>'[20]DC.DCIII.CNA'!X20</f>
        <v>22.0016</v>
      </c>
      <c r="D9" s="1093"/>
      <c r="E9" s="1208" t="s">
        <v>14</v>
      </c>
      <c r="F9" s="1210" t="s">
        <v>540</v>
      </c>
    </row>
    <row r="10" spans="2:6" ht="27" customHeight="1" thickBot="1">
      <c r="B10" s="1092" t="s">
        <v>15</v>
      </c>
      <c r="C10" s="1091">
        <f>'[20]DC.DCIII.CNA'!X21</f>
        <v>45763.328000000001</v>
      </c>
      <c r="D10" s="1090"/>
      <c r="E10" s="1209"/>
      <c r="F10" s="1211"/>
    </row>
    <row r="11" spans="2:6">
      <c r="B11" s="1095" t="s">
        <v>16</v>
      </c>
      <c r="C11" s="1094">
        <f>'[20]CASE.MGMT'!I6</f>
        <v>31.989000000000004</v>
      </c>
      <c r="D11" s="1093" t="s">
        <v>17</v>
      </c>
      <c r="E11" s="1208" t="s">
        <v>18</v>
      </c>
      <c r="F11" s="1217" t="s">
        <v>356</v>
      </c>
    </row>
    <row r="12" spans="2:6" ht="27" customHeight="1" thickBot="1">
      <c r="B12" s="1092" t="s">
        <v>19</v>
      </c>
      <c r="C12" s="1096">
        <f>'[20]CASE.MGMT'!I7</f>
        <v>66537.12000000001</v>
      </c>
      <c r="D12" s="1090" t="s">
        <v>20</v>
      </c>
      <c r="E12" s="1209"/>
      <c r="F12" s="1217"/>
    </row>
    <row r="13" spans="2:6">
      <c r="B13" s="1095" t="s">
        <v>21</v>
      </c>
      <c r="C13" s="1094">
        <f>'[20]CASE.MGMT'!I16</f>
        <v>36.1419</v>
      </c>
      <c r="D13" s="1093" t="s">
        <v>22</v>
      </c>
      <c r="E13" s="1208" t="s">
        <v>23</v>
      </c>
      <c r="F13" s="1210" t="s">
        <v>357</v>
      </c>
    </row>
    <row r="14" spans="2:6" ht="15.75" thickBot="1">
      <c r="B14" s="1092" t="s">
        <v>24</v>
      </c>
      <c r="C14" s="1091">
        <f>'[20]CASE.MGMT'!I17</f>
        <v>75175.152000000002</v>
      </c>
      <c r="D14" s="1090" t="s">
        <v>25</v>
      </c>
      <c r="E14" s="1209"/>
      <c r="F14" s="1211"/>
    </row>
    <row r="15" spans="2:6">
      <c r="B15" s="1095" t="s">
        <v>35</v>
      </c>
      <c r="C15" s="1094">
        <f>[20]NURSING!K4</f>
        <v>37.066800000000001</v>
      </c>
      <c r="D15" s="1093"/>
      <c r="E15" s="1208" t="s">
        <v>36</v>
      </c>
      <c r="F15" s="1210" t="s">
        <v>358</v>
      </c>
    </row>
    <row r="16" spans="2:6" ht="27" customHeight="1" thickBot="1">
      <c r="B16" s="1092" t="s">
        <v>37</v>
      </c>
      <c r="C16" s="1091">
        <f>[20]NURSING!K5</f>
        <v>77098.944000000003</v>
      </c>
      <c r="D16" s="1090" t="s">
        <v>359</v>
      </c>
      <c r="E16" s="1209"/>
      <c r="F16" s="1211"/>
    </row>
    <row r="17" spans="1:6">
      <c r="B17" s="1095" t="s">
        <v>26</v>
      </c>
      <c r="C17" s="1094">
        <f>[20]CLINICAL!J7</f>
        <v>40.468299999999999</v>
      </c>
      <c r="D17" s="1093" t="s">
        <v>27</v>
      </c>
      <c r="E17" s="1208" t="s">
        <v>28</v>
      </c>
      <c r="F17" s="1210" t="s">
        <v>360</v>
      </c>
    </row>
    <row r="18" spans="1:6" ht="27" customHeight="1" thickBot="1">
      <c r="B18" s="1092" t="s">
        <v>29</v>
      </c>
      <c r="C18" s="1091">
        <f>[20]CLINICAL!J8</f>
        <v>84174.063999999998</v>
      </c>
      <c r="D18" s="1090"/>
      <c r="E18" s="1209"/>
      <c r="F18" s="1211"/>
    </row>
    <row r="19" spans="1:6">
      <c r="B19" s="1095" t="s">
        <v>361</v>
      </c>
      <c r="C19" s="1094">
        <f>'[20]THER.PATH.'!K11</f>
        <v>39.5488</v>
      </c>
      <c r="D19" s="1093"/>
      <c r="E19" s="1208" t="s">
        <v>362</v>
      </c>
      <c r="F19" s="1210" t="s">
        <v>363</v>
      </c>
    </row>
    <row r="20" spans="1:6" ht="15.75" thickBot="1">
      <c r="B20" s="1092" t="s">
        <v>364</v>
      </c>
      <c r="C20" s="1091">
        <f>'[20]THER.PATH.'!K12</f>
        <v>82261.504000000001</v>
      </c>
      <c r="D20" s="1090"/>
      <c r="E20" s="1209"/>
      <c r="F20" s="1211"/>
    </row>
    <row r="21" spans="1:6">
      <c r="B21" s="1095" t="s">
        <v>30</v>
      </c>
      <c r="C21" s="1094">
        <f>'[20]CASE.MGMT'!I21</f>
        <v>39.176400000000001</v>
      </c>
      <c r="D21" s="1093" t="s">
        <v>365</v>
      </c>
      <c r="E21" s="1208" t="s">
        <v>31</v>
      </c>
      <c r="F21" s="1215" t="s">
        <v>366</v>
      </c>
    </row>
    <row r="22" spans="1:6" ht="27" customHeight="1" thickBot="1">
      <c r="B22" s="1092" t="s">
        <v>32</v>
      </c>
      <c r="C22" s="1091">
        <f>'[20]CASE.MGMT'!I22</f>
        <v>81486.911999999997</v>
      </c>
      <c r="D22" s="1090" t="s">
        <v>367</v>
      </c>
      <c r="E22" s="1209"/>
      <c r="F22" s="1216"/>
    </row>
    <row r="23" spans="1:6">
      <c r="B23" s="1100" t="s">
        <v>539</v>
      </c>
      <c r="C23" s="1101">
        <f>'[20]THER.PATH.'!K6</f>
        <v>41.273300000000006</v>
      </c>
      <c r="D23" s="1080" t="s">
        <v>369</v>
      </c>
      <c r="E23" s="1212" t="s">
        <v>23</v>
      </c>
      <c r="F23" s="1210" t="s">
        <v>538</v>
      </c>
    </row>
    <row r="24" spans="1:6" ht="15.75" thickBot="1">
      <c r="B24" s="1100" t="s">
        <v>537</v>
      </c>
      <c r="C24" s="1078">
        <f>'[20]THER.PATH.'!K7</f>
        <v>85848.464000000007</v>
      </c>
      <c r="D24" s="1080"/>
      <c r="E24" s="1212"/>
      <c r="F24" s="1211"/>
    </row>
    <row r="25" spans="1:6">
      <c r="B25" s="1095" t="s">
        <v>372</v>
      </c>
      <c r="C25" s="1094">
        <f>'[20]THER.PATH.'!K20</f>
        <v>43.965600000000002</v>
      </c>
      <c r="D25" s="1093" t="s">
        <v>373</v>
      </c>
      <c r="E25" s="1208" t="s">
        <v>23</v>
      </c>
      <c r="F25" s="1210" t="s">
        <v>374</v>
      </c>
    </row>
    <row r="26" spans="1:6" ht="15.75" thickBot="1">
      <c r="B26" s="1092" t="s">
        <v>375</v>
      </c>
      <c r="C26" s="1091">
        <f>'[20]THER.PATH.'!K21</f>
        <v>91448.448000000004</v>
      </c>
      <c r="D26" s="1090"/>
      <c r="E26" s="1209"/>
      <c r="F26" s="1211"/>
    </row>
    <row r="27" spans="1:6">
      <c r="A27" s="1099" t="s">
        <v>415</v>
      </c>
      <c r="B27" s="1095" t="s">
        <v>376</v>
      </c>
      <c r="C27" s="1094">
        <v>48.95</v>
      </c>
      <c r="D27" s="1213" t="s">
        <v>33</v>
      </c>
      <c r="E27" s="1208" t="s">
        <v>34</v>
      </c>
      <c r="F27" s="1210" t="s">
        <v>377</v>
      </c>
    </row>
    <row r="28" spans="1:6" ht="15.75" customHeight="1" thickBot="1">
      <c r="A28" s="1099"/>
      <c r="B28" s="1092" t="s">
        <v>378</v>
      </c>
      <c r="C28" s="1096">
        <v>101806.43</v>
      </c>
      <c r="D28" s="1214"/>
      <c r="E28" s="1209"/>
      <c r="F28" s="1211"/>
    </row>
    <row r="29" spans="1:6" ht="15.75" customHeight="1">
      <c r="A29" s="1099" t="s">
        <v>415</v>
      </c>
      <c r="B29" s="1098" t="s">
        <v>536</v>
      </c>
      <c r="C29" s="1094">
        <v>44.3</v>
      </c>
      <c r="D29" s="1093"/>
      <c r="E29" s="1208" t="s">
        <v>23</v>
      </c>
      <c r="F29" s="1210" t="s">
        <v>535</v>
      </c>
    </row>
    <row r="30" spans="1:6" ht="15.75" thickBot="1">
      <c r="B30" s="1097" t="s">
        <v>534</v>
      </c>
      <c r="C30" s="1096">
        <v>92147.66</v>
      </c>
      <c r="D30" s="1090"/>
      <c r="E30" s="1209"/>
      <c r="F30" s="1211"/>
    </row>
    <row r="31" spans="1:6">
      <c r="B31" s="1095" t="s">
        <v>38</v>
      </c>
      <c r="C31" s="1094">
        <f>[20]NURSING!K8</f>
        <v>50.818000000000005</v>
      </c>
      <c r="D31" s="1093"/>
      <c r="E31" s="1208" t="s">
        <v>39</v>
      </c>
      <c r="F31" s="1210" t="s">
        <v>382</v>
      </c>
    </row>
    <row r="32" spans="1:6" ht="27" customHeight="1" thickBot="1">
      <c r="B32" s="1092" t="s">
        <v>40</v>
      </c>
      <c r="C32" s="1091">
        <f>[20]NURSING!K9</f>
        <v>105701.44000000002</v>
      </c>
      <c r="D32" s="1090"/>
      <c r="E32" s="1209"/>
      <c r="F32" s="1211"/>
    </row>
    <row r="33" spans="2:6">
      <c r="B33" s="1095" t="s">
        <v>41</v>
      </c>
      <c r="C33" s="1094">
        <f>[20]NURSING!K12</f>
        <v>68.006</v>
      </c>
      <c r="D33" s="1093"/>
      <c r="E33" s="1208" t="s">
        <v>42</v>
      </c>
      <c r="F33" s="1210" t="s">
        <v>385</v>
      </c>
    </row>
    <row r="34" spans="2:6" ht="27" customHeight="1" thickBot="1">
      <c r="B34" s="1092" t="s">
        <v>43</v>
      </c>
      <c r="C34" s="1091">
        <f>[20]NURSING!K13</f>
        <v>141452.48000000001</v>
      </c>
      <c r="D34" s="1090"/>
      <c r="E34" s="1209"/>
      <c r="F34" s="1211"/>
    </row>
    <row r="36" spans="2:6">
      <c r="B36" s="1089" t="s">
        <v>533</v>
      </c>
    </row>
    <row r="38" spans="2:6" ht="30">
      <c r="B38" s="1088" t="s">
        <v>532</v>
      </c>
      <c r="C38" s="1081">
        <f>C6</f>
        <v>46842.432000000008</v>
      </c>
      <c r="D38" s="1080"/>
      <c r="E38" s="1079"/>
    </row>
    <row r="39" spans="2:6">
      <c r="B39" s="1080"/>
      <c r="C39" s="1084"/>
      <c r="D39" s="1080"/>
      <c r="E39" s="1079"/>
    </row>
    <row r="40" spans="2:6">
      <c r="B40" s="1082" t="s">
        <v>391</v>
      </c>
      <c r="C40" s="1087">
        <v>0.24970000000000001</v>
      </c>
      <c r="D40" s="1080" t="s">
        <v>531</v>
      </c>
      <c r="E40" s="1079"/>
    </row>
    <row r="41" spans="2:6">
      <c r="B41" s="1082"/>
      <c r="C41" s="1084"/>
      <c r="D41" s="1206" t="s">
        <v>394</v>
      </c>
      <c r="E41" s="1206"/>
    </row>
    <row r="42" spans="2:6">
      <c r="B42" s="1080"/>
      <c r="C42" s="1084"/>
      <c r="D42" s="1080"/>
      <c r="E42" s="1079"/>
    </row>
    <row r="43" spans="2:6">
      <c r="B43" s="1082" t="s">
        <v>44</v>
      </c>
      <c r="C43" s="1086">
        <v>0.12</v>
      </c>
      <c r="D43" s="1080" t="s">
        <v>45</v>
      </c>
      <c r="E43" s="1079"/>
    </row>
    <row r="44" spans="2:6">
      <c r="B44" s="1082"/>
      <c r="C44" s="1085"/>
      <c r="D44" s="1080"/>
      <c r="E44" s="1079"/>
    </row>
    <row r="45" spans="2:6">
      <c r="B45" s="1207" t="s">
        <v>395</v>
      </c>
      <c r="C45" s="1207"/>
      <c r="D45" s="1207"/>
      <c r="E45" s="1079"/>
    </row>
    <row r="46" spans="2:6">
      <c r="B46" s="1083" t="s">
        <v>396</v>
      </c>
      <c r="C46" s="1081">
        <v>269120</v>
      </c>
      <c r="D46" s="1080" t="s">
        <v>530</v>
      </c>
      <c r="E46" s="1079"/>
    </row>
    <row r="47" spans="2:6">
      <c r="B47" s="1082" t="s">
        <v>398</v>
      </c>
      <c r="C47" s="1081">
        <v>292160</v>
      </c>
      <c r="D47" s="1080" t="s">
        <v>529</v>
      </c>
      <c r="E47" s="1079"/>
    </row>
    <row r="48" spans="2:6">
      <c r="B48" s="1082" t="s">
        <v>400</v>
      </c>
      <c r="C48" s="1081">
        <f>C34</f>
        <v>141452.48000000001</v>
      </c>
      <c r="D48" s="1080" t="s">
        <v>528</v>
      </c>
      <c r="E48" s="1079"/>
    </row>
    <row r="49" spans="2:5">
      <c r="B49" s="1082" t="s">
        <v>402</v>
      </c>
      <c r="C49" s="1081">
        <f>C6</f>
        <v>46842.432000000008</v>
      </c>
      <c r="D49" s="1080" t="s">
        <v>403</v>
      </c>
      <c r="E49" s="1079"/>
    </row>
    <row r="50" spans="2:5">
      <c r="B50" s="1082" t="s">
        <v>404</v>
      </c>
      <c r="C50" s="1081">
        <f>AVERAGE(C6,C8)</f>
        <v>51615.532800000001</v>
      </c>
      <c r="D50" s="1080" t="s">
        <v>405</v>
      </c>
      <c r="E50" s="1079"/>
    </row>
    <row r="51" spans="2:5">
      <c r="B51" s="1082" t="s">
        <v>406</v>
      </c>
      <c r="C51" s="1081">
        <f>C8</f>
        <v>56388.633600000001</v>
      </c>
      <c r="D51" s="1080" t="s">
        <v>407</v>
      </c>
      <c r="E51" s="1079"/>
    </row>
    <row r="52" spans="2:5">
      <c r="B52" s="1082" t="s">
        <v>408</v>
      </c>
      <c r="C52" s="1081">
        <v>46904</v>
      </c>
      <c r="D52" s="1080" t="s">
        <v>527</v>
      </c>
      <c r="E52" s="1079"/>
    </row>
    <row r="53" spans="2:5">
      <c r="B53" s="1082" t="s">
        <v>410</v>
      </c>
      <c r="C53" s="1081">
        <v>53768</v>
      </c>
      <c r="D53" s="1080" t="s">
        <v>526</v>
      </c>
      <c r="E53" s="1079"/>
    </row>
    <row r="54" spans="2:5">
      <c r="B54" s="1082" t="s">
        <v>412</v>
      </c>
      <c r="C54" s="1081">
        <v>60257</v>
      </c>
      <c r="D54" s="1080" t="s">
        <v>525</v>
      </c>
      <c r="E54" s="1079"/>
    </row>
    <row r="55" spans="2:5">
      <c r="B55" s="1077" t="s">
        <v>524</v>
      </c>
      <c r="C55" s="1076">
        <f>(C28*0.5)+(C18*0.5)</f>
        <v>92990.247000000003</v>
      </c>
      <c r="D55" s="1075" t="s">
        <v>523</v>
      </c>
    </row>
  </sheetData>
  <mergeCells count="34">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41:E41"/>
    <mergeCell ref="B45:D45"/>
    <mergeCell ref="E29:E30"/>
    <mergeCell ref="F29:F30"/>
    <mergeCell ref="E31:E32"/>
    <mergeCell ref="F31:F32"/>
    <mergeCell ref="E33:E34"/>
    <mergeCell ref="F33:F34"/>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W34"/>
  <sheetViews>
    <sheetView tabSelected="1" zoomScaleNormal="100" workbookViewId="0">
      <selection activeCell="R25" sqref="R25"/>
    </sheetView>
  </sheetViews>
  <sheetFormatPr defaultColWidth="8.85546875" defaultRowHeight="15"/>
  <cols>
    <col min="1" max="1" width="8.85546875" style="442"/>
    <col min="2" max="2" width="25.28515625" style="442" customWidth="1"/>
    <col min="3" max="3" width="8.28515625" style="442" customWidth="1"/>
    <col min="4" max="4" width="3.7109375" style="442" bestFit="1" customWidth="1"/>
    <col min="5" max="5" width="11.140625" style="442" customWidth="1"/>
    <col min="6" max="6" width="3.42578125" style="442" customWidth="1"/>
    <col min="7" max="7" width="18" style="442" customWidth="1"/>
    <col min="8" max="8" width="9.5703125" style="442" bestFit="1" customWidth="1"/>
    <col min="9" max="9" width="28.7109375" style="442" customWidth="1"/>
    <col min="10" max="10" width="5.5703125" style="442" bestFit="1" customWidth="1"/>
    <col min="11" max="11" width="3.5703125" style="442" customWidth="1"/>
    <col min="12" max="12" width="24.28515625" style="442" customWidth="1"/>
    <col min="13" max="13" width="5.42578125" style="442" bestFit="1" customWidth="1"/>
    <col min="14" max="14" width="4.5703125" style="442" customWidth="1"/>
    <col min="15" max="15" width="4.85546875" style="442" bestFit="1" customWidth="1"/>
    <col min="16" max="18" width="8.85546875" style="442"/>
    <col min="19" max="19" width="22.42578125" style="442" bestFit="1" customWidth="1"/>
    <col min="20" max="21" width="8.85546875" style="442"/>
    <col min="22" max="23" width="12.5703125" style="442" bestFit="1" customWidth="1"/>
    <col min="24" max="16384" width="8.85546875" style="442"/>
  </cols>
  <sheetData>
    <row r="2" spans="2:23">
      <c r="B2" s="1019" t="s">
        <v>567</v>
      </c>
    </row>
    <row r="3" spans="2:23" ht="15.75" thickBot="1">
      <c r="B3" s="441"/>
    </row>
    <row r="4" spans="2:23" ht="15.75" thickBot="1">
      <c r="B4" s="1299" t="s">
        <v>344</v>
      </c>
      <c r="C4" s="1300"/>
      <c r="D4" s="1300"/>
      <c r="E4" s="1301"/>
      <c r="F4" s="443"/>
      <c r="G4" s="1302" t="s">
        <v>292</v>
      </c>
      <c r="H4" s="1303"/>
      <c r="I4" s="1304"/>
      <c r="K4" s="443"/>
      <c r="L4" s="444" t="s">
        <v>288</v>
      </c>
      <c r="M4" s="445" t="s">
        <v>289</v>
      </c>
      <c r="N4" s="445" t="s">
        <v>290</v>
      </c>
      <c r="O4" s="446" t="s">
        <v>291</v>
      </c>
    </row>
    <row r="5" spans="2:23" ht="15.75" thickBot="1">
      <c r="B5" s="447" t="s">
        <v>293</v>
      </c>
      <c r="C5" s="1305" t="s">
        <v>55</v>
      </c>
      <c r="D5" s="1305"/>
      <c r="E5" s="448">
        <f>O15</f>
        <v>1232</v>
      </c>
      <c r="G5" s="1306" t="s">
        <v>295</v>
      </c>
      <c r="H5" s="1307"/>
      <c r="I5" s="1024" t="s">
        <v>53</v>
      </c>
      <c r="L5" s="449" t="s">
        <v>294</v>
      </c>
      <c r="M5" s="450">
        <v>52</v>
      </c>
      <c r="N5" s="450">
        <v>40</v>
      </c>
      <c r="O5" s="451">
        <f t="shared" ref="O5:O10" si="0">N5*M5</f>
        <v>2080</v>
      </c>
    </row>
    <row r="6" spans="2:23">
      <c r="B6" s="452" t="s">
        <v>2</v>
      </c>
      <c r="C6" s="453" t="s">
        <v>59</v>
      </c>
      <c r="D6" s="453" t="s">
        <v>60</v>
      </c>
      <c r="E6" s="454" t="s">
        <v>61</v>
      </c>
      <c r="G6" s="1025" t="s">
        <v>58</v>
      </c>
      <c r="H6" s="1112">
        <f>'M2024 BLS SALARY CHART (53_PCT)'!C22</f>
        <v>81486.911999999997</v>
      </c>
      <c r="I6" s="1027" t="s">
        <v>559</v>
      </c>
      <c r="L6" s="455" t="s">
        <v>296</v>
      </c>
      <c r="M6" s="456">
        <f>M5-(M7+M8+M10)</f>
        <v>44.8</v>
      </c>
      <c r="N6" s="456">
        <v>2.5</v>
      </c>
      <c r="O6" s="457">
        <f t="shared" si="0"/>
        <v>112</v>
      </c>
    </row>
    <row r="7" spans="2:23">
      <c r="B7" s="458" t="str">
        <f>G6</f>
        <v>Management</v>
      </c>
      <c r="C7" s="1168">
        <f>H6</f>
        <v>81486.911999999997</v>
      </c>
      <c r="D7" s="1169">
        <v>0.1</v>
      </c>
      <c r="E7" s="459">
        <f>D7*C7</f>
        <v>8148.6912000000002</v>
      </c>
      <c r="G7" s="458" t="s">
        <v>298</v>
      </c>
      <c r="H7" s="1114">
        <f>'M2024 BLS SALARY CHART (53_PCT)'!C8</f>
        <v>56388.633600000001</v>
      </c>
      <c r="I7" s="1028" t="s">
        <v>559</v>
      </c>
      <c r="L7" s="460" t="s">
        <v>297</v>
      </c>
      <c r="M7" s="461">
        <v>4</v>
      </c>
      <c r="N7" s="462">
        <v>40</v>
      </c>
      <c r="O7" s="463">
        <f t="shared" si="0"/>
        <v>160</v>
      </c>
    </row>
    <row r="8" spans="2:23">
      <c r="B8" s="458" t="str">
        <f>G7</f>
        <v>Direct Care III</v>
      </c>
      <c r="C8" s="1168">
        <f>H7</f>
        <v>56388.633600000001</v>
      </c>
      <c r="D8" s="1169">
        <v>0.5</v>
      </c>
      <c r="E8" s="459">
        <f>D8*C8</f>
        <v>28194.316800000001</v>
      </c>
      <c r="G8" s="458" t="s">
        <v>299</v>
      </c>
      <c r="H8" s="1114">
        <f>'M2024 BLS SALARY CHART (53_PCT)'!C6</f>
        <v>46842.432000000008</v>
      </c>
      <c r="I8" s="1028" t="s">
        <v>559</v>
      </c>
      <c r="L8" s="464" t="s">
        <v>568</v>
      </c>
      <c r="M8" s="461">
        <v>2.2000000000000002</v>
      </c>
      <c r="N8" s="462">
        <v>40</v>
      </c>
      <c r="O8" s="463">
        <f t="shared" si="0"/>
        <v>88</v>
      </c>
    </row>
    <row r="9" spans="2:23" ht="15.75" thickBot="1">
      <c r="B9" s="458" t="s">
        <v>66</v>
      </c>
      <c r="C9" s="1168">
        <f>H8</f>
        <v>46842.432000000008</v>
      </c>
      <c r="D9" s="1169">
        <v>0.5</v>
      </c>
      <c r="E9" s="459">
        <f t="shared" ref="E9:E10" si="1">D9*C9</f>
        <v>23421.216000000004</v>
      </c>
      <c r="G9" s="1026" t="s">
        <v>301</v>
      </c>
      <c r="H9" s="1115">
        <f>H8</f>
        <v>46842.432000000008</v>
      </c>
      <c r="I9" s="1029" t="s">
        <v>559</v>
      </c>
      <c r="L9" s="460" t="s">
        <v>300</v>
      </c>
      <c r="M9" s="462">
        <f>M6</f>
        <v>44.8</v>
      </c>
      <c r="N9" s="462">
        <v>10</v>
      </c>
      <c r="O9" s="463">
        <f t="shared" si="0"/>
        <v>448</v>
      </c>
      <c r="T9" s="1004"/>
    </row>
    <row r="10" spans="2:23" ht="15.75" thickBot="1">
      <c r="B10" s="458" t="str">
        <f>G9</f>
        <v>Clerical / Support</v>
      </c>
      <c r="C10" s="1168">
        <f>H9</f>
        <v>46842.432000000008</v>
      </c>
      <c r="D10" s="1169">
        <v>0.158</v>
      </c>
      <c r="E10" s="459">
        <f t="shared" si="1"/>
        <v>7401.1042560000014</v>
      </c>
      <c r="G10" s="1308" t="s">
        <v>82</v>
      </c>
      <c r="H10" s="1309"/>
      <c r="I10" s="1113"/>
      <c r="L10" s="465" t="s">
        <v>67</v>
      </c>
      <c r="M10" s="466">
        <v>1</v>
      </c>
      <c r="N10" s="467">
        <v>40</v>
      </c>
      <c r="O10" s="468">
        <f t="shared" si="0"/>
        <v>40</v>
      </c>
      <c r="T10" s="1004"/>
      <c r="U10" s="1004"/>
      <c r="V10" s="1004"/>
      <c r="W10" s="1004"/>
    </row>
    <row r="11" spans="2:23">
      <c r="B11" s="469" t="s">
        <v>75</v>
      </c>
      <c r="C11" s="1020"/>
      <c r="D11" s="471">
        <f>SUM(D7:D10)</f>
        <v>1.258</v>
      </c>
      <c r="E11" s="472">
        <f>SUM(E7:E10)</f>
        <v>67165.328256000008</v>
      </c>
      <c r="G11" s="458" t="s">
        <v>86</v>
      </c>
      <c r="H11" s="1023">
        <v>19392.310000000001</v>
      </c>
      <c r="I11" s="1032" t="s">
        <v>571</v>
      </c>
      <c r="L11" s="460"/>
      <c r="M11" s="473"/>
      <c r="N11" s="473"/>
      <c r="O11" s="474"/>
      <c r="V11" s="511"/>
      <c r="W11" s="511"/>
    </row>
    <row r="12" spans="2:23">
      <c r="B12" s="475"/>
      <c r="C12" s="1170"/>
      <c r="D12" s="1171"/>
      <c r="E12" s="476"/>
      <c r="G12" s="458" t="s">
        <v>510</v>
      </c>
      <c r="H12" s="1023">
        <v>5669.23</v>
      </c>
      <c r="I12" s="1032" t="s">
        <v>571</v>
      </c>
      <c r="L12" s="477" t="s">
        <v>302</v>
      </c>
      <c r="M12" s="478"/>
      <c r="N12" s="478"/>
      <c r="O12" s="479">
        <f>SUM(O6:O10)</f>
        <v>848</v>
      </c>
    </row>
    <row r="13" spans="2:23">
      <c r="B13" s="480" t="str">
        <f>G15</f>
        <v>Taxes &amp; Fringe</v>
      </c>
      <c r="C13" s="1170">
        <f>H15</f>
        <v>0.24970000000000001</v>
      </c>
      <c r="D13" s="1172"/>
      <c r="E13" s="459">
        <f>C13*E11</f>
        <v>16771.182465523201</v>
      </c>
      <c r="G13" s="458" t="s">
        <v>71</v>
      </c>
      <c r="H13" s="1023">
        <v>2100</v>
      </c>
      <c r="I13" s="1032" t="s">
        <v>571</v>
      </c>
      <c r="L13" s="481" t="s">
        <v>303</v>
      </c>
      <c r="M13" s="482"/>
      <c r="N13" s="482"/>
      <c r="O13" s="483">
        <f>O5-O12</f>
        <v>1232</v>
      </c>
    </row>
    <row r="14" spans="2:23" ht="15.75" thickBot="1">
      <c r="B14" s="484" t="s">
        <v>81</v>
      </c>
      <c r="C14" s="1021"/>
      <c r="D14" s="485"/>
      <c r="E14" s="486">
        <f>SUM(E11+E13+E12)</f>
        <v>83936.510721523213</v>
      </c>
      <c r="G14" s="458"/>
      <c r="H14" s="1023"/>
      <c r="I14" s="1032"/>
      <c r="L14" s="477" t="s">
        <v>304</v>
      </c>
      <c r="M14" s="487"/>
      <c r="N14" s="487"/>
      <c r="O14" s="488">
        <v>1</v>
      </c>
    </row>
    <row r="15" spans="2:23" ht="16.5" thickTop="1" thickBot="1">
      <c r="B15" s="475" t="str">
        <f>G11</f>
        <v>Occupancy</v>
      </c>
      <c r="C15" s="1173">
        <f>H11*(1+2.71%)</f>
        <v>19917.841601</v>
      </c>
      <c r="D15" s="1174"/>
      <c r="E15" s="490">
        <f>C15*(D8+D9)</f>
        <v>19917.841601</v>
      </c>
      <c r="G15" s="458" t="s">
        <v>83</v>
      </c>
      <c r="H15" s="1030">
        <f>'M2024 BLS SALARY CHART (53_PCT)'!C40</f>
        <v>0.24970000000000001</v>
      </c>
      <c r="I15" s="1032" t="s">
        <v>345</v>
      </c>
      <c r="L15" s="491" t="s">
        <v>305</v>
      </c>
      <c r="M15" s="492"/>
      <c r="N15" s="493"/>
      <c r="O15" s="494">
        <f>O13*O14</f>
        <v>1232</v>
      </c>
    </row>
    <row r="16" spans="2:23">
      <c r="B16" s="458" t="s">
        <v>510</v>
      </c>
      <c r="C16" s="1173">
        <f>H12*(1+2.71%)</f>
        <v>5822.8661329999986</v>
      </c>
      <c r="D16" s="1174"/>
      <c r="E16" s="490">
        <f>C16*(D8+D9)</f>
        <v>5822.8661329999986</v>
      </c>
      <c r="G16" s="458" t="s">
        <v>97</v>
      </c>
      <c r="H16" s="1030">
        <v>0.12</v>
      </c>
      <c r="I16" s="1032" t="s">
        <v>98</v>
      </c>
    </row>
    <row r="17" spans="2:14" ht="15.75" thickBot="1">
      <c r="B17" s="458" t="s">
        <v>71</v>
      </c>
      <c r="C17" s="1173">
        <f>H13*(1+2.71%)</f>
        <v>2156.91</v>
      </c>
      <c r="D17" s="1174"/>
      <c r="E17" s="495">
        <f>C17*(D8+D9)</f>
        <v>2156.91</v>
      </c>
      <c r="G17" s="1026" t="s">
        <v>101</v>
      </c>
      <c r="H17" s="1031">
        <f>'CAF Spring 2025'!CT26</f>
        <v>2.5282070971092779E-2</v>
      </c>
      <c r="I17" s="1033" t="str">
        <f>'1. O&amp;M Model '!D23</f>
        <v>Base 2025Q4 -Prospective CY26 &amp; CY27</v>
      </c>
    </row>
    <row r="18" spans="2:14">
      <c r="B18" s="469" t="s">
        <v>99</v>
      </c>
      <c r="C18" s="1020"/>
      <c r="D18" s="470"/>
      <c r="E18" s="472">
        <f>SUM(E14:E17)</f>
        <v>111834.12845552323</v>
      </c>
      <c r="G18" s="499"/>
    </row>
    <row r="19" spans="2:14">
      <c r="B19" s="480" t="str">
        <f>G16</f>
        <v>Admin. Allocation</v>
      </c>
      <c r="C19" s="1170">
        <f>H16</f>
        <v>0.12</v>
      </c>
      <c r="D19" s="1172"/>
      <c r="E19" s="459">
        <f>C19*E18</f>
        <v>13420.095414662786</v>
      </c>
    </row>
    <row r="20" spans="2:14" ht="15.75" thickBot="1">
      <c r="B20" s="496" t="s">
        <v>102</v>
      </c>
      <c r="C20" s="1022"/>
      <c r="D20" s="497"/>
      <c r="E20" s="498">
        <f>E19+E18</f>
        <v>125254.22387018602</v>
      </c>
    </row>
    <row r="21" spans="2:14" ht="15.75" thickTop="1">
      <c r="B21" s="500" t="s">
        <v>307</v>
      </c>
      <c r="C21" s="1170">
        <f>H17</f>
        <v>2.5282070971092779E-2</v>
      </c>
      <c r="D21" s="1172"/>
      <c r="E21" s="501">
        <f>(E20*C21)-(E11*C21)</f>
        <v>1468.6075815502509</v>
      </c>
    </row>
    <row r="22" spans="2:14" ht="15.75" thickBot="1">
      <c r="B22" s="480" t="s">
        <v>309</v>
      </c>
      <c r="C22" s="1175"/>
      <c r="D22" s="1172"/>
      <c r="E22" s="502">
        <f>E21+E20</f>
        <v>126722.83145173627</v>
      </c>
    </row>
    <row r="23" spans="2:14" ht="15.75" thickBot="1">
      <c r="B23" s="503" t="s">
        <v>310</v>
      </c>
      <c r="C23" s="504"/>
      <c r="D23" s="505"/>
      <c r="E23" s="506">
        <f>E22/E5</f>
        <v>102.85944111342231</v>
      </c>
    </row>
    <row r="24" spans="2:14" ht="15.75" thickBot="1">
      <c r="B24" s="507" t="s">
        <v>311</v>
      </c>
      <c r="C24" s="508"/>
      <c r="D24" s="509"/>
      <c r="E24" s="510">
        <f>E23*0.25</f>
        <v>25.714860278355577</v>
      </c>
      <c r="G24" s="511"/>
    </row>
    <row r="25" spans="2:14">
      <c r="E25" s="1204">
        <v>24.52</v>
      </c>
      <c r="G25" s="512"/>
      <c r="H25" s="512"/>
      <c r="I25" s="512"/>
    </row>
    <row r="26" spans="2:14">
      <c r="B26" s="489"/>
      <c r="C26" s="1166"/>
      <c r="D26" s="489"/>
      <c r="E26" s="1167"/>
      <c r="G26" s="512"/>
      <c r="H26" s="512"/>
      <c r="I26" s="512"/>
      <c r="K26" s="513"/>
    </row>
    <row r="27" spans="2:14" ht="15.75" thickBot="1">
      <c r="J27" s="1034"/>
      <c r="K27" s="1034"/>
      <c r="L27" s="1034"/>
      <c r="M27" s="1034"/>
      <c r="N27" s="1034"/>
    </row>
    <row r="28" spans="2:14" ht="102" customHeight="1" thickBot="1">
      <c r="G28" s="1296" t="s">
        <v>308</v>
      </c>
      <c r="H28" s="1297"/>
      <c r="I28" s="1297"/>
      <c r="J28" s="1297"/>
      <c r="K28" s="1297"/>
      <c r="L28" s="1298"/>
    </row>
    <row r="29" spans="2:14" ht="15" customHeight="1">
      <c r="G29" s="1035"/>
      <c r="H29" s="1035"/>
      <c r="I29" s="1035"/>
      <c r="J29" s="1035"/>
      <c r="K29" s="1035"/>
      <c r="L29" s="1035"/>
      <c r="M29" s="1035"/>
      <c r="N29" s="1035"/>
    </row>
    <row r="30" spans="2:14">
      <c r="G30" s="1035"/>
      <c r="H30" s="1035"/>
      <c r="I30" s="1035"/>
      <c r="J30" s="1035"/>
      <c r="K30" s="1035"/>
      <c r="L30" s="1035"/>
      <c r="M30" s="1035"/>
      <c r="N30" s="1035"/>
    </row>
    <row r="31" spans="2:14">
      <c r="G31" s="1035"/>
      <c r="H31" s="1035"/>
      <c r="I31" s="1035"/>
      <c r="J31" s="1035"/>
      <c r="K31" s="1035"/>
      <c r="L31" s="1035"/>
      <c r="M31" s="1035"/>
      <c r="N31" s="1035"/>
    </row>
    <row r="32" spans="2:14">
      <c r="G32" s="1035"/>
      <c r="H32" s="1035"/>
      <c r="I32" s="1035"/>
      <c r="J32" s="1035"/>
      <c r="K32" s="1035"/>
      <c r="L32" s="1035"/>
      <c r="M32" s="1035"/>
      <c r="N32" s="1035"/>
    </row>
    <row r="33" spans="7:14">
      <c r="G33" s="1035"/>
      <c r="H33" s="1035"/>
      <c r="I33" s="1035"/>
      <c r="J33" s="1035"/>
      <c r="K33" s="1035"/>
      <c r="L33" s="1035"/>
      <c r="M33" s="1035"/>
      <c r="N33" s="1035"/>
    </row>
    <row r="34" spans="7:14">
      <c r="J34" s="1035"/>
      <c r="K34" s="1035"/>
      <c r="L34" s="1035"/>
      <c r="M34" s="1035"/>
      <c r="N34" s="1035"/>
    </row>
  </sheetData>
  <mergeCells count="6">
    <mergeCell ref="G28:L28"/>
    <mergeCell ref="B4:E4"/>
    <mergeCell ref="G4:I4"/>
    <mergeCell ref="C5:D5"/>
    <mergeCell ref="G5:H5"/>
    <mergeCell ref="G10:H10"/>
  </mergeCells>
  <phoneticPr fontId="123" type="noConversion"/>
  <pageMargins left="0.25" right="0.25" top="0.75" bottom="0.75" header="0.3" footer="0.3"/>
  <pageSetup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69"/>
  <sheetViews>
    <sheetView zoomScaleNormal="100" zoomScaleSheetLayoutView="55" zoomScalePageLayoutView="70" workbookViewId="0">
      <selection activeCell="S36" sqref="S36"/>
    </sheetView>
  </sheetViews>
  <sheetFormatPr defaultColWidth="9.7109375" defaultRowHeight="12"/>
  <cols>
    <col min="1" max="1" width="6.28515625" style="516" customWidth="1"/>
    <col min="2" max="2" width="27.42578125" style="516" hidden="1" customWidth="1"/>
    <col min="3" max="3" width="4.140625" style="516" hidden="1" customWidth="1"/>
    <col min="4" max="4" width="8.5703125" style="516" hidden="1" customWidth="1"/>
    <col min="5" max="5" width="11" style="516" hidden="1" customWidth="1"/>
    <col min="6" max="6" width="12.7109375" style="515" hidden="1" customWidth="1"/>
    <col min="7" max="7" width="2.42578125" style="516" hidden="1" customWidth="1"/>
    <col min="8" max="8" width="32" style="516" hidden="1" customWidth="1"/>
    <col min="9" max="9" width="3" style="516" hidden="1" customWidth="1"/>
    <col min="10" max="10" width="8.42578125" style="516" hidden="1" customWidth="1"/>
    <col min="11" max="11" width="7.7109375" style="516" hidden="1" customWidth="1"/>
    <col min="12" max="12" width="13" style="516" hidden="1" customWidth="1"/>
    <col min="13" max="13" width="6.140625" style="516" hidden="1" customWidth="1"/>
    <col min="14" max="14" width="7.28515625" style="516" customWidth="1"/>
    <col min="15" max="15" width="23" style="516" customWidth="1"/>
    <col min="16" max="16" width="3.42578125" style="516" customWidth="1"/>
    <col min="17" max="17" width="13.28515625" style="516" customWidth="1"/>
    <col min="18" max="18" width="7.7109375" style="516" customWidth="1"/>
    <col min="19" max="19" width="13.28515625" style="516" customWidth="1"/>
    <col min="20" max="20" width="6.42578125" style="516" customWidth="1"/>
    <col min="21" max="21" width="4.28515625" style="516" customWidth="1"/>
    <col min="22" max="22" width="25" style="516" customWidth="1"/>
    <col min="23" max="23" width="9.85546875" style="516" bestFit="1" customWidth="1"/>
    <col min="24" max="24" width="31" style="516" customWidth="1"/>
    <col min="25" max="25" width="11.5703125" style="516" bestFit="1" customWidth="1"/>
    <col min="26" max="26" width="27.42578125" style="516" customWidth="1"/>
    <col min="27" max="27" width="11.85546875" style="516" customWidth="1"/>
    <col min="28" max="28" width="8.5703125" style="516" customWidth="1"/>
    <col min="29" max="29" width="9.140625" style="516" customWidth="1"/>
    <col min="30" max="30" width="10.7109375" style="516" customWidth="1"/>
    <col min="31" max="31" width="2.42578125" style="516" customWidth="1"/>
    <col min="32" max="16384" width="9.7109375" style="516"/>
  </cols>
  <sheetData>
    <row r="1" spans="1:31">
      <c r="A1" s="514"/>
      <c r="B1" s="514"/>
      <c r="C1" s="514"/>
      <c r="D1" s="514"/>
      <c r="E1" s="514"/>
    </row>
    <row r="2" spans="1:31">
      <c r="A2" s="517"/>
      <c r="B2" s="514"/>
      <c r="C2" s="514"/>
      <c r="D2" s="514"/>
      <c r="E2" s="514"/>
    </row>
    <row r="3" spans="1:31" ht="13.15" customHeight="1" thickBot="1">
      <c r="A3" s="517"/>
      <c r="H3" s="814">
        <v>46023</v>
      </c>
      <c r="O3" s="516" t="s">
        <v>575</v>
      </c>
      <c r="Y3" s="518"/>
    </row>
    <row r="4" spans="1:31" ht="13.9" customHeight="1" thickBot="1">
      <c r="B4" s="1311" t="s">
        <v>312</v>
      </c>
      <c r="C4" s="1312"/>
      <c r="D4" s="1312"/>
      <c r="E4" s="1312"/>
      <c r="F4" s="1313"/>
      <c r="H4" s="1330" t="s">
        <v>460</v>
      </c>
      <c r="I4" s="1331"/>
      <c r="J4" s="1331"/>
      <c r="K4" s="1331"/>
      <c r="L4" s="1332"/>
      <c r="O4" s="1330" t="s">
        <v>460</v>
      </c>
      <c r="P4" s="1331"/>
      <c r="Q4" s="1331"/>
      <c r="R4" s="1331"/>
      <c r="S4" s="1332"/>
      <c r="V4" s="1314" t="s">
        <v>313</v>
      </c>
      <c r="W4" s="1315"/>
      <c r="X4" s="1316"/>
      <c r="Z4" s="519"/>
    </row>
    <row r="5" spans="1:31" ht="13.9" customHeight="1" thickBot="1">
      <c r="B5" s="520" t="s">
        <v>314</v>
      </c>
      <c r="C5" s="521">
        <v>10</v>
      </c>
      <c r="D5" s="522" t="s">
        <v>315</v>
      </c>
      <c r="E5" s="523">
        <f>W34</f>
        <v>249</v>
      </c>
      <c r="F5" s="524">
        <f>C5*E5</f>
        <v>2490</v>
      </c>
      <c r="H5" s="520" t="s">
        <v>314</v>
      </c>
      <c r="I5" s="521">
        <v>10</v>
      </c>
      <c r="J5" s="522" t="s">
        <v>315</v>
      </c>
      <c r="K5" s="523">
        <f>E5</f>
        <v>249</v>
      </c>
      <c r="L5" s="524">
        <f>I5*K5</f>
        <v>2490</v>
      </c>
      <c r="O5" s="520" t="s">
        <v>314</v>
      </c>
      <c r="P5" s="1158">
        <v>25</v>
      </c>
      <c r="Q5" s="522" t="s">
        <v>315</v>
      </c>
      <c r="R5" s="1157">
        <v>250</v>
      </c>
      <c r="S5" s="524">
        <f>P5*R5</f>
        <v>6250</v>
      </c>
      <c r="V5" s="1317" t="s">
        <v>52</v>
      </c>
      <c r="W5" s="1318"/>
      <c r="X5" s="526" t="s">
        <v>53</v>
      </c>
      <c r="Z5" s="525"/>
    </row>
    <row r="6" spans="1:31">
      <c r="B6" s="527"/>
      <c r="C6" s="528"/>
      <c r="D6" s="529"/>
      <c r="E6" s="530"/>
      <c r="F6" s="531"/>
      <c r="H6" s="532"/>
      <c r="I6" s="1146"/>
      <c r="J6" s="1147"/>
      <c r="K6" s="1148"/>
      <c r="L6" s="1149"/>
      <c r="O6" s="532"/>
      <c r="P6" s="1146"/>
      <c r="Q6" s="1147"/>
      <c r="R6" s="1148"/>
      <c r="S6" s="1149"/>
      <c r="V6" s="532" t="s">
        <v>58</v>
      </c>
      <c r="W6" s="1116">
        <f>'M2024 BLS SALARY CHART (53_PCT)'!C22</f>
        <v>81486.911999999997</v>
      </c>
      <c r="X6" s="1015" t="s">
        <v>559</v>
      </c>
      <c r="Y6" s="534"/>
    </row>
    <row r="7" spans="1:31">
      <c r="B7" s="535" t="s">
        <v>316</v>
      </c>
      <c r="C7" s="536"/>
      <c r="D7" s="537" t="s">
        <v>59</v>
      </c>
      <c r="E7" s="537" t="s">
        <v>60</v>
      </c>
      <c r="F7" s="538" t="s">
        <v>61</v>
      </c>
      <c r="H7" s="535" t="s">
        <v>316</v>
      </c>
      <c r="I7" s="536"/>
      <c r="J7" s="537" t="s">
        <v>59</v>
      </c>
      <c r="K7" s="537" t="s">
        <v>60</v>
      </c>
      <c r="L7" s="538" t="s">
        <v>61</v>
      </c>
      <c r="O7" s="535" t="s">
        <v>316</v>
      </c>
      <c r="P7" s="536"/>
      <c r="Q7" s="537" t="s">
        <v>59</v>
      </c>
      <c r="R7" s="537" t="s">
        <v>60</v>
      </c>
      <c r="S7" s="538" t="s">
        <v>61</v>
      </c>
      <c r="V7" s="560" t="s">
        <v>461</v>
      </c>
      <c r="W7" s="1117">
        <f>'M2024 BLS SALARY CHART (53_PCT)'!C14</f>
        <v>75175.152000000002</v>
      </c>
      <c r="X7" s="1015" t="s">
        <v>559</v>
      </c>
      <c r="Y7" s="539"/>
    </row>
    <row r="8" spans="1:31">
      <c r="B8" s="527" t="str">
        <f>V6</f>
        <v>Management</v>
      </c>
      <c r="C8" s="541"/>
      <c r="D8" s="528">
        <f>W6</f>
        <v>81486.911999999997</v>
      </c>
      <c r="E8" s="542">
        <v>1</v>
      </c>
      <c r="F8" s="543">
        <f>E8*D8</f>
        <v>81486.911999999997</v>
      </c>
      <c r="H8" s="527" t="str">
        <f>B8</f>
        <v>Management</v>
      </c>
      <c r="I8" s="541"/>
      <c r="J8" s="528">
        <f>W6</f>
        <v>81486.911999999997</v>
      </c>
      <c r="K8" s="549">
        <v>1</v>
      </c>
      <c r="L8" s="543">
        <f>K8*J8</f>
        <v>81486.911999999997</v>
      </c>
      <c r="O8" s="527" t="s">
        <v>501</v>
      </c>
      <c r="P8" s="541"/>
      <c r="Q8" s="528">
        <f>W6</f>
        <v>81486.911999999997</v>
      </c>
      <c r="R8" s="549">
        <v>2</v>
      </c>
      <c r="S8" s="543">
        <f>R8*Q8</f>
        <v>162973.82399999999</v>
      </c>
      <c r="V8" s="527" t="s">
        <v>298</v>
      </c>
      <c r="W8" s="1117">
        <f>'M2024 BLS SALARY CHART (53_PCT)'!C8</f>
        <v>56388.633600000001</v>
      </c>
      <c r="X8" s="1015" t="s">
        <v>559</v>
      </c>
      <c r="Z8" s="546"/>
    </row>
    <row r="9" spans="1:31" ht="12.75" customHeight="1">
      <c r="B9" s="527" t="str">
        <f>V8</f>
        <v>Direct Care III</v>
      </c>
      <c r="C9" s="541"/>
      <c r="D9" s="528">
        <f>W8</f>
        <v>56388.633600000001</v>
      </c>
      <c r="E9" s="542">
        <v>1</v>
      </c>
      <c r="F9" s="543">
        <f>E9*D9</f>
        <v>56388.633600000001</v>
      </c>
      <c r="H9" s="527" t="s">
        <v>461</v>
      </c>
      <c r="I9" s="541"/>
      <c r="J9" s="528">
        <f>W7</f>
        <v>75175.152000000002</v>
      </c>
      <c r="K9" s="549">
        <v>0.5</v>
      </c>
      <c r="L9" s="543">
        <f>K9*J9</f>
        <v>37587.576000000001</v>
      </c>
      <c r="O9" s="527" t="s">
        <v>461</v>
      </c>
      <c r="P9" s="541"/>
      <c r="Q9" s="528">
        <f>W7</f>
        <v>75175.152000000002</v>
      </c>
      <c r="R9" s="549">
        <v>4</v>
      </c>
      <c r="S9" s="543">
        <f>R9*Q9</f>
        <v>300700.60800000001</v>
      </c>
      <c r="V9" s="545" t="s">
        <v>66</v>
      </c>
      <c r="W9" s="1117">
        <f>'M2024 BLS SALARY CHART (53_PCT)'!C6</f>
        <v>46842.432000000008</v>
      </c>
      <c r="X9" s="1015" t="s">
        <v>559</v>
      </c>
      <c r="Z9" s="547"/>
    </row>
    <row r="10" spans="1:31" ht="12.75" thickBot="1">
      <c r="B10" s="545" t="str">
        <f>V9</f>
        <v>Direct Care</v>
      </c>
      <c r="C10" s="541"/>
      <c r="D10" s="528">
        <f>W9</f>
        <v>46842.432000000008</v>
      </c>
      <c r="E10" s="542">
        <v>1</v>
      </c>
      <c r="F10" s="548">
        <f>E10*D10</f>
        <v>46842.432000000008</v>
      </c>
      <c r="H10" s="527" t="str">
        <f t="shared" ref="H10:H12" si="0">B9</f>
        <v>Direct Care III</v>
      </c>
      <c r="I10" s="541"/>
      <c r="J10" s="528">
        <f>W8</f>
        <v>56388.633600000001</v>
      </c>
      <c r="K10" s="542">
        <v>1</v>
      </c>
      <c r="L10" s="543">
        <f>K10*J10</f>
        <v>56388.633600000001</v>
      </c>
      <c r="O10" s="527" t="s">
        <v>574</v>
      </c>
      <c r="P10" s="541"/>
      <c r="Q10" s="528">
        <f>W8</f>
        <v>56388.633600000001</v>
      </c>
      <c r="R10" s="542">
        <v>1</v>
      </c>
      <c r="S10" s="543">
        <f>R10*Q10</f>
        <v>56388.633600000001</v>
      </c>
      <c r="U10" s="546"/>
      <c r="V10" s="1012" t="s">
        <v>317</v>
      </c>
      <c r="W10" s="1118">
        <f>W9</f>
        <v>46842.432000000008</v>
      </c>
      <c r="X10" s="1015" t="s">
        <v>559</v>
      </c>
      <c r="Y10" s="546"/>
      <c r="AA10" s="545"/>
      <c r="AB10" s="540"/>
      <c r="AC10" s="815"/>
      <c r="AE10" s="544"/>
    </row>
    <row r="11" spans="1:31" ht="13.15" customHeight="1" thickBot="1">
      <c r="B11" s="545" t="str">
        <f>V10</f>
        <v>Clerical / Support Staff</v>
      </c>
      <c r="C11" s="541"/>
      <c r="D11" s="528">
        <f>W10</f>
        <v>46842.432000000008</v>
      </c>
      <c r="E11" s="549">
        <v>0.1</v>
      </c>
      <c r="F11" s="548">
        <f>E11*D11</f>
        <v>4684.2432000000008</v>
      </c>
      <c r="H11" s="527" t="str">
        <f t="shared" si="0"/>
        <v>Direct Care</v>
      </c>
      <c r="I11" s="541"/>
      <c r="J11" s="528">
        <f>W9</f>
        <v>46842.432000000008</v>
      </c>
      <c r="K11" s="542">
        <v>1</v>
      </c>
      <c r="L11" s="548">
        <f>K11*J11</f>
        <v>46842.432000000008</v>
      </c>
      <c r="O11" s="527" t="s">
        <v>156</v>
      </c>
      <c r="P11" s="541"/>
      <c r="Q11" s="528">
        <f>W9</f>
        <v>46842.432000000008</v>
      </c>
      <c r="R11" s="542">
        <v>0.5</v>
      </c>
      <c r="S11" s="548">
        <f>R11*Q11</f>
        <v>23421.216000000004</v>
      </c>
      <c r="V11" s="1319" t="s">
        <v>82</v>
      </c>
      <c r="W11" s="1320"/>
      <c r="X11" s="1010" t="s">
        <v>53</v>
      </c>
      <c r="Z11" s="544"/>
    </row>
    <row r="12" spans="1:31" ht="13.15" customHeight="1">
      <c r="B12" s="551" t="s">
        <v>75</v>
      </c>
      <c r="C12" s="552"/>
      <c r="D12" s="552"/>
      <c r="E12" s="553">
        <f>SUM(E8:E11)</f>
        <v>3.1</v>
      </c>
      <c r="F12" s="554">
        <f>SUM(F8:F11)</f>
        <v>189402.22080000001</v>
      </c>
      <c r="H12" s="1152" t="str">
        <f t="shared" si="0"/>
        <v>Clerical / Support Staff</v>
      </c>
      <c r="I12" s="1153"/>
      <c r="J12" s="1154">
        <f>W10</f>
        <v>46842.432000000008</v>
      </c>
      <c r="K12" s="1155">
        <v>0.1</v>
      </c>
      <c r="L12" s="1156">
        <f>K12*J12</f>
        <v>4684.2432000000008</v>
      </c>
      <c r="O12" s="1152"/>
      <c r="P12" s="1153"/>
      <c r="Q12" s="1154"/>
      <c r="R12" s="1155"/>
      <c r="S12" s="1156"/>
      <c r="V12" s="1011"/>
      <c r="W12" s="1005"/>
      <c r="X12" s="1014"/>
      <c r="Z12" s="544"/>
    </row>
    <row r="13" spans="1:31" ht="12.75" thickBot="1">
      <c r="B13" s="527"/>
      <c r="D13" s="556"/>
      <c r="E13" s="514"/>
      <c r="F13" s="557"/>
      <c r="H13" s="588" t="s">
        <v>75</v>
      </c>
      <c r="I13" s="1145"/>
      <c r="J13" s="1145"/>
      <c r="K13" s="1150">
        <f>SUM(K8:K12)</f>
        <v>3.6</v>
      </c>
      <c r="L13" s="1151">
        <f>SUM(L8:L12)</f>
        <v>226989.79680000001</v>
      </c>
      <c r="O13" s="588" t="s">
        <v>75</v>
      </c>
      <c r="P13" s="1145"/>
      <c r="Q13" s="1145"/>
      <c r="R13" s="1150">
        <f>SUM(R8:R12)</f>
        <v>7.5</v>
      </c>
      <c r="S13" s="1151">
        <f>SUM(S8:S12)</f>
        <v>543484.28159999999</v>
      </c>
      <c r="V13" s="558" t="s">
        <v>319</v>
      </c>
      <c r="W13" s="1009">
        <f>19392.31*(1+2.71%)</f>
        <v>19917.841601</v>
      </c>
      <c r="X13" s="1015" t="s">
        <v>571</v>
      </c>
    </row>
    <row r="14" spans="1:31">
      <c r="B14" s="560" t="s">
        <v>83</v>
      </c>
      <c r="D14" s="556">
        <f>W17</f>
        <v>0.24970000000000001</v>
      </c>
      <c r="E14" s="561"/>
      <c r="F14" s="543">
        <f>F12*D14</f>
        <v>47293.734533760005</v>
      </c>
      <c r="H14" s="527"/>
      <c r="J14" s="556"/>
      <c r="K14" s="514"/>
      <c r="L14" s="557"/>
      <c r="O14" s="527"/>
      <c r="Q14" s="556"/>
      <c r="R14" s="514"/>
      <c r="S14" s="557"/>
      <c r="V14" s="558" t="s">
        <v>320</v>
      </c>
      <c r="W14" s="1009">
        <f>5669.23*(1+2.71%)</f>
        <v>5822.8661329999986</v>
      </c>
      <c r="X14" s="1015" t="s">
        <v>571</v>
      </c>
      <c r="Y14" s="1119"/>
    </row>
    <row r="15" spans="1:31">
      <c r="B15" s="551" t="s">
        <v>321</v>
      </c>
      <c r="C15" s="552"/>
      <c r="D15" s="563"/>
      <c r="E15" s="552"/>
      <c r="F15" s="554">
        <f>SUM(F12:F14)</f>
        <v>236695.95533376001</v>
      </c>
      <c r="H15" s="560" t="s">
        <v>83</v>
      </c>
      <c r="J15" s="556">
        <f>W17</f>
        <v>0.24970000000000001</v>
      </c>
      <c r="K15" s="561"/>
      <c r="L15" s="543">
        <f>L13*J15</f>
        <v>56679.352260960004</v>
      </c>
      <c r="O15" s="560" t="s">
        <v>83</v>
      </c>
      <c r="Q15" s="556">
        <f>W17</f>
        <v>0.24970000000000001</v>
      </c>
      <c r="R15" s="561"/>
      <c r="S15" s="543">
        <f>S13*Q15</f>
        <v>135708.02511551999</v>
      </c>
      <c r="V15" s="558" t="s">
        <v>509</v>
      </c>
      <c r="W15" s="1009">
        <f>2400*(1+2.71%)</f>
        <v>2465.04</v>
      </c>
      <c r="X15" s="1015" t="s">
        <v>571</v>
      </c>
      <c r="Y15" s="562"/>
    </row>
    <row r="16" spans="1:31">
      <c r="B16" s="560"/>
      <c r="D16" s="556"/>
      <c r="E16" s="536" t="s">
        <v>323</v>
      </c>
      <c r="F16" s="557"/>
      <c r="H16" s="551" t="s">
        <v>321</v>
      </c>
      <c r="I16" s="552"/>
      <c r="J16" s="563"/>
      <c r="K16" s="552"/>
      <c r="L16" s="554">
        <f>SUM(L13:L15)</f>
        <v>283669.14906096004</v>
      </c>
      <c r="O16" s="551" t="s">
        <v>321</v>
      </c>
      <c r="P16" s="552"/>
      <c r="Q16" s="563"/>
      <c r="R16" s="552"/>
      <c r="S16" s="554">
        <f>SUM(S13:S15)</f>
        <v>679192.30671551998</v>
      </c>
      <c r="V16" s="560"/>
      <c r="X16" s="1016"/>
      <c r="Y16" s="562"/>
    </row>
    <row r="17" spans="1:26" ht="13.9" customHeight="1">
      <c r="B17" s="560" t="s">
        <v>86</v>
      </c>
      <c r="D17" s="556"/>
      <c r="E17" s="567"/>
      <c r="F17" s="568">
        <f>W13</f>
        <v>19917.841601</v>
      </c>
      <c r="H17" s="560"/>
      <c r="J17" s="556"/>
      <c r="K17" s="536" t="s">
        <v>323</v>
      </c>
      <c r="L17" s="557"/>
      <c r="O17" s="560"/>
      <c r="Q17" s="556"/>
      <c r="R17" s="536" t="s">
        <v>323</v>
      </c>
      <c r="S17" s="557"/>
      <c r="U17" s="565"/>
      <c r="V17" s="550" t="s">
        <v>318</v>
      </c>
      <c r="W17" s="555">
        <f>'M2024 BLS SALARY CHART (53_PCT)'!C40</f>
        <v>0.24970000000000001</v>
      </c>
      <c r="X17" s="1015" t="s">
        <v>45</v>
      </c>
      <c r="Y17" s="566"/>
    </row>
    <row r="18" spans="1:26" ht="13.9" customHeight="1">
      <c r="B18" s="560" t="s">
        <v>325</v>
      </c>
      <c r="D18" s="556"/>
      <c r="E18" s="567">
        <f>W14</f>
        <v>5822.8661329999986</v>
      </c>
      <c r="F18" s="543">
        <f>E18*E12</f>
        <v>18050.885012299997</v>
      </c>
      <c r="H18" s="560" t="s">
        <v>86</v>
      </c>
      <c r="J18" s="1008">
        <f>W13</f>
        <v>19917.841601</v>
      </c>
      <c r="K18" s="567"/>
      <c r="L18" s="812">
        <f>SUM(K9:K12)*J18</f>
        <v>51786.3881626</v>
      </c>
      <c r="O18" s="560" t="s">
        <v>86</v>
      </c>
      <c r="Q18" s="1008">
        <f>W13</f>
        <v>19917.841601</v>
      </c>
      <c r="R18" s="567"/>
      <c r="S18" s="812">
        <f>Q18*$R$13</f>
        <v>149383.8120075</v>
      </c>
      <c r="U18" s="565"/>
      <c r="V18" s="550" t="s">
        <v>322</v>
      </c>
      <c r="W18" s="555">
        <v>0.12</v>
      </c>
      <c r="X18" s="1017" t="s">
        <v>560</v>
      </c>
    </row>
    <row r="19" spans="1:26" ht="12.75" thickBot="1">
      <c r="B19" s="574" t="s">
        <v>327</v>
      </c>
      <c r="C19" s="575"/>
      <c r="D19" s="576"/>
      <c r="E19" s="577"/>
      <c r="F19" s="578">
        <f>SUM(F15:F18)</f>
        <v>274664.68194705999</v>
      </c>
      <c r="H19" s="560" t="s">
        <v>510</v>
      </c>
      <c r="J19" s="813">
        <f>W14</f>
        <v>5822.8661329999986</v>
      </c>
      <c r="K19" s="567"/>
      <c r="L19" s="812">
        <f>SUM(K9:K12)*J19</f>
        <v>15139.451945799998</v>
      </c>
      <c r="O19" s="560" t="s">
        <v>510</v>
      </c>
      <c r="Q19" s="813">
        <f>W14</f>
        <v>5822.8661329999986</v>
      </c>
      <c r="R19" s="567"/>
      <c r="S19" s="812">
        <f t="shared" ref="S19:S20" si="1">Q19*$R$13</f>
        <v>43671.495997499987</v>
      </c>
      <c r="V19" s="569" t="s">
        <v>324</v>
      </c>
      <c r="W19" s="570">
        <f>'CAF Spring 2025'!CT26</f>
        <v>2.5282070971092779E-2</v>
      </c>
      <c r="X19" s="1018" t="str">
        <f>'1. O&amp;M Model '!D23</f>
        <v>Base 2025Q4 -Prospective CY26 &amp; CY27</v>
      </c>
    </row>
    <row r="20" spans="1:26">
      <c r="B20" s="560" t="s">
        <v>131</v>
      </c>
      <c r="D20" s="556">
        <f>W18</f>
        <v>0.12</v>
      </c>
      <c r="F20" s="543">
        <f>F19*D20</f>
        <v>32959.761833647201</v>
      </c>
      <c r="H20" s="516" t="s">
        <v>511</v>
      </c>
      <c r="J20" s="1008">
        <f>W15</f>
        <v>2465.04</v>
      </c>
      <c r="L20" s="812">
        <f>SUM(K9:K12)*J20</f>
        <v>6409.1040000000003</v>
      </c>
      <c r="O20" s="516" t="s">
        <v>511</v>
      </c>
      <c r="Q20" s="1008">
        <f>W15</f>
        <v>2465.04</v>
      </c>
      <c r="S20" s="812">
        <f t="shared" si="1"/>
        <v>18487.8</v>
      </c>
    </row>
    <row r="21" spans="1:26" s="514" customFormat="1" ht="12.75" thickBot="1">
      <c r="B21" s="581" t="s">
        <v>329</v>
      </c>
      <c r="C21" s="582"/>
      <c r="D21" s="583"/>
      <c r="E21" s="582"/>
      <c r="F21" s="584">
        <f>SUM(F19:F20)</f>
        <v>307624.4437807072</v>
      </c>
      <c r="G21" s="516"/>
      <c r="H21" s="574" t="s">
        <v>327</v>
      </c>
      <c r="I21" s="575"/>
      <c r="J21" s="576"/>
      <c r="K21" s="577"/>
      <c r="L21" s="578">
        <f>SUM(L16:L20)</f>
        <v>357004.09316936001</v>
      </c>
      <c r="M21" s="516"/>
      <c r="N21" s="516"/>
      <c r="O21" s="574" t="s">
        <v>327</v>
      </c>
      <c r="P21" s="575"/>
      <c r="Q21" s="576"/>
      <c r="R21" s="577"/>
      <c r="S21" s="578">
        <f>SUM(S16:S20)</f>
        <v>890735.41472052003</v>
      </c>
      <c r="T21" s="516"/>
      <c r="U21" s="516"/>
      <c r="Y21" s="516"/>
      <c r="Z21" s="516"/>
    </row>
    <row r="22" spans="1:26" ht="13.5" thickTop="1" thickBot="1">
      <c r="B22" s="588" t="s">
        <v>307</v>
      </c>
      <c r="C22" s="589"/>
      <c r="D22" s="590">
        <f>W19</f>
        <v>2.5282070971092779E-2</v>
      </c>
      <c r="E22" s="591"/>
      <c r="F22" s="592">
        <f>F21*D22</f>
        <v>7777.3830201067804</v>
      </c>
      <c r="H22" s="560" t="s">
        <v>131</v>
      </c>
      <c r="J22" s="556">
        <f>W18</f>
        <v>0.12</v>
      </c>
      <c r="L22" s="543">
        <f>L21*J22</f>
        <v>42840.491180323203</v>
      </c>
      <c r="O22" s="560" t="s">
        <v>131</v>
      </c>
      <c r="Q22" s="556">
        <f>W18</f>
        <v>0.12</v>
      </c>
      <c r="S22" s="543">
        <f>S21*Q22</f>
        <v>106888.2497664624</v>
      </c>
      <c r="V22" s="1321" t="s">
        <v>330</v>
      </c>
      <c r="W22" s="1322"/>
      <c r="X22" s="1323"/>
    </row>
    <row r="23" spans="1:26" ht="12.75" thickBot="1">
      <c r="B23" s="593"/>
      <c r="C23" s="594"/>
      <c r="D23" s="595"/>
      <c r="E23" s="596"/>
      <c r="F23" s="597"/>
      <c r="H23" s="581" t="s">
        <v>329</v>
      </c>
      <c r="I23" s="582"/>
      <c r="J23" s="583"/>
      <c r="K23" s="582"/>
      <c r="L23" s="584">
        <f>SUM(L21:L22)</f>
        <v>399844.58434968319</v>
      </c>
      <c r="O23" s="581" t="s">
        <v>329</v>
      </c>
      <c r="P23" s="582"/>
      <c r="Q23" s="583"/>
      <c r="R23" s="582"/>
      <c r="S23" s="584">
        <f>SUM(S21:S22)</f>
        <v>997623.66448698239</v>
      </c>
      <c r="U23" s="514"/>
      <c r="V23" s="1324"/>
      <c r="W23" s="1325"/>
      <c r="X23" s="1326"/>
    </row>
    <row r="24" spans="1:26" ht="16.149999999999999" customHeight="1" thickTop="1" thickBot="1">
      <c r="B24" s="535" t="s">
        <v>331</v>
      </c>
      <c r="D24" s="598"/>
      <c r="F24" s="531">
        <f>F22+F21</f>
        <v>315401.82680081396</v>
      </c>
      <c r="H24" s="588" t="s">
        <v>307</v>
      </c>
      <c r="I24" s="589"/>
      <c r="J24" s="590">
        <f>W19</f>
        <v>2.5282070971092779E-2</v>
      </c>
      <c r="K24" s="591"/>
      <c r="L24" s="592">
        <f>L23*J24</f>
        <v>10108.899158935783</v>
      </c>
      <c r="O24" s="588" t="s">
        <v>307</v>
      </c>
      <c r="P24" s="589"/>
      <c r="Q24" s="590">
        <f>W19</f>
        <v>2.5282070971092779E-2</v>
      </c>
      <c r="R24" s="591"/>
      <c r="S24" s="592">
        <f>S23*Q24</f>
        <v>25221.99228800154</v>
      </c>
      <c r="V24" s="1324"/>
      <c r="W24" s="1325"/>
      <c r="X24" s="1326"/>
    </row>
    <row r="25" spans="1:26" ht="15" customHeight="1" thickBot="1">
      <c r="B25" s="560" t="s">
        <v>332</v>
      </c>
      <c r="D25" s="598"/>
      <c r="F25" s="599">
        <f>F24/F5</f>
        <v>126.66740032161204</v>
      </c>
      <c r="H25" s="593"/>
      <c r="I25" s="594"/>
      <c r="J25" s="595"/>
      <c r="K25" s="596"/>
      <c r="L25" s="597"/>
      <c r="O25" s="593"/>
      <c r="P25" s="594"/>
      <c r="Q25" s="595"/>
      <c r="R25" s="596"/>
      <c r="S25" s="597"/>
      <c r="V25" s="1324"/>
      <c r="W25" s="1325"/>
      <c r="X25" s="1326"/>
    </row>
    <row r="26" spans="1:26" ht="11.45" customHeight="1" thickTop="1">
      <c r="A26" s="517"/>
      <c r="B26" s="560" t="s">
        <v>333</v>
      </c>
      <c r="D26" s="598"/>
      <c r="F26" s="599">
        <f>F25/5</f>
        <v>25.333480064322409</v>
      </c>
      <c r="H26" s="535" t="s">
        <v>331</v>
      </c>
      <c r="J26" s="598"/>
      <c r="L26" s="531">
        <f>L24+L23</f>
        <v>409953.48350861896</v>
      </c>
      <c r="O26" s="535" t="s">
        <v>331</v>
      </c>
      <c r="Q26" s="598"/>
      <c r="S26" s="531">
        <f>S24+S23</f>
        <v>1022845.656774984</v>
      </c>
      <c r="V26" s="1324"/>
      <c r="W26" s="1325"/>
      <c r="X26" s="1326"/>
    </row>
    <row r="27" spans="1:26" ht="11.45" customHeight="1" thickBot="1">
      <c r="A27" s="517"/>
      <c r="B27" s="588" t="s">
        <v>334</v>
      </c>
      <c r="C27" s="586"/>
      <c r="D27" s="586"/>
      <c r="E27" s="586"/>
      <c r="F27" s="600">
        <f>F26*0.25</f>
        <v>6.3333700160806021</v>
      </c>
      <c r="H27" s="1138" t="s">
        <v>332</v>
      </c>
      <c r="I27" s="1139"/>
      <c r="J27" s="1140"/>
      <c r="K27" s="1139"/>
      <c r="L27" s="1141">
        <f>(L26/L5)</f>
        <v>164.63995321631285</v>
      </c>
      <c r="O27" s="1138" t="s">
        <v>332</v>
      </c>
      <c r="P27" s="1139"/>
      <c r="Q27" s="1140"/>
      <c r="R27" s="1139"/>
      <c r="S27" s="1141">
        <f>S26/S5</f>
        <v>163.65530508399743</v>
      </c>
      <c r="V27" s="1324"/>
      <c r="W27" s="1325"/>
      <c r="X27" s="1326"/>
    </row>
    <row r="28" spans="1:26" ht="15" customHeight="1" thickBot="1">
      <c r="F28" s="790">
        <v>6.35</v>
      </c>
      <c r="H28" s="1131" t="s">
        <v>333</v>
      </c>
      <c r="I28" s="1132"/>
      <c r="J28" s="1133"/>
      <c r="K28" s="1132"/>
      <c r="L28" s="1134">
        <f>L27/5</f>
        <v>32.927990643262568</v>
      </c>
      <c r="M28" s="565"/>
      <c r="N28" s="565"/>
      <c r="O28" s="1131" t="s">
        <v>333</v>
      </c>
      <c r="P28" s="1132"/>
      <c r="Q28" s="1133"/>
      <c r="R28" s="1132"/>
      <c r="S28" s="1134">
        <f>S27/5</f>
        <v>32.731061016799487</v>
      </c>
      <c r="T28" s="565"/>
      <c r="V28" s="1327"/>
      <c r="W28" s="1328"/>
      <c r="X28" s="1329"/>
    </row>
    <row r="29" spans="1:26" ht="15" customHeight="1" thickBot="1">
      <c r="D29" s="556"/>
      <c r="F29" s="601">
        <f>(F27-F28)/F28</f>
        <v>-2.6188951054169321E-3</v>
      </c>
      <c r="G29" s="514"/>
      <c r="H29" s="1135" t="s">
        <v>334</v>
      </c>
      <c r="I29" s="1136"/>
      <c r="J29" s="1136"/>
      <c r="K29" s="1136"/>
      <c r="L29" s="1137">
        <f>L28*0.25</f>
        <v>8.231997660815642</v>
      </c>
      <c r="M29" s="514"/>
      <c r="N29" s="514"/>
      <c r="O29" s="1135" t="s">
        <v>334</v>
      </c>
      <c r="P29" s="1136"/>
      <c r="Q29" s="1136"/>
      <c r="R29" s="1136"/>
      <c r="S29" s="1137">
        <f>S28*0.25</f>
        <v>8.1827652541998717</v>
      </c>
      <c r="T29" s="514"/>
      <c r="V29" s="603"/>
      <c r="W29" s="603"/>
      <c r="X29" s="603"/>
    </row>
    <row r="30" spans="1:26" ht="15" customHeight="1" thickBot="1">
      <c r="D30" s="556"/>
      <c r="F30" s="602"/>
      <c r="L30" s="639"/>
      <c r="S30" s="639"/>
      <c r="V30" s="603"/>
      <c r="W30" s="603"/>
      <c r="X30" s="603"/>
    </row>
    <row r="31" spans="1:26" ht="15" customHeight="1">
      <c r="L31" s="1047"/>
      <c r="M31" s="565"/>
      <c r="N31" s="565"/>
      <c r="S31" s="1047"/>
      <c r="T31" s="565"/>
      <c r="V31" s="571" t="s">
        <v>326</v>
      </c>
      <c r="W31" s="572">
        <v>365</v>
      </c>
      <c r="X31" s="573"/>
    </row>
    <row r="32" spans="1:26" ht="15" customHeight="1">
      <c r="M32" s="565"/>
      <c r="N32" s="565"/>
      <c r="T32" s="565"/>
      <c r="V32" s="560" t="s">
        <v>69</v>
      </c>
      <c r="W32" s="516">
        <v>12</v>
      </c>
      <c r="X32" s="579"/>
    </row>
    <row r="33" spans="2:30" ht="12.75" thickBot="1">
      <c r="B33" s="1310"/>
      <c r="C33" s="1310"/>
      <c r="D33" s="1310"/>
      <c r="E33" s="1310"/>
      <c r="F33" s="1310"/>
      <c r="H33" s="1142" t="s">
        <v>573</v>
      </c>
      <c r="I33" s="1143"/>
      <c r="J33" s="1143"/>
      <c r="K33" s="1143"/>
      <c r="L33" s="1144">
        <f>L27/2</f>
        <v>82.319976608156423</v>
      </c>
      <c r="M33" s="816"/>
      <c r="N33" s="816"/>
      <c r="O33" s="1142" t="s">
        <v>573</v>
      </c>
      <c r="P33" s="1143"/>
      <c r="Q33" s="1143"/>
      <c r="R33" s="1143"/>
      <c r="S33" s="1144">
        <f>S27/2</f>
        <v>81.827652541998717</v>
      </c>
      <c r="T33" s="816"/>
      <c r="V33" s="560" t="s">
        <v>328</v>
      </c>
      <c r="W33" s="580">
        <v>104</v>
      </c>
      <c r="X33" s="579"/>
    </row>
    <row r="34" spans="2:30" ht="13.5" thickTop="1" thickBot="1">
      <c r="B34" s="604"/>
      <c r="D34" s="604"/>
      <c r="E34" s="605"/>
      <c r="F34" s="605"/>
      <c r="O34" s="1142" t="s">
        <v>576</v>
      </c>
      <c r="P34" s="1143"/>
      <c r="Q34" s="1143"/>
      <c r="R34" s="1143"/>
      <c r="S34" s="1144">
        <f>S27</f>
        <v>163.65530508399743</v>
      </c>
      <c r="U34" s="565"/>
      <c r="V34" s="585"/>
      <c r="W34" s="586">
        <f>W31-W32-W33</f>
        <v>249</v>
      </c>
      <c r="X34" s="587"/>
    </row>
    <row r="35" spans="2:30" ht="13.15" customHeight="1">
      <c r="B35" s="528"/>
      <c r="D35" s="528"/>
      <c r="E35" s="528"/>
      <c r="F35" s="606"/>
    </row>
    <row r="36" spans="2:30" ht="13.15" customHeight="1">
      <c r="C36" s="536"/>
      <c r="D36" s="537"/>
      <c r="E36" s="537"/>
      <c r="F36" s="607"/>
    </row>
    <row r="37" spans="2:30" ht="13.15" customHeight="1">
      <c r="B37" s="528"/>
      <c r="C37" s="541"/>
      <c r="D37" s="528"/>
      <c r="E37" s="542"/>
      <c r="F37" s="564"/>
    </row>
    <row r="38" spans="2:30">
      <c r="B38" s="608"/>
      <c r="C38" s="541"/>
      <c r="D38" s="528"/>
      <c r="E38" s="542"/>
      <c r="F38" s="609"/>
    </row>
    <row r="39" spans="2:30" ht="13.15" customHeight="1">
      <c r="B39" s="514"/>
      <c r="C39" s="518"/>
      <c r="D39" s="518"/>
      <c r="E39" s="610"/>
      <c r="F39" s="611"/>
      <c r="M39" s="565"/>
      <c r="N39" s="565"/>
      <c r="O39" s="565"/>
      <c r="P39" s="565"/>
      <c r="Q39" s="565"/>
      <c r="R39" s="565"/>
      <c r="S39" s="565"/>
      <c r="T39" s="565"/>
    </row>
    <row r="40" spans="2:30">
      <c r="B40" s="514"/>
      <c r="C40" s="514"/>
      <c r="D40" s="536"/>
      <c r="E40" s="514"/>
      <c r="L40" s="565"/>
      <c r="Z40" s="514"/>
    </row>
    <row r="41" spans="2:30">
      <c r="D41" s="556"/>
      <c r="E41" s="612"/>
      <c r="F41" s="564"/>
    </row>
    <row r="42" spans="2:30" ht="13.9" customHeight="1">
      <c r="D42" s="556"/>
      <c r="Y42" s="514"/>
      <c r="Z42" s="613"/>
    </row>
    <row r="43" spans="2:30" ht="13.9" customHeight="1">
      <c r="B43" s="514"/>
      <c r="C43" s="518"/>
      <c r="D43" s="614"/>
      <c r="E43" s="518"/>
      <c r="F43" s="611"/>
      <c r="Z43" s="604"/>
    </row>
    <row r="44" spans="2:30">
      <c r="D44" s="556"/>
      <c r="E44" s="536"/>
      <c r="Z44" s="528"/>
    </row>
    <row r="45" spans="2:30" ht="13.9" customHeight="1">
      <c r="D45" s="556"/>
      <c r="E45" s="616"/>
      <c r="F45" s="564"/>
      <c r="U45" s="565"/>
    </row>
    <row r="46" spans="2:30" s="514" customFormat="1" ht="13.9" customHeight="1">
      <c r="B46" s="516"/>
      <c r="C46" s="516"/>
      <c r="D46" s="556"/>
      <c r="E46" s="616"/>
      <c r="F46" s="564"/>
      <c r="G46" s="516"/>
      <c r="H46" s="516"/>
      <c r="I46" s="516"/>
      <c r="J46" s="516"/>
      <c r="K46" s="516"/>
      <c r="L46" s="516"/>
      <c r="M46" s="516"/>
      <c r="N46" s="516"/>
      <c r="O46" s="516"/>
      <c r="P46" s="516"/>
      <c r="Q46" s="516"/>
      <c r="R46" s="516"/>
      <c r="S46" s="516"/>
      <c r="T46" s="516"/>
      <c r="U46" s="615"/>
      <c r="V46" s="516"/>
      <c r="W46" s="516"/>
      <c r="X46" s="516"/>
      <c r="Y46" s="516"/>
      <c r="Z46" s="528"/>
    </row>
    <row r="47" spans="2:30">
      <c r="B47" s="514"/>
      <c r="C47" s="514"/>
      <c r="D47" s="556"/>
      <c r="F47" s="564"/>
      <c r="Z47" s="608"/>
    </row>
    <row r="48" spans="2:30" ht="17.25" customHeight="1">
      <c r="D48" s="556"/>
      <c r="F48" s="564"/>
      <c r="U48" s="617"/>
      <c r="Z48" s="514"/>
      <c r="AA48" s="613"/>
      <c r="AB48" s="613"/>
      <c r="AC48" s="613"/>
      <c r="AD48" s="613"/>
    </row>
    <row r="49" spans="2:30" ht="17.25" customHeight="1">
      <c r="B49" s="618"/>
      <c r="C49" s="619"/>
      <c r="D49" s="620"/>
      <c r="E49" s="619"/>
      <c r="F49" s="621"/>
      <c r="Z49" s="514"/>
      <c r="AA49" s="613"/>
      <c r="AB49" s="613"/>
      <c r="AC49" s="613"/>
      <c r="AD49" s="613"/>
    </row>
    <row r="50" spans="2:30" ht="27" customHeight="1">
      <c r="B50" s="514"/>
      <c r="D50" s="598"/>
      <c r="F50" s="606"/>
      <c r="Z50" s="622"/>
      <c r="AA50" s="623"/>
      <c r="AB50" s="604"/>
      <c r="AC50" s="624"/>
      <c r="AD50" s="625"/>
    </row>
    <row r="51" spans="2:30" ht="21.75" customHeight="1">
      <c r="B51" s="514"/>
      <c r="D51" s="598"/>
      <c r="F51" s="626"/>
      <c r="AA51" s="528"/>
      <c r="AB51" s="528"/>
      <c r="AC51" s="528"/>
      <c r="AD51" s="627"/>
    </row>
    <row r="52" spans="2:30" ht="18" customHeight="1">
      <c r="B52" s="514"/>
      <c r="C52" s="514"/>
      <c r="D52" s="628"/>
      <c r="E52" s="602"/>
      <c r="F52" s="606"/>
      <c r="AA52" s="528"/>
      <c r="AB52" s="528"/>
      <c r="AC52" s="528"/>
      <c r="AD52" s="627"/>
    </row>
    <row r="53" spans="2:30">
      <c r="B53" s="629"/>
      <c r="C53" s="630"/>
      <c r="D53" s="631"/>
      <c r="E53" s="632"/>
      <c r="F53" s="633"/>
      <c r="AA53" s="536"/>
      <c r="AB53" s="634"/>
      <c r="AC53" s="537"/>
      <c r="AD53" s="607"/>
    </row>
    <row r="54" spans="2:30">
      <c r="B54" s="514"/>
      <c r="D54" s="598"/>
      <c r="F54" s="606"/>
      <c r="Z54" s="514"/>
      <c r="AA54" s="541"/>
      <c r="AB54" s="528"/>
      <c r="AC54" s="542"/>
      <c r="AD54" s="564"/>
    </row>
    <row r="55" spans="2:30" ht="14.45" customHeight="1">
      <c r="B55" s="514"/>
      <c r="D55" s="598"/>
      <c r="F55" s="626"/>
      <c r="AA55" s="541"/>
      <c r="AB55" s="528"/>
      <c r="AC55" s="635"/>
      <c r="AD55" s="609"/>
    </row>
    <row r="56" spans="2:30">
      <c r="D56" s="598"/>
      <c r="F56" s="516"/>
      <c r="AA56" s="518"/>
      <c r="AB56" s="518"/>
      <c r="AC56" s="636"/>
      <c r="AD56" s="611"/>
    </row>
    <row r="57" spans="2:30">
      <c r="E57" s="514"/>
      <c r="F57" s="606"/>
      <c r="AA57" s="622"/>
      <c r="AB57" s="637"/>
      <c r="AC57" s="622"/>
      <c r="AD57" s="515"/>
    </row>
    <row r="58" spans="2:30">
      <c r="E58" s="514"/>
      <c r="F58" s="638"/>
      <c r="Z58" s="514"/>
      <c r="AB58" s="556"/>
      <c r="AC58" s="561"/>
      <c r="AD58" s="564"/>
    </row>
    <row r="59" spans="2:30">
      <c r="E59" s="514"/>
      <c r="F59" s="602"/>
      <c r="AB59" s="556"/>
      <c r="AD59" s="515"/>
    </row>
    <row r="60" spans="2:30">
      <c r="F60" s="639"/>
      <c r="Z60" s="514"/>
      <c r="AA60" s="518"/>
      <c r="AB60" s="614"/>
      <c r="AC60" s="518"/>
      <c r="AD60" s="611"/>
    </row>
    <row r="61" spans="2:30">
      <c r="D61" s="640"/>
      <c r="E61" s="640"/>
      <c r="F61" s="641"/>
      <c r="Z61" s="514"/>
      <c r="AB61" s="556"/>
      <c r="AC61" s="536"/>
      <c r="AD61" s="515"/>
    </row>
    <row r="62" spans="2:30">
      <c r="D62" s="640"/>
      <c r="E62" s="640"/>
      <c r="F62" s="640"/>
      <c r="Z62" s="514"/>
      <c r="AB62" s="556"/>
      <c r="AC62" s="565"/>
      <c r="AD62" s="564"/>
    </row>
    <row r="63" spans="2:30">
      <c r="D63" s="640"/>
      <c r="E63" s="640"/>
      <c r="F63" s="640"/>
      <c r="G63" s="641"/>
      <c r="M63" s="641"/>
      <c r="N63" s="641"/>
      <c r="O63" s="641"/>
      <c r="P63" s="641"/>
      <c r="Q63" s="641"/>
      <c r="R63" s="641"/>
      <c r="S63" s="641"/>
      <c r="T63" s="641"/>
      <c r="AB63" s="556"/>
      <c r="AC63" s="565"/>
      <c r="AD63" s="621"/>
    </row>
    <row r="64" spans="2:30">
      <c r="D64" s="640"/>
      <c r="E64" s="640"/>
      <c r="F64" s="640"/>
      <c r="G64" s="640"/>
      <c r="H64" s="641"/>
      <c r="I64" s="641"/>
      <c r="J64" s="641"/>
      <c r="K64" s="641"/>
      <c r="L64" s="641"/>
      <c r="M64" s="640"/>
      <c r="N64" s="640"/>
      <c r="O64" s="640"/>
      <c r="P64" s="640"/>
      <c r="Q64" s="640"/>
      <c r="R64" s="640"/>
      <c r="S64" s="640"/>
      <c r="T64" s="640"/>
      <c r="AA64" s="514"/>
      <c r="AB64" s="556"/>
      <c r="AD64" s="564"/>
    </row>
    <row r="65" spans="6:30">
      <c r="G65" s="640"/>
      <c r="H65" s="640"/>
      <c r="I65" s="640"/>
      <c r="J65" s="640"/>
      <c r="K65" s="640"/>
      <c r="L65" s="640"/>
      <c r="M65" s="640"/>
      <c r="N65" s="640"/>
      <c r="O65" s="640"/>
      <c r="P65" s="640"/>
      <c r="Q65" s="640"/>
      <c r="R65" s="640"/>
      <c r="S65" s="640"/>
      <c r="T65" s="640"/>
      <c r="AB65" s="556"/>
      <c r="AD65" s="564"/>
    </row>
    <row r="66" spans="6:30">
      <c r="G66" s="640"/>
      <c r="H66" s="640"/>
      <c r="I66" s="640"/>
      <c r="J66" s="640"/>
      <c r="K66" s="640"/>
      <c r="L66" s="640"/>
      <c r="M66" s="640"/>
      <c r="N66" s="640"/>
      <c r="O66" s="640"/>
      <c r="P66" s="640"/>
      <c r="Q66" s="640"/>
      <c r="R66" s="640"/>
      <c r="S66" s="640"/>
      <c r="T66" s="640"/>
      <c r="AB66" s="598"/>
      <c r="AD66" s="606"/>
    </row>
    <row r="67" spans="6:30">
      <c r="H67" s="640"/>
      <c r="I67" s="640"/>
      <c r="J67" s="640"/>
      <c r="K67" s="640"/>
      <c r="L67" s="640"/>
      <c r="AB67" s="598"/>
      <c r="AD67" s="626"/>
    </row>
    <row r="68" spans="6:30">
      <c r="F68" s="642"/>
      <c r="AA68" s="514"/>
      <c r="AB68" s="628"/>
      <c r="AC68" s="602"/>
      <c r="AD68" s="638"/>
    </row>
    <row r="69" spans="6:30">
      <c r="AB69" s="620"/>
      <c r="AD69" s="638"/>
    </row>
  </sheetData>
  <mergeCells count="8">
    <mergeCell ref="B33:F33"/>
    <mergeCell ref="B4:F4"/>
    <mergeCell ref="V4:X4"/>
    <mergeCell ref="V5:W5"/>
    <mergeCell ref="V11:W11"/>
    <mergeCell ref="V22:X28"/>
    <mergeCell ref="H4:L4"/>
    <mergeCell ref="O4:S4"/>
  </mergeCells>
  <phoneticPr fontId="123" type="noConversion"/>
  <pageMargins left="0.25" right="0.25" top="0.25" bottom="0.25" header="0.3" footer="0.3"/>
  <pageSetup scale="77" orientation="landscape" r:id="rId1"/>
  <headerFooter alignWithMargins="0">
    <oddFooter>&amp;R&amp;10CONFIDENTIAL - FOR THE PURPOSES OF POLICY DISCUSSION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R36"/>
  <sheetViews>
    <sheetView zoomScale="90" zoomScaleNormal="90" workbookViewId="0">
      <selection activeCell="J24" sqref="J24"/>
    </sheetView>
  </sheetViews>
  <sheetFormatPr defaultColWidth="8.85546875" defaultRowHeight="15"/>
  <cols>
    <col min="1" max="1" width="8.85546875" style="442"/>
    <col min="2" max="2" width="23.140625" style="442" customWidth="1"/>
    <col min="3" max="3" width="16" style="643" bestFit="1" customWidth="1"/>
    <col min="4" max="4" width="10.7109375" style="644" customWidth="1"/>
    <col min="5" max="5" width="20.85546875" style="643" customWidth="1"/>
    <col min="6" max="6" width="17.7109375" style="643" customWidth="1"/>
    <col min="7" max="7" width="16.5703125" style="643" customWidth="1"/>
    <col min="8" max="8" width="15.140625" style="643" customWidth="1"/>
    <col min="9" max="9" width="17.7109375" style="643" customWidth="1"/>
    <col min="10" max="10" width="15" style="643" bestFit="1" customWidth="1"/>
    <col min="11" max="12" width="14.42578125" style="643" customWidth="1"/>
    <col min="13" max="13" width="24.7109375" style="442" customWidth="1"/>
    <col min="14" max="14" width="25.85546875" style="442" customWidth="1"/>
    <col min="15" max="15" width="14.7109375" style="442" customWidth="1"/>
    <col min="16" max="16" width="12" style="442" bestFit="1" customWidth="1"/>
    <col min="17" max="17" width="8.85546875" style="442"/>
    <col min="18" max="18" width="8.85546875" style="442" customWidth="1"/>
    <col min="19" max="20" width="8.85546875" style="442"/>
    <col min="21" max="22" width="10" style="442" bestFit="1" customWidth="1"/>
    <col min="23" max="16384" width="8.85546875" style="442"/>
  </cols>
  <sheetData>
    <row r="2" spans="2:14" ht="18.75">
      <c r="B2" s="1036" t="s">
        <v>335</v>
      </c>
      <c r="C2" s="1037"/>
      <c r="D2" s="1038"/>
      <c r="E2" s="1037"/>
      <c r="F2" s="1037"/>
      <c r="G2" s="1037"/>
      <c r="H2" s="1037"/>
      <c r="I2" s="1037"/>
      <c r="J2" s="1037"/>
      <c r="K2" s="1037"/>
      <c r="L2" s="1037"/>
      <c r="M2" s="1039"/>
      <c r="N2" s="1039"/>
    </row>
    <row r="3" spans="2:14" ht="18.75">
      <c r="B3" s="1036"/>
      <c r="C3" s="1335"/>
      <c r="D3" s="1335"/>
      <c r="E3" s="1335"/>
      <c r="F3" s="1335"/>
      <c r="G3" s="1335"/>
      <c r="H3" s="1335"/>
      <c r="I3" s="1335"/>
      <c r="J3" s="1335"/>
      <c r="K3" s="1335"/>
      <c r="L3" s="1335"/>
      <c r="M3" s="1335"/>
      <c r="N3" s="1335"/>
    </row>
    <row r="4" spans="2:14" ht="15.75" customHeight="1" thickBot="1">
      <c r="B4" s="1036"/>
      <c r="C4" s="645"/>
      <c r="D4" s="1039"/>
      <c r="E4" s="442"/>
      <c r="F4" s="442"/>
      <c r="G4" s="442"/>
      <c r="H4" s="442"/>
      <c r="I4" s="442"/>
      <c r="J4" s="442"/>
      <c r="K4" s="442"/>
      <c r="L4" s="442"/>
    </row>
    <row r="5" spans="2:14" ht="15.75" thickBot="1">
      <c r="B5" s="1040"/>
      <c r="C5" s="646" t="s">
        <v>66</v>
      </c>
      <c r="D5" s="1336" t="s">
        <v>53</v>
      </c>
      <c r="E5" s="1337"/>
      <c r="F5" s="442"/>
      <c r="G5" s="442"/>
      <c r="H5" s="442"/>
      <c r="I5" s="442"/>
      <c r="J5" s="442"/>
      <c r="K5" s="442"/>
      <c r="L5" s="442"/>
    </row>
    <row r="6" spans="2:14">
      <c r="B6" s="647" t="s">
        <v>59</v>
      </c>
      <c r="C6" s="648">
        <f>'M2024 BLS SALARY CHART (53_PCT)'!C6</f>
        <v>46842.432000000008</v>
      </c>
      <c r="D6" s="1338" t="s">
        <v>561</v>
      </c>
      <c r="E6" s="1339"/>
      <c r="F6" s="442"/>
      <c r="G6" s="442"/>
      <c r="H6" s="442"/>
      <c r="I6" s="442"/>
      <c r="J6" s="442"/>
      <c r="K6" s="442"/>
      <c r="L6" s="442"/>
    </row>
    <row r="7" spans="2:14">
      <c r="B7" s="649" t="s">
        <v>318</v>
      </c>
      <c r="C7" s="650">
        <f>'M2024 BLS SALARY CHART (53_PCT)'!C40</f>
        <v>0.24970000000000001</v>
      </c>
      <c r="D7" s="1333" t="s">
        <v>345</v>
      </c>
      <c r="E7" s="1334"/>
      <c r="F7" s="442"/>
      <c r="G7" s="442"/>
      <c r="H7" s="442"/>
      <c r="I7" s="442"/>
      <c r="J7" s="442"/>
      <c r="K7" s="442"/>
      <c r="L7" s="442"/>
    </row>
    <row r="8" spans="2:14">
      <c r="B8" s="649" t="s">
        <v>336</v>
      </c>
      <c r="C8" s="653">
        <f>C6*C7</f>
        <v>11696.555270400002</v>
      </c>
      <c r="D8" s="1333"/>
      <c r="E8" s="1334"/>
      <c r="F8" s="442"/>
      <c r="G8" s="442"/>
      <c r="H8" s="442"/>
      <c r="I8" s="654"/>
      <c r="J8" s="442"/>
      <c r="K8" s="442"/>
      <c r="L8" s="442"/>
    </row>
    <row r="9" spans="2:14">
      <c r="B9" s="649" t="s">
        <v>337</v>
      </c>
      <c r="C9" s="653">
        <f>C6+C8</f>
        <v>58538.987270400008</v>
      </c>
      <c r="D9" s="1333"/>
      <c r="E9" s="1334"/>
      <c r="F9" s="442"/>
      <c r="G9" s="442"/>
      <c r="H9" s="442"/>
      <c r="I9" s="442"/>
      <c r="J9" s="442"/>
      <c r="K9" s="442"/>
      <c r="L9" s="442"/>
    </row>
    <row r="10" spans="2:14">
      <c r="B10" s="649"/>
      <c r="C10" s="655"/>
      <c r="D10" s="656"/>
      <c r="E10" s="652"/>
      <c r="F10" s="442"/>
      <c r="G10" s="442"/>
      <c r="H10" s="442"/>
      <c r="I10" s="442"/>
      <c r="J10" s="442"/>
      <c r="K10" s="442"/>
      <c r="L10" s="442"/>
    </row>
    <row r="11" spans="2:14">
      <c r="B11" s="649" t="s">
        <v>165</v>
      </c>
      <c r="C11" s="653">
        <f>C10+C9</f>
        <v>58538.987270400008</v>
      </c>
      <c r="D11" s="1333"/>
      <c r="E11" s="1334"/>
      <c r="F11" s="442"/>
      <c r="G11" s="442"/>
      <c r="H11" s="442"/>
      <c r="I11" s="442"/>
      <c r="J11" s="442"/>
      <c r="K11" s="442"/>
      <c r="L11" s="442"/>
    </row>
    <row r="12" spans="2:14">
      <c r="B12" s="649" t="s">
        <v>307</v>
      </c>
      <c r="C12" s="653">
        <f>D12*C11</f>
        <v>1479.9868307461497</v>
      </c>
      <c r="D12" s="656">
        <f>'CAF Spring 2025'!CT26</f>
        <v>2.5282070971092779E-2</v>
      </c>
      <c r="E12" s="657"/>
      <c r="F12" s="442"/>
      <c r="G12" s="442"/>
      <c r="H12" s="442"/>
      <c r="I12" s="442"/>
      <c r="J12" s="442"/>
      <c r="K12" s="442"/>
      <c r="L12" s="442"/>
    </row>
    <row r="13" spans="2:14">
      <c r="B13" s="649" t="s">
        <v>338</v>
      </c>
      <c r="C13" s="658">
        <f>E24</f>
        <v>1952</v>
      </c>
      <c r="D13" s="656"/>
      <c r="E13" s="652"/>
      <c r="F13" s="442"/>
      <c r="G13" s="442"/>
      <c r="H13" s="442"/>
      <c r="I13" s="442"/>
      <c r="J13" s="442"/>
      <c r="K13" s="442"/>
      <c r="L13" s="442"/>
    </row>
    <row r="14" spans="2:14">
      <c r="B14" s="649" t="s">
        <v>440</v>
      </c>
      <c r="C14" s="659">
        <f>(C11+C12)/C13</f>
        <v>30.747425256734711</v>
      </c>
      <c r="D14" s="651"/>
      <c r="E14" s="652"/>
      <c r="F14" s="442"/>
      <c r="G14" s="442"/>
      <c r="H14" s="442"/>
      <c r="I14" s="442"/>
      <c r="J14" s="442"/>
      <c r="K14" s="442"/>
      <c r="L14" s="442"/>
    </row>
    <row r="15" spans="2:14" ht="15.75" thickBot="1">
      <c r="B15" s="660" t="s">
        <v>311</v>
      </c>
      <c r="C15" s="661">
        <f>C14*0.25</f>
        <v>7.6868563141836779</v>
      </c>
      <c r="D15" s="662"/>
      <c r="E15" s="663"/>
      <c r="F15" s="442"/>
      <c r="G15" s="442"/>
      <c r="H15" s="442"/>
      <c r="I15" s="442"/>
      <c r="J15" s="442"/>
      <c r="K15" s="442"/>
      <c r="L15" s="442"/>
    </row>
    <row r="16" spans="2:14" ht="15.75" thickBot="1">
      <c r="B16" s="1041"/>
      <c r="C16" s="1205">
        <v>6.97</v>
      </c>
      <c r="D16" s="1042"/>
      <c r="E16" s="1043"/>
      <c r="N16" s="664"/>
    </row>
    <row r="17" spans="2:18">
      <c r="C17" s="1044"/>
      <c r="D17" s="665"/>
      <c r="E17" s="442"/>
      <c r="F17" s="442"/>
      <c r="G17" s="442"/>
      <c r="H17" s="442"/>
      <c r="I17" s="442"/>
      <c r="J17" s="442"/>
      <c r="K17" s="442"/>
      <c r="L17" s="442"/>
    </row>
    <row r="19" spans="2:18" ht="15.75" thickBot="1">
      <c r="B19" s="443" t="s">
        <v>339</v>
      </c>
      <c r="H19" s="442"/>
    </row>
    <row r="20" spans="2:18">
      <c r="B20" s="666"/>
      <c r="C20" s="667"/>
      <c r="D20" s="668" t="s">
        <v>340</v>
      </c>
      <c r="E20" s="669" t="s">
        <v>290</v>
      </c>
      <c r="F20" s="670"/>
      <c r="H20" s="671"/>
      <c r="I20" s="671"/>
      <c r="J20" s="671"/>
      <c r="K20" s="672"/>
      <c r="L20" s="670"/>
    </row>
    <row r="21" spans="2:18">
      <c r="B21" s="673"/>
      <c r="C21" s="674" t="s">
        <v>341</v>
      </c>
      <c r="D21" s="675">
        <v>15</v>
      </c>
      <c r="E21" s="676">
        <f>D21*8</f>
        <v>120</v>
      </c>
      <c r="F21" s="675"/>
      <c r="G21" s="677"/>
      <c r="H21" s="678"/>
      <c r="I21" s="674"/>
      <c r="J21" s="674"/>
      <c r="K21" s="679"/>
      <c r="L21" s="675"/>
      <c r="M21" s="677"/>
    </row>
    <row r="22" spans="2:18">
      <c r="B22" s="680"/>
      <c r="C22" s="681" t="s">
        <v>342</v>
      </c>
      <c r="D22" s="682">
        <v>1</v>
      </c>
      <c r="E22" s="683">
        <f>D22*8</f>
        <v>8</v>
      </c>
      <c r="F22" s="684"/>
      <c r="G22" s="685"/>
      <c r="H22" s="686"/>
      <c r="I22" s="687"/>
      <c r="J22" s="687"/>
      <c r="K22" s="688"/>
      <c r="L22" s="675"/>
      <c r="M22" s="677"/>
    </row>
    <row r="23" spans="2:18">
      <c r="B23" s="673"/>
      <c r="C23" s="678"/>
      <c r="D23" s="674" t="s">
        <v>343</v>
      </c>
      <c r="E23" s="689">
        <f>SUM(E21:E22)</f>
        <v>128</v>
      </c>
      <c r="F23" s="684"/>
      <c r="H23" s="678"/>
      <c r="I23" s="678"/>
      <c r="J23" s="678"/>
      <c r="K23" s="674"/>
      <c r="L23" s="675"/>
    </row>
    <row r="24" spans="2:18" ht="15.75" thickBot="1">
      <c r="B24" s="690"/>
      <c r="C24" s="691"/>
      <c r="D24" s="692" t="s">
        <v>338</v>
      </c>
      <c r="E24" s="693">
        <f>2080-E23</f>
        <v>1952</v>
      </c>
      <c r="F24" s="684"/>
      <c r="H24" s="678"/>
      <c r="I24" s="678"/>
      <c r="J24" s="678"/>
      <c r="K24" s="674"/>
      <c r="L24" s="675"/>
    </row>
    <row r="27" spans="2:18">
      <c r="H27" s="694"/>
      <c r="I27" s="695"/>
      <c r="J27" s="694"/>
      <c r="K27" s="695"/>
    </row>
    <row r="28" spans="2:18">
      <c r="H28" s="694"/>
      <c r="I28" s="695"/>
      <c r="J28" s="694"/>
      <c r="K28" s="695"/>
    </row>
    <row r="29" spans="2:18">
      <c r="H29" s="694"/>
      <c r="I29" s="696"/>
      <c r="J29" s="694"/>
      <c r="K29" s="695"/>
    </row>
    <row r="30" spans="2:18">
      <c r="H30" s="694"/>
      <c r="I30" s="695"/>
      <c r="J30" s="694"/>
      <c r="K30" s="695"/>
    </row>
    <row r="31" spans="2:18" s="643" customFormat="1">
      <c r="B31" s="442"/>
      <c r="D31" s="644"/>
      <c r="H31" s="694"/>
      <c r="I31" s="695"/>
      <c r="J31" s="694"/>
      <c r="K31" s="695"/>
      <c r="M31" s="442"/>
      <c r="N31" s="442"/>
      <c r="O31" s="442"/>
      <c r="P31" s="442"/>
      <c r="Q31" s="442"/>
      <c r="R31" s="442"/>
    </row>
    <row r="32" spans="2:18" s="643" customFormat="1">
      <c r="B32" s="442"/>
      <c r="D32" s="644"/>
      <c r="H32" s="694"/>
      <c r="I32" s="695"/>
      <c r="J32" s="694"/>
      <c r="K32" s="695"/>
      <c r="M32" s="442"/>
      <c r="N32" s="442"/>
      <c r="O32" s="442"/>
      <c r="P32" s="442"/>
      <c r="Q32" s="442"/>
      <c r="R32" s="442"/>
    </row>
    <row r="33" spans="2:18" s="643" customFormat="1">
      <c r="B33" s="442"/>
      <c r="D33" s="644"/>
      <c r="H33" s="694"/>
      <c r="I33" s="695"/>
      <c r="J33" s="694"/>
      <c r="K33" s="695"/>
      <c r="M33" s="442"/>
      <c r="N33" s="442"/>
      <c r="O33" s="442"/>
      <c r="P33" s="442"/>
      <c r="Q33" s="442"/>
      <c r="R33" s="442"/>
    </row>
    <row r="34" spans="2:18" s="643" customFormat="1">
      <c r="B34" s="442"/>
      <c r="D34" s="644"/>
      <c r="H34" s="694"/>
      <c r="I34" s="695"/>
      <c r="J34" s="694"/>
      <c r="M34" s="442"/>
      <c r="N34" s="442"/>
      <c r="O34" s="442"/>
      <c r="P34" s="442"/>
      <c r="Q34" s="442"/>
      <c r="R34" s="442"/>
    </row>
    <row r="35" spans="2:18" s="643" customFormat="1">
      <c r="B35" s="442"/>
      <c r="D35" s="644"/>
      <c r="M35" s="442"/>
      <c r="N35" s="442"/>
      <c r="O35" s="442"/>
      <c r="P35" s="442"/>
      <c r="Q35" s="442"/>
      <c r="R35" s="442"/>
    </row>
    <row r="36" spans="2:18" s="643" customFormat="1">
      <c r="B36" s="442"/>
      <c r="D36" s="644"/>
      <c r="M36" s="442"/>
      <c r="N36" s="442"/>
      <c r="O36" s="442"/>
      <c r="P36" s="442"/>
      <c r="Q36" s="442"/>
      <c r="R36" s="442"/>
    </row>
  </sheetData>
  <mergeCells count="7">
    <mergeCell ref="D11:E11"/>
    <mergeCell ref="C3:N3"/>
    <mergeCell ref="D5:E5"/>
    <mergeCell ref="D6:E6"/>
    <mergeCell ref="D7:E7"/>
    <mergeCell ref="D8:E8"/>
    <mergeCell ref="D9:E9"/>
  </mergeCells>
  <pageMargins left="0.25" right="0.25" top="0.75" bottom="0.75" header="0.3" footer="0.3"/>
  <pageSetup scale="5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E80E-1499-4643-AE4E-E37AA0EB22DB}">
  <sheetPr>
    <pageSetUpPr fitToPage="1"/>
  </sheetPr>
  <dimension ref="A1:Q69"/>
  <sheetViews>
    <sheetView zoomScaleNormal="100" zoomScaleSheetLayoutView="55" zoomScalePageLayoutView="70" workbookViewId="0">
      <selection activeCell="G22" sqref="G22"/>
    </sheetView>
  </sheetViews>
  <sheetFormatPr defaultColWidth="9.7109375" defaultRowHeight="12"/>
  <cols>
    <col min="1" max="1" width="6.28515625" style="516" customWidth="1"/>
    <col min="2" max="2" width="32" style="516" bestFit="1" customWidth="1"/>
    <col min="3" max="3" width="3" style="516" bestFit="1" customWidth="1"/>
    <col min="4" max="4" width="8.42578125" style="516" customWidth="1"/>
    <col min="5" max="5" width="7.7109375" style="516" bestFit="1" customWidth="1"/>
    <col min="6" max="6" width="13" style="516" bestFit="1" customWidth="1"/>
    <col min="7" max="7" width="4.28515625" style="516" customWidth="1"/>
    <col min="8" max="8" width="27.5703125" style="516" customWidth="1"/>
    <col min="9" max="9" width="13.28515625" style="516" customWidth="1"/>
    <col min="10" max="10" width="62.7109375" style="516" customWidth="1"/>
    <col min="11" max="11" width="11.5703125" style="516" bestFit="1" customWidth="1"/>
    <col min="12" max="12" width="27.42578125" style="516" customWidth="1"/>
    <col min="13" max="13" width="11.85546875" style="516" customWidth="1"/>
    <col min="14" max="14" width="8.5703125" style="516" customWidth="1"/>
    <col min="15" max="15" width="9.140625" style="516" customWidth="1"/>
    <col min="16" max="16" width="10.7109375" style="516" customWidth="1"/>
    <col min="17" max="17" width="2.42578125" style="516" customWidth="1"/>
    <col min="18" max="16384" width="9.7109375" style="516"/>
  </cols>
  <sheetData>
    <row r="1" spans="1:17">
      <c r="A1" s="514"/>
    </row>
    <row r="2" spans="1:17">
      <c r="A2" s="517"/>
    </row>
    <row r="3" spans="1:17" ht="12.75" thickBot="1">
      <c r="A3" s="517"/>
      <c r="B3" s="814">
        <v>45292</v>
      </c>
      <c r="K3" s="518"/>
    </row>
    <row r="4" spans="1:17" ht="12.75" thickBot="1">
      <c r="B4" s="1330" t="s">
        <v>512</v>
      </c>
      <c r="C4" s="1331"/>
      <c r="D4" s="1331"/>
      <c r="E4" s="1331"/>
      <c r="F4" s="1332"/>
      <c r="H4" s="1314" t="s">
        <v>313</v>
      </c>
      <c r="I4" s="1315"/>
      <c r="J4" s="1316"/>
      <c r="L4" s="519"/>
      <c r="O4" s="571" t="s">
        <v>326</v>
      </c>
      <c r="P4" s="572">
        <v>365</v>
      </c>
      <c r="Q4" s="573"/>
    </row>
    <row r="5" spans="1:17" ht="12.75" thickBot="1">
      <c r="B5" s="520"/>
      <c r="C5" s="521"/>
      <c r="D5" s="522" t="s">
        <v>513</v>
      </c>
      <c r="E5" s="1051"/>
      <c r="F5" s="524">
        <f>P7</f>
        <v>251</v>
      </c>
      <c r="H5" s="1319" t="s">
        <v>52</v>
      </c>
      <c r="I5" s="1320"/>
      <c r="J5" s="526" t="s">
        <v>53</v>
      </c>
      <c r="L5" s="525"/>
      <c r="O5" s="560" t="s">
        <v>69</v>
      </c>
      <c r="P5" s="516">
        <v>10</v>
      </c>
      <c r="Q5" s="579"/>
    </row>
    <row r="6" spans="1:17" ht="12.75" thickBot="1">
      <c r="B6" s="527"/>
      <c r="C6" s="528"/>
      <c r="D6" s="529"/>
      <c r="E6" s="530"/>
      <c r="F6" s="531"/>
      <c r="H6" s="532" t="s">
        <v>58</v>
      </c>
      <c r="I6" s="533">
        <f>'M2022 BLS SALARY CHART (53_PCT)'!C22</f>
        <v>79415.232000000018</v>
      </c>
      <c r="J6" s="1053" t="s">
        <v>462</v>
      </c>
      <c r="K6" s="534"/>
      <c r="O6" s="560" t="s">
        <v>328</v>
      </c>
      <c r="P6" s="580">
        <v>104</v>
      </c>
      <c r="Q6" s="579"/>
    </row>
    <row r="7" spans="1:17" ht="13.5" thickTop="1" thickBot="1">
      <c r="B7" s="535" t="s">
        <v>316</v>
      </c>
      <c r="C7" s="536"/>
      <c r="D7" s="537" t="s">
        <v>59</v>
      </c>
      <c r="E7" s="537" t="s">
        <v>60</v>
      </c>
      <c r="F7" s="538" t="s">
        <v>61</v>
      </c>
      <c r="H7" s="560" t="s">
        <v>461</v>
      </c>
      <c r="I7" s="540">
        <f>'M2022 BLS SALARY CHART (53_PCT)'!C14</f>
        <v>64330.864000000001</v>
      </c>
      <c r="J7" s="1054" t="s">
        <v>462</v>
      </c>
      <c r="K7" s="539"/>
      <c r="O7" s="585"/>
      <c r="P7" s="586">
        <f>P4-P5-P6</f>
        <v>251</v>
      </c>
      <c r="Q7" s="587"/>
    </row>
    <row r="8" spans="1:17">
      <c r="B8" s="527" t="s">
        <v>501</v>
      </c>
      <c r="C8" s="541"/>
      <c r="D8" s="528">
        <f>I6</f>
        <v>79415.232000000018</v>
      </c>
      <c r="E8" s="549">
        <v>0.5</v>
      </c>
      <c r="F8" s="543">
        <f>E8*D8</f>
        <v>39707.616000000009</v>
      </c>
      <c r="H8" s="527" t="s">
        <v>298</v>
      </c>
      <c r="I8" s="540">
        <f>'M2022 BLS SALARY CHART (53_PCT)'!C8</f>
        <v>53206.566400000003</v>
      </c>
      <c r="J8" s="1054" t="s">
        <v>462</v>
      </c>
      <c r="L8" s="547"/>
    </row>
    <row r="9" spans="1:17">
      <c r="B9" s="527" t="s">
        <v>502</v>
      </c>
      <c r="C9" s="541"/>
      <c r="D9" s="528">
        <f>I7</f>
        <v>64330.864000000001</v>
      </c>
      <c r="E9" s="549">
        <v>0.5</v>
      </c>
      <c r="F9" s="543">
        <f>E9*D9</f>
        <v>32165.432000000001</v>
      </c>
      <c r="H9" s="545" t="s">
        <v>66</v>
      </c>
      <c r="I9" s="540">
        <f>'M2022 BLS SALARY CHART (53_PCT)'!C6</f>
        <v>41600</v>
      </c>
      <c r="J9" s="1054" t="s">
        <v>462</v>
      </c>
      <c r="M9" s="545"/>
      <c r="N9" s="540"/>
    </row>
    <row r="10" spans="1:17" ht="12.75" thickBot="1">
      <c r="B10" s="527" t="s">
        <v>298</v>
      </c>
      <c r="C10" s="541"/>
      <c r="D10" s="528">
        <f>I8</f>
        <v>53206.566400000003</v>
      </c>
      <c r="E10" s="542">
        <v>0.75</v>
      </c>
      <c r="F10" s="543">
        <f>E10*D10</f>
        <v>39904.924800000001</v>
      </c>
      <c r="G10" s="546"/>
      <c r="H10" s="1012" t="s">
        <v>317</v>
      </c>
      <c r="I10" s="1013">
        <f>'M2022 BLS SALARY CHART (53_PCT)'!C6</f>
        <v>41600</v>
      </c>
      <c r="J10" s="1055" t="s">
        <v>462</v>
      </c>
      <c r="K10" s="546"/>
      <c r="L10" s="544"/>
      <c r="O10" s="815"/>
      <c r="Q10" s="544"/>
    </row>
    <row r="11" spans="1:17" ht="12.75" thickBot="1">
      <c r="B11" s="527" t="s">
        <v>66</v>
      </c>
      <c r="C11" s="541"/>
      <c r="D11" s="528">
        <f>I9</f>
        <v>41600</v>
      </c>
      <c r="E11" s="542">
        <v>1</v>
      </c>
      <c r="F11" s="548">
        <f>E11*D11</f>
        <v>41600</v>
      </c>
      <c r="H11" s="1340" t="s">
        <v>82</v>
      </c>
      <c r="I11" s="1341"/>
      <c r="J11" s="1052" t="s">
        <v>53</v>
      </c>
      <c r="L11" s="544"/>
    </row>
    <row r="12" spans="1:17">
      <c r="B12" s="527" t="s">
        <v>156</v>
      </c>
      <c r="C12" s="541"/>
      <c r="D12" s="528">
        <f>I10</f>
        <v>41600</v>
      </c>
      <c r="E12" s="549">
        <v>0.5</v>
      </c>
      <c r="F12" s="548">
        <f>E12*D12</f>
        <v>20800</v>
      </c>
      <c r="H12" s="1011"/>
      <c r="I12" s="1005"/>
      <c r="J12" s="1014"/>
    </row>
    <row r="13" spans="1:17">
      <c r="B13" s="551" t="s">
        <v>75</v>
      </c>
      <c r="C13" s="552"/>
      <c r="D13" s="552"/>
      <c r="E13" s="553">
        <f>SUM(E8:E12)</f>
        <v>3.25</v>
      </c>
      <c r="F13" s="554">
        <f>SUM(F8:F12)</f>
        <v>174177.97280000002</v>
      </c>
      <c r="H13" s="560" t="s">
        <v>86</v>
      </c>
      <c r="I13" s="1009">
        <v>19392.310000000001</v>
      </c>
      <c r="J13" s="1016" t="s">
        <v>506</v>
      </c>
    </row>
    <row r="14" spans="1:17">
      <c r="B14" s="527"/>
      <c r="D14" s="556"/>
      <c r="E14" s="514"/>
      <c r="F14" s="557"/>
      <c r="H14" s="558" t="s">
        <v>519</v>
      </c>
      <c r="I14" s="1009">
        <v>5669.23</v>
      </c>
      <c r="J14" s="1015" t="s">
        <v>506</v>
      </c>
      <c r="K14" s="559"/>
    </row>
    <row r="15" spans="1:17">
      <c r="B15" s="560" t="s">
        <v>83</v>
      </c>
      <c r="D15" s="556">
        <f>I17</f>
        <v>0.27379999999999999</v>
      </c>
      <c r="E15" s="561"/>
      <c r="F15" s="543">
        <f>F13*D15</f>
        <v>47689.928952640003</v>
      </c>
      <c r="H15" s="558" t="s">
        <v>509</v>
      </c>
      <c r="I15" s="1009">
        <v>2400</v>
      </c>
      <c r="J15" s="1045" t="s">
        <v>506</v>
      </c>
      <c r="K15" s="562"/>
    </row>
    <row r="16" spans="1:17">
      <c r="B16" s="551" t="s">
        <v>321</v>
      </c>
      <c r="C16" s="552"/>
      <c r="D16" s="563"/>
      <c r="E16" s="552"/>
      <c r="F16" s="554">
        <f>SUM(F13:F15)</f>
        <v>221867.90175264003</v>
      </c>
      <c r="G16" s="565"/>
      <c r="H16" s="560"/>
      <c r="J16" s="1016"/>
      <c r="K16" s="566"/>
    </row>
    <row r="17" spans="1:14">
      <c r="B17" s="560"/>
      <c r="D17" s="556"/>
      <c r="E17" s="536" t="s">
        <v>323</v>
      </c>
      <c r="F17" s="557"/>
      <c r="G17" s="565"/>
      <c r="H17" s="550" t="s">
        <v>318</v>
      </c>
      <c r="I17" s="555">
        <f>'M2022 BLS SALARY CHART (53_PCT)'!C38</f>
        <v>0.27379999999999999</v>
      </c>
      <c r="J17" s="1016" t="s">
        <v>45</v>
      </c>
    </row>
    <row r="18" spans="1:14">
      <c r="B18" s="560" t="s">
        <v>520</v>
      </c>
      <c r="D18" s="556"/>
      <c r="E18" s="813">
        <f>I13</f>
        <v>19392.310000000001</v>
      </c>
      <c r="F18" s="812">
        <f>E18</f>
        <v>19392.310000000001</v>
      </c>
      <c r="H18" s="550" t="s">
        <v>322</v>
      </c>
      <c r="I18" s="555">
        <v>0.12</v>
      </c>
      <c r="J18" s="1015" t="s">
        <v>98</v>
      </c>
    </row>
    <row r="19" spans="1:14" ht="12.75" thickBot="1">
      <c r="B19" s="558" t="s">
        <v>519</v>
      </c>
      <c r="D19" s="556"/>
      <c r="E19" s="813">
        <f t="shared" ref="E19:E20" si="0">I14</f>
        <v>5669.23</v>
      </c>
      <c r="F19" s="812">
        <f>E19</f>
        <v>5669.23</v>
      </c>
      <c r="H19" s="569" t="s">
        <v>324</v>
      </c>
      <c r="I19" s="570">
        <f>'CAF Spring 2023'!CI26</f>
        <v>2.7100379121522307E-2</v>
      </c>
      <c r="J19" s="1046" t="s">
        <v>306</v>
      </c>
    </row>
    <row r="20" spans="1:14">
      <c r="B20" s="558" t="s">
        <v>509</v>
      </c>
      <c r="E20" s="813">
        <f t="shared" si="0"/>
        <v>2400</v>
      </c>
      <c r="F20" s="812">
        <f>E20</f>
        <v>2400</v>
      </c>
      <c r="M20" s="514"/>
      <c r="N20" s="514"/>
    </row>
    <row r="21" spans="1:14" s="514" customFormat="1">
      <c r="B21" s="574" t="s">
        <v>327</v>
      </c>
      <c r="C21" s="575"/>
      <c r="D21" s="576"/>
      <c r="E21" s="577"/>
      <c r="F21" s="578">
        <f>SUM(F16:F20)</f>
        <v>249329.44175264004</v>
      </c>
      <c r="K21" s="516"/>
      <c r="L21" s="516"/>
      <c r="M21" s="516"/>
      <c r="N21" s="516"/>
    </row>
    <row r="22" spans="1:14">
      <c r="B22" s="560" t="s">
        <v>131</v>
      </c>
      <c r="D22" s="556">
        <f>I18</f>
        <v>0.12</v>
      </c>
      <c r="F22" s="543">
        <f>F21*D22</f>
        <v>29919.533010316802</v>
      </c>
    </row>
    <row r="23" spans="1:14" ht="12.75" thickBot="1">
      <c r="B23" s="581" t="s">
        <v>329</v>
      </c>
      <c r="C23" s="582"/>
      <c r="D23" s="583"/>
      <c r="E23" s="582"/>
      <c r="F23" s="584">
        <f>SUM(F21:F22)</f>
        <v>279248.97476295684</v>
      </c>
    </row>
    <row r="24" spans="1:14" ht="13.5" thickTop="1" thickBot="1">
      <c r="A24" s="514"/>
      <c r="B24" s="588" t="s">
        <v>307</v>
      </c>
      <c r="C24" s="589"/>
      <c r="D24" s="590">
        <f>I19</f>
        <v>2.7100379121522307E-2</v>
      </c>
      <c r="E24" s="591"/>
      <c r="F24" s="592">
        <f>F23*D24</f>
        <v>7567.7530853725457</v>
      </c>
    </row>
    <row r="25" spans="1:14" ht="12.75" thickBot="1">
      <c r="B25" s="593"/>
      <c r="C25" s="594"/>
      <c r="D25" s="595"/>
      <c r="E25" s="596"/>
      <c r="F25" s="1048"/>
      <c r="G25" s="514"/>
    </row>
    <row r="26" spans="1:14" ht="12.75" thickTop="1">
      <c r="B26" s="535" t="s">
        <v>331</v>
      </c>
      <c r="D26" s="598"/>
      <c r="F26" s="531">
        <f>F24+F23</f>
        <v>286816.72784832941</v>
      </c>
    </row>
    <row r="27" spans="1:14">
      <c r="B27" s="560" t="s">
        <v>515</v>
      </c>
      <c r="D27" s="598"/>
      <c r="F27" s="531">
        <f>F26/12</f>
        <v>23901.393987360785</v>
      </c>
    </row>
    <row r="28" spans="1:14" ht="12.75" thickBot="1">
      <c r="B28" s="585" t="s">
        <v>514</v>
      </c>
      <c r="C28" s="586"/>
      <c r="D28" s="1049"/>
      <c r="E28" s="586"/>
      <c r="F28" s="1050">
        <f>F26/F5</f>
        <v>1142.6961268857744</v>
      </c>
    </row>
    <row r="29" spans="1:14">
      <c r="A29" s="517"/>
      <c r="B29" s="514"/>
      <c r="F29" s="638"/>
    </row>
    <row r="30" spans="1:14">
      <c r="A30" s="517"/>
      <c r="F30" s="639"/>
    </row>
    <row r="31" spans="1:14">
      <c r="F31" s="1047"/>
      <c r="H31" s="603"/>
      <c r="I31" s="603"/>
      <c r="J31" s="603"/>
    </row>
    <row r="32" spans="1:14">
      <c r="H32" s="603"/>
      <c r="I32" s="603"/>
      <c r="J32" s="603"/>
    </row>
    <row r="33" spans="2:16">
      <c r="H33" s="603"/>
      <c r="I33" s="603"/>
      <c r="J33" s="603"/>
    </row>
    <row r="34" spans="2:16">
      <c r="H34" s="603"/>
      <c r="I34" s="603"/>
      <c r="J34" s="603"/>
    </row>
    <row r="38" spans="2:16" ht="12.75" thickBot="1"/>
    <row r="39" spans="2:16">
      <c r="F39" s="565"/>
      <c r="H39" s="1321" t="s">
        <v>330</v>
      </c>
      <c r="I39" s="1322"/>
      <c r="J39" s="1323"/>
      <c r="L39" s="514"/>
    </row>
    <row r="40" spans="2:16">
      <c r="H40" s="1324"/>
      <c r="I40" s="1325"/>
      <c r="J40" s="1326"/>
    </row>
    <row r="41" spans="2:16">
      <c r="H41" s="1324"/>
      <c r="I41" s="1325"/>
      <c r="J41" s="1326"/>
      <c r="K41" s="514"/>
      <c r="L41" s="613"/>
    </row>
    <row r="42" spans="2:16">
      <c r="H42" s="1324"/>
      <c r="I42" s="1325"/>
      <c r="J42" s="1326"/>
      <c r="L42" s="604"/>
    </row>
    <row r="43" spans="2:16">
      <c r="H43" s="1324"/>
      <c r="I43" s="1325"/>
      <c r="J43" s="1326"/>
      <c r="L43" s="528"/>
    </row>
    <row r="44" spans="2:16">
      <c r="G44" s="565"/>
      <c r="H44" s="1324"/>
      <c r="I44" s="1325"/>
      <c r="J44" s="1326"/>
    </row>
    <row r="45" spans="2:16" ht="12.75" thickBot="1">
      <c r="G45" s="615"/>
      <c r="H45" s="1327"/>
      <c r="I45" s="1328"/>
      <c r="J45" s="1329"/>
      <c r="L45" s="528"/>
      <c r="M45" s="514"/>
      <c r="N45" s="514"/>
    </row>
    <row r="46" spans="2:16" s="514" customFormat="1">
      <c r="B46" s="516"/>
      <c r="C46" s="516"/>
      <c r="D46" s="516"/>
      <c r="E46" s="516"/>
      <c r="F46" s="516"/>
      <c r="G46" s="516"/>
      <c r="H46" s="516"/>
      <c r="I46" s="516"/>
      <c r="J46" s="516"/>
      <c r="K46" s="516"/>
      <c r="L46" s="608"/>
      <c r="M46" s="516"/>
      <c r="N46" s="516"/>
    </row>
    <row r="47" spans="2:16">
      <c r="G47" s="617"/>
      <c r="L47" s="514"/>
      <c r="M47" s="613"/>
      <c r="N47" s="613"/>
    </row>
    <row r="48" spans="2:16">
      <c r="L48" s="514"/>
      <c r="M48" s="613"/>
      <c r="N48" s="613"/>
      <c r="O48" s="613"/>
      <c r="P48" s="613"/>
    </row>
    <row r="49" spans="2:16">
      <c r="L49" s="622"/>
      <c r="M49" s="623"/>
      <c r="N49" s="604"/>
      <c r="O49" s="613"/>
      <c r="P49" s="613"/>
    </row>
    <row r="50" spans="2:16">
      <c r="M50" s="528"/>
      <c r="N50" s="528"/>
      <c r="O50" s="624"/>
      <c r="P50" s="625"/>
    </row>
    <row r="51" spans="2:16">
      <c r="M51" s="528"/>
      <c r="N51" s="528"/>
      <c r="O51" s="528"/>
      <c r="P51" s="627"/>
    </row>
    <row r="52" spans="2:16">
      <c r="M52" s="536"/>
      <c r="N52" s="634"/>
      <c r="O52" s="528"/>
      <c r="P52" s="627"/>
    </row>
    <row r="53" spans="2:16">
      <c r="L53" s="514"/>
      <c r="M53" s="541"/>
      <c r="N53" s="528"/>
      <c r="O53" s="537"/>
      <c r="P53" s="607"/>
    </row>
    <row r="54" spans="2:16">
      <c r="M54" s="541"/>
      <c r="N54" s="528"/>
      <c r="O54" s="542"/>
      <c r="P54" s="564"/>
    </row>
    <row r="55" spans="2:16">
      <c r="M55" s="518"/>
      <c r="N55" s="518"/>
      <c r="O55" s="635"/>
      <c r="P55" s="609"/>
    </row>
    <row r="56" spans="2:16">
      <c r="M56" s="622"/>
      <c r="N56" s="637"/>
      <c r="O56" s="636"/>
      <c r="P56" s="611"/>
    </row>
    <row r="57" spans="2:16">
      <c r="L57" s="514"/>
      <c r="N57" s="556"/>
      <c r="O57" s="622"/>
      <c r="P57" s="515"/>
    </row>
    <row r="58" spans="2:16">
      <c r="N58" s="556"/>
      <c r="O58" s="561"/>
      <c r="P58" s="564"/>
    </row>
    <row r="59" spans="2:16">
      <c r="L59" s="514"/>
      <c r="M59" s="518"/>
      <c r="N59" s="614"/>
      <c r="P59" s="515"/>
    </row>
    <row r="60" spans="2:16">
      <c r="L60" s="514"/>
      <c r="N60" s="556"/>
      <c r="O60" s="518"/>
      <c r="P60" s="611"/>
    </row>
    <row r="61" spans="2:16">
      <c r="L61" s="514"/>
      <c r="N61" s="556"/>
      <c r="O61" s="536"/>
      <c r="P61" s="515"/>
    </row>
    <row r="62" spans="2:16">
      <c r="N62" s="556"/>
      <c r="O62" s="565"/>
      <c r="P62" s="564"/>
    </row>
    <row r="63" spans="2:16">
      <c r="B63" s="641"/>
      <c r="C63" s="641"/>
      <c r="D63" s="641"/>
      <c r="E63" s="641"/>
      <c r="F63" s="641"/>
      <c r="M63" s="514"/>
      <c r="N63" s="556"/>
      <c r="O63" s="565"/>
      <c r="P63" s="621"/>
    </row>
    <row r="64" spans="2:16">
      <c r="B64" s="640"/>
      <c r="C64" s="640"/>
      <c r="D64" s="640"/>
      <c r="E64" s="640"/>
      <c r="F64" s="640"/>
      <c r="N64" s="556"/>
      <c r="P64" s="564"/>
    </row>
    <row r="65" spans="2:16">
      <c r="B65" s="640"/>
      <c r="C65" s="640"/>
      <c r="D65" s="640"/>
      <c r="E65" s="640"/>
      <c r="F65" s="640"/>
      <c r="N65" s="598"/>
      <c r="P65" s="564"/>
    </row>
    <row r="66" spans="2:16">
      <c r="B66" s="640"/>
      <c r="C66" s="640"/>
      <c r="D66" s="640"/>
      <c r="E66" s="640"/>
      <c r="F66" s="640"/>
      <c r="N66" s="598"/>
      <c r="P66" s="606"/>
    </row>
    <row r="67" spans="2:16">
      <c r="M67" s="514"/>
      <c r="N67" s="628"/>
      <c r="P67" s="626"/>
    </row>
    <row r="68" spans="2:16">
      <c r="N68" s="620"/>
      <c r="O68" s="602"/>
      <c r="P68" s="638"/>
    </row>
    <row r="69" spans="2:16">
      <c r="P69" s="638"/>
    </row>
  </sheetData>
  <mergeCells count="5">
    <mergeCell ref="B4:F4"/>
    <mergeCell ref="H4:J4"/>
    <mergeCell ref="H5:I5"/>
    <mergeCell ref="H11:I11"/>
    <mergeCell ref="H39:J45"/>
  </mergeCells>
  <pageMargins left="0.25" right="0.25" top="0.25" bottom="0.25" header="0.3" footer="0.3"/>
  <pageSetup scale="77" orientation="landscape" r:id="rId1"/>
  <headerFooter alignWithMargins="0">
    <oddFooter>&amp;R&amp;10CONFIDENTIAL - FOR THE PURPOSES OF POLICY DISCUSSION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2830-985C-4B41-BF19-95B1CCB5DAC4}">
  <dimension ref="E2:J24"/>
  <sheetViews>
    <sheetView workbookViewId="0">
      <selection sqref="A1:XFD1048576"/>
    </sheetView>
  </sheetViews>
  <sheetFormatPr defaultRowHeight="15"/>
  <cols>
    <col min="6" max="6" width="41.42578125" customWidth="1"/>
    <col min="7" max="7" width="12.28515625" customWidth="1"/>
    <col min="8" max="8" width="11.140625" customWidth="1"/>
    <col min="9" max="9" width="11" customWidth="1"/>
  </cols>
  <sheetData>
    <row r="2" spans="6:10" ht="15.75" thickBot="1"/>
    <row r="3" spans="6:10" ht="15.75" thickBot="1">
      <c r="G3" s="798" t="s">
        <v>439</v>
      </c>
      <c r="I3" s="801" t="s">
        <v>139</v>
      </c>
    </row>
    <row r="4" spans="6:10" ht="15.75" thickBot="1">
      <c r="F4" s="797" t="s">
        <v>441</v>
      </c>
      <c r="G4" s="799" t="s">
        <v>442</v>
      </c>
      <c r="H4" s="800" t="s">
        <v>443</v>
      </c>
      <c r="I4" s="803" t="s">
        <v>442</v>
      </c>
      <c r="J4" t="s">
        <v>459</v>
      </c>
    </row>
    <row r="5" spans="6:10" ht="15.75" thickBot="1">
      <c r="F5" s="791" t="s">
        <v>444</v>
      </c>
      <c r="G5" s="792">
        <v>91.48</v>
      </c>
      <c r="H5" s="802" t="s">
        <v>445</v>
      </c>
      <c r="I5" s="804">
        <f>'1. O&amp;M Model '!U18</f>
        <v>105.83717806512469</v>
      </c>
      <c r="J5" s="809">
        <f>(I5-G5)/G5</f>
        <v>0.15694335445042287</v>
      </c>
    </row>
    <row r="6" spans="6:10" ht="15.75" thickBot="1">
      <c r="F6" s="791" t="s">
        <v>446</v>
      </c>
      <c r="G6" s="792">
        <v>105.36</v>
      </c>
      <c r="H6" s="802" t="s">
        <v>445</v>
      </c>
      <c r="I6" s="805">
        <f>'1. O&amp;M Model '!U19</f>
        <v>119.72246199828234</v>
      </c>
      <c r="J6" s="810">
        <f t="shared" ref="J6:J17" si="0">(I6-G6)/G6</f>
        <v>0.13631797644535251</v>
      </c>
    </row>
    <row r="7" spans="6:10" ht="15.75" thickBot="1">
      <c r="F7" s="791" t="s">
        <v>447</v>
      </c>
      <c r="G7" s="792">
        <v>119.24</v>
      </c>
      <c r="H7" s="802" t="s">
        <v>445</v>
      </c>
      <c r="I7" s="805">
        <f>'1. O&amp;M Model '!U20</f>
        <v>133.59898373314087</v>
      </c>
      <c r="J7" s="810">
        <f t="shared" si="0"/>
        <v>0.12042086324338204</v>
      </c>
    </row>
    <row r="8" spans="6:10" ht="15.75" thickBot="1">
      <c r="F8" s="791" t="s">
        <v>448</v>
      </c>
      <c r="G8" s="792">
        <v>44.27</v>
      </c>
      <c r="H8" s="802" t="s">
        <v>445</v>
      </c>
      <c r="I8" s="806">
        <f>'5. DBCAN Model - 2405'!K24</f>
        <v>49.293202449210639</v>
      </c>
      <c r="J8" s="810">
        <f t="shared" si="0"/>
        <v>0.11346741470997596</v>
      </c>
    </row>
    <row r="9" spans="6:10" ht="15.75" thickBot="1">
      <c r="F9" s="791" t="s">
        <v>449</v>
      </c>
      <c r="G9" s="792">
        <v>142.16</v>
      </c>
      <c r="H9" s="802" t="s">
        <v>445</v>
      </c>
      <c r="I9" s="806">
        <f>'3. ATIL'!M26</f>
        <v>187.12877617469337</v>
      </c>
      <c r="J9" s="810">
        <f t="shared" si="0"/>
        <v>0.31632509970943568</v>
      </c>
    </row>
    <row r="10" spans="6:10" ht="15.75" thickBot="1">
      <c r="F10" s="791" t="s">
        <v>449</v>
      </c>
      <c r="G10" s="793" t="s">
        <v>450</v>
      </c>
      <c r="H10" s="802" t="s">
        <v>451</v>
      </c>
      <c r="I10" s="807"/>
      <c r="J10" s="810"/>
    </row>
    <row r="11" spans="6:10" ht="15.75" thickBot="1">
      <c r="F11" s="794" t="s">
        <v>452</v>
      </c>
      <c r="G11" s="795"/>
      <c r="H11" s="802"/>
      <c r="I11" s="807"/>
      <c r="J11" s="810"/>
    </row>
    <row r="12" spans="6:10" ht="15.75" thickBot="1">
      <c r="F12" s="796" t="s">
        <v>141</v>
      </c>
      <c r="G12" s="792">
        <v>26.68</v>
      </c>
      <c r="H12" s="802" t="s">
        <v>445</v>
      </c>
      <c r="I12" s="805">
        <f>'2. HCA'!E7</f>
        <v>35.120157133072823</v>
      </c>
      <c r="J12" s="810">
        <f t="shared" si="0"/>
        <v>0.31634771863091543</v>
      </c>
    </row>
    <row r="13" spans="6:10" ht="15.75" thickBot="1">
      <c r="F13" s="796" t="s">
        <v>142</v>
      </c>
      <c r="G13" s="792">
        <v>25.1</v>
      </c>
      <c r="H13" s="802" t="s">
        <v>445</v>
      </c>
      <c r="I13" s="805">
        <f>'2. HCA'!E8</f>
        <v>33.039756985342706</v>
      </c>
      <c r="J13" s="810">
        <f t="shared" si="0"/>
        <v>0.31632497949572524</v>
      </c>
    </row>
    <row r="14" spans="6:10" ht="15.75" thickBot="1">
      <c r="F14" s="796" t="s">
        <v>453</v>
      </c>
      <c r="G14" s="792">
        <v>25.23</v>
      </c>
      <c r="H14" s="802" t="s">
        <v>445</v>
      </c>
      <c r="I14" s="805">
        <f>'2. HCA'!E9</f>
        <v>33.200612666868231</v>
      </c>
      <c r="J14" s="810">
        <f t="shared" si="0"/>
        <v>0.31591806051796395</v>
      </c>
    </row>
    <row r="15" spans="6:10" ht="15.75" thickBot="1">
      <c r="F15" s="796" t="s">
        <v>144</v>
      </c>
      <c r="G15" s="792">
        <v>25.99</v>
      </c>
      <c r="H15" s="802" t="s">
        <v>445</v>
      </c>
      <c r="I15" s="805">
        <f>'2. HCA'!E10</f>
        <v>34.219365316529888</v>
      </c>
      <c r="J15" s="810">
        <f t="shared" si="0"/>
        <v>0.31663583364870684</v>
      </c>
    </row>
    <row r="16" spans="6:10" ht="15.75" thickBot="1">
      <c r="F16" s="796" t="s">
        <v>145</v>
      </c>
      <c r="G16" s="792">
        <v>25.91</v>
      </c>
      <c r="H16" s="802" t="s">
        <v>445</v>
      </c>
      <c r="I16" s="805">
        <f>'2. HCA'!E11</f>
        <v>34.112128195512867</v>
      </c>
      <c r="J16" s="810">
        <f t="shared" si="0"/>
        <v>0.31656226150184741</v>
      </c>
    </row>
    <row r="17" spans="5:10" ht="15.75" thickBot="1">
      <c r="F17" s="794" t="s">
        <v>454</v>
      </c>
      <c r="G17" s="792">
        <v>58.12</v>
      </c>
      <c r="H17" s="802" t="s">
        <v>445</v>
      </c>
      <c r="I17" s="806">
        <f>'4. VR Assistant'!I19</f>
        <v>73.470223118893571</v>
      </c>
      <c r="J17" s="810">
        <f t="shared" si="0"/>
        <v>0.26411257947167194</v>
      </c>
    </row>
    <row r="18" spans="5:10" ht="15.75" thickBot="1"/>
    <row r="19" spans="5:10" ht="15.75" thickBot="1">
      <c r="G19" s="798" t="s">
        <v>439</v>
      </c>
      <c r="I19" s="801" t="s">
        <v>139</v>
      </c>
    </row>
    <row r="20" spans="5:10" ht="15.75" thickBot="1">
      <c r="F20" s="797" t="s">
        <v>441</v>
      </c>
      <c r="G20" s="799" t="s">
        <v>442</v>
      </c>
      <c r="H20" s="800" t="s">
        <v>443</v>
      </c>
      <c r="I20" s="803" t="s">
        <v>442</v>
      </c>
      <c r="J20" t="s">
        <v>459</v>
      </c>
    </row>
    <row r="21" spans="5:10" ht="15.75" thickBot="1">
      <c r="E21" t="s">
        <v>508</v>
      </c>
      <c r="F21" s="794" t="s">
        <v>455</v>
      </c>
      <c r="G21" s="792">
        <v>18.52</v>
      </c>
      <c r="H21" s="802" t="s">
        <v>456</v>
      </c>
      <c r="I21" s="806">
        <f>'6. BI Community Outreach'!E24</f>
        <v>25.714860278355577</v>
      </c>
      <c r="J21" s="810">
        <f>(I21-G21)/G21</f>
        <v>0.38849137572114351</v>
      </c>
    </row>
    <row r="22" spans="5:10" ht="15.75" thickBot="1">
      <c r="E22" t="s">
        <v>508</v>
      </c>
      <c r="F22" s="794" t="s">
        <v>457</v>
      </c>
      <c r="G22" s="792">
        <v>6.35</v>
      </c>
      <c r="H22" s="802" t="s">
        <v>456</v>
      </c>
      <c r="I22" s="806">
        <f>'7. BI Site Based'!L29</f>
        <v>8.231997660815642</v>
      </c>
      <c r="J22" s="810">
        <f>(I22-G22)/G22</f>
        <v>0.29637758438041611</v>
      </c>
    </row>
    <row r="23" spans="5:10" ht="15.75" thickBot="1">
      <c r="E23" t="s">
        <v>508</v>
      </c>
      <c r="F23" s="794" t="s">
        <v>458</v>
      </c>
      <c r="G23" s="792">
        <v>5.51</v>
      </c>
      <c r="H23" s="802" t="s">
        <v>456</v>
      </c>
      <c r="I23" s="808">
        <f>'8. BI Direct Care Add-on'!C15</f>
        <v>7.6868563141836779</v>
      </c>
      <c r="J23" s="811">
        <f>(I23-G23)/G23</f>
        <v>0.39507374123115757</v>
      </c>
    </row>
    <row r="24" spans="5:10" ht="15.75" thickBot="1">
      <c r="E24" t="s">
        <v>508</v>
      </c>
      <c r="F24" s="1056" t="s">
        <v>516</v>
      </c>
      <c r="G24" s="1058" t="s">
        <v>517</v>
      </c>
      <c r="H24" s="1059" t="s">
        <v>518</v>
      </c>
      <c r="I24" s="1060">
        <f>'9. BI Site Based Start'!F27</f>
        <v>23901.393987360785</v>
      </c>
      <c r="J24" s="1057" t="s">
        <v>517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8A10-8DB0-45F1-B949-0A103F55B797}">
  <dimension ref="A1:DG28"/>
  <sheetViews>
    <sheetView topLeftCell="CA1" zoomScale="90" zoomScaleNormal="90" workbookViewId="0">
      <selection activeCell="CU42" sqref="CU42"/>
    </sheetView>
  </sheetViews>
  <sheetFormatPr defaultRowHeight="12.75"/>
  <cols>
    <col min="1" max="1" width="38.42578125" style="751" customWidth="1"/>
    <col min="2" max="2" width="12.85546875" style="756" customWidth="1"/>
    <col min="3" max="78" width="7.7109375" style="751" hidden="1" customWidth="1"/>
    <col min="79" max="82" width="7.7109375" style="751" customWidth="1"/>
    <col min="83" max="16384" width="9.140625" style="751"/>
  </cols>
  <sheetData>
    <row r="1" spans="1:111" ht="18">
      <c r="A1" s="1342" t="s">
        <v>185</v>
      </c>
      <c r="B1" s="1343"/>
    </row>
    <row r="2" spans="1:111" ht="15.75">
      <c r="A2" s="752" t="s">
        <v>544</v>
      </c>
      <c r="B2" s="753"/>
    </row>
    <row r="3" spans="1:111" ht="15.75" thickBot="1">
      <c r="A3" s="754" t="s">
        <v>186</v>
      </c>
      <c r="B3" s="755"/>
    </row>
    <row r="6" spans="1:111">
      <c r="CC6" s="1107"/>
      <c r="CD6" s="1107"/>
      <c r="CE6" s="1107"/>
      <c r="CF6" s="1107"/>
      <c r="CG6" s="1108" t="s">
        <v>421</v>
      </c>
      <c r="CH6" s="1108" t="s">
        <v>421</v>
      </c>
      <c r="CI6" s="1108" t="s">
        <v>421</v>
      </c>
      <c r="CJ6" s="1108" t="s">
        <v>421</v>
      </c>
      <c r="CK6" s="1109" t="s">
        <v>422</v>
      </c>
      <c r="CL6" s="1109" t="s">
        <v>422</v>
      </c>
      <c r="CM6" s="1109" t="s">
        <v>422</v>
      </c>
      <c r="CN6" s="1109" t="s">
        <v>422</v>
      </c>
      <c r="CO6" s="1110" t="s">
        <v>545</v>
      </c>
      <c r="CP6" s="1110" t="s">
        <v>545</v>
      </c>
      <c r="CQ6" s="1110" t="s">
        <v>545</v>
      </c>
      <c r="CR6" s="1110" t="s">
        <v>545</v>
      </c>
      <c r="CS6" s="1111" t="s">
        <v>546</v>
      </c>
      <c r="CT6" s="1111" t="s">
        <v>546</v>
      </c>
      <c r="CU6" s="1111" t="s">
        <v>546</v>
      </c>
      <c r="CV6" s="1111" t="s">
        <v>546</v>
      </c>
    </row>
    <row r="7" spans="1:111" s="756" customFormat="1">
      <c r="B7" s="756" t="s">
        <v>190</v>
      </c>
      <c r="C7" s="762" t="s">
        <v>191</v>
      </c>
      <c r="D7" s="762" t="s">
        <v>192</v>
      </c>
      <c r="E7" s="762" t="s">
        <v>193</v>
      </c>
      <c r="F7" s="762" t="s">
        <v>194</v>
      </c>
      <c r="G7" s="762" t="s">
        <v>195</v>
      </c>
      <c r="H7" s="762" t="s">
        <v>196</v>
      </c>
      <c r="I7" s="762" t="s">
        <v>197</v>
      </c>
      <c r="J7" s="762" t="s">
        <v>198</v>
      </c>
      <c r="K7" s="762" t="s">
        <v>199</v>
      </c>
      <c r="L7" s="762" t="s">
        <v>200</v>
      </c>
      <c r="M7" s="762" t="s">
        <v>201</v>
      </c>
      <c r="N7" s="762" t="s">
        <v>202</v>
      </c>
      <c r="O7" s="762" t="s">
        <v>203</v>
      </c>
      <c r="P7" s="762" t="s">
        <v>204</v>
      </c>
      <c r="Q7" s="762" t="s">
        <v>205</v>
      </c>
      <c r="R7" s="762" t="s">
        <v>206</v>
      </c>
      <c r="S7" s="762" t="s">
        <v>207</v>
      </c>
      <c r="T7" s="762" t="s">
        <v>208</v>
      </c>
      <c r="U7" s="762" t="s">
        <v>209</v>
      </c>
      <c r="V7" s="762" t="s">
        <v>210</v>
      </c>
      <c r="W7" s="762" t="s">
        <v>211</v>
      </c>
      <c r="X7" s="762" t="s">
        <v>212</v>
      </c>
      <c r="Y7" s="762" t="s">
        <v>213</v>
      </c>
      <c r="Z7" s="762" t="s">
        <v>214</v>
      </c>
      <c r="AA7" s="762" t="s">
        <v>215</v>
      </c>
      <c r="AB7" s="762" t="s">
        <v>216</v>
      </c>
      <c r="AC7" s="762" t="s">
        <v>217</v>
      </c>
      <c r="AD7" s="762" t="s">
        <v>218</v>
      </c>
      <c r="AE7" s="762" t="s">
        <v>219</v>
      </c>
      <c r="AF7" s="762" t="s">
        <v>220</v>
      </c>
      <c r="AG7" s="762" t="s">
        <v>221</v>
      </c>
      <c r="AH7" s="762" t="s">
        <v>222</v>
      </c>
      <c r="AI7" s="762" t="s">
        <v>223</v>
      </c>
      <c r="AJ7" s="762" t="s">
        <v>224</v>
      </c>
      <c r="AK7" s="762" t="s">
        <v>225</v>
      </c>
      <c r="AL7" s="762" t="s">
        <v>226</v>
      </c>
      <c r="AM7" s="762" t="s">
        <v>227</v>
      </c>
      <c r="AN7" s="762" t="s">
        <v>228</v>
      </c>
      <c r="AO7" s="762" t="s">
        <v>229</v>
      </c>
      <c r="AP7" s="762" t="s">
        <v>230</v>
      </c>
      <c r="AQ7" s="762" t="s">
        <v>231</v>
      </c>
      <c r="AR7" s="762" t="s">
        <v>232</v>
      </c>
      <c r="AS7" s="762" t="s">
        <v>233</v>
      </c>
      <c r="AT7" s="762" t="s">
        <v>234</v>
      </c>
      <c r="AU7" s="756" t="s">
        <v>235</v>
      </c>
      <c r="AV7" s="756" t="s">
        <v>236</v>
      </c>
      <c r="AW7" s="756" t="s">
        <v>237</v>
      </c>
      <c r="AX7" s="756" t="s">
        <v>238</v>
      </c>
      <c r="AY7" s="756" t="s">
        <v>239</v>
      </c>
      <c r="AZ7" s="756" t="s">
        <v>240</v>
      </c>
      <c r="BA7" s="756" t="s">
        <v>241</v>
      </c>
      <c r="BB7" s="756" t="s">
        <v>242</v>
      </c>
      <c r="BC7" s="756" t="s">
        <v>243</v>
      </c>
      <c r="BD7" s="756" t="s">
        <v>244</v>
      </c>
      <c r="BE7" s="756" t="s">
        <v>245</v>
      </c>
      <c r="BF7" s="756" t="s">
        <v>246</v>
      </c>
      <c r="BG7" s="756" t="s">
        <v>247</v>
      </c>
      <c r="BH7" s="756" t="s">
        <v>248</v>
      </c>
      <c r="BI7" s="756" t="s">
        <v>249</v>
      </c>
      <c r="BJ7" s="756" t="s">
        <v>250</v>
      </c>
      <c r="BK7" s="756" t="s">
        <v>251</v>
      </c>
      <c r="BL7" s="756" t="s">
        <v>252</v>
      </c>
      <c r="BM7" s="756" t="s">
        <v>253</v>
      </c>
      <c r="BN7" s="756" t="s">
        <v>254</v>
      </c>
      <c r="BO7" s="756" t="s">
        <v>255</v>
      </c>
      <c r="BP7" s="756" t="s">
        <v>256</v>
      </c>
      <c r="BQ7" s="756" t="s">
        <v>257</v>
      </c>
      <c r="BR7" s="756" t="s">
        <v>258</v>
      </c>
      <c r="BS7" s="756" t="s">
        <v>259</v>
      </c>
      <c r="BT7" s="756" t="s">
        <v>260</v>
      </c>
      <c r="BU7" s="756" t="s">
        <v>261</v>
      </c>
      <c r="BV7" s="756" t="s">
        <v>262</v>
      </c>
      <c r="BW7" s="756" t="s">
        <v>263</v>
      </c>
      <c r="BX7" s="756" t="s">
        <v>264</v>
      </c>
      <c r="BY7" s="756" t="s">
        <v>265</v>
      </c>
      <c r="BZ7" s="756" t="s">
        <v>266</v>
      </c>
      <c r="CA7" s="756" t="s">
        <v>267</v>
      </c>
      <c r="CB7" s="756" t="s">
        <v>268</v>
      </c>
      <c r="CC7" s="756" t="s">
        <v>269</v>
      </c>
      <c r="CD7" s="756" t="s">
        <v>270</v>
      </c>
      <c r="CE7" s="756" t="s">
        <v>271</v>
      </c>
      <c r="CF7" s="756" t="s">
        <v>272</v>
      </c>
      <c r="CG7" s="756" t="s">
        <v>273</v>
      </c>
      <c r="CH7" s="756" t="s">
        <v>274</v>
      </c>
      <c r="CI7" s="756" t="s">
        <v>275</v>
      </c>
      <c r="CJ7" s="756" t="s">
        <v>276</v>
      </c>
      <c r="CK7" s="756" t="s">
        <v>277</v>
      </c>
      <c r="CL7" s="756" t="s">
        <v>278</v>
      </c>
      <c r="CM7" s="756" t="s">
        <v>423</v>
      </c>
      <c r="CN7" s="756" t="s">
        <v>424</v>
      </c>
      <c r="CO7" s="756" t="s">
        <v>425</v>
      </c>
      <c r="CP7" s="756" t="s">
        <v>426</v>
      </c>
      <c r="CQ7" s="756" t="s">
        <v>427</v>
      </c>
      <c r="CR7" s="756" t="s">
        <v>428</v>
      </c>
      <c r="CS7" s="756" t="s">
        <v>429</v>
      </c>
      <c r="CT7" s="756" t="s">
        <v>430</v>
      </c>
      <c r="CU7" s="756" t="s">
        <v>431</v>
      </c>
      <c r="CV7" s="756" t="s">
        <v>432</v>
      </c>
      <c r="CW7" s="756" t="s">
        <v>433</v>
      </c>
      <c r="CX7" s="756" t="s">
        <v>434</v>
      </c>
      <c r="CY7" s="756" t="s">
        <v>547</v>
      </c>
      <c r="CZ7" s="756" t="s">
        <v>548</v>
      </c>
      <c r="DA7" s="756" t="s">
        <v>549</v>
      </c>
      <c r="DB7" s="756" t="s">
        <v>550</v>
      </c>
      <c r="DC7" s="756" t="s">
        <v>551</v>
      </c>
      <c r="DD7" s="756" t="s">
        <v>552</v>
      </c>
      <c r="DE7" s="756" t="s">
        <v>553</v>
      </c>
      <c r="DF7" s="756" t="s">
        <v>554</v>
      </c>
    </row>
    <row r="8" spans="1:111">
      <c r="A8" s="756" t="s">
        <v>279</v>
      </c>
      <c r="B8" s="756" t="s">
        <v>280</v>
      </c>
      <c r="C8" s="763">
        <v>2.0063242019995098</v>
      </c>
      <c r="D8" s="763">
        <v>2.0291282349893098</v>
      </c>
      <c r="E8" s="763">
        <v>2.0375396537992998</v>
      </c>
      <c r="F8" s="763">
        <v>2.0605757461988299</v>
      </c>
      <c r="G8" s="763">
        <v>2.0744916701599601</v>
      </c>
      <c r="H8" s="763">
        <v>2.0847415521764501</v>
      </c>
      <c r="I8" s="763">
        <v>2.1206428407981601</v>
      </c>
      <c r="J8" s="763">
        <v>2.1424538059801699</v>
      </c>
      <c r="K8" s="763">
        <v>2.1577760921196698</v>
      </c>
      <c r="L8" s="763">
        <v>2.18317446723852</v>
      </c>
      <c r="M8" s="763">
        <v>2.2041735816988299</v>
      </c>
      <c r="N8" s="763">
        <v>2.1895839731400302</v>
      </c>
      <c r="O8" s="763">
        <v>2.2079881141659499</v>
      </c>
      <c r="P8" s="763">
        <v>2.2276611594626199</v>
      </c>
      <c r="Q8" s="763">
        <v>2.2459850074152801</v>
      </c>
      <c r="R8" s="763">
        <v>2.2732860401443298</v>
      </c>
      <c r="S8" s="763">
        <v>2.2978325902332899</v>
      </c>
      <c r="T8" s="763">
        <v>2.3346020605495701</v>
      </c>
      <c r="U8" s="763">
        <v>2.3735276211582401</v>
      </c>
      <c r="V8" s="763">
        <v>2.3215409716883499</v>
      </c>
      <c r="W8" s="763">
        <v>2.3038226527588002</v>
      </c>
      <c r="X8" s="763">
        <v>2.3145837090650598</v>
      </c>
      <c r="Y8" s="763">
        <v>2.3339717038978098</v>
      </c>
      <c r="Z8" s="763">
        <v>2.3520758531232699</v>
      </c>
      <c r="AA8" s="763">
        <v>2.3568446385384498</v>
      </c>
      <c r="AB8" s="763">
        <v>2.3598082084575198</v>
      </c>
      <c r="AC8" s="763">
        <v>2.3676526808939902</v>
      </c>
      <c r="AD8" s="763">
        <v>2.38950697283444</v>
      </c>
      <c r="AE8" s="763">
        <v>2.4083550647675001</v>
      </c>
      <c r="AF8" s="763">
        <v>2.4444130504222099</v>
      </c>
      <c r="AG8" s="763">
        <v>2.4604640784842702</v>
      </c>
      <c r="AH8" s="763">
        <v>2.4673874511369598</v>
      </c>
      <c r="AI8" s="763">
        <v>2.4804181534887402</v>
      </c>
      <c r="AJ8" s="763">
        <v>2.4867756454644101</v>
      </c>
      <c r="AK8" s="763">
        <v>2.4979566250823502</v>
      </c>
      <c r="AL8" s="763">
        <v>2.5174388651260799</v>
      </c>
      <c r="AM8" s="763">
        <v>2.5233148246383998</v>
      </c>
      <c r="AN8" s="763">
        <v>2.5235914844993701</v>
      </c>
      <c r="AO8" s="763">
        <v>2.5384869576563101</v>
      </c>
      <c r="AP8" s="763">
        <v>2.5493165220603302</v>
      </c>
      <c r="AQ8" s="763">
        <v>2.5640878270376</v>
      </c>
      <c r="AR8" s="763">
        <v>2.5682010799061801</v>
      </c>
      <c r="AS8" s="763">
        <v>2.5745284656131302</v>
      </c>
      <c r="AT8" s="763">
        <v>2.5703540066002799</v>
      </c>
      <c r="AU8" s="763">
        <v>2.5620964089634599</v>
      </c>
      <c r="AV8" s="763">
        <v>2.5737808658450598</v>
      </c>
      <c r="AW8" s="763">
        <v>2.5763433131395899</v>
      </c>
      <c r="AX8" s="763">
        <v>2.5766992708793199</v>
      </c>
      <c r="AY8" s="763">
        <v>2.5717107318479902</v>
      </c>
      <c r="AZ8" s="763">
        <v>2.5921156618377301</v>
      </c>
      <c r="BA8" s="763">
        <v>2.6069387531606401</v>
      </c>
      <c r="BB8" s="763">
        <v>2.6253431904293598</v>
      </c>
      <c r="BC8" s="763">
        <v>2.6431101616580301</v>
      </c>
      <c r="BD8" s="763">
        <v>2.6454235385008298</v>
      </c>
      <c r="BE8" s="763">
        <v>2.6515794028402699</v>
      </c>
      <c r="BF8" s="763">
        <v>2.6730735090076099</v>
      </c>
      <c r="BG8" s="763">
        <v>2.7025845040057699</v>
      </c>
      <c r="BH8" s="763">
        <v>2.7191562543850001</v>
      </c>
      <c r="BI8" s="763">
        <v>2.7259924929413102</v>
      </c>
      <c r="BJ8" s="763">
        <v>2.73992606692231</v>
      </c>
      <c r="BK8" s="763">
        <v>2.7502945492423101</v>
      </c>
      <c r="BL8" s="763">
        <v>2.7689500101723898</v>
      </c>
      <c r="BM8" s="763">
        <v>2.7814096361355198</v>
      </c>
      <c r="BN8" s="763">
        <v>2.7939823611208201</v>
      </c>
      <c r="BO8" s="763">
        <v>2.8066571115732</v>
      </c>
      <c r="BP8" s="763">
        <v>2.789069417081</v>
      </c>
      <c r="BQ8" s="763">
        <v>2.8003358691635101</v>
      </c>
      <c r="BR8" s="763">
        <v>2.8138932593987098</v>
      </c>
      <c r="BS8" s="763">
        <v>2.8441364271136802</v>
      </c>
      <c r="BT8" s="763">
        <v>2.8773216475971899</v>
      </c>
      <c r="BU8" s="763">
        <v>2.91889734231578</v>
      </c>
      <c r="BV8" s="763">
        <v>2.9746409679231198</v>
      </c>
      <c r="BW8" s="763">
        <v>3.0357131501719299</v>
      </c>
      <c r="BX8" s="763">
        <v>3.0936413828755098</v>
      </c>
      <c r="BY8" s="763">
        <v>3.1296486651784101</v>
      </c>
      <c r="BZ8" s="763">
        <v>3.1622026276566801</v>
      </c>
      <c r="CA8" s="763">
        <v>3.1722489121908599</v>
      </c>
      <c r="CB8" s="763">
        <v>3.1732614751305199</v>
      </c>
      <c r="CC8" s="763">
        <v>3.19804134092354</v>
      </c>
      <c r="CD8" s="763">
        <v>3.22162837939393</v>
      </c>
      <c r="CE8" s="763">
        <v>3.2544930937994199</v>
      </c>
      <c r="CF8" s="763">
        <v>3.3022200302311102</v>
      </c>
      <c r="CG8" s="763">
        <v>3.3166050351231502</v>
      </c>
      <c r="CH8" s="763">
        <v>3.3368236923679002</v>
      </c>
      <c r="CI8" s="763">
        <v>3.37011065424548</v>
      </c>
      <c r="CJ8" s="763">
        <v>3.41939449308809</v>
      </c>
      <c r="CK8" s="763">
        <v>3.45067500590967</v>
      </c>
      <c r="CL8" s="763">
        <v>3.4736821386754499</v>
      </c>
      <c r="CM8" s="763">
        <v>3.49931506549617</v>
      </c>
      <c r="CN8" s="763">
        <v>3.51338511253658</v>
      </c>
      <c r="CO8" s="763">
        <v>3.5359237438715101</v>
      </c>
      <c r="CP8" s="763">
        <v>3.55894446256021</v>
      </c>
      <c r="CQ8" s="763">
        <v>3.5750398262796899</v>
      </c>
      <c r="CR8" s="763">
        <v>3.5903136808117901</v>
      </c>
      <c r="CS8" s="763">
        <v>3.6008049107670601</v>
      </c>
      <c r="CT8" s="763">
        <v>3.6183053339686699</v>
      </c>
      <c r="CU8" s="763">
        <v>3.6376951812524898</v>
      </c>
      <c r="CV8" s="763">
        <v>3.6560774959501501</v>
      </c>
      <c r="CW8" s="763">
        <v>3.67014251725467</v>
      </c>
      <c r="CX8" s="763">
        <v>3.6862303022121599</v>
      </c>
      <c r="CY8" s="763">
        <v>3.7022035803381499</v>
      </c>
      <c r="CZ8" s="763">
        <v>3.7206821665280301</v>
      </c>
      <c r="DA8" s="763">
        <v>3.7408389759534</v>
      </c>
      <c r="DB8" s="763">
        <v>3.7603426628221102</v>
      </c>
      <c r="DC8" s="763">
        <v>3.7806564682541799</v>
      </c>
      <c r="DD8" s="763">
        <v>3.8005635136687999</v>
      </c>
      <c r="DE8" s="763">
        <v>3.8228124453516701</v>
      </c>
      <c r="DF8" s="763">
        <v>3.8451437846978598</v>
      </c>
      <c r="DG8" s="763"/>
    </row>
    <row r="9" spans="1:111">
      <c r="A9" s="756" t="s">
        <v>281</v>
      </c>
      <c r="B9" s="756" t="s">
        <v>282</v>
      </c>
      <c r="C9" s="763">
        <v>2.0063242019995098</v>
      </c>
      <c r="D9" s="763">
        <v>2.0291282349893098</v>
      </c>
      <c r="E9" s="763">
        <v>2.0375396537992998</v>
      </c>
      <c r="F9" s="763">
        <v>2.0605757461988299</v>
      </c>
      <c r="G9" s="763">
        <v>2.0744916701599601</v>
      </c>
      <c r="H9" s="763">
        <v>2.0847415521764501</v>
      </c>
      <c r="I9" s="763">
        <v>2.1206428407981601</v>
      </c>
      <c r="J9" s="763">
        <v>2.1424538059801699</v>
      </c>
      <c r="K9" s="763">
        <v>2.1577760921196698</v>
      </c>
      <c r="L9" s="763">
        <v>2.18317446723852</v>
      </c>
      <c r="M9" s="763">
        <v>2.2041735816988299</v>
      </c>
      <c r="N9" s="763">
        <v>2.1895839731400302</v>
      </c>
      <c r="O9" s="763">
        <v>2.2079881141659499</v>
      </c>
      <c r="P9" s="763">
        <v>2.2276611594626199</v>
      </c>
      <c r="Q9" s="763">
        <v>2.2459850074152801</v>
      </c>
      <c r="R9" s="763">
        <v>2.2732860401443298</v>
      </c>
      <c r="S9" s="763">
        <v>2.2978325902332899</v>
      </c>
      <c r="T9" s="763">
        <v>2.3346020605495701</v>
      </c>
      <c r="U9" s="763">
        <v>2.3735276211582401</v>
      </c>
      <c r="V9" s="763">
        <v>2.3215409716883499</v>
      </c>
      <c r="W9" s="763">
        <v>2.3038226527588002</v>
      </c>
      <c r="X9" s="763">
        <v>2.3145837090650598</v>
      </c>
      <c r="Y9" s="763">
        <v>2.3339717038978098</v>
      </c>
      <c r="Z9" s="763">
        <v>2.3520758531232699</v>
      </c>
      <c r="AA9" s="763">
        <v>2.3568446385384498</v>
      </c>
      <c r="AB9" s="763">
        <v>2.3598082084575198</v>
      </c>
      <c r="AC9" s="763">
        <v>2.3676526808939902</v>
      </c>
      <c r="AD9" s="763">
        <v>2.38950697283444</v>
      </c>
      <c r="AE9" s="763">
        <v>2.4083550647675001</v>
      </c>
      <c r="AF9" s="763">
        <v>2.4444130504222099</v>
      </c>
      <c r="AG9" s="763">
        <v>2.4604640784842702</v>
      </c>
      <c r="AH9" s="763">
        <v>2.4673874511369598</v>
      </c>
      <c r="AI9" s="763">
        <v>2.4804181534887402</v>
      </c>
      <c r="AJ9" s="763">
        <v>2.4867756454644101</v>
      </c>
      <c r="AK9" s="763">
        <v>2.4979566250823502</v>
      </c>
      <c r="AL9" s="763">
        <v>2.5174388651260799</v>
      </c>
      <c r="AM9" s="763">
        <v>2.5233148246383998</v>
      </c>
      <c r="AN9" s="763">
        <v>2.5235914844993701</v>
      </c>
      <c r="AO9" s="763">
        <v>2.5384869576563101</v>
      </c>
      <c r="AP9" s="763">
        <v>2.5493165220603302</v>
      </c>
      <c r="AQ9" s="763">
        <v>2.5640878270376</v>
      </c>
      <c r="AR9" s="763">
        <v>2.5682010799061801</v>
      </c>
      <c r="AS9" s="763">
        <v>2.5745284656131302</v>
      </c>
      <c r="AT9" s="763">
        <v>2.5703540066002799</v>
      </c>
      <c r="AU9" s="763">
        <v>2.5620964089634599</v>
      </c>
      <c r="AV9" s="763">
        <v>2.5737808658450598</v>
      </c>
      <c r="AW9" s="763">
        <v>2.5763433131395899</v>
      </c>
      <c r="AX9" s="763">
        <v>2.5766992708793199</v>
      </c>
      <c r="AY9" s="763">
        <v>2.5717107318479902</v>
      </c>
      <c r="AZ9" s="763">
        <v>2.5921156618377301</v>
      </c>
      <c r="BA9" s="763">
        <v>2.6069387531606401</v>
      </c>
      <c r="BB9" s="763">
        <v>2.6253431904293598</v>
      </c>
      <c r="BC9" s="763">
        <v>2.6431101616580301</v>
      </c>
      <c r="BD9" s="763">
        <v>2.6454235385008298</v>
      </c>
      <c r="BE9" s="763">
        <v>2.6515794028402699</v>
      </c>
      <c r="BF9" s="763">
        <v>2.6730735090076099</v>
      </c>
      <c r="BG9" s="763">
        <v>2.7025845040057699</v>
      </c>
      <c r="BH9" s="763">
        <v>2.7191562543850001</v>
      </c>
      <c r="BI9" s="763">
        <v>2.7259924929413102</v>
      </c>
      <c r="BJ9" s="763">
        <v>2.73992606692231</v>
      </c>
      <c r="BK9" s="763">
        <v>2.7502945492423101</v>
      </c>
      <c r="BL9" s="763">
        <v>2.7689500101723898</v>
      </c>
      <c r="BM9" s="763">
        <v>2.7814096361355198</v>
      </c>
      <c r="BN9" s="763">
        <v>2.7939823611208201</v>
      </c>
      <c r="BO9" s="763">
        <v>2.8066571115732</v>
      </c>
      <c r="BP9" s="763">
        <v>2.789069417081</v>
      </c>
      <c r="BQ9" s="763">
        <v>2.8003358691635101</v>
      </c>
      <c r="BR9" s="763">
        <v>2.8138932593987098</v>
      </c>
      <c r="BS9" s="763">
        <v>2.8441364271136802</v>
      </c>
      <c r="BT9" s="763">
        <v>2.8773216475971899</v>
      </c>
      <c r="BU9" s="763">
        <v>2.91889734231578</v>
      </c>
      <c r="BV9" s="763">
        <v>2.9746409679231198</v>
      </c>
      <c r="BW9" s="763">
        <v>3.0357131501719299</v>
      </c>
      <c r="BX9" s="763">
        <v>3.0936413828755098</v>
      </c>
      <c r="BY9" s="763">
        <v>3.1296486651784101</v>
      </c>
      <c r="BZ9" s="763">
        <v>3.1622026276566801</v>
      </c>
      <c r="CA9" s="763">
        <v>3.1722489121908599</v>
      </c>
      <c r="CB9" s="763">
        <v>3.1732614751305199</v>
      </c>
      <c r="CC9" s="763">
        <v>3.19804134092354</v>
      </c>
      <c r="CD9" s="763">
        <v>3.22162837939393</v>
      </c>
      <c r="CE9" s="763">
        <v>3.2544930937994199</v>
      </c>
      <c r="CF9" s="763">
        <v>3.3022200302311102</v>
      </c>
      <c r="CG9" s="763">
        <v>3.3166050351231502</v>
      </c>
      <c r="CH9" s="763">
        <v>3.3368236923679002</v>
      </c>
      <c r="CI9" s="763">
        <v>3.3688295561688402</v>
      </c>
      <c r="CJ9" s="763">
        <v>3.4164282930560699</v>
      </c>
      <c r="CK9" s="763">
        <v>3.4450962826692599</v>
      </c>
      <c r="CL9" s="763">
        <v>3.4656982418569302</v>
      </c>
      <c r="CM9" s="763">
        <v>3.4893258871105699</v>
      </c>
      <c r="CN9" s="763">
        <v>3.5012608009988599</v>
      </c>
      <c r="CO9" s="763">
        <v>3.5216497885078502</v>
      </c>
      <c r="CP9" s="763">
        <v>3.5424924063985399</v>
      </c>
      <c r="CQ9" s="763">
        <v>3.5564566997386602</v>
      </c>
      <c r="CR9" s="763">
        <v>3.5694961527343798</v>
      </c>
      <c r="CS9" s="763">
        <v>3.5778296502729199</v>
      </c>
      <c r="CT9" s="763">
        <v>3.59326814397232</v>
      </c>
      <c r="CU9" s="763">
        <v>3.6106226083089101</v>
      </c>
      <c r="CV9" s="763">
        <v>3.6269728245152302</v>
      </c>
      <c r="CW9" s="763">
        <v>3.63905833590412</v>
      </c>
      <c r="CX9" s="763">
        <v>3.6529940700760402</v>
      </c>
      <c r="CY9" s="763">
        <v>3.6669504329226501</v>
      </c>
      <c r="CZ9" s="763">
        <v>3.68320445217674</v>
      </c>
      <c r="DA9" s="763">
        <v>3.7009457185407002</v>
      </c>
      <c r="DB9" s="763">
        <v>3.7178753205516601</v>
      </c>
      <c r="DC9" s="763">
        <v>3.7356257581638301</v>
      </c>
      <c r="DD9" s="763">
        <v>3.7527221934945199</v>
      </c>
      <c r="DE9" s="763">
        <v>3.77199471431567</v>
      </c>
      <c r="DF9" s="763">
        <v>3.7911728201144701</v>
      </c>
      <c r="DG9" s="763"/>
    </row>
    <row r="10" spans="1:111">
      <c r="A10" s="756" t="s">
        <v>283</v>
      </c>
      <c r="B10" s="756" t="s">
        <v>284</v>
      </c>
      <c r="C10" s="763">
        <v>2.0063242019995098</v>
      </c>
      <c r="D10" s="763">
        <v>2.0291282349893098</v>
      </c>
      <c r="E10" s="763">
        <v>2.0375396537992998</v>
      </c>
      <c r="F10" s="763">
        <v>2.0605757461988299</v>
      </c>
      <c r="G10" s="763">
        <v>2.0744916701599601</v>
      </c>
      <c r="H10" s="763">
        <v>2.0847415521764501</v>
      </c>
      <c r="I10" s="763">
        <v>2.1206428407981601</v>
      </c>
      <c r="J10" s="763">
        <v>2.1424538059801699</v>
      </c>
      <c r="K10" s="763">
        <v>2.1577760921196698</v>
      </c>
      <c r="L10" s="763">
        <v>2.18317446723852</v>
      </c>
      <c r="M10" s="763">
        <v>2.2041735816988299</v>
      </c>
      <c r="N10" s="763">
        <v>2.1895839731400302</v>
      </c>
      <c r="O10" s="763">
        <v>2.2079881141659499</v>
      </c>
      <c r="P10" s="763">
        <v>2.2276611594626199</v>
      </c>
      <c r="Q10" s="763">
        <v>2.2459850074152801</v>
      </c>
      <c r="R10" s="763">
        <v>2.2732860401443298</v>
      </c>
      <c r="S10" s="763">
        <v>2.2978325902332899</v>
      </c>
      <c r="T10" s="763">
        <v>2.3346020605495701</v>
      </c>
      <c r="U10" s="763">
        <v>2.3735276211582401</v>
      </c>
      <c r="V10" s="763">
        <v>2.3215409716883499</v>
      </c>
      <c r="W10" s="763">
        <v>2.3038226527588002</v>
      </c>
      <c r="X10" s="763">
        <v>2.3145837090650598</v>
      </c>
      <c r="Y10" s="763">
        <v>2.3339717038978098</v>
      </c>
      <c r="Z10" s="763">
        <v>2.3520758531232699</v>
      </c>
      <c r="AA10" s="763">
        <v>2.3568446385384498</v>
      </c>
      <c r="AB10" s="763">
        <v>2.3598082084575198</v>
      </c>
      <c r="AC10" s="763">
        <v>2.3676526808939902</v>
      </c>
      <c r="AD10" s="763">
        <v>2.38950697283444</v>
      </c>
      <c r="AE10" s="763">
        <v>2.4083550647675001</v>
      </c>
      <c r="AF10" s="763">
        <v>2.4444130504222099</v>
      </c>
      <c r="AG10" s="763">
        <v>2.4604640784842702</v>
      </c>
      <c r="AH10" s="763">
        <v>2.4673874511369598</v>
      </c>
      <c r="AI10" s="763">
        <v>2.4804181534887402</v>
      </c>
      <c r="AJ10" s="763">
        <v>2.4867756454644101</v>
      </c>
      <c r="AK10" s="763">
        <v>2.4979566250823502</v>
      </c>
      <c r="AL10" s="763">
        <v>2.5174388651260799</v>
      </c>
      <c r="AM10" s="763">
        <v>2.5233148246383998</v>
      </c>
      <c r="AN10" s="763">
        <v>2.5235914844993701</v>
      </c>
      <c r="AO10" s="763">
        <v>2.5384869576563101</v>
      </c>
      <c r="AP10" s="763">
        <v>2.5493165220603302</v>
      </c>
      <c r="AQ10" s="763">
        <v>2.5640878270376</v>
      </c>
      <c r="AR10" s="763">
        <v>2.5682010799061801</v>
      </c>
      <c r="AS10" s="763">
        <v>2.5745284656131302</v>
      </c>
      <c r="AT10" s="763">
        <v>2.5703540066002799</v>
      </c>
      <c r="AU10" s="763">
        <v>2.5620964089634599</v>
      </c>
      <c r="AV10" s="763">
        <v>2.5737808658450598</v>
      </c>
      <c r="AW10" s="763">
        <v>2.5763433131395899</v>
      </c>
      <c r="AX10" s="763">
        <v>2.5766992708793199</v>
      </c>
      <c r="AY10" s="763">
        <v>2.5717107318479902</v>
      </c>
      <c r="AZ10" s="763">
        <v>2.5921156618377301</v>
      </c>
      <c r="BA10" s="763">
        <v>2.6069387531606401</v>
      </c>
      <c r="BB10" s="763">
        <v>2.6253431904293598</v>
      </c>
      <c r="BC10" s="763">
        <v>2.6431101616580301</v>
      </c>
      <c r="BD10" s="763">
        <v>2.6454235385008298</v>
      </c>
      <c r="BE10" s="763">
        <v>2.6515794028402699</v>
      </c>
      <c r="BF10" s="763">
        <v>2.6730735090076099</v>
      </c>
      <c r="BG10" s="763">
        <v>2.7025845040057699</v>
      </c>
      <c r="BH10" s="763">
        <v>2.7191562543850001</v>
      </c>
      <c r="BI10" s="763">
        <v>2.7259924929413102</v>
      </c>
      <c r="BJ10" s="763">
        <v>2.73992606692231</v>
      </c>
      <c r="BK10" s="763">
        <v>2.7502945492423101</v>
      </c>
      <c r="BL10" s="763">
        <v>2.7689500101723898</v>
      </c>
      <c r="BM10" s="763">
        <v>2.7814096361355198</v>
      </c>
      <c r="BN10" s="763">
        <v>2.7939823611208201</v>
      </c>
      <c r="BO10" s="763">
        <v>2.8066571115732</v>
      </c>
      <c r="BP10" s="763">
        <v>2.789069417081</v>
      </c>
      <c r="BQ10" s="763">
        <v>2.8003358691635101</v>
      </c>
      <c r="BR10" s="763">
        <v>2.8138932593987098</v>
      </c>
      <c r="BS10" s="763">
        <v>2.8441364271136802</v>
      </c>
      <c r="BT10" s="763">
        <v>2.8773216475971899</v>
      </c>
      <c r="BU10" s="763">
        <v>2.91889734231578</v>
      </c>
      <c r="BV10" s="763">
        <v>2.9746409679231198</v>
      </c>
      <c r="BW10" s="763">
        <v>3.0357131501719299</v>
      </c>
      <c r="BX10" s="763">
        <v>3.0936413828755098</v>
      </c>
      <c r="BY10" s="763">
        <v>3.1296486651784101</v>
      </c>
      <c r="BZ10" s="763">
        <v>3.1622026276566801</v>
      </c>
      <c r="CA10" s="763">
        <v>3.1722489121908599</v>
      </c>
      <c r="CB10" s="763">
        <v>3.1732614751305199</v>
      </c>
      <c r="CC10" s="763">
        <v>3.19804134092354</v>
      </c>
      <c r="CD10" s="763">
        <v>3.22162837939393</v>
      </c>
      <c r="CE10" s="763">
        <v>3.2544930937994199</v>
      </c>
      <c r="CF10" s="763">
        <v>3.3022200302311102</v>
      </c>
      <c r="CG10" s="763">
        <v>3.3166050351231502</v>
      </c>
      <c r="CH10" s="763">
        <v>3.3368236923679002</v>
      </c>
      <c r="CI10" s="763">
        <v>3.3845254807101699</v>
      </c>
      <c r="CJ10" s="763">
        <v>3.4458102330157101</v>
      </c>
      <c r="CK10" s="763">
        <v>3.4894651234399401</v>
      </c>
      <c r="CL10" s="763">
        <v>3.5243102944062801</v>
      </c>
      <c r="CM10" s="763">
        <v>3.5612280051219698</v>
      </c>
      <c r="CN10" s="763">
        <v>3.58630088624906</v>
      </c>
      <c r="CO10" s="763">
        <v>3.62049154271884</v>
      </c>
      <c r="CP10" s="763">
        <v>3.6554721560263399</v>
      </c>
      <c r="CQ10" s="763">
        <v>3.6837697196158801</v>
      </c>
      <c r="CR10" s="763">
        <v>3.7114384668478499</v>
      </c>
      <c r="CS10" s="763">
        <v>3.7334149408642499</v>
      </c>
      <c r="CT10" s="763">
        <v>3.7627467853749001</v>
      </c>
      <c r="CU10" s="763">
        <v>3.7947762230737401</v>
      </c>
      <c r="CV10" s="763">
        <v>3.82599936768775</v>
      </c>
      <c r="CW10" s="763">
        <v>3.8529458180807699</v>
      </c>
      <c r="CX10" s="763">
        <v>3.8821483085932602</v>
      </c>
      <c r="CY10" s="763">
        <v>3.9114234581913099</v>
      </c>
      <c r="CZ10" s="763">
        <v>3.9430290804969901</v>
      </c>
      <c r="DA10" s="763">
        <v>3.9764730585702202</v>
      </c>
      <c r="DB10" s="763">
        <v>4.0093811067722704</v>
      </c>
      <c r="DC10" s="763">
        <v>4.0435445052828101</v>
      </c>
      <c r="DD10" s="763">
        <v>4.0771502566987703</v>
      </c>
      <c r="DE10" s="763">
        <v>4.1133351364971498</v>
      </c>
      <c r="DF10" s="763">
        <v>4.14990283413709</v>
      </c>
      <c r="DG10" s="763"/>
    </row>
    <row r="12" spans="1:111">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row>
    <row r="13" spans="1:111">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row>
    <row r="14" spans="1:111">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3"/>
      <c r="AK14" s="763"/>
      <c r="AL14" s="763"/>
      <c r="AM14" s="763"/>
      <c r="AN14" s="763"/>
      <c r="AO14" s="763"/>
      <c r="AP14" s="763"/>
      <c r="AQ14" s="763"/>
      <c r="AR14" s="763"/>
      <c r="AS14" s="763"/>
      <c r="AT14" s="763"/>
    </row>
    <row r="15" spans="1:111">
      <c r="C15" s="763"/>
      <c r="D15" s="763"/>
      <c r="E15" s="763"/>
      <c r="F15" s="763"/>
    </row>
    <row r="16" spans="1:111">
      <c r="C16" s="763"/>
      <c r="D16" s="763"/>
      <c r="E16" s="763"/>
      <c r="F16" s="763"/>
      <c r="CI16" s="765" t="s">
        <v>435</v>
      </c>
      <c r="CJ16" s="766"/>
      <c r="CK16" s="766"/>
      <c r="CL16" s="767" t="s">
        <v>555</v>
      </c>
      <c r="CM16" s="768"/>
      <c r="CN16" s="768"/>
      <c r="CO16" s="768"/>
      <c r="CP16" s="768"/>
      <c r="CQ16" s="768"/>
      <c r="CR16" s="766"/>
      <c r="CS16" s="766" t="s">
        <v>556</v>
      </c>
      <c r="CT16" s="766"/>
      <c r="CU16" s="1107"/>
    </row>
    <row r="17" spans="3:99">
      <c r="C17" s="763"/>
      <c r="D17" s="763"/>
      <c r="E17" s="763"/>
      <c r="F17" s="763"/>
      <c r="CI17" s="770"/>
      <c r="CJ17" s="771"/>
      <c r="CK17" s="771"/>
      <c r="CL17" s="771"/>
      <c r="CM17" s="771"/>
      <c r="CN17" s="771"/>
      <c r="CO17" s="771"/>
      <c r="CP17" s="771"/>
      <c r="CQ17" s="771"/>
      <c r="CR17" s="771"/>
      <c r="CS17" s="771"/>
      <c r="CT17" s="772"/>
      <c r="CU17" s="1107"/>
    </row>
    <row r="18" spans="3:99">
      <c r="CI18" s="773"/>
      <c r="CJ18" s="774" t="s">
        <v>285</v>
      </c>
      <c r="CK18" s="775" t="s">
        <v>422</v>
      </c>
      <c r="CL18" s="766"/>
      <c r="CM18" s="766"/>
      <c r="CN18" s="766"/>
      <c r="CO18" s="766"/>
      <c r="CP18" s="766"/>
      <c r="CQ18" s="766"/>
      <c r="CR18" s="766"/>
      <c r="CS18" s="766"/>
      <c r="CT18" s="776"/>
      <c r="CU18" s="1107"/>
    </row>
    <row r="19" spans="3:99">
      <c r="CI19" s="773"/>
      <c r="CJ19" s="766"/>
      <c r="CK19" s="756" t="s">
        <v>278</v>
      </c>
      <c r="CL19" s="777"/>
      <c r="CM19" s="777"/>
      <c r="CN19" s="777"/>
      <c r="CO19" s="766"/>
      <c r="CP19" s="766"/>
      <c r="CQ19" s="766"/>
      <c r="CR19" s="766"/>
      <c r="CS19" s="766"/>
      <c r="CT19" s="778" t="s">
        <v>286</v>
      </c>
      <c r="CU19" s="1107"/>
    </row>
    <row r="20" spans="3:99">
      <c r="CI20" s="773"/>
      <c r="CJ20" s="766"/>
      <c r="CK20" s="763">
        <f>CL8</f>
        <v>3.4736821386754499</v>
      </c>
      <c r="CL20" s="780"/>
      <c r="CM20" s="780"/>
      <c r="CN20" s="780"/>
      <c r="CO20" s="766"/>
      <c r="CP20" s="766"/>
      <c r="CQ20" s="766"/>
      <c r="CR20" s="766"/>
      <c r="CS20" s="766"/>
      <c r="CT20" s="781">
        <f>AVERAGE(CK20:CN20)</f>
        <v>3.4736821386754499</v>
      </c>
      <c r="CU20" s="1107"/>
    </row>
    <row r="21" spans="3:99">
      <c r="CI21" s="773"/>
      <c r="CJ21" s="766"/>
      <c r="CK21" s="766"/>
      <c r="CL21" s="766"/>
      <c r="CM21" s="766"/>
      <c r="CN21" s="766"/>
      <c r="CO21" s="766"/>
      <c r="CP21" s="766"/>
      <c r="CQ21" s="766"/>
      <c r="CR21" s="766"/>
      <c r="CS21" s="766"/>
      <c r="CT21" s="782"/>
      <c r="CU21" s="1107"/>
    </row>
    <row r="22" spans="3:99">
      <c r="CI22" s="1344" t="s">
        <v>287</v>
      </c>
      <c r="CJ22" s="1345"/>
      <c r="CK22" s="1345"/>
      <c r="CL22" s="766" t="s">
        <v>557</v>
      </c>
      <c r="CM22" s="766"/>
      <c r="CN22" s="766"/>
      <c r="CO22" s="766"/>
      <c r="CP22" s="766"/>
      <c r="CQ22" s="766"/>
      <c r="CR22" s="766"/>
      <c r="CS22" s="766"/>
      <c r="CT22" s="782"/>
      <c r="CU22" s="1107"/>
    </row>
    <row r="23" spans="3:99">
      <c r="CI23" s="783"/>
      <c r="CJ23" s="774"/>
      <c r="CK23" s="756" t="s">
        <v>423</v>
      </c>
      <c r="CL23" s="756" t="s">
        <v>424</v>
      </c>
      <c r="CM23" s="756" t="s">
        <v>425</v>
      </c>
      <c r="CN23" s="756" t="s">
        <v>426</v>
      </c>
      <c r="CO23" s="756" t="s">
        <v>427</v>
      </c>
      <c r="CP23" s="756" t="s">
        <v>428</v>
      </c>
      <c r="CQ23" s="756" t="s">
        <v>429</v>
      </c>
      <c r="CR23" s="756" t="s">
        <v>430</v>
      </c>
      <c r="CS23" s="766"/>
      <c r="CT23" s="782"/>
      <c r="CU23" s="1107"/>
    </row>
    <row r="24" spans="3:99">
      <c r="CI24" s="773"/>
      <c r="CJ24" s="766"/>
      <c r="CK24" s="763">
        <f>CM8</f>
        <v>3.49931506549617</v>
      </c>
      <c r="CL24" s="763">
        <f t="shared" ref="CL24:CR24" si="0">CN8</f>
        <v>3.51338511253658</v>
      </c>
      <c r="CM24" s="763">
        <f t="shared" si="0"/>
        <v>3.5359237438715101</v>
      </c>
      <c r="CN24" s="763">
        <f t="shared" si="0"/>
        <v>3.55894446256021</v>
      </c>
      <c r="CO24" s="763">
        <f t="shared" si="0"/>
        <v>3.5750398262796899</v>
      </c>
      <c r="CP24" s="763">
        <f t="shared" si="0"/>
        <v>3.5903136808117901</v>
      </c>
      <c r="CQ24" s="763">
        <f t="shared" si="0"/>
        <v>3.6008049107670601</v>
      </c>
      <c r="CR24" s="763">
        <f t="shared" si="0"/>
        <v>3.6183053339686699</v>
      </c>
      <c r="CS24" s="766"/>
      <c r="CT24" s="781">
        <f>AVERAGE(CK24:CR24)</f>
        <v>3.56150401703646</v>
      </c>
      <c r="CU24" s="1107"/>
    </row>
    <row r="25" spans="3:99">
      <c r="CI25" s="773"/>
      <c r="CJ25" s="766"/>
      <c r="CK25" s="766"/>
      <c r="CL25" s="766"/>
      <c r="CM25" s="766"/>
      <c r="CN25" s="766"/>
      <c r="CO25" s="766"/>
      <c r="CP25" s="766"/>
      <c r="CQ25" s="766"/>
      <c r="CR25" s="766"/>
      <c r="CS25" s="766"/>
      <c r="CT25" s="782"/>
      <c r="CU25" s="1107"/>
    </row>
    <row r="26" spans="3:99">
      <c r="CI26" s="773"/>
      <c r="CJ26" s="766"/>
      <c r="CK26" s="766"/>
      <c r="CL26" s="766"/>
      <c r="CM26" s="766"/>
      <c r="CN26" s="766"/>
      <c r="CO26" s="766"/>
      <c r="CP26" s="766"/>
      <c r="CQ26" s="766"/>
      <c r="CR26" s="766"/>
      <c r="CS26" s="785" t="s">
        <v>106</v>
      </c>
      <c r="CT26" s="786">
        <f>(CT24-CT20)/CT20</f>
        <v>2.5282070971092779E-2</v>
      </c>
      <c r="CU26" s="1107"/>
    </row>
    <row r="27" spans="3:99">
      <c r="CI27" s="787"/>
      <c r="CJ27" s="788"/>
      <c r="CK27" s="788"/>
      <c r="CL27" s="788"/>
      <c r="CM27" s="788"/>
      <c r="CN27" s="788"/>
      <c r="CO27" s="788"/>
      <c r="CP27" s="788"/>
      <c r="CQ27" s="788"/>
      <c r="CR27" s="788"/>
      <c r="CS27" s="788"/>
      <c r="CT27" s="789"/>
      <c r="CU27" s="1107"/>
    </row>
    <row r="28" spans="3:99">
      <c r="CI28" s="1107"/>
      <c r="CJ28" s="1107"/>
      <c r="CK28" s="1107"/>
      <c r="CL28" s="1107"/>
      <c r="CM28" s="1107"/>
      <c r="CN28" s="1107"/>
      <c r="CO28" s="1107"/>
      <c r="CP28" s="1107"/>
      <c r="CQ28" s="1107"/>
      <c r="CR28" s="1107"/>
      <c r="CS28" s="1107"/>
      <c r="CT28" s="1107"/>
      <c r="CU28" s="1107"/>
    </row>
  </sheetData>
  <mergeCells count="2">
    <mergeCell ref="A1:B1"/>
    <mergeCell ref="CI22:CK22"/>
  </mergeCells>
  <pageMargins left="0.25" right="0.25"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F283-F425-4986-B5C2-7352B55413DF}">
  <dimension ref="F5:I10"/>
  <sheetViews>
    <sheetView workbookViewId="0">
      <selection activeCell="N32" sqref="N32"/>
    </sheetView>
  </sheetViews>
  <sheetFormatPr defaultRowHeight="15"/>
  <cols>
    <col min="6" max="6" width="38.28515625" bestFit="1" customWidth="1"/>
  </cols>
  <sheetData>
    <row r="5" spans="6:9" ht="15.75" thickBot="1"/>
    <row r="6" spans="6:9">
      <c r="F6" s="1346" t="s">
        <v>562</v>
      </c>
      <c r="G6" s="1348" t="s">
        <v>563</v>
      </c>
      <c r="H6" s="1348"/>
      <c r="I6" s="1349"/>
    </row>
    <row r="7" spans="6:9">
      <c r="F7" s="1347"/>
      <c r="G7" s="1120">
        <v>44013</v>
      </c>
      <c r="H7" s="1120">
        <v>44562</v>
      </c>
      <c r="I7" s="1121" t="s">
        <v>439</v>
      </c>
    </row>
    <row r="8" spans="6:9">
      <c r="F8" s="1122" t="s">
        <v>455</v>
      </c>
      <c r="G8" s="1123">
        <v>17.920000000000002</v>
      </c>
      <c r="H8" s="1123">
        <v>18.52</v>
      </c>
      <c r="I8" s="1124">
        <v>24.52</v>
      </c>
    </row>
    <row r="9" spans="6:9">
      <c r="F9" s="1122" t="s">
        <v>457</v>
      </c>
      <c r="G9" s="1123">
        <v>6.21</v>
      </c>
      <c r="H9" s="1123">
        <v>6.35</v>
      </c>
      <c r="I9" s="1124">
        <v>7.84</v>
      </c>
    </row>
    <row r="10" spans="6:9" ht="15.75" thickBot="1">
      <c r="F10" s="996" t="s">
        <v>458</v>
      </c>
      <c r="G10" s="1125">
        <v>5.08</v>
      </c>
      <c r="H10" s="1125">
        <v>5.51</v>
      </c>
      <c r="I10" s="1126">
        <v>6.97</v>
      </c>
    </row>
  </sheetData>
  <mergeCells count="2">
    <mergeCell ref="F6:F7"/>
    <mergeCell ref="G6:I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CE7B-5B34-4955-8E6D-A6E871A68E53}">
  <dimension ref="A1:CX30"/>
  <sheetViews>
    <sheetView topLeftCell="BV8" workbookViewId="0">
      <selection activeCell="DA48" sqref="DA48"/>
    </sheetView>
  </sheetViews>
  <sheetFormatPr defaultRowHeight="12.75"/>
  <cols>
    <col min="1" max="1" width="38.42578125" style="751" customWidth="1"/>
    <col min="2" max="2" width="12.85546875" style="756" customWidth="1"/>
    <col min="3" max="82" width="7.7109375" style="751" customWidth="1"/>
    <col min="83" max="94" width="9.140625" style="751"/>
    <col min="95" max="102" width="0" style="751" hidden="1" customWidth="1"/>
    <col min="103" max="256" width="9.140625" style="751"/>
    <col min="257" max="257" width="38.42578125" style="751" customWidth="1"/>
    <col min="258" max="258" width="12.85546875" style="751" customWidth="1"/>
    <col min="259" max="338" width="7.7109375" style="751" customWidth="1"/>
    <col min="339" max="512" width="9.140625" style="751"/>
    <col min="513" max="513" width="38.42578125" style="751" customWidth="1"/>
    <col min="514" max="514" width="12.85546875" style="751" customWidth="1"/>
    <col min="515" max="594" width="7.7109375" style="751" customWidth="1"/>
    <col min="595" max="768" width="9.140625" style="751"/>
    <col min="769" max="769" width="38.42578125" style="751" customWidth="1"/>
    <col min="770" max="770" width="12.85546875" style="751" customWidth="1"/>
    <col min="771" max="850" width="7.7109375" style="751" customWidth="1"/>
    <col min="851" max="1024" width="9.140625" style="751"/>
    <col min="1025" max="1025" width="38.42578125" style="751" customWidth="1"/>
    <col min="1026" max="1026" width="12.85546875" style="751" customWidth="1"/>
    <col min="1027" max="1106" width="7.7109375" style="751" customWidth="1"/>
    <col min="1107" max="1280" width="9.140625" style="751"/>
    <col min="1281" max="1281" width="38.42578125" style="751" customWidth="1"/>
    <col min="1282" max="1282" width="12.85546875" style="751" customWidth="1"/>
    <col min="1283" max="1362" width="7.7109375" style="751" customWidth="1"/>
    <col min="1363" max="1536" width="9.140625" style="751"/>
    <col min="1537" max="1537" width="38.42578125" style="751" customWidth="1"/>
    <col min="1538" max="1538" width="12.85546875" style="751" customWidth="1"/>
    <col min="1539" max="1618" width="7.7109375" style="751" customWidth="1"/>
    <col min="1619" max="1792" width="9.140625" style="751"/>
    <col min="1793" max="1793" width="38.42578125" style="751" customWidth="1"/>
    <col min="1794" max="1794" width="12.85546875" style="751" customWidth="1"/>
    <col min="1795" max="1874" width="7.7109375" style="751" customWidth="1"/>
    <col min="1875" max="2048" width="9.140625" style="751"/>
    <col min="2049" max="2049" width="38.42578125" style="751" customWidth="1"/>
    <col min="2050" max="2050" width="12.85546875" style="751" customWidth="1"/>
    <col min="2051" max="2130" width="7.7109375" style="751" customWidth="1"/>
    <col min="2131" max="2304" width="9.140625" style="751"/>
    <col min="2305" max="2305" width="38.42578125" style="751" customWidth="1"/>
    <col min="2306" max="2306" width="12.85546875" style="751" customWidth="1"/>
    <col min="2307" max="2386" width="7.7109375" style="751" customWidth="1"/>
    <col min="2387" max="2560" width="9.140625" style="751"/>
    <col min="2561" max="2561" width="38.42578125" style="751" customWidth="1"/>
    <col min="2562" max="2562" width="12.85546875" style="751" customWidth="1"/>
    <col min="2563" max="2642" width="7.7109375" style="751" customWidth="1"/>
    <col min="2643" max="2816" width="9.140625" style="751"/>
    <col min="2817" max="2817" width="38.42578125" style="751" customWidth="1"/>
    <col min="2818" max="2818" width="12.85546875" style="751" customWidth="1"/>
    <col min="2819" max="2898" width="7.7109375" style="751" customWidth="1"/>
    <col min="2899" max="3072" width="9.140625" style="751"/>
    <col min="3073" max="3073" width="38.42578125" style="751" customWidth="1"/>
    <col min="3074" max="3074" width="12.85546875" style="751" customWidth="1"/>
    <col min="3075" max="3154" width="7.7109375" style="751" customWidth="1"/>
    <col min="3155" max="3328" width="9.140625" style="751"/>
    <col min="3329" max="3329" width="38.42578125" style="751" customWidth="1"/>
    <col min="3330" max="3330" width="12.85546875" style="751" customWidth="1"/>
    <col min="3331" max="3410" width="7.7109375" style="751" customWidth="1"/>
    <col min="3411" max="3584" width="9.140625" style="751"/>
    <col min="3585" max="3585" width="38.42578125" style="751" customWidth="1"/>
    <col min="3586" max="3586" width="12.85546875" style="751" customWidth="1"/>
    <col min="3587" max="3666" width="7.7109375" style="751" customWidth="1"/>
    <col min="3667" max="3840" width="9.140625" style="751"/>
    <col min="3841" max="3841" width="38.42578125" style="751" customWidth="1"/>
    <col min="3842" max="3842" width="12.85546875" style="751" customWidth="1"/>
    <col min="3843" max="3922" width="7.7109375" style="751" customWidth="1"/>
    <col min="3923" max="4096" width="9.140625" style="751"/>
    <col min="4097" max="4097" width="38.42578125" style="751" customWidth="1"/>
    <col min="4098" max="4098" width="12.85546875" style="751" customWidth="1"/>
    <col min="4099" max="4178" width="7.7109375" style="751" customWidth="1"/>
    <col min="4179" max="4352" width="9.140625" style="751"/>
    <col min="4353" max="4353" width="38.42578125" style="751" customWidth="1"/>
    <col min="4354" max="4354" width="12.85546875" style="751" customWidth="1"/>
    <col min="4355" max="4434" width="7.7109375" style="751" customWidth="1"/>
    <col min="4435" max="4608" width="9.140625" style="751"/>
    <col min="4609" max="4609" width="38.42578125" style="751" customWidth="1"/>
    <col min="4610" max="4610" width="12.85546875" style="751" customWidth="1"/>
    <col min="4611" max="4690" width="7.7109375" style="751" customWidth="1"/>
    <col min="4691" max="4864" width="9.140625" style="751"/>
    <col min="4865" max="4865" width="38.42578125" style="751" customWidth="1"/>
    <col min="4866" max="4866" width="12.85546875" style="751" customWidth="1"/>
    <col min="4867" max="4946" width="7.7109375" style="751" customWidth="1"/>
    <col min="4947" max="5120" width="9.140625" style="751"/>
    <col min="5121" max="5121" width="38.42578125" style="751" customWidth="1"/>
    <col min="5122" max="5122" width="12.85546875" style="751" customWidth="1"/>
    <col min="5123" max="5202" width="7.7109375" style="751" customWidth="1"/>
    <col min="5203" max="5376" width="9.140625" style="751"/>
    <col min="5377" max="5377" width="38.42578125" style="751" customWidth="1"/>
    <col min="5378" max="5378" width="12.85546875" style="751" customWidth="1"/>
    <col min="5379" max="5458" width="7.7109375" style="751" customWidth="1"/>
    <col min="5459" max="5632" width="9.140625" style="751"/>
    <col min="5633" max="5633" width="38.42578125" style="751" customWidth="1"/>
    <col min="5634" max="5634" width="12.85546875" style="751" customWidth="1"/>
    <col min="5635" max="5714" width="7.7109375" style="751" customWidth="1"/>
    <col min="5715" max="5888" width="9.140625" style="751"/>
    <col min="5889" max="5889" width="38.42578125" style="751" customWidth="1"/>
    <col min="5890" max="5890" width="12.85546875" style="751" customWidth="1"/>
    <col min="5891" max="5970" width="7.7109375" style="751" customWidth="1"/>
    <col min="5971" max="6144" width="9.140625" style="751"/>
    <col min="6145" max="6145" width="38.42578125" style="751" customWidth="1"/>
    <col min="6146" max="6146" width="12.85546875" style="751" customWidth="1"/>
    <col min="6147" max="6226" width="7.7109375" style="751" customWidth="1"/>
    <col min="6227" max="6400" width="9.140625" style="751"/>
    <col min="6401" max="6401" width="38.42578125" style="751" customWidth="1"/>
    <col min="6402" max="6402" width="12.85546875" style="751" customWidth="1"/>
    <col min="6403" max="6482" width="7.7109375" style="751" customWidth="1"/>
    <col min="6483" max="6656" width="9.140625" style="751"/>
    <col min="6657" max="6657" width="38.42578125" style="751" customWidth="1"/>
    <col min="6658" max="6658" width="12.85546875" style="751" customWidth="1"/>
    <col min="6659" max="6738" width="7.7109375" style="751" customWidth="1"/>
    <col min="6739" max="6912" width="9.140625" style="751"/>
    <col min="6913" max="6913" width="38.42578125" style="751" customWidth="1"/>
    <col min="6914" max="6914" width="12.85546875" style="751" customWidth="1"/>
    <col min="6915" max="6994" width="7.7109375" style="751" customWidth="1"/>
    <col min="6995" max="7168" width="9.140625" style="751"/>
    <col min="7169" max="7169" width="38.42578125" style="751" customWidth="1"/>
    <col min="7170" max="7170" width="12.85546875" style="751" customWidth="1"/>
    <col min="7171" max="7250" width="7.7109375" style="751" customWidth="1"/>
    <col min="7251" max="7424" width="9.140625" style="751"/>
    <col min="7425" max="7425" width="38.42578125" style="751" customWidth="1"/>
    <col min="7426" max="7426" width="12.85546875" style="751" customWidth="1"/>
    <col min="7427" max="7506" width="7.7109375" style="751" customWidth="1"/>
    <col min="7507" max="7680" width="9.140625" style="751"/>
    <col min="7681" max="7681" width="38.42578125" style="751" customWidth="1"/>
    <col min="7682" max="7682" width="12.85546875" style="751" customWidth="1"/>
    <col min="7683" max="7762" width="7.7109375" style="751" customWidth="1"/>
    <col min="7763" max="7936" width="9.140625" style="751"/>
    <col min="7937" max="7937" width="38.42578125" style="751" customWidth="1"/>
    <col min="7938" max="7938" width="12.85546875" style="751" customWidth="1"/>
    <col min="7939" max="8018" width="7.7109375" style="751" customWidth="1"/>
    <col min="8019" max="8192" width="9.140625" style="751"/>
    <col min="8193" max="8193" width="38.42578125" style="751" customWidth="1"/>
    <col min="8194" max="8194" width="12.85546875" style="751" customWidth="1"/>
    <col min="8195" max="8274" width="7.7109375" style="751" customWidth="1"/>
    <col min="8275" max="8448" width="9.140625" style="751"/>
    <col min="8449" max="8449" width="38.42578125" style="751" customWidth="1"/>
    <col min="8450" max="8450" width="12.85546875" style="751" customWidth="1"/>
    <col min="8451" max="8530" width="7.7109375" style="751" customWidth="1"/>
    <col min="8531" max="8704" width="9.140625" style="751"/>
    <col min="8705" max="8705" width="38.42578125" style="751" customWidth="1"/>
    <col min="8706" max="8706" width="12.85546875" style="751" customWidth="1"/>
    <col min="8707" max="8786" width="7.7109375" style="751" customWidth="1"/>
    <col min="8787" max="8960" width="9.140625" style="751"/>
    <col min="8961" max="8961" width="38.42578125" style="751" customWidth="1"/>
    <col min="8962" max="8962" width="12.85546875" style="751" customWidth="1"/>
    <col min="8963" max="9042" width="7.7109375" style="751" customWidth="1"/>
    <col min="9043" max="9216" width="9.140625" style="751"/>
    <col min="9217" max="9217" width="38.42578125" style="751" customWidth="1"/>
    <col min="9218" max="9218" width="12.85546875" style="751" customWidth="1"/>
    <col min="9219" max="9298" width="7.7109375" style="751" customWidth="1"/>
    <col min="9299" max="9472" width="9.140625" style="751"/>
    <col min="9473" max="9473" width="38.42578125" style="751" customWidth="1"/>
    <col min="9474" max="9474" width="12.85546875" style="751" customWidth="1"/>
    <col min="9475" max="9554" width="7.7109375" style="751" customWidth="1"/>
    <col min="9555" max="9728" width="9.140625" style="751"/>
    <col min="9729" max="9729" width="38.42578125" style="751" customWidth="1"/>
    <col min="9730" max="9730" width="12.85546875" style="751" customWidth="1"/>
    <col min="9731" max="9810" width="7.7109375" style="751" customWidth="1"/>
    <col min="9811" max="9984" width="9.140625" style="751"/>
    <col min="9985" max="9985" width="38.42578125" style="751" customWidth="1"/>
    <col min="9986" max="9986" width="12.85546875" style="751" customWidth="1"/>
    <col min="9987" max="10066" width="7.7109375" style="751" customWidth="1"/>
    <col min="10067" max="10240" width="9.140625" style="751"/>
    <col min="10241" max="10241" width="38.42578125" style="751" customWidth="1"/>
    <col min="10242" max="10242" width="12.85546875" style="751" customWidth="1"/>
    <col min="10243" max="10322" width="7.7109375" style="751" customWidth="1"/>
    <col min="10323" max="10496" width="9.140625" style="751"/>
    <col min="10497" max="10497" width="38.42578125" style="751" customWidth="1"/>
    <col min="10498" max="10498" width="12.85546875" style="751" customWidth="1"/>
    <col min="10499" max="10578" width="7.7109375" style="751" customWidth="1"/>
    <col min="10579" max="10752" width="9.140625" style="751"/>
    <col min="10753" max="10753" width="38.42578125" style="751" customWidth="1"/>
    <col min="10754" max="10754" width="12.85546875" style="751" customWidth="1"/>
    <col min="10755" max="10834" width="7.7109375" style="751" customWidth="1"/>
    <col min="10835" max="11008" width="9.140625" style="751"/>
    <col min="11009" max="11009" width="38.42578125" style="751" customWidth="1"/>
    <col min="11010" max="11010" width="12.85546875" style="751" customWidth="1"/>
    <col min="11011" max="11090" width="7.7109375" style="751" customWidth="1"/>
    <col min="11091" max="11264" width="9.140625" style="751"/>
    <col min="11265" max="11265" width="38.42578125" style="751" customWidth="1"/>
    <col min="11266" max="11266" width="12.85546875" style="751" customWidth="1"/>
    <col min="11267" max="11346" width="7.7109375" style="751" customWidth="1"/>
    <col min="11347" max="11520" width="9.140625" style="751"/>
    <col min="11521" max="11521" width="38.42578125" style="751" customWidth="1"/>
    <col min="11522" max="11522" width="12.85546875" style="751" customWidth="1"/>
    <col min="11523" max="11602" width="7.7109375" style="751" customWidth="1"/>
    <col min="11603" max="11776" width="9.140625" style="751"/>
    <col min="11777" max="11777" width="38.42578125" style="751" customWidth="1"/>
    <col min="11778" max="11778" width="12.85546875" style="751" customWidth="1"/>
    <col min="11779" max="11858" width="7.7109375" style="751" customWidth="1"/>
    <col min="11859" max="12032" width="9.140625" style="751"/>
    <col min="12033" max="12033" width="38.42578125" style="751" customWidth="1"/>
    <col min="12034" max="12034" width="12.85546875" style="751" customWidth="1"/>
    <col min="12035" max="12114" width="7.7109375" style="751" customWidth="1"/>
    <col min="12115" max="12288" width="9.140625" style="751"/>
    <col min="12289" max="12289" width="38.42578125" style="751" customWidth="1"/>
    <col min="12290" max="12290" width="12.85546875" style="751" customWidth="1"/>
    <col min="12291" max="12370" width="7.7109375" style="751" customWidth="1"/>
    <col min="12371" max="12544" width="9.140625" style="751"/>
    <col min="12545" max="12545" width="38.42578125" style="751" customWidth="1"/>
    <col min="12546" max="12546" width="12.85546875" style="751" customWidth="1"/>
    <col min="12547" max="12626" width="7.7109375" style="751" customWidth="1"/>
    <col min="12627" max="12800" width="9.140625" style="751"/>
    <col min="12801" max="12801" width="38.42578125" style="751" customWidth="1"/>
    <col min="12802" max="12802" width="12.85546875" style="751" customWidth="1"/>
    <col min="12803" max="12882" width="7.7109375" style="751" customWidth="1"/>
    <col min="12883" max="13056" width="9.140625" style="751"/>
    <col min="13057" max="13057" width="38.42578125" style="751" customWidth="1"/>
    <col min="13058" max="13058" width="12.85546875" style="751" customWidth="1"/>
    <col min="13059" max="13138" width="7.7109375" style="751" customWidth="1"/>
    <col min="13139" max="13312" width="9.140625" style="751"/>
    <col min="13313" max="13313" width="38.42578125" style="751" customWidth="1"/>
    <col min="13314" max="13314" width="12.85546875" style="751" customWidth="1"/>
    <col min="13315" max="13394" width="7.7109375" style="751" customWidth="1"/>
    <col min="13395" max="13568" width="9.140625" style="751"/>
    <col min="13569" max="13569" width="38.42578125" style="751" customWidth="1"/>
    <col min="13570" max="13570" width="12.85546875" style="751" customWidth="1"/>
    <col min="13571" max="13650" width="7.7109375" style="751" customWidth="1"/>
    <col min="13651" max="13824" width="9.140625" style="751"/>
    <col min="13825" max="13825" width="38.42578125" style="751" customWidth="1"/>
    <col min="13826" max="13826" width="12.85546875" style="751" customWidth="1"/>
    <col min="13827" max="13906" width="7.7109375" style="751" customWidth="1"/>
    <col min="13907" max="14080" width="9.140625" style="751"/>
    <col min="14081" max="14081" width="38.42578125" style="751" customWidth="1"/>
    <col min="14082" max="14082" width="12.85546875" style="751" customWidth="1"/>
    <col min="14083" max="14162" width="7.7109375" style="751" customWidth="1"/>
    <col min="14163" max="14336" width="9.140625" style="751"/>
    <col min="14337" max="14337" width="38.42578125" style="751" customWidth="1"/>
    <col min="14338" max="14338" width="12.85546875" style="751" customWidth="1"/>
    <col min="14339" max="14418" width="7.7109375" style="751" customWidth="1"/>
    <col min="14419" max="14592" width="9.140625" style="751"/>
    <col min="14593" max="14593" width="38.42578125" style="751" customWidth="1"/>
    <col min="14594" max="14594" width="12.85546875" style="751" customWidth="1"/>
    <col min="14595" max="14674" width="7.7109375" style="751" customWidth="1"/>
    <col min="14675" max="14848" width="9.140625" style="751"/>
    <col min="14849" max="14849" width="38.42578125" style="751" customWidth="1"/>
    <col min="14850" max="14850" width="12.85546875" style="751" customWidth="1"/>
    <col min="14851" max="14930" width="7.7109375" style="751" customWidth="1"/>
    <col min="14931" max="15104" width="9.140625" style="751"/>
    <col min="15105" max="15105" width="38.42578125" style="751" customWidth="1"/>
    <col min="15106" max="15106" width="12.85546875" style="751" customWidth="1"/>
    <col min="15107" max="15186" width="7.7109375" style="751" customWidth="1"/>
    <col min="15187" max="15360" width="9.140625" style="751"/>
    <col min="15361" max="15361" width="38.42578125" style="751" customWidth="1"/>
    <col min="15362" max="15362" width="12.85546875" style="751" customWidth="1"/>
    <col min="15363" max="15442" width="7.7109375" style="751" customWidth="1"/>
    <col min="15443" max="15616" width="9.140625" style="751"/>
    <col min="15617" max="15617" width="38.42578125" style="751" customWidth="1"/>
    <col min="15618" max="15618" width="12.85546875" style="751" customWidth="1"/>
    <col min="15619" max="15698" width="7.7109375" style="751" customWidth="1"/>
    <col min="15699" max="15872" width="9.140625" style="751"/>
    <col min="15873" max="15873" width="38.42578125" style="751" customWidth="1"/>
    <col min="15874" max="15874" width="12.85546875" style="751" customWidth="1"/>
    <col min="15875" max="15954" width="7.7109375" style="751" customWidth="1"/>
    <col min="15955" max="16128" width="9.140625" style="751"/>
    <col min="16129" max="16129" width="38.42578125" style="751" customWidth="1"/>
    <col min="16130" max="16130" width="12.85546875" style="751" customWidth="1"/>
    <col min="16131" max="16210" width="7.7109375" style="751" customWidth="1"/>
    <col min="16211" max="16384" width="9.140625" style="751"/>
  </cols>
  <sheetData>
    <row r="1" spans="1:102" ht="18">
      <c r="A1" s="1342" t="s">
        <v>185</v>
      </c>
      <c r="B1" s="1343"/>
    </row>
    <row r="2" spans="1:102" ht="15.75">
      <c r="A2" s="752" t="s">
        <v>420</v>
      </c>
      <c r="B2" s="753"/>
    </row>
    <row r="3" spans="1:102" ht="15.75" thickBot="1">
      <c r="A3" s="754" t="s">
        <v>186</v>
      </c>
      <c r="B3" s="755"/>
    </row>
    <row r="6" spans="1:102">
      <c r="BQ6" s="757" t="s">
        <v>187</v>
      </c>
      <c r="BR6" s="757"/>
      <c r="BS6" s="757"/>
      <c r="BT6" s="757"/>
      <c r="BU6" s="757"/>
      <c r="BV6" s="757"/>
      <c r="BW6" s="757"/>
      <c r="BX6" s="757"/>
      <c r="BY6" s="758" t="s">
        <v>188</v>
      </c>
      <c r="BZ6" s="758" t="s">
        <v>188</v>
      </c>
      <c r="CA6" s="758" t="s">
        <v>188</v>
      </c>
      <c r="CB6" s="758" t="s">
        <v>188</v>
      </c>
      <c r="CC6" s="759" t="s">
        <v>189</v>
      </c>
      <c r="CD6" s="759" t="s">
        <v>189</v>
      </c>
      <c r="CE6" s="759" t="s">
        <v>189</v>
      </c>
      <c r="CF6" s="759" t="s">
        <v>189</v>
      </c>
      <c r="CG6" s="760" t="s">
        <v>421</v>
      </c>
      <c r="CH6" s="760" t="s">
        <v>421</v>
      </c>
      <c r="CI6" s="760" t="s">
        <v>421</v>
      </c>
      <c r="CJ6" s="760" t="s">
        <v>421</v>
      </c>
      <c r="CK6" s="761" t="s">
        <v>422</v>
      </c>
      <c r="CL6" s="761" t="s">
        <v>422</v>
      </c>
      <c r="CM6" s="761" t="s">
        <v>422</v>
      </c>
      <c r="CN6" s="761" t="s">
        <v>422</v>
      </c>
    </row>
    <row r="7" spans="1:102" s="756" customFormat="1">
      <c r="B7" s="756" t="s">
        <v>190</v>
      </c>
      <c r="C7" s="762" t="s">
        <v>191</v>
      </c>
      <c r="D7" s="762" t="s">
        <v>192</v>
      </c>
      <c r="E7" s="762" t="s">
        <v>193</v>
      </c>
      <c r="F7" s="762" t="s">
        <v>194</v>
      </c>
      <c r="G7" s="762" t="s">
        <v>195</v>
      </c>
      <c r="H7" s="762" t="s">
        <v>196</v>
      </c>
      <c r="I7" s="762" t="s">
        <v>197</v>
      </c>
      <c r="J7" s="762" t="s">
        <v>198</v>
      </c>
      <c r="K7" s="762" t="s">
        <v>199</v>
      </c>
      <c r="L7" s="762" t="s">
        <v>200</v>
      </c>
      <c r="M7" s="762" t="s">
        <v>201</v>
      </c>
      <c r="N7" s="762" t="s">
        <v>202</v>
      </c>
      <c r="O7" s="762" t="s">
        <v>203</v>
      </c>
      <c r="P7" s="762" t="s">
        <v>204</v>
      </c>
      <c r="Q7" s="762" t="s">
        <v>205</v>
      </c>
      <c r="R7" s="762" t="s">
        <v>206</v>
      </c>
      <c r="S7" s="762" t="s">
        <v>207</v>
      </c>
      <c r="T7" s="762" t="s">
        <v>208</v>
      </c>
      <c r="U7" s="762" t="s">
        <v>209</v>
      </c>
      <c r="V7" s="762" t="s">
        <v>210</v>
      </c>
      <c r="W7" s="762" t="s">
        <v>211</v>
      </c>
      <c r="X7" s="762" t="s">
        <v>212</v>
      </c>
      <c r="Y7" s="762" t="s">
        <v>213</v>
      </c>
      <c r="Z7" s="762" t="s">
        <v>214</v>
      </c>
      <c r="AA7" s="762" t="s">
        <v>215</v>
      </c>
      <c r="AB7" s="762" t="s">
        <v>216</v>
      </c>
      <c r="AC7" s="762" t="s">
        <v>217</v>
      </c>
      <c r="AD7" s="762" t="s">
        <v>218</v>
      </c>
      <c r="AE7" s="762" t="s">
        <v>219</v>
      </c>
      <c r="AF7" s="762" t="s">
        <v>220</v>
      </c>
      <c r="AG7" s="762" t="s">
        <v>221</v>
      </c>
      <c r="AH7" s="762" t="s">
        <v>222</v>
      </c>
      <c r="AI7" s="762" t="s">
        <v>223</v>
      </c>
      <c r="AJ7" s="762" t="s">
        <v>224</v>
      </c>
      <c r="AK7" s="762" t="s">
        <v>225</v>
      </c>
      <c r="AL7" s="762" t="s">
        <v>226</v>
      </c>
      <c r="AM7" s="762" t="s">
        <v>227</v>
      </c>
      <c r="AN7" s="762" t="s">
        <v>228</v>
      </c>
      <c r="AO7" s="762" t="s">
        <v>229</v>
      </c>
      <c r="AP7" s="762" t="s">
        <v>230</v>
      </c>
      <c r="AQ7" s="762" t="s">
        <v>231</v>
      </c>
      <c r="AR7" s="762" t="s">
        <v>232</v>
      </c>
      <c r="AS7" s="762" t="s">
        <v>233</v>
      </c>
      <c r="AT7" s="762" t="s">
        <v>234</v>
      </c>
      <c r="AU7" s="756" t="s">
        <v>235</v>
      </c>
      <c r="AV7" s="756" t="s">
        <v>236</v>
      </c>
      <c r="AW7" s="756" t="s">
        <v>237</v>
      </c>
      <c r="AX7" s="756" t="s">
        <v>238</v>
      </c>
      <c r="AY7" s="756" t="s">
        <v>239</v>
      </c>
      <c r="AZ7" s="756" t="s">
        <v>240</v>
      </c>
      <c r="BA7" s="756" t="s">
        <v>241</v>
      </c>
      <c r="BB7" s="756" t="s">
        <v>242</v>
      </c>
      <c r="BC7" s="756" t="s">
        <v>243</v>
      </c>
      <c r="BD7" s="756" t="s">
        <v>244</v>
      </c>
      <c r="BE7" s="756" t="s">
        <v>245</v>
      </c>
      <c r="BF7" s="756" t="s">
        <v>246</v>
      </c>
      <c r="BG7" s="756" t="s">
        <v>247</v>
      </c>
      <c r="BH7" s="756" t="s">
        <v>248</v>
      </c>
      <c r="BI7" s="756" t="s">
        <v>249</v>
      </c>
      <c r="BJ7" s="756" t="s">
        <v>250</v>
      </c>
      <c r="BK7" s="756" t="s">
        <v>251</v>
      </c>
      <c r="BL7" s="756" t="s">
        <v>252</v>
      </c>
      <c r="BM7" s="756" t="s">
        <v>253</v>
      </c>
      <c r="BN7" s="756" t="s">
        <v>254</v>
      </c>
      <c r="BO7" s="756" t="s">
        <v>255</v>
      </c>
      <c r="BP7" s="756" t="s">
        <v>256</v>
      </c>
      <c r="BQ7" s="756" t="s">
        <v>257</v>
      </c>
      <c r="BR7" s="756" t="s">
        <v>258</v>
      </c>
      <c r="BS7" s="756" t="s">
        <v>259</v>
      </c>
      <c r="BT7" s="756" t="s">
        <v>260</v>
      </c>
      <c r="BU7" s="756" t="s">
        <v>261</v>
      </c>
      <c r="BV7" s="756" t="s">
        <v>262</v>
      </c>
      <c r="BW7" s="756" t="s">
        <v>263</v>
      </c>
      <c r="BX7" s="756" t="s">
        <v>264</v>
      </c>
      <c r="BY7" s="756" t="s">
        <v>265</v>
      </c>
      <c r="BZ7" s="756" t="s">
        <v>266</v>
      </c>
      <c r="CA7" s="756" t="s">
        <v>267</v>
      </c>
      <c r="CB7" s="756" t="s">
        <v>268</v>
      </c>
      <c r="CC7" s="756" t="s">
        <v>269</v>
      </c>
      <c r="CD7" s="756" t="s">
        <v>270</v>
      </c>
      <c r="CE7" s="756" t="s">
        <v>271</v>
      </c>
      <c r="CF7" s="756" t="s">
        <v>272</v>
      </c>
      <c r="CG7" s="756" t="s">
        <v>273</v>
      </c>
      <c r="CH7" s="756" t="s">
        <v>274</v>
      </c>
      <c r="CI7" s="756" t="s">
        <v>275</v>
      </c>
      <c r="CJ7" s="756" t="s">
        <v>276</v>
      </c>
      <c r="CK7" s="756" t="s">
        <v>277</v>
      </c>
      <c r="CL7" s="756" t="s">
        <v>278</v>
      </c>
      <c r="CM7" s="756" t="s">
        <v>423</v>
      </c>
      <c r="CN7" s="756" t="s">
        <v>424</v>
      </c>
      <c r="CO7" s="756" t="s">
        <v>425</v>
      </c>
      <c r="CP7" s="756" t="s">
        <v>426</v>
      </c>
      <c r="CQ7" s="756" t="s">
        <v>427</v>
      </c>
      <c r="CR7" s="756" t="s">
        <v>428</v>
      </c>
      <c r="CS7" s="756" t="s">
        <v>429</v>
      </c>
      <c r="CT7" s="756" t="s">
        <v>430</v>
      </c>
      <c r="CU7" s="756" t="s">
        <v>431</v>
      </c>
      <c r="CV7" s="756" t="s">
        <v>432</v>
      </c>
      <c r="CW7" s="756" t="s">
        <v>433</v>
      </c>
      <c r="CX7" s="756" t="s">
        <v>434</v>
      </c>
    </row>
    <row r="8" spans="1:102">
      <c r="A8" s="756" t="s">
        <v>279</v>
      </c>
      <c r="B8" s="756" t="s">
        <v>280</v>
      </c>
      <c r="C8" s="763">
        <v>2.0050112051495002</v>
      </c>
      <c r="D8" s="763">
        <v>2.0276241163363098</v>
      </c>
      <c r="E8" s="763">
        <v>2.0363460391917001</v>
      </c>
      <c r="F8" s="763">
        <v>2.0596415110589001</v>
      </c>
      <c r="G8" s="763">
        <v>2.0733294705676499</v>
      </c>
      <c r="H8" s="763">
        <v>2.0835292799709602</v>
      </c>
      <c r="I8" s="763">
        <v>2.1195041887439401</v>
      </c>
      <c r="J8" s="763">
        <v>2.1415481300828598</v>
      </c>
      <c r="K8" s="763">
        <v>2.1562703287960399</v>
      </c>
      <c r="L8" s="763">
        <v>2.1819748269408099</v>
      </c>
      <c r="M8" s="763">
        <v>2.2029036076995201</v>
      </c>
      <c r="N8" s="763">
        <v>2.1887625047097399</v>
      </c>
      <c r="O8" s="763">
        <v>2.2060843099596301</v>
      </c>
      <c r="P8" s="763">
        <v>2.2265958098971699</v>
      </c>
      <c r="Q8" s="763">
        <v>2.2446322955459399</v>
      </c>
      <c r="R8" s="763">
        <v>2.2722619420728098</v>
      </c>
      <c r="S8" s="763">
        <v>2.2956075162666898</v>
      </c>
      <c r="T8" s="763">
        <v>2.33325183151159</v>
      </c>
      <c r="U8" s="763">
        <v>2.37203530343487</v>
      </c>
      <c r="V8" s="763">
        <v>2.3206542043126999</v>
      </c>
      <c r="W8" s="763">
        <v>2.30200743794274</v>
      </c>
      <c r="X8" s="763">
        <v>2.3133154897554</v>
      </c>
      <c r="Y8" s="763">
        <v>2.3324316109679</v>
      </c>
      <c r="Z8" s="763">
        <v>2.3514838560921301</v>
      </c>
      <c r="AA8" s="763">
        <v>2.35519698431525</v>
      </c>
      <c r="AB8" s="763">
        <v>2.3583040416960399</v>
      </c>
      <c r="AC8" s="763">
        <v>2.3659233658671601</v>
      </c>
      <c r="AD8" s="763">
        <v>2.3887196326128302</v>
      </c>
      <c r="AE8" s="763">
        <v>2.4062061518870501</v>
      </c>
      <c r="AF8" s="763">
        <v>2.44252591544041</v>
      </c>
      <c r="AG8" s="763">
        <v>2.4591685909552199</v>
      </c>
      <c r="AH8" s="763">
        <v>2.4668379437269699</v>
      </c>
      <c r="AI8" s="763">
        <v>2.4785145451270099</v>
      </c>
      <c r="AJ8" s="763">
        <v>2.4851120001921498</v>
      </c>
      <c r="AK8" s="763">
        <v>2.4964929133262999</v>
      </c>
      <c r="AL8" s="763">
        <v>2.5166188182623199</v>
      </c>
      <c r="AM8" s="763">
        <v>2.5215576130559998</v>
      </c>
      <c r="AN8" s="763">
        <v>2.52180857683138</v>
      </c>
      <c r="AO8" s="763">
        <v>2.53710244272522</v>
      </c>
      <c r="AP8" s="763">
        <v>2.54811207866496</v>
      </c>
      <c r="AQ8" s="763">
        <v>2.5620432753712001</v>
      </c>
      <c r="AR8" s="763">
        <v>2.5663852378941701</v>
      </c>
      <c r="AS8" s="763">
        <v>2.5733594694754802</v>
      </c>
      <c r="AT8" s="763">
        <v>2.5692521315192698</v>
      </c>
      <c r="AU8" s="763">
        <v>2.56015489993815</v>
      </c>
      <c r="AV8" s="763">
        <v>2.5720252475700498</v>
      </c>
      <c r="AW8" s="763">
        <v>2.5752492149967199</v>
      </c>
      <c r="AX8" s="763">
        <v>2.5757251437181501</v>
      </c>
      <c r="AY8" s="763">
        <v>2.5700308525139999</v>
      </c>
      <c r="AZ8" s="763">
        <v>2.5905788087957</v>
      </c>
      <c r="BA8" s="763">
        <v>2.60565815313538</v>
      </c>
      <c r="BB8" s="763">
        <v>2.62434040849209</v>
      </c>
      <c r="BC8" s="763">
        <v>2.6416721951751398</v>
      </c>
      <c r="BD8" s="763">
        <v>2.6438856664204402</v>
      </c>
      <c r="BE8" s="763">
        <v>2.6501699197236599</v>
      </c>
      <c r="BF8" s="763">
        <v>2.671878963438</v>
      </c>
      <c r="BG8" s="763">
        <v>2.6993222171317699</v>
      </c>
      <c r="BH8" s="763">
        <v>2.71620981134443</v>
      </c>
      <c r="BI8" s="763">
        <v>2.7288288811600601</v>
      </c>
      <c r="BJ8" s="763">
        <v>2.7428099299867101</v>
      </c>
      <c r="BK8" s="763">
        <v>2.7489205839767799</v>
      </c>
      <c r="BL8" s="763">
        <v>2.7670705452261899</v>
      </c>
      <c r="BM8" s="763">
        <v>2.7828865026935201</v>
      </c>
      <c r="BN8" s="763">
        <v>2.7968085391111699</v>
      </c>
      <c r="BO8" s="763">
        <v>2.8054288346603502</v>
      </c>
      <c r="BP8" s="763">
        <v>2.7884180402680299</v>
      </c>
      <c r="BQ8" s="763">
        <v>2.7998641580951702</v>
      </c>
      <c r="BR8" s="763">
        <v>2.8171474270444001</v>
      </c>
      <c r="BS8" s="763">
        <v>2.8438349396178499</v>
      </c>
      <c r="BT8" s="763">
        <v>2.8752551433225602</v>
      </c>
      <c r="BU8" s="763">
        <v>2.9161903655505799</v>
      </c>
      <c r="BV8" s="763">
        <v>2.9803358353475899</v>
      </c>
      <c r="BW8" s="763">
        <v>3.0354748219846401</v>
      </c>
      <c r="BX8" s="763">
        <v>3.0879962927626701</v>
      </c>
      <c r="BY8" s="763">
        <v>3.1288947779563401</v>
      </c>
      <c r="BZ8" s="763">
        <v>3.1689521453255201</v>
      </c>
      <c r="CA8" s="763">
        <v>3.1980340707348902</v>
      </c>
      <c r="CB8" s="763">
        <v>3.22990450581444</v>
      </c>
      <c r="CC8" s="763">
        <v>3.26075269913281</v>
      </c>
      <c r="CD8" s="763">
        <v>3.2907631968455</v>
      </c>
      <c r="CE8" s="763">
        <v>3.3125596296297699</v>
      </c>
      <c r="CF8" s="763">
        <v>3.3297133036565598</v>
      </c>
      <c r="CG8" s="763">
        <v>3.3554073265633502</v>
      </c>
      <c r="CH8" s="763">
        <v>3.3788405050657802</v>
      </c>
      <c r="CI8" s="763">
        <v>3.39938295780372</v>
      </c>
      <c r="CJ8" s="763">
        <v>3.4175790025706099</v>
      </c>
      <c r="CK8" s="763">
        <v>3.4369701606410201</v>
      </c>
      <c r="CL8" s="763">
        <v>3.4575802979927102</v>
      </c>
      <c r="CM8" s="763">
        <v>3.4771120398923698</v>
      </c>
      <c r="CN8" s="763">
        <v>3.4951231605612301</v>
      </c>
      <c r="CO8" s="763">
        <v>3.5145794338558001</v>
      </c>
      <c r="CP8" s="763">
        <v>3.5352713487487901</v>
      </c>
      <c r="CQ8" s="763">
        <v>3.5556929148674201</v>
      </c>
      <c r="CR8" s="763">
        <v>3.5758520413646999</v>
      </c>
      <c r="CS8" s="763">
        <v>3.5965497565748001</v>
      </c>
      <c r="CT8" s="763">
        <v>3.6172456101849302</v>
      </c>
      <c r="CU8" s="763">
        <v>3.6362786933062998</v>
      </c>
      <c r="CV8" s="763">
        <v>3.65538542992266</v>
      </c>
      <c r="CW8" s="763">
        <v>3.6753840732010601</v>
      </c>
      <c r="CX8" s="763">
        <v>3.6948614603658299</v>
      </c>
    </row>
    <row r="9" spans="1:102">
      <c r="A9" s="756" t="s">
        <v>281</v>
      </c>
      <c r="B9" s="756" t="s">
        <v>282</v>
      </c>
      <c r="C9" s="763">
        <v>2.0050112051495002</v>
      </c>
      <c r="D9" s="763">
        <v>2.0276241163363098</v>
      </c>
      <c r="E9" s="763">
        <v>2.0363460391917001</v>
      </c>
      <c r="F9" s="763">
        <v>2.0596415110589001</v>
      </c>
      <c r="G9" s="763">
        <v>2.0733294705676499</v>
      </c>
      <c r="H9" s="763">
        <v>2.0835292799709602</v>
      </c>
      <c r="I9" s="763">
        <v>2.1195041887439401</v>
      </c>
      <c r="J9" s="763">
        <v>2.1415481300828598</v>
      </c>
      <c r="K9" s="763">
        <v>2.1562703287960399</v>
      </c>
      <c r="L9" s="763">
        <v>2.1819748269408099</v>
      </c>
      <c r="M9" s="763">
        <v>2.2029036076995201</v>
      </c>
      <c r="N9" s="763">
        <v>2.1887625047097399</v>
      </c>
      <c r="O9" s="763">
        <v>2.2060843099596301</v>
      </c>
      <c r="P9" s="763">
        <v>2.2265958098971699</v>
      </c>
      <c r="Q9" s="763">
        <v>2.2446322955459399</v>
      </c>
      <c r="R9" s="763">
        <v>2.2722619420728098</v>
      </c>
      <c r="S9" s="763">
        <v>2.2956075162666898</v>
      </c>
      <c r="T9" s="763">
        <v>2.33325183151159</v>
      </c>
      <c r="U9" s="763">
        <v>2.37203530343487</v>
      </c>
      <c r="V9" s="763">
        <v>2.3206542043126999</v>
      </c>
      <c r="W9" s="763">
        <v>2.30200743794274</v>
      </c>
      <c r="X9" s="763">
        <v>2.3133154897554</v>
      </c>
      <c r="Y9" s="763">
        <v>2.3324316109679</v>
      </c>
      <c r="Z9" s="763">
        <v>2.3514838560921301</v>
      </c>
      <c r="AA9" s="763">
        <v>2.35519698431525</v>
      </c>
      <c r="AB9" s="763">
        <v>2.3583040416960399</v>
      </c>
      <c r="AC9" s="763">
        <v>2.3659233658671601</v>
      </c>
      <c r="AD9" s="763">
        <v>2.3887196326128302</v>
      </c>
      <c r="AE9" s="763">
        <v>2.4062061518870501</v>
      </c>
      <c r="AF9" s="763">
        <v>2.44252591544041</v>
      </c>
      <c r="AG9" s="763">
        <v>2.4591685909552199</v>
      </c>
      <c r="AH9" s="763">
        <v>2.4668379437269699</v>
      </c>
      <c r="AI9" s="763">
        <v>2.4785145451270099</v>
      </c>
      <c r="AJ9" s="763">
        <v>2.4851120001921498</v>
      </c>
      <c r="AK9" s="763">
        <v>2.4964929133262999</v>
      </c>
      <c r="AL9" s="763">
        <v>2.5166188182623199</v>
      </c>
      <c r="AM9" s="763">
        <v>2.5215576130559998</v>
      </c>
      <c r="AN9" s="763">
        <v>2.52180857683138</v>
      </c>
      <c r="AO9" s="763">
        <v>2.53710244272522</v>
      </c>
      <c r="AP9" s="763">
        <v>2.54811207866496</v>
      </c>
      <c r="AQ9" s="763">
        <v>2.5620432753712001</v>
      </c>
      <c r="AR9" s="763">
        <v>2.5663852378941701</v>
      </c>
      <c r="AS9" s="763">
        <v>2.5733594694754802</v>
      </c>
      <c r="AT9" s="763">
        <v>2.5692521315192698</v>
      </c>
      <c r="AU9" s="763">
        <v>2.56015489993815</v>
      </c>
      <c r="AV9" s="763">
        <v>2.5720252475700498</v>
      </c>
      <c r="AW9" s="763">
        <v>2.5752492149967199</v>
      </c>
      <c r="AX9" s="763">
        <v>2.5757251437181501</v>
      </c>
      <c r="AY9" s="763">
        <v>2.5700308525139999</v>
      </c>
      <c r="AZ9" s="763">
        <v>2.5905788087957</v>
      </c>
      <c r="BA9" s="763">
        <v>2.60565815313538</v>
      </c>
      <c r="BB9" s="763">
        <v>2.62434040849209</v>
      </c>
      <c r="BC9" s="763">
        <v>2.6416721951751398</v>
      </c>
      <c r="BD9" s="763">
        <v>2.6438856664204402</v>
      </c>
      <c r="BE9" s="763">
        <v>2.6501699197236599</v>
      </c>
      <c r="BF9" s="763">
        <v>2.671878963438</v>
      </c>
      <c r="BG9" s="763">
        <v>2.6993222171317699</v>
      </c>
      <c r="BH9" s="763">
        <v>2.71620981134443</v>
      </c>
      <c r="BI9" s="763">
        <v>2.7288288811600601</v>
      </c>
      <c r="BJ9" s="763">
        <v>2.7428099299867101</v>
      </c>
      <c r="BK9" s="763">
        <v>2.7489205839767799</v>
      </c>
      <c r="BL9" s="763">
        <v>2.7670705452261899</v>
      </c>
      <c r="BM9" s="763">
        <v>2.7828865026935201</v>
      </c>
      <c r="BN9" s="763">
        <v>2.7968085391111699</v>
      </c>
      <c r="BO9" s="763">
        <v>2.8054288346603502</v>
      </c>
      <c r="BP9" s="763">
        <v>2.7884180402680299</v>
      </c>
      <c r="BQ9" s="763">
        <v>2.7998641580951702</v>
      </c>
      <c r="BR9" s="763">
        <v>2.8171474270444001</v>
      </c>
      <c r="BS9" s="763">
        <v>2.8438349396178499</v>
      </c>
      <c r="BT9" s="763">
        <v>2.8752551433225602</v>
      </c>
      <c r="BU9" s="763">
        <v>2.9161903655505799</v>
      </c>
      <c r="BV9" s="763">
        <v>2.9803358353475899</v>
      </c>
      <c r="BW9" s="763">
        <v>3.0354748219846401</v>
      </c>
      <c r="BX9" s="763">
        <v>3.0879962927626701</v>
      </c>
      <c r="BY9" s="763">
        <v>3.1288947779563401</v>
      </c>
      <c r="BZ9" s="763">
        <v>3.1689521453255201</v>
      </c>
      <c r="CA9" s="763">
        <v>3.1925229599317202</v>
      </c>
      <c r="CB9" s="763">
        <v>3.2142263456677802</v>
      </c>
      <c r="CC9" s="763">
        <v>3.2423791220789102</v>
      </c>
      <c r="CD9" s="763">
        <v>3.2707369257652799</v>
      </c>
      <c r="CE9" s="763">
        <v>3.2911977168238602</v>
      </c>
      <c r="CF9" s="763">
        <v>3.3069503709257599</v>
      </c>
      <c r="CG9" s="763">
        <v>3.3310114361411798</v>
      </c>
      <c r="CH9" s="763">
        <v>3.3528025716004199</v>
      </c>
      <c r="CI9" s="763">
        <v>3.37218091262779</v>
      </c>
      <c r="CJ9" s="763">
        <v>3.3889235278065399</v>
      </c>
      <c r="CK9" s="763">
        <v>3.40662198576385</v>
      </c>
      <c r="CL9" s="763">
        <v>3.4253125699928502</v>
      </c>
      <c r="CM9" s="763">
        <v>3.44308624388484</v>
      </c>
      <c r="CN9" s="763">
        <v>3.4591427533300698</v>
      </c>
      <c r="CO9" s="763">
        <v>3.4768478267287501</v>
      </c>
      <c r="CP9" s="763">
        <v>3.4958882881861402</v>
      </c>
      <c r="CQ9" s="763">
        <v>3.5148267047188599</v>
      </c>
      <c r="CR9" s="763">
        <v>3.5333519436216898</v>
      </c>
      <c r="CS9" s="763">
        <v>3.5523020973974702</v>
      </c>
      <c r="CT9" s="763">
        <v>3.5712848420372398</v>
      </c>
      <c r="CU9" s="763">
        <v>3.5886950963833102</v>
      </c>
      <c r="CV9" s="763">
        <v>3.6061336432568099</v>
      </c>
      <c r="CW9" s="763">
        <v>3.62443922395375</v>
      </c>
      <c r="CX9" s="763">
        <v>3.64199811924524</v>
      </c>
    </row>
    <row r="10" spans="1:102">
      <c r="A10" s="756" t="s">
        <v>283</v>
      </c>
      <c r="B10" s="756" t="s">
        <v>284</v>
      </c>
      <c r="C10" s="763">
        <v>2.0050112051495002</v>
      </c>
      <c r="D10" s="763">
        <v>2.0276241163363098</v>
      </c>
      <c r="E10" s="763">
        <v>2.0363460391917001</v>
      </c>
      <c r="F10" s="763">
        <v>2.0596415110589001</v>
      </c>
      <c r="G10" s="763">
        <v>2.0733294705676499</v>
      </c>
      <c r="H10" s="763">
        <v>2.0835292799709602</v>
      </c>
      <c r="I10" s="763">
        <v>2.1195041887439401</v>
      </c>
      <c r="J10" s="763">
        <v>2.1415481300828598</v>
      </c>
      <c r="K10" s="763">
        <v>2.1562703287960399</v>
      </c>
      <c r="L10" s="763">
        <v>2.1819748269408099</v>
      </c>
      <c r="M10" s="763">
        <v>2.2029036076995201</v>
      </c>
      <c r="N10" s="763">
        <v>2.1887625047097399</v>
      </c>
      <c r="O10" s="763">
        <v>2.2060843099596301</v>
      </c>
      <c r="P10" s="763">
        <v>2.2265958098971699</v>
      </c>
      <c r="Q10" s="763">
        <v>2.2446322955459399</v>
      </c>
      <c r="R10" s="763">
        <v>2.2722619420728098</v>
      </c>
      <c r="S10" s="763">
        <v>2.2956075162666898</v>
      </c>
      <c r="T10" s="763">
        <v>2.33325183151159</v>
      </c>
      <c r="U10" s="763">
        <v>2.37203530343487</v>
      </c>
      <c r="V10" s="763">
        <v>2.3206542043126999</v>
      </c>
      <c r="W10" s="763">
        <v>2.30200743794274</v>
      </c>
      <c r="X10" s="763">
        <v>2.3133154897554</v>
      </c>
      <c r="Y10" s="763">
        <v>2.3324316109679</v>
      </c>
      <c r="Z10" s="763">
        <v>2.3514838560921301</v>
      </c>
      <c r="AA10" s="763">
        <v>2.35519698431525</v>
      </c>
      <c r="AB10" s="763">
        <v>2.3583040416960399</v>
      </c>
      <c r="AC10" s="763">
        <v>2.3659233658671601</v>
      </c>
      <c r="AD10" s="763">
        <v>2.3887196326128302</v>
      </c>
      <c r="AE10" s="763">
        <v>2.4062061518870501</v>
      </c>
      <c r="AF10" s="763">
        <v>2.44252591544041</v>
      </c>
      <c r="AG10" s="763">
        <v>2.4591685909552199</v>
      </c>
      <c r="AH10" s="763">
        <v>2.4668379437269699</v>
      </c>
      <c r="AI10" s="763">
        <v>2.4785145451270099</v>
      </c>
      <c r="AJ10" s="763">
        <v>2.4851120001921498</v>
      </c>
      <c r="AK10" s="763">
        <v>2.4964929133262999</v>
      </c>
      <c r="AL10" s="763">
        <v>2.5166188182623199</v>
      </c>
      <c r="AM10" s="763">
        <v>2.5215576130559998</v>
      </c>
      <c r="AN10" s="763">
        <v>2.52180857683138</v>
      </c>
      <c r="AO10" s="763">
        <v>2.53710244272522</v>
      </c>
      <c r="AP10" s="763">
        <v>2.54811207866496</v>
      </c>
      <c r="AQ10" s="763">
        <v>2.5620432753712001</v>
      </c>
      <c r="AR10" s="763">
        <v>2.5663852378941701</v>
      </c>
      <c r="AS10" s="763">
        <v>2.5733594694754802</v>
      </c>
      <c r="AT10" s="763">
        <v>2.5692521315192698</v>
      </c>
      <c r="AU10" s="763">
        <v>2.56015489993815</v>
      </c>
      <c r="AV10" s="763">
        <v>2.5720252475700498</v>
      </c>
      <c r="AW10" s="763">
        <v>2.5752492149967199</v>
      </c>
      <c r="AX10" s="763">
        <v>2.5757251437181501</v>
      </c>
      <c r="AY10" s="763">
        <v>2.5700308525139999</v>
      </c>
      <c r="AZ10" s="763">
        <v>2.5905788087957</v>
      </c>
      <c r="BA10" s="763">
        <v>2.60565815313538</v>
      </c>
      <c r="BB10" s="763">
        <v>2.62434040849209</v>
      </c>
      <c r="BC10" s="763">
        <v>2.6416721951751398</v>
      </c>
      <c r="BD10" s="763">
        <v>2.6438856664204402</v>
      </c>
      <c r="BE10" s="763">
        <v>2.6501699197236599</v>
      </c>
      <c r="BF10" s="763">
        <v>2.671878963438</v>
      </c>
      <c r="BG10" s="763">
        <v>2.6993222171317699</v>
      </c>
      <c r="BH10" s="763">
        <v>2.71620981134443</v>
      </c>
      <c r="BI10" s="763">
        <v>2.7288288811600601</v>
      </c>
      <c r="BJ10" s="763">
        <v>2.7428099299867101</v>
      </c>
      <c r="BK10" s="763">
        <v>2.7489205839767799</v>
      </c>
      <c r="BL10" s="763">
        <v>2.7670705452261899</v>
      </c>
      <c r="BM10" s="763">
        <v>2.7828865026935201</v>
      </c>
      <c r="BN10" s="763">
        <v>2.7968085391111699</v>
      </c>
      <c r="BO10" s="763">
        <v>2.8054288346603502</v>
      </c>
      <c r="BP10" s="763">
        <v>2.7884180402680299</v>
      </c>
      <c r="BQ10" s="763">
        <v>2.7998641580951702</v>
      </c>
      <c r="BR10" s="763">
        <v>2.8171474270444001</v>
      </c>
      <c r="BS10" s="763">
        <v>2.8438349396178499</v>
      </c>
      <c r="BT10" s="763">
        <v>2.8752551433225602</v>
      </c>
      <c r="BU10" s="763">
        <v>2.9161903655505799</v>
      </c>
      <c r="BV10" s="763">
        <v>2.9803358353475899</v>
      </c>
      <c r="BW10" s="763">
        <v>3.0354748219846401</v>
      </c>
      <c r="BX10" s="763">
        <v>3.0879962927626701</v>
      </c>
      <c r="BY10" s="763">
        <v>3.1288947779563401</v>
      </c>
      <c r="BZ10" s="763">
        <v>3.1689521453255201</v>
      </c>
      <c r="CA10" s="763">
        <v>3.2132180908257402</v>
      </c>
      <c r="CB10" s="763">
        <v>3.25896674708126</v>
      </c>
      <c r="CC10" s="763">
        <v>3.3034777774505799</v>
      </c>
      <c r="CD10" s="763">
        <v>3.3453434489013798</v>
      </c>
      <c r="CE10" s="763">
        <v>3.3774900259476199</v>
      </c>
      <c r="CF10" s="763">
        <v>3.4048512779095699</v>
      </c>
      <c r="CG10" s="763">
        <v>3.4407800351623901</v>
      </c>
      <c r="CH10" s="763">
        <v>3.47398735040258</v>
      </c>
      <c r="CI10" s="763">
        <v>3.5044008662114399</v>
      </c>
      <c r="CJ10" s="763">
        <v>3.5330772191361501</v>
      </c>
      <c r="CK10" s="763">
        <v>3.5634230457781699</v>
      </c>
      <c r="CL10" s="763">
        <v>3.5955656322911298</v>
      </c>
      <c r="CM10" s="763">
        <v>3.6267670668944598</v>
      </c>
      <c r="CN10" s="763">
        <v>3.6564651774140802</v>
      </c>
      <c r="CO10" s="763">
        <v>3.6880284570224902</v>
      </c>
      <c r="CP10" s="763">
        <v>3.7211793058714</v>
      </c>
      <c r="CQ10" s="763">
        <v>3.7542331458740299</v>
      </c>
      <c r="CR10" s="763">
        <v>3.7871254335989901</v>
      </c>
      <c r="CS10" s="763">
        <v>3.8207445239743199</v>
      </c>
      <c r="CT10" s="763">
        <v>3.8546368037687602</v>
      </c>
      <c r="CU10" s="763">
        <v>3.8872247348682101</v>
      </c>
      <c r="CV10" s="763">
        <v>3.9200735059946799</v>
      </c>
      <c r="CW10" s="763">
        <v>3.9541391739659901</v>
      </c>
      <c r="CX10" s="763">
        <v>3.9879877404770001</v>
      </c>
    </row>
    <row r="12" spans="1:102">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row>
    <row r="13" spans="1:102">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row>
    <row r="14" spans="1:102">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3"/>
      <c r="AK14" s="763"/>
      <c r="AL14" s="763"/>
      <c r="AM14" s="763"/>
      <c r="AN14" s="763"/>
      <c r="AO14" s="763"/>
      <c r="AP14" s="763"/>
      <c r="AQ14" s="763"/>
      <c r="AR14" s="763"/>
      <c r="AS14" s="763"/>
      <c r="AT14" s="763"/>
    </row>
    <row r="15" spans="1:102">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3"/>
      <c r="AK15" s="763"/>
      <c r="AL15" s="763"/>
      <c r="AM15" s="763"/>
      <c r="AN15" s="763"/>
      <c r="AO15" s="763"/>
      <c r="AP15" s="763"/>
      <c r="AQ15" s="763"/>
      <c r="AR15" s="763"/>
      <c r="AS15" s="763"/>
      <c r="AT15" s="763"/>
    </row>
    <row r="16" spans="1:102">
      <c r="C16" s="763"/>
      <c r="D16" s="763"/>
      <c r="E16" s="763"/>
      <c r="F16" s="763"/>
      <c r="G16" s="763"/>
      <c r="H16" s="763"/>
      <c r="I16" s="763"/>
      <c r="J16" s="763"/>
      <c r="K16" s="763"/>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3"/>
      <c r="AI16" s="763"/>
      <c r="AJ16" s="763"/>
      <c r="AK16" s="763"/>
      <c r="AL16" s="763"/>
      <c r="AM16" s="763"/>
      <c r="AN16" s="763"/>
      <c r="AO16" s="763"/>
      <c r="AP16" s="763"/>
      <c r="AQ16" s="763"/>
      <c r="AR16" s="763"/>
      <c r="AS16" s="763"/>
      <c r="AT16" s="763"/>
      <c r="BX16" s="765" t="s">
        <v>435</v>
      </c>
      <c r="BY16" s="766"/>
      <c r="BZ16" s="766"/>
      <c r="CA16" s="767" t="s">
        <v>436</v>
      </c>
      <c r="CB16" s="768"/>
      <c r="CC16" s="768"/>
      <c r="CD16" s="768"/>
      <c r="CE16" s="768"/>
      <c r="CF16" s="768"/>
      <c r="CG16" s="766"/>
      <c r="CH16" s="766"/>
      <c r="CI16" s="766"/>
    </row>
    <row r="17" spans="3:93">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69"/>
      <c r="AD17" s="769"/>
      <c r="AE17" s="769"/>
      <c r="AF17" s="769"/>
      <c r="AG17" s="769"/>
      <c r="AH17" s="769"/>
      <c r="AI17" s="769"/>
      <c r="AJ17" s="769"/>
      <c r="AK17" s="769"/>
      <c r="AL17" s="769"/>
      <c r="AM17" s="769"/>
      <c r="AN17" s="769"/>
      <c r="AO17" s="769"/>
      <c r="AP17" s="769"/>
      <c r="BX17" s="770"/>
      <c r="BY17" s="771"/>
      <c r="BZ17" s="771"/>
      <c r="CA17" s="771"/>
      <c r="CB17" s="771"/>
      <c r="CC17" s="771"/>
      <c r="CD17" s="771"/>
      <c r="CE17" s="771"/>
      <c r="CF17" s="771"/>
      <c r="CG17" s="771"/>
      <c r="CH17" s="771"/>
      <c r="CI17" s="772"/>
    </row>
    <row r="18" spans="3:93">
      <c r="BX18" s="773"/>
      <c r="BY18" s="774" t="s">
        <v>285</v>
      </c>
      <c r="BZ18" s="775" t="s">
        <v>189</v>
      </c>
      <c r="CA18" s="766"/>
      <c r="CB18" s="766"/>
      <c r="CC18" s="766"/>
      <c r="CD18" s="766"/>
      <c r="CE18" s="766"/>
      <c r="CF18" s="766"/>
      <c r="CG18" s="766"/>
      <c r="CH18" s="766"/>
      <c r="CI18" s="776"/>
    </row>
    <row r="19" spans="3:93">
      <c r="BX19" s="773"/>
      <c r="BY19" s="766"/>
      <c r="BZ19" s="777" t="str">
        <f>CD7</f>
        <v>2023Q4</v>
      </c>
      <c r="CA19" s="777"/>
      <c r="CB19" s="777"/>
      <c r="CC19" s="777"/>
      <c r="CD19" s="766"/>
      <c r="CE19" s="766"/>
      <c r="CF19" s="766"/>
      <c r="CG19" s="766"/>
      <c r="CH19" s="766"/>
      <c r="CI19" s="778" t="s">
        <v>286</v>
      </c>
    </row>
    <row r="20" spans="3:93">
      <c r="BX20" s="773"/>
      <c r="BY20" s="766"/>
      <c r="BZ20" s="779">
        <f>CD9</f>
        <v>3.2707369257652799</v>
      </c>
      <c r="CA20" s="780"/>
      <c r="CB20" s="780"/>
      <c r="CC20" s="780"/>
      <c r="CD20" s="766"/>
      <c r="CE20" s="766"/>
      <c r="CF20" s="766"/>
      <c r="CG20" s="766"/>
      <c r="CH20" s="766"/>
      <c r="CI20" s="781">
        <f>AVERAGE(BZ20:CC20)</f>
        <v>3.2707369257652799</v>
      </c>
    </row>
    <row r="21" spans="3:93">
      <c r="BX21" s="773"/>
      <c r="BY21" s="766"/>
      <c r="BZ21" s="766"/>
      <c r="CA21" s="766"/>
      <c r="CB21" s="766"/>
      <c r="CC21" s="766"/>
      <c r="CD21" s="766"/>
      <c r="CE21" s="766"/>
      <c r="CF21" s="766"/>
      <c r="CG21" s="766"/>
      <c r="CH21" s="766"/>
      <c r="CI21" s="782"/>
    </row>
    <row r="22" spans="3:93">
      <c r="BX22" s="1344" t="s">
        <v>287</v>
      </c>
      <c r="BY22" s="1345"/>
      <c r="BZ22" s="1345"/>
      <c r="CA22" s="766" t="s">
        <v>437</v>
      </c>
      <c r="CB22" s="766"/>
      <c r="CC22" s="766"/>
      <c r="CD22" s="766"/>
      <c r="CE22" s="766"/>
      <c r="CF22" s="766"/>
      <c r="CG22" s="766"/>
      <c r="CH22" s="766"/>
      <c r="CI22" s="782"/>
    </row>
    <row r="23" spans="3:93">
      <c r="BX23" s="783"/>
      <c r="BY23" s="774"/>
      <c r="BZ23" s="756" t="s">
        <v>271</v>
      </c>
      <c r="CA23" s="756" t="s">
        <v>272</v>
      </c>
      <c r="CB23" s="756" t="s">
        <v>273</v>
      </c>
      <c r="CC23" s="756" t="s">
        <v>274</v>
      </c>
      <c r="CD23" s="756" t="s">
        <v>275</v>
      </c>
      <c r="CE23" s="756" t="s">
        <v>276</v>
      </c>
      <c r="CF23" s="756" t="s">
        <v>277</v>
      </c>
      <c r="CG23" s="756" t="s">
        <v>278</v>
      </c>
      <c r="CH23" s="766"/>
      <c r="CI23" s="782"/>
    </row>
    <row r="24" spans="3:93">
      <c r="BX24" s="773"/>
      <c r="BY24" s="766"/>
      <c r="BZ24" s="784">
        <f t="shared" ref="BZ24:CG24" si="0">CE9</f>
        <v>3.2911977168238602</v>
      </c>
      <c r="CA24" s="784">
        <f t="shared" si="0"/>
        <v>3.3069503709257599</v>
      </c>
      <c r="CB24" s="784">
        <f t="shared" si="0"/>
        <v>3.3310114361411798</v>
      </c>
      <c r="CC24" s="784">
        <f t="shared" si="0"/>
        <v>3.3528025716004199</v>
      </c>
      <c r="CD24" s="784">
        <f t="shared" si="0"/>
        <v>3.37218091262779</v>
      </c>
      <c r="CE24" s="784">
        <f t="shared" si="0"/>
        <v>3.3889235278065399</v>
      </c>
      <c r="CF24" s="784">
        <f t="shared" si="0"/>
        <v>3.40662198576385</v>
      </c>
      <c r="CG24" s="784">
        <f t="shared" si="0"/>
        <v>3.4253125699928502</v>
      </c>
      <c r="CH24" s="766"/>
      <c r="CI24" s="781">
        <f>AVERAGE(BZ24:CG24)</f>
        <v>3.3593751364602813</v>
      </c>
    </row>
    <row r="25" spans="3:93">
      <c r="BX25" s="773"/>
      <c r="BY25" s="766"/>
      <c r="BZ25" s="766"/>
      <c r="CA25" s="766"/>
      <c r="CB25" s="766"/>
      <c r="CC25" s="766"/>
      <c r="CD25" s="766"/>
      <c r="CE25" s="766"/>
      <c r="CF25" s="766"/>
      <c r="CG25" s="766"/>
      <c r="CH25" s="766"/>
      <c r="CI25" s="782"/>
    </row>
    <row r="26" spans="3:93">
      <c r="BX26" s="773"/>
      <c r="BY26" s="766"/>
      <c r="BZ26" s="766"/>
      <c r="CA26" s="766"/>
      <c r="CB26" s="766"/>
      <c r="CC26" s="766"/>
      <c r="CD26" s="766"/>
      <c r="CE26" s="766"/>
      <c r="CF26" s="766"/>
      <c r="CG26" s="766"/>
      <c r="CH26" s="785" t="s">
        <v>106</v>
      </c>
      <c r="CI26" s="786">
        <f>(CI24-CI20)/CI20</f>
        <v>2.7100379121522307E-2</v>
      </c>
    </row>
    <row r="27" spans="3:93">
      <c r="BX27" s="787"/>
      <c r="BY27" s="788"/>
      <c r="BZ27" s="788"/>
      <c r="CA27" s="788"/>
      <c r="CB27" s="788"/>
      <c r="CC27" s="788"/>
      <c r="CD27" s="788"/>
      <c r="CE27" s="788"/>
      <c r="CF27" s="788"/>
      <c r="CG27" s="788"/>
      <c r="CH27" s="788"/>
      <c r="CI27" s="789"/>
    </row>
    <row r="30" spans="3:93">
      <c r="CO30" s="751" t="s">
        <v>438</v>
      </c>
    </row>
  </sheetData>
  <mergeCells count="2">
    <mergeCell ref="A1:B1"/>
    <mergeCell ref="BX22:BZ22"/>
  </mergeCells>
  <pageMargins left="0.25" right="0.25" top="1" bottom="1" header="0.5" footer="0.5"/>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1516-AD12-443E-9FB2-F51A8EA8C354}">
  <dimension ref="E5:G13"/>
  <sheetViews>
    <sheetView workbookViewId="0">
      <selection activeCell="G6" sqref="G6"/>
    </sheetView>
  </sheetViews>
  <sheetFormatPr defaultRowHeight="15"/>
  <sheetData>
    <row r="5" spans="5:7">
      <c r="G5">
        <v>2218</v>
      </c>
    </row>
    <row r="6" spans="5:7">
      <c r="E6" s="101" t="s">
        <v>86</v>
      </c>
      <c r="G6">
        <v>3207.9430942501481</v>
      </c>
    </row>
    <row r="7" spans="5:7">
      <c r="E7" s="101" t="s">
        <v>91</v>
      </c>
    </row>
    <row r="8" spans="5:7">
      <c r="E8" s="101" t="s">
        <v>94</v>
      </c>
    </row>
    <row r="9" spans="5:7">
      <c r="E9" s="337" t="s">
        <v>166</v>
      </c>
    </row>
    <row r="10" spans="5:7">
      <c r="E10" s="337" t="s">
        <v>167</v>
      </c>
    </row>
    <row r="11" spans="5:7">
      <c r="E11" s="190" t="s">
        <v>86</v>
      </c>
    </row>
    <row r="12" spans="5:7">
      <c r="E12" s="190" t="s">
        <v>128</v>
      </c>
    </row>
    <row r="13" spans="5:7">
      <c r="E13" t="s">
        <v>320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C537-57C1-4AC2-8A64-822F2196838F}">
  <sheetPr>
    <pageSetUpPr fitToPage="1"/>
  </sheetPr>
  <dimension ref="B1:AI28"/>
  <sheetViews>
    <sheetView topLeftCell="A2" workbookViewId="0">
      <selection activeCell="O22" sqref="O22"/>
    </sheetView>
  </sheetViews>
  <sheetFormatPr defaultRowHeight="15" customHeight="1"/>
  <cols>
    <col min="3" max="3" width="11.7109375" hidden="1" customWidth="1"/>
    <col min="4" max="4" width="12.28515625" hidden="1" customWidth="1"/>
    <col min="5" max="6" width="0" hidden="1" customWidth="1"/>
    <col min="7" max="7" width="24.42578125" hidden="1" customWidth="1"/>
    <col min="8" max="8" width="6.42578125" style="818" hidden="1" customWidth="1"/>
    <col min="9" max="9" width="0" style="818" hidden="1" customWidth="1"/>
    <col min="10" max="10" width="12.5703125" hidden="1" customWidth="1"/>
    <col min="11" max="11" width="14.5703125" hidden="1" customWidth="1"/>
    <col min="12" max="13" width="0" hidden="1" customWidth="1"/>
    <col min="14" max="14" width="25.28515625" customWidth="1"/>
    <col min="15" max="15" width="13.5703125" customWidth="1"/>
    <col min="16" max="16" width="14.5703125" customWidth="1"/>
    <col min="17" max="17" width="14" customWidth="1"/>
    <col min="18" max="18" width="14.5703125" hidden="1" customWidth="1"/>
    <col min="19" max="19" width="10.28515625" hidden="1" customWidth="1"/>
    <col min="20" max="20" width="11" style="1" hidden="1" customWidth="1"/>
    <col min="21" max="21" width="10.42578125" style="1" hidden="1" customWidth="1"/>
    <col min="22" max="22" width="16.28515625" customWidth="1"/>
    <col min="23" max="23" width="8.42578125" customWidth="1"/>
    <col min="25" max="25" width="11" customWidth="1"/>
    <col min="26" max="26" width="11.28515625" customWidth="1"/>
    <col min="27" max="27" width="11.7109375" customWidth="1"/>
    <col min="28" max="28" width="14.42578125" customWidth="1"/>
    <col min="29" max="29" width="11.5703125" bestFit="1" customWidth="1"/>
    <col min="30" max="30" width="14.28515625" bestFit="1" customWidth="1"/>
    <col min="32" max="32" width="12.5703125" bestFit="1" customWidth="1"/>
    <col min="33" max="33" width="14.28515625" bestFit="1" customWidth="1"/>
    <col min="34" max="34" width="18.42578125" customWidth="1"/>
    <col min="35" max="35" width="16.5703125" customWidth="1"/>
  </cols>
  <sheetData>
    <row r="1" spans="2:35" ht="15" customHeight="1">
      <c r="E1" t="s">
        <v>307</v>
      </c>
      <c r="F1" s="817">
        <f>'[21]Spring2017 CAF'!BK27</f>
        <v>2.7235921972764018E-2</v>
      </c>
      <c r="G1" s="818"/>
      <c r="I1"/>
    </row>
    <row r="3" spans="2:35" ht="15" customHeight="1" thickBot="1">
      <c r="B3" s="1"/>
      <c r="C3" s="1"/>
      <c r="D3" s="1"/>
      <c r="E3" s="1"/>
      <c r="F3" s="1"/>
      <c r="G3" s="1"/>
      <c r="H3" s="2"/>
      <c r="I3" s="2"/>
      <c r="J3" s="1"/>
      <c r="K3" s="1"/>
      <c r="L3" s="1"/>
      <c r="M3" s="1"/>
      <c r="N3" s="1"/>
      <c r="O3" s="1"/>
      <c r="P3" s="1"/>
      <c r="Q3" s="1"/>
      <c r="R3" s="1"/>
      <c r="S3" s="1"/>
      <c r="V3" s="1"/>
      <c r="W3" s="1"/>
      <c r="X3" s="1"/>
      <c r="Y3" s="1"/>
      <c r="Z3" s="1"/>
    </row>
    <row r="4" spans="2:35" ht="37.5" customHeight="1" thickBot="1">
      <c r="C4" s="820" t="s">
        <v>464</v>
      </c>
      <c r="D4" s="821" t="s">
        <v>465</v>
      </c>
      <c r="E4" s="822" t="s">
        <v>459</v>
      </c>
      <c r="F4" s="99"/>
      <c r="G4" s="1220" t="s">
        <v>466</v>
      </c>
      <c r="H4" s="1221"/>
      <c r="I4" s="1221"/>
      <c r="J4" s="1221"/>
      <c r="K4" s="1222"/>
      <c r="L4" s="99"/>
      <c r="M4" s="99"/>
      <c r="N4" s="1220" t="s">
        <v>467</v>
      </c>
      <c r="O4" s="1221"/>
      <c r="P4" s="1221"/>
      <c r="Q4" s="1221"/>
      <c r="R4" s="1222"/>
      <c r="S4" s="823" t="s">
        <v>468</v>
      </c>
      <c r="T4" s="824">
        <v>1.5699999999999999E-2</v>
      </c>
      <c r="U4" s="825"/>
      <c r="V4" s="826" t="s">
        <v>565</v>
      </c>
      <c r="W4" s="827" t="s">
        <v>499</v>
      </c>
      <c r="X4" s="828" t="s">
        <v>469</v>
      </c>
      <c r="Y4" s="828" t="s">
        <v>470</v>
      </c>
      <c r="Z4" s="826" t="s">
        <v>471</v>
      </c>
      <c r="AA4" s="829" t="s">
        <v>500</v>
      </c>
      <c r="AD4" s="1064"/>
    </row>
    <row r="5" spans="2:35" ht="27.6" customHeight="1" thickBot="1">
      <c r="B5" s="819" t="s">
        <v>463</v>
      </c>
      <c r="C5" s="830"/>
      <c r="D5" s="831"/>
      <c r="E5" s="832"/>
      <c r="F5" s="833"/>
      <c r="G5" s="834"/>
      <c r="H5" s="834"/>
      <c r="I5" s="834"/>
      <c r="J5" s="834"/>
      <c r="K5" s="834"/>
      <c r="L5" s="833"/>
      <c r="M5" s="833"/>
      <c r="N5" s="835"/>
      <c r="O5" s="834"/>
      <c r="P5" s="834"/>
      <c r="Q5" s="834"/>
      <c r="R5" s="836"/>
      <c r="S5" s="837"/>
      <c r="T5" s="838"/>
      <c r="U5" s="833"/>
      <c r="V5" s="839"/>
      <c r="W5" s="840"/>
      <c r="X5" s="840"/>
      <c r="Y5" s="984"/>
      <c r="Z5" s="966"/>
      <c r="AA5" s="839"/>
    </row>
    <row r="6" spans="2:35" ht="15" customHeight="1">
      <c r="B6" s="843" t="s">
        <v>474</v>
      </c>
      <c r="C6" s="844">
        <v>3105241</v>
      </c>
      <c r="D6" s="844">
        <f>C6*(1+$F$1)</f>
        <v>3189815.1015826277</v>
      </c>
      <c r="E6" s="845">
        <f>D6-C6</f>
        <v>84574.101582627743</v>
      </c>
      <c r="F6" s="846" t="s">
        <v>475</v>
      </c>
      <c r="G6" s="847" t="s">
        <v>473</v>
      </c>
      <c r="H6" s="848" t="s">
        <v>474</v>
      </c>
      <c r="I6" s="848" t="s">
        <v>475</v>
      </c>
      <c r="J6" s="847" t="s">
        <v>476</v>
      </c>
      <c r="K6" s="849">
        <v>3105240.57</v>
      </c>
      <c r="L6" s="1"/>
      <c r="M6" s="1"/>
      <c r="N6" s="850" t="s">
        <v>473</v>
      </c>
      <c r="O6" s="848" t="s">
        <v>564</v>
      </c>
      <c r="P6" s="851" t="s">
        <v>475</v>
      </c>
      <c r="Q6" s="852" t="s">
        <v>476</v>
      </c>
      <c r="R6" s="853">
        <f>'[21]FY18 Spend'!L84</f>
        <v>3059503.22</v>
      </c>
      <c r="S6" s="1"/>
      <c r="T6" s="854">
        <f>R6*(1+T4)</f>
        <v>3107537.4205540004</v>
      </c>
      <c r="U6" s="855">
        <f>T6-R6</f>
        <v>48034.200554000214</v>
      </c>
      <c r="V6" s="856">
        <v>3833795.6</v>
      </c>
      <c r="W6" s="988"/>
      <c r="X6" s="842">
        <f>'2. HCA'!F6</f>
        <v>7.2371210170162584E-2</v>
      </c>
      <c r="Y6" s="964">
        <f>V6*X6</f>
        <v>277456.42711704457</v>
      </c>
      <c r="Z6" s="967">
        <f>V6+Y6</f>
        <v>4111252.0271170447</v>
      </c>
      <c r="AA6" s="858">
        <f>Y6*0.5</f>
        <v>138728.21355852229</v>
      </c>
      <c r="AC6" s="1062"/>
      <c r="AD6" s="1062"/>
      <c r="AF6" s="1062"/>
      <c r="AG6" s="1062"/>
      <c r="AH6" s="1063"/>
      <c r="AI6" s="1063"/>
    </row>
    <row r="7" spans="2:35" ht="15" customHeight="1" thickBot="1">
      <c r="B7" s="859" t="s">
        <v>472</v>
      </c>
      <c r="C7" s="860">
        <v>122306</v>
      </c>
      <c r="D7" s="860">
        <f>C7*(1+$F$1)</f>
        <v>125637.11667280088</v>
      </c>
      <c r="E7" s="861">
        <f>D7-C7</f>
        <v>3331.116672800883</v>
      </c>
      <c r="F7" s="846" t="s">
        <v>477</v>
      </c>
      <c r="G7" s="862" t="s">
        <v>473</v>
      </c>
      <c r="H7" s="863" t="s">
        <v>472</v>
      </c>
      <c r="I7" s="863" t="s">
        <v>477</v>
      </c>
      <c r="J7" s="862" t="s">
        <v>478</v>
      </c>
      <c r="K7" s="864">
        <v>122306.27</v>
      </c>
      <c r="L7" s="1"/>
      <c r="M7" s="1"/>
      <c r="N7" s="865" t="s">
        <v>473</v>
      </c>
      <c r="O7" s="866" t="s">
        <v>472</v>
      </c>
      <c r="P7" s="867" t="s">
        <v>477</v>
      </c>
      <c r="Q7" s="868" t="s">
        <v>478</v>
      </c>
      <c r="R7" s="869">
        <f>'[21]FY18 Spend'!L19</f>
        <v>82267.710000000006</v>
      </c>
      <c r="S7" s="1"/>
      <c r="T7" s="854">
        <f>R7*(1+T4)</f>
        <v>83559.313047000003</v>
      </c>
      <c r="U7" s="870">
        <f t="shared" ref="U7:U15" si="0">T7-R7</f>
        <v>1291.6030469999969</v>
      </c>
      <c r="V7" s="871">
        <v>25346</v>
      </c>
      <c r="W7" s="889"/>
      <c r="X7" s="842">
        <f>X6</f>
        <v>7.2371210170162584E-2</v>
      </c>
      <c r="Y7" s="965">
        <f>V7*X7</f>
        <v>1834.3206929729408</v>
      </c>
      <c r="Z7" s="968">
        <f>V7+Y7</f>
        <v>27180.320692972942</v>
      </c>
      <c r="AA7" s="858">
        <f>Y7*0.5</f>
        <v>917.16034648647042</v>
      </c>
      <c r="AB7" s="873"/>
      <c r="AC7" s="1062"/>
      <c r="AD7" s="1062"/>
      <c r="AF7" s="1062"/>
      <c r="AG7" s="1062"/>
      <c r="AH7" s="1063"/>
      <c r="AI7" s="1063"/>
    </row>
    <row r="8" spans="2:35" ht="14.25" customHeight="1" thickTop="1">
      <c r="B8" s="819" t="s">
        <v>479</v>
      </c>
      <c r="C8" s="820" t="s">
        <v>480</v>
      </c>
      <c r="D8" s="821" t="s">
        <v>465</v>
      </c>
      <c r="E8" s="822" t="s">
        <v>459</v>
      </c>
      <c r="F8" s="877"/>
      <c r="G8" s="1"/>
      <c r="H8" s="2"/>
      <c r="I8" s="2"/>
      <c r="J8" s="1"/>
      <c r="K8" s="1"/>
      <c r="L8" s="1"/>
      <c r="M8" s="1"/>
      <c r="N8" s="876"/>
      <c r="O8" s="42"/>
      <c r="P8" s="2"/>
      <c r="Q8" s="878"/>
      <c r="R8" s="879"/>
      <c r="S8" s="841" t="s">
        <v>468</v>
      </c>
      <c r="T8" s="842">
        <v>1.7000000000000001E-2</v>
      </c>
      <c r="U8" s="855"/>
      <c r="V8" s="880"/>
      <c r="W8" s="886"/>
      <c r="X8" s="842"/>
      <c r="Y8" s="881"/>
      <c r="Z8" s="969"/>
      <c r="AA8" s="858"/>
      <c r="AH8" s="874"/>
      <c r="AI8" s="875"/>
    </row>
    <row r="9" spans="2:35" ht="15" customHeight="1" thickBot="1">
      <c r="B9" s="843" t="s">
        <v>474</v>
      </c>
      <c r="C9" s="844">
        <v>1037293</v>
      </c>
      <c r="D9" s="844">
        <f>C9*(1+F1)</f>
        <v>1065544.6312108943</v>
      </c>
      <c r="E9" s="845">
        <f>D9-C9</f>
        <v>28251.631210894324</v>
      </c>
      <c r="F9" s="846" t="s">
        <v>481</v>
      </c>
      <c r="G9" s="862" t="s">
        <v>473</v>
      </c>
      <c r="H9" s="863" t="s">
        <v>474</v>
      </c>
      <c r="I9" s="863" t="s">
        <v>481</v>
      </c>
      <c r="J9" s="862" t="s">
        <v>479</v>
      </c>
      <c r="K9" s="864">
        <v>420852.35</v>
      </c>
      <c r="L9" s="1"/>
      <c r="M9" s="1"/>
      <c r="N9" s="865" t="s">
        <v>473</v>
      </c>
      <c r="O9" s="866" t="s">
        <v>564</v>
      </c>
      <c r="P9" s="867" t="s">
        <v>481</v>
      </c>
      <c r="Q9" s="882" t="s">
        <v>479</v>
      </c>
      <c r="R9" s="869">
        <f>'[21]FY18 Spend'!L28</f>
        <v>1214833.6800000002</v>
      </c>
      <c r="S9" s="1"/>
      <c r="T9" s="854">
        <f>R9*(1+T8)</f>
        <v>1235485.85256</v>
      </c>
      <c r="U9" s="855">
        <f t="shared" si="0"/>
        <v>20652.172559999861</v>
      </c>
      <c r="V9" s="871">
        <v>1942483.51</v>
      </c>
      <c r="W9" s="889"/>
      <c r="X9" s="842">
        <f>'3. ATIL'!M28</f>
        <v>7.2371210170162584E-2</v>
      </c>
      <c r="Y9" s="857">
        <f>V9*X9</f>
        <v>140579.8823542851</v>
      </c>
      <c r="Z9" s="970">
        <f>V9+Y9</f>
        <v>2083063.3923542851</v>
      </c>
      <c r="AA9" s="858">
        <f t="shared" ref="AA9" si="1">Y9*0.5</f>
        <v>70289.941177142551</v>
      </c>
    </row>
    <row r="10" spans="2:35" ht="24" customHeight="1" thickBot="1">
      <c r="B10" s="828" t="s">
        <v>125</v>
      </c>
      <c r="C10" s="883" t="s">
        <v>482</v>
      </c>
      <c r="D10" s="884" t="s">
        <v>465</v>
      </c>
      <c r="E10" s="885" t="s">
        <v>459</v>
      </c>
      <c r="F10" s="877"/>
      <c r="G10" s="1"/>
      <c r="H10" s="2"/>
      <c r="I10" s="2"/>
      <c r="J10" s="1"/>
      <c r="K10" s="1"/>
      <c r="L10" s="1"/>
      <c r="M10" s="1"/>
      <c r="N10" s="876"/>
      <c r="O10" s="42"/>
      <c r="P10" s="2"/>
      <c r="Q10" s="878"/>
      <c r="R10" s="879"/>
      <c r="S10" s="1"/>
      <c r="U10" s="855"/>
      <c r="V10" s="880"/>
      <c r="W10" s="886"/>
      <c r="X10" s="842"/>
      <c r="Y10" s="881"/>
      <c r="Z10" s="969"/>
      <c r="AA10" s="858"/>
      <c r="AB10" s="887"/>
    </row>
    <row r="11" spans="2:35" ht="15" customHeight="1" thickBot="1">
      <c r="B11" s="888" t="s">
        <v>87</v>
      </c>
      <c r="C11" s="844"/>
      <c r="D11" s="844"/>
      <c r="E11" s="845">
        <f>D11-C11</f>
        <v>0</v>
      </c>
      <c r="F11" s="877"/>
      <c r="G11" s="1"/>
      <c r="H11" s="2"/>
      <c r="I11" s="2"/>
      <c r="J11" s="1"/>
      <c r="K11" s="1"/>
      <c r="L11" s="1"/>
      <c r="M11" s="1"/>
      <c r="N11" s="862" t="s">
        <v>483</v>
      </c>
      <c r="O11" s="866" t="s">
        <v>87</v>
      </c>
      <c r="P11" s="867">
        <v>3253</v>
      </c>
      <c r="Q11" s="882" t="s">
        <v>484</v>
      </c>
      <c r="R11" s="869">
        <f>'[21]FY18 Spend'!L96</f>
        <v>199673.87</v>
      </c>
      <c r="S11" s="1"/>
      <c r="U11" s="855"/>
      <c r="V11" s="871">
        <v>206252.88</v>
      </c>
      <c r="W11" s="889"/>
      <c r="X11" s="842">
        <f>'4. VR Assistant'!I21</f>
        <v>0</v>
      </c>
      <c r="Y11" s="857">
        <f>V11*X11</f>
        <v>0</v>
      </c>
      <c r="Z11" s="970">
        <f>V11+Y11</f>
        <v>206252.88</v>
      </c>
      <c r="AA11" s="858">
        <f>Y11*0.5</f>
        <v>0</v>
      </c>
      <c r="AB11" s="875"/>
    </row>
    <row r="12" spans="2:35" ht="15" customHeight="1">
      <c r="B12" s="819" t="s">
        <v>485</v>
      </c>
      <c r="C12" s="820" t="s">
        <v>480</v>
      </c>
      <c r="D12" s="821" t="s">
        <v>465</v>
      </c>
      <c r="E12" s="822" t="s">
        <v>459</v>
      </c>
      <c r="F12" s="877"/>
      <c r="G12" s="1"/>
      <c r="H12" s="2"/>
      <c r="I12" s="2"/>
      <c r="J12" s="1"/>
      <c r="K12" s="1"/>
      <c r="L12" s="1"/>
      <c r="M12" s="1"/>
      <c r="N12" s="890"/>
      <c r="O12" s="891"/>
      <c r="P12" s="892"/>
      <c r="Q12" s="893"/>
      <c r="R12" s="894"/>
      <c r="S12" s="895" t="s">
        <v>468</v>
      </c>
      <c r="T12" s="896">
        <v>1.83E-2</v>
      </c>
      <c r="U12" s="897"/>
      <c r="V12" s="880"/>
      <c r="W12" s="886"/>
      <c r="X12" s="842"/>
      <c r="Y12" s="881"/>
      <c r="Z12" s="969"/>
      <c r="AA12" s="858"/>
      <c r="AB12" s="875"/>
    </row>
    <row r="13" spans="2:35" ht="15" customHeight="1" thickBot="1">
      <c r="B13" s="898" t="s">
        <v>472</v>
      </c>
      <c r="C13" s="844">
        <v>521472</v>
      </c>
      <c r="D13" s="844">
        <f>C13*(1+F1)</f>
        <v>535674.77070298116</v>
      </c>
      <c r="E13" s="845">
        <f>D13-C13</f>
        <v>14202.770702981157</v>
      </c>
      <c r="F13" s="846" t="s">
        <v>486</v>
      </c>
      <c r="G13" s="862" t="s">
        <v>473</v>
      </c>
      <c r="H13" s="863" t="s">
        <v>472</v>
      </c>
      <c r="I13" s="863" t="s">
        <v>486</v>
      </c>
      <c r="J13" s="862" t="s">
        <v>485</v>
      </c>
      <c r="K13" s="864">
        <v>468746</v>
      </c>
      <c r="L13" s="1"/>
      <c r="M13" s="1"/>
      <c r="N13" s="899" t="s">
        <v>473</v>
      </c>
      <c r="O13" s="900" t="s">
        <v>472</v>
      </c>
      <c r="P13" s="901" t="s">
        <v>486</v>
      </c>
      <c r="Q13" s="902" t="s">
        <v>485</v>
      </c>
      <c r="R13" s="903">
        <f>'[21]FY18 Spend'!L87</f>
        <v>510611.9</v>
      </c>
      <c r="S13" s="904"/>
      <c r="T13" s="905">
        <f>R13*(1+T12)</f>
        <v>519956.09776999999</v>
      </c>
      <c r="U13" s="906">
        <f t="shared" si="0"/>
        <v>9344.1977699999698</v>
      </c>
      <c r="V13" s="907">
        <v>649898.77</v>
      </c>
      <c r="W13" s="889"/>
      <c r="X13" s="842">
        <f>'5. DBCAN Model - 2405'!K26</f>
        <v>0</v>
      </c>
      <c r="Y13" s="857">
        <f>V13*X13</f>
        <v>0</v>
      </c>
      <c r="Z13" s="970">
        <f>V13+Y13</f>
        <v>649898.77</v>
      </c>
      <c r="AA13" s="858">
        <f>Y13*0.5</f>
        <v>0</v>
      </c>
      <c r="AB13" s="875"/>
      <c r="AI13" s="909"/>
    </row>
    <row r="14" spans="2:35" ht="14.25" customHeight="1">
      <c r="B14" s="819" t="s">
        <v>487</v>
      </c>
      <c r="C14" s="820" t="s">
        <v>464</v>
      </c>
      <c r="D14" s="821" t="s">
        <v>465</v>
      </c>
      <c r="E14" s="822" t="s">
        <v>459</v>
      </c>
      <c r="F14" s="877"/>
      <c r="G14" s="1"/>
      <c r="H14" s="2"/>
      <c r="I14" s="2"/>
      <c r="J14" s="1"/>
      <c r="K14" s="1"/>
      <c r="L14" s="1"/>
      <c r="M14" s="1"/>
      <c r="N14" s="876"/>
      <c r="O14" s="42"/>
      <c r="P14" s="2"/>
      <c r="Q14" s="878"/>
      <c r="R14" s="879"/>
      <c r="S14" s="841" t="s">
        <v>468</v>
      </c>
      <c r="T14" s="842">
        <v>2.1399999999999999E-2</v>
      </c>
      <c r="U14" s="855"/>
      <c r="V14" s="880"/>
      <c r="W14" s="886"/>
      <c r="X14" s="842"/>
      <c r="Y14" s="881"/>
      <c r="Z14" s="969"/>
      <c r="AA14" s="858"/>
      <c r="AB14" s="875"/>
      <c r="AH14" s="875"/>
      <c r="AI14" s="875"/>
    </row>
    <row r="15" spans="2:35" ht="15" customHeight="1">
      <c r="B15" s="898" t="s">
        <v>472</v>
      </c>
      <c r="C15" s="844">
        <v>411814.7</v>
      </c>
      <c r="D15" s="844">
        <f>C15*(1+F1)</f>
        <v>423030.85303643724</v>
      </c>
      <c r="E15" s="845">
        <f>D15-C15</f>
        <v>11216.15303643723</v>
      </c>
      <c r="F15" s="846">
        <v>2121</v>
      </c>
      <c r="G15" s="910" t="s">
        <v>473</v>
      </c>
      <c r="H15" s="911" t="s">
        <v>472</v>
      </c>
      <c r="I15" s="911" t="s">
        <v>488</v>
      </c>
      <c r="J15" s="910" t="s">
        <v>489</v>
      </c>
      <c r="K15" s="912">
        <v>411814.7</v>
      </c>
      <c r="L15" s="1"/>
      <c r="M15" s="1"/>
      <c r="N15" s="913" t="s">
        <v>473</v>
      </c>
      <c r="O15" s="914" t="s">
        <v>472</v>
      </c>
      <c r="P15" s="915" t="s">
        <v>488</v>
      </c>
      <c r="Q15" s="916" t="s">
        <v>489</v>
      </c>
      <c r="R15" s="872">
        <f>'[21]FY18 Spend'!L23</f>
        <v>374893.8</v>
      </c>
      <c r="S15" s="1"/>
      <c r="T15" s="854">
        <f>R15*(1+T14)</f>
        <v>382916.52731999999</v>
      </c>
      <c r="U15" s="855">
        <f t="shared" si="0"/>
        <v>8022.7273200000054</v>
      </c>
      <c r="V15" s="917">
        <v>290024.46000000002</v>
      </c>
      <c r="W15" s="889"/>
      <c r="X15" s="842">
        <f>'1. O&amp;M Model '!V18</f>
        <v>0</v>
      </c>
      <c r="Y15" s="857">
        <f>V15*X15</f>
        <v>0</v>
      </c>
      <c r="Z15" s="970">
        <f>V15+Y15</f>
        <v>290024.46000000002</v>
      </c>
      <c r="AA15" s="858">
        <f>Y15*0.5</f>
        <v>0</v>
      </c>
      <c r="AB15" s="873"/>
      <c r="AH15" s="918"/>
      <c r="AI15" s="875"/>
    </row>
    <row r="16" spans="2:35" ht="15" customHeight="1" thickBot="1">
      <c r="B16" s="976" t="s">
        <v>87</v>
      </c>
      <c r="C16" s="971"/>
      <c r="D16" s="971"/>
      <c r="E16" s="971"/>
      <c r="F16" s="972"/>
      <c r="G16" s="960"/>
      <c r="H16" s="961"/>
      <c r="I16" s="961"/>
      <c r="J16" s="960"/>
      <c r="K16" s="973"/>
      <c r="L16" s="904"/>
      <c r="M16" s="904"/>
      <c r="N16" s="910" t="s">
        <v>483</v>
      </c>
      <c r="O16" s="974" t="s">
        <v>87</v>
      </c>
      <c r="P16" s="961">
        <v>3253</v>
      </c>
      <c r="Q16" s="975" t="s">
        <v>490</v>
      </c>
      <c r="R16" s="973"/>
      <c r="S16" s="904"/>
      <c r="T16" s="905"/>
      <c r="U16" s="906"/>
      <c r="V16" s="908">
        <v>42757.08</v>
      </c>
      <c r="W16" s="889"/>
      <c r="X16" s="981">
        <f>'1. O&amp;M Model '!V18</f>
        <v>0</v>
      </c>
      <c r="Y16" s="857">
        <f>V16*X16</f>
        <v>0</v>
      </c>
      <c r="Z16" s="970">
        <f>V16+Y16</f>
        <v>42757.08</v>
      </c>
      <c r="AA16" s="858">
        <f>Y16*0.5</f>
        <v>0</v>
      </c>
      <c r="AH16" s="918"/>
      <c r="AI16" s="875"/>
    </row>
    <row r="17" spans="2:35" ht="15" customHeight="1" thickBot="1">
      <c r="B17" s="945" t="s">
        <v>497</v>
      </c>
      <c r="C17" s="919"/>
      <c r="D17" s="919"/>
      <c r="E17" s="919"/>
      <c r="F17" s="920"/>
      <c r="G17" s="921"/>
      <c r="H17" s="922"/>
      <c r="I17" s="922"/>
      <c r="J17" s="921"/>
      <c r="K17" s="923"/>
      <c r="L17" s="924"/>
      <c r="M17" s="924"/>
      <c r="N17" s="978"/>
      <c r="O17" s="979"/>
      <c r="P17" s="980"/>
      <c r="Q17" s="978"/>
      <c r="R17" s="923"/>
      <c r="S17" s="924"/>
      <c r="T17" s="926"/>
      <c r="U17" s="870"/>
      <c r="V17" s="880"/>
      <c r="W17" s="886"/>
      <c r="X17" s="981"/>
      <c r="Y17" s="881"/>
      <c r="Z17" s="985"/>
      <c r="AA17" s="986"/>
      <c r="AH17" s="918"/>
      <c r="AI17" s="875"/>
    </row>
    <row r="18" spans="2:35" ht="15" customHeight="1" thickBot="1">
      <c r="B18" s="977" t="s">
        <v>474</v>
      </c>
      <c r="C18" s="919"/>
      <c r="D18" s="919"/>
      <c r="E18" s="919"/>
      <c r="F18" s="920"/>
      <c r="G18" s="921"/>
      <c r="H18" s="922"/>
      <c r="I18" s="922"/>
      <c r="J18" s="921"/>
      <c r="K18" s="923"/>
      <c r="L18" s="924"/>
      <c r="M18" s="924"/>
      <c r="N18" s="921" t="s">
        <v>498</v>
      </c>
      <c r="O18" s="925" t="s">
        <v>564</v>
      </c>
      <c r="P18" s="922">
        <v>2281</v>
      </c>
      <c r="Q18" s="921"/>
      <c r="R18" s="923"/>
      <c r="S18" s="924"/>
      <c r="T18" s="926"/>
      <c r="U18" s="870"/>
      <c r="V18" s="927">
        <v>2704626.74</v>
      </c>
      <c r="W18" s="928"/>
      <c r="X18" s="1061">
        <f>'6. BI Community Outreach'!E26</f>
        <v>0</v>
      </c>
      <c r="Y18" s="987">
        <f>V18*X18</f>
        <v>0</v>
      </c>
      <c r="Z18" s="923">
        <f>Y18+V18</f>
        <v>2704626.74</v>
      </c>
      <c r="AA18" s="929">
        <f>Y18/2</f>
        <v>0</v>
      </c>
      <c r="AH18" s="918"/>
      <c r="AI18" s="875"/>
    </row>
    <row r="19" spans="2:35" ht="15" customHeight="1" thickBot="1">
      <c r="B19" s="930"/>
      <c r="C19" s="825"/>
      <c r="D19" s="825"/>
      <c r="E19" s="825"/>
      <c r="F19" s="825"/>
      <c r="G19" s="825"/>
      <c r="H19" s="931"/>
      <c r="I19" s="931"/>
      <c r="J19" s="825"/>
      <c r="K19" s="932">
        <f>SUM(K6:K15)</f>
        <v>4528959.8899999997</v>
      </c>
      <c r="L19" s="825"/>
      <c r="M19" s="825"/>
      <c r="N19" s="930"/>
      <c r="O19" s="931"/>
      <c r="P19" s="931"/>
      <c r="Q19" s="825"/>
      <c r="R19" s="933">
        <f>SUM(R6:R15)</f>
        <v>5441784.1800000006</v>
      </c>
      <c r="S19" s="825"/>
      <c r="T19" s="825"/>
      <c r="U19" s="934">
        <f>SUM(U6:U15)</f>
        <v>87344.901251000047</v>
      </c>
      <c r="V19" s="935">
        <f>SUM(V6:V18)</f>
        <v>9695185.0399999991</v>
      </c>
      <c r="W19" s="935"/>
      <c r="X19" s="936"/>
      <c r="Y19" s="937">
        <f>SUM(Y6:Y18)</f>
        <v>419870.63016430259</v>
      </c>
      <c r="Z19" s="938">
        <f>SUM(Z6:Z18)</f>
        <v>10115055.670164302</v>
      </c>
      <c r="AA19" s="939">
        <f>SUM(AA6:AA18)</f>
        <v>209935.3150821513</v>
      </c>
      <c r="AI19" s="875"/>
    </row>
    <row r="20" spans="2:35" ht="15" customHeight="1" thickBot="1">
      <c r="B20" s="1"/>
      <c r="C20" s="1"/>
      <c r="D20" s="1"/>
      <c r="E20" s="1"/>
      <c r="F20" s="1"/>
      <c r="G20" s="1"/>
      <c r="H20" s="2"/>
      <c r="I20" s="2"/>
      <c r="J20" s="1"/>
      <c r="K20" s="1"/>
      <c r="L20" s="1"/>
      <c r="M20" s="1"/>
      <c r="N20" s="1"/>
      <c r="O20" s="1"/>
      <c r="P20" s="1"/>
      <c r="Q20" s="1"/>
      <c r="R20" s="941"/>
      <c r="S20" s="1"/>
      <c r="U20" s="942">
        <f>U19/R19</f>
        <v>1.6050783780072665E-2</v>
      </c>
      <c r="V20" s="941"/>
      <c r="W20" s="1"/>
      <c r="X20" s="1223" t="s">
        <v>491</v>
      </c>
      <c r="Y20" s="1224"/>
      <c r="Z20" s="1225"/>
    </row>
    <row r="21" spans="2:35" ht="45" customHeight="1">
      <c r="B21" s="943" t="s">
        <v>492</v>
      </c>
      <c r="C21" s="989" t="s">
        <v>464</v>
      </c>
      <c r="D21" s="989" t="s">
        <v>465</v>
      </c>
      <c r="E21" s="989" t="s">
        <v>493</v>
      </c>
      <c r="F21" s="989" t="s">
        <v>494</v>
      </c>
      <c r="G21" s="990"/>
      <c r="H21" s="991"/>
      <c r="I21" s="991"/>
      <c r="J21" s="990"/>
      <c r="K21" s="990"/>
      <c r="L21" s="990"/>
      <c r="M21" s="990"/>
      <c r="N21" s="944" t="s">
        <v>569</v>
      </c>
      <c r="O21" s="819" t="s">
        <v>470</v>
      </c>
      <c r="P21" s="945" t="s">
        <v>471</v>
      </c>
      <c r="Q21" s="946" t="s">
        <v>566</v>
      </c>
      <c r="R21" s="947"/>
      <c r="S21" s="948"/>
      <c r="T21" s="948"/>
      <c r="U21" s="949" t="s">
        <v>494</v>
      </c>
    </row>
    <row r="22" spans="2:35" ht="15" customHeight="1">
      <c r="B22" s="992" t="s">
        <v>564</v>
      </c>
      <c r="C22" s="950">
        <v>4165963</v>
      </c>
      <c r="D22" s="950">
        <v>4279426.8432094222</v>
      </c>
      <c r="E22" s="950">
        <v>113463.84320942219</v>
      </c>
      <c r="F22" s="950">
        <v>56731.921604711097</v>
      </c>
      <c r="G22" s="951"/>
      <c r="H22" s="952"/>
      <c r="I22" s="952"/>
      <c r="J22" s="951"/>
      <c r="K22" s="951"/>
      <c r="L22" s="951"/>
      <c r="M22" s="951"/>
      <c r="N22" s="953">
        <f>V18+V6+V9</f>
        <v>8480905.8499999996</v>
      </c>
      <c r="O22" s="954">
        <f>Y6+Y9+Y18</f>
        <v>418036.30947132967</v>
      </c>
      <c r="P22" s="954">
        <f>N22+O22</f>
        <v>8898942.1594713293</v>
      </c>
      <c r="Q22" s="993">
        <f>O22*0.5</f>
        <v>209018.15473566484</v>
      </c>
      <c r="R22" s="955"/>
      <c r="S22" s="955"/>
      <c r="T22" s="956"/>
      <c r="U22" s="956"/>
      <c r="V22" s="940">
        <f t="shared" ref="V22:V23" si="2">(P22-N22)/N22</f>
        <v>4.9291469197400614E-2</v>
      </c>
    </row>
    <row r="23" spans="2:35" ht="15" customHeight="1">
      <c r="B23" s="994" t="s">
        <v>472</v>
      </c>
      <c r="C23" s="950">
        <v>1191801</v>
      </c>
      <c r="D23" s="950">
        <v>1247168.881137775</v>
      </c>
      <c r="E23" s="950">
        <v>55367.881137775024</v>
      </c>
      <c r="F23" s="950">
        <v>27683.940568887512</v>
      </c>
      <c r="G23" s="951"/>
      <c r="H23" s="952"/>
      <c r="I23" s="952"/>
      <c r="J23" s="951"/>
      <c r="K23" s="951"/>
      <c r="L23" s="951"/>
      <c r="M23" s="951"/>
      <c r="N23" s="953">
        <f>V7+V13+V15</f>
        <v>965269.23</v>
      </c>
      <c r="O23" s="953">
        <f>Y7+Y13+Y15</f>
        <v>1834.3206929729408</v>
      </c>
      <c r="P23" s="953">
        <f>N23+O23</f>
        <v>967103.55069297296</v>
      </c>
      <c r="Q23" s="993">
        <f>O23*0.5</f>
        <v>917.16034648647042</v>
      </c>
      <c r="V23" s="940">
        <f t="shared" si="2"/>
        <v>1.9003202795275869E-3</v>
      </c>
      <c r="AB23" s="957"/>
      <c r="AD23" s="958"/>
    </row>
    <row r="24" spans="2:35" ht="15" customHeight="1" thickBot="1">
      <c r="B24" s="995" t="s">
        <v>87</v>
      </c>
      <c r="C24" s="959">
        <v>192725</v>
      </c>
      <c r="D24" s="959">
        <v>196902.0778301415</v>
      </c>
      <c r="E24" s="959">
        <v>4177.0778301414903</v>
      </c>
      <c r="F24" s="959">
        <v>2088.5389150707451</v>
      </c>
      <c r="G24" s="960" t="s">
        <v>473</v>
      </c>
      <c r="H24" s="961" t="s">
        <v>472</v>
      </c>
      <c r="I24" s="961" t="s">
        <v>495</v>
      </c>
      <c r="J24" s="960" t="s">
        <v>496</v>
      </c>
      <c r="K24" s="962">
        <v>55901.760000000002</v>
      </c>
      <c r="L24" s="963"/>
      <c r="M24" s="963"/>
      <c r="N24" s="1002">
        <f>V16+V11</f>
        <v>249009.96000000002</v>
      </c>
      <c r="O24" s="1002">
        <f>Y11+Y16</f>
        <v>0</v>
      </c>
      <c r="P24" s="1002">
        <f>N24+O24</f>
        <v>249009.96000000002</v>
      </c>
      <c r="Q24" s="1003">
        <f>O24*0.5</f>
        <v>0</v>
      </c>
      <c r="R24" s="963"/>
      <c r="S24" s="963"/>
      <c r="T24" s="904"/>
      <c r="U24" s="904"/>
      <c r="V24" s="940">
        <f>(P24-N24)/N24</f>
        <v>0</v>
      </c>
    </row>
    <row r="25" spans="2:35" ht="15" customHeight="1" thickTop="1" thickBot="1">
      <c r="B25" s="996"/>
      <c r="C25" s="997"/>
      <c r="D25" s="997"/>
      <c r="E25" s="997"/>
      <c r="F25" s="997"/>
      <c r="G25" s="997"/>
      <c r="H25" s="998"/>
      <c r="I25" s="998"/>
      <c r="J25" s="997"/>
      <c r="K25" s="997"/>
      <c r="L25" s="997"/>
      <c r="M25" s="997"/>
      <c r="N25" s="999">
        <f>SUM(N22:N24)</f>
        <v>9695185.040000001</v>
      </c>
      <c r="O25" s="999">
        <f>SUM(O22:O24)</f>
        <v>419870.63016430259</v>
      </c>
      <c r="P25" s="1000">
        <f>SUM(P22:P24)</f>
        <v>10115055.670164304</v>
      </c>
      <c r="Q25" s="1001">
        <f>O25*0.5</f>
        <v>209935.3150821513</v>
      </c>
      <c r="V25" s="940">
        <f>(P25-N25)/N25</f>
        <v>4.3307129098827682E-2</v>
      </c>
    </row>
    <row r="27" spans="2:35" ht="15" customHeight="1">
      <c r="O27">
        <v>25437</v>
      </c>
    </row>
    <row r="28" spans="2:35" ht="15" customHeight="1">
      <c r="O28" s="1130">
        <f>O27/N24</f>
        <v>0.10215254040440791</v>
      </c>
    </row>
  </sheetData>
  <mergeCells count="3">
    <mergeCell ref="G4:K4"/>
    <mergeCell ref="N4:R4"/>
    <mergeCell ref="X20:Z20"/>
  </mergeCells>
  <pageMargins left="0.25" right="0.25" top="0.75" bottom="0.75" header="0.3" footer="0.3"/>
  <pageSetup scale="63"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5203-2C32-4563-B101-FFBD698C5675}">
  <sheetPr>
    <pageSetUpPr fitToPage="1"/>
  </sheetPr>
  <dimension ref="B1:L60"/>
  <sheetViews>
    <sheetView showGridLines="0" topLeftCell="A6" zoomScale="50" zoomScaleNormal="50" workbookViewId="0">
      <selection activeCell="B21" sqref="B21"/>
    </sheetView>
  </sheetViews>
  <sheetFormatPr defaultRowHeight="26.25"/>
  <cols>
    <col min="1" max="1" width="5.5703125" style="697" customWidth="1"/>
    <col min="2" max="2" width="78.7109375" style="697" customWidth="1"/>
    <col min="3" max="3" width="25.85546875" style="697" customWidth="1"/>
    <col min="4" max="4" width="71.5703125" style="697" customWidth="1"/>
    <col min="5" max="5" width="69.140625" style="699" customWidth="1"/>
    <col min="6" max="6" width="46.140625" style="699" customWidth="1"/>
    <col min="7" max="7" width="9.140625" style="697"/>
    <col min="8" max="8" width="20.28515625" style="697" customWidth="1"/>
    <col min="9" max="9" width="16.28515625" style="697" customWidth="1"/>
    <col min="10" max="10" width="27.5703125" style="697" bestFit="1" customWidth="1"/>
    <col min="11" max="11" width="11.28515625" style="697" bestFit="1" customWidth="1"/>
    <col min="12" max="230" width="9.140625" style="697"/>
    <col min="231" max="231" width="5.5703125" style="697" customWidth="1"/>
    <col min="232" max="232" width="58" style="697" customWidth="1"/>
    <col min="233" max="233" width="24.140625" style="697" customWidth="1"/>
    <col min="234" max="235" width="0" style="697" hidden="1" customWidth="1"/>
    <col min="236" max="236" width="61.42578125" style="697" customWidth="1"/>
    <col min="237" max="237" width="62.140625" style="697" customWidth="1"/>
    <col min="238" max="241" width="0" style="697" hidden="1" customWidth="1"/>
    <col min="242" max="486" width="9.140625" style="697"/>
    <col min="487" max="487" width="5.5703125" style="697" customWidth="1"/>
    <col min="488" max="488" width="58" style="697" customWidth="1"/>
    <col min="489" max="489" width="24.140625" style="697" customWidth="1"/>
    <col min="490" max="491" width="0" style="697" hidden="1" customWidth="1"/>
    <col min="492" max="492" width="61.42578125" style="697" customWidth="1"/>
    <col min="493" max="493" width="62.140625" style="697" customWidth="1"/>
    <col min="494" max="497" width="0" style="697" hidden="1" customWidth="1"/>
    <col min="498" max="742" width="9.140625" style="697"/>
    <col min="743" max="743" width="5.5703125" style="697" customWidth="1"/>
    <col min="744" max="744" width="58" style="697" customWidth="1"/>
    <col min="745" max="745" width="24.140625" style="697" customWidth="1"/>
    <col min="746" max="747" width="0" style="697" hidden="1" customWidth="1"/>
    <col min="748" max="748" width="61.42578125" style="697" customWidth="1"/>
    <col min="749" max="749" width="62.140625" style="697" customWidth="1"/>
    <col min="750" max="753" width="0" style="697" hidden="1" customWidth="1"/>
    <col min="754" max="998" width="9.140625" style="697"/>
    <col min="999" max="999" width="5.5703125" style="697" customWidth="1"/>
    <col min="1000" max="1000" width="58" style="697" customWidth="1"/>
    <col min="1001" max="1001" width="24.140625" style="697" customWidth="1"/>
    <col min="1002" max="1003" width="0" style="697" hidden="1" customWidth="1"/>
    <col min="1004" max="1004" width="61.42578125" style="697" customWidth="1"/>
    <col min="1005" max="1005" width="62.140625" style="697" customWidth="1"/>
    <col min="1006" max="1009" width="0" style="697" hidden="1" customWidth="1"/>
    <col min="1010" max="1254" width="9.140625" style="697"/>
    <col min="1255" max="1255" width="5.5703125" style="697" customWidth="1"/>
    <col min="1256" max="1256" width="58" style="697" customWidth="1"/>
    <col min="1257" max="1257" width="24.140625" style="697" customWidth="1"/>
    <col min="1258" max="1259" width="0" style="697" hidden="1" customWidth="1"/>
    <col min="1260" max="1260" width="61.42578125" style="697" customWidth="1"/>
    <col min="1261" max="1261" width="62.140625" style="697" customWidth="1"/>
    <col min="1262" max="1265" width="0" style="697" hidden="1" customWidth="1"/>
    <col min="1266" max="1510" width="9.140625" style="697"/>
    <col min="1511" max="1511" width="5.5703125" style="697" customWidth="1"/>
    <col min="1512" max="1512" width="58" style="697" customWidth="1"/>
    <col min="1513" max="1513" width="24.140625" style="697" customWidth="1"/>
    <col min="1514" max="1515" width="0" style="697" hidden="1" customWidth="1"/>
    <col min="1516" max="1516" width="61.42578125" style="697" customWidth="1"/>
    <col min="1517" max="1517" width="62.140625" style="697" customWidth="1"/>
    <col min="1518" max="1521" width="0" style="697" hidden="1" customWidth="1"/>
    <col min="1522" max="1766" width="9.140625" style="697"/>
    <col min="1767" max="1767" width="5.5703125" style="697" customWidth="1"/>
    <col min="1768" max="1768" width="58" style="697" customWidth="1"/>
    <col min="1769" max="1769" width="24.140625" style="697" customWidth="1"/>
    <col min="1770" max="1771" width="0" style="697" hidden="1" customWidth="1"/>
    <col min="1772" max="1772" width="61.42578125" style="697" customWidth="1"/>
    <col min="1773" max="1773" width="62.140625" style="697" customWidth="1"/>
    <col min="1774" max="1777" width="0" style="697" hidden="1" customWidth="1"/>
    <col min="1778" max="2022" width="9.140625" style="697"/>
    <col min="2023" max="2023" width="5.5703125" style="697" customWidth="1"/>
    <col min="2024" max="2024" width="58" style="697" customWidth="1"/>
    <col min="2025" max="2025" width="24.140625" style="697" customWidth="1"/>
    <col min="2026" max="2027" width="0" style="697" hidden="1" customWidth="1"/>
    <col min="2028" max="2028" width="61.42578125" style="697" customWidth="1"/>
    <col min="2029" max="2029" width="62.140625" style="697" customWidth="1"/>
    <col min="2030" max="2033" width="0" style="697" hidden="1" customWidth="1"/>
    <col min="2034" max="2278" width="9.140625" style="697"/>
    <col min="2279" max="2279" width="5.5703125" style="697" customWidth="1"/>
    <col min="2280" max="2280" width="58" style="697" customWidth="1"/>
    <col min="2281" max="2281" width="24.140625" style="697" customWidth="1"/>
    <col min="2282" max="2283" width="0" style="697" hidden="1" customWidth="1"/>
    <col min="2284" max="2284" width="61.42578125" style="697" customWidth="1"/>
    <col min="2285" max="2285" width="62.140625" style="697" customWidth="1"/>
    <col min="2286" max="2289" width="0" style="697" hidden="1" customWidth="1"/>
    <col min="2290" max="2534" width="9.140625" style="697"/>
    <col min="2535" max="2535" width="5.5703125" style="697" customWidth="1"/>
    <col min="2536" max="2536" width="58" style="697" customWidth="1"/>
    <col min="2537" max="2537" width="24.140625" style="697" customWidth="1"/>
    <col min="2538" max="2539" width="0" style="697" hidden="1" customWidth="1"/>
    <col min="2540" max="2540" width="61.42578125" style="697" customWidth="1"/>
    <col min="2541" max="2541" width="62.140625" style="697" customWidth="1"/>
    <col min="2542" max="2545" width="0" style="697" hidden="1" customWidth="1"/>
    <col min="2546" max="2790" width="9.140625" style="697"/>
    <col min="2791" max="2791" width="5.5703125" style="697" customWidth="1"/>
    <col min="2792" max="2792" width="58" style="697" customWidth="1"/>
    <col min="2793" max="2793" width="24.140625" style="697" customWidth="1"/>
    <col min="2794" max="2795" width="0" style="697" hidden="1" customWidth="1"/>
    <col min="2796" max="2796" width="61.42578125" style="697" customWidth="1"/>
    <col min="2797" max="2797" width="62.140625" style="697" customWidth="1"/>
    <col min="2798" max="2801" width="0" style="697" hidden="1" customWidth="1"/>
    <col min="2802" max="3046" width="9.140625" style="697"/>
    <col min="3047" max="3047" width="5.5703125" style="697" customWidth="1"/>
    <col min="3048" max="3048" width="58" style="697" customWidth="1"/>
    <col min="3049" max="3049" width="24.140625" style="697" customWidth="1"/>
    <col min="3050" max="3051" width="0" style="697" hidden="1" customWidth="1"/>
    <col min="3052" max="3052" width="61.42578125" style="697" customWidth="1"/>
    <col min="3053" max="3053" width="62.140625" style="697" customWidth="1"/>
    <col min="3054" max="3057" width="0" style="697" hidden="1" customWidth="1"/>
    <col min="3058" max="3302" width="9.140625" style="697"/>
    <col min="3303" max="3303" width="5.5703125" style="697" customWidth="1"/>
    <col min="3304" max="3304" width="58" style="697" customWidth="1"/>
    <col min="3305" max="3305" width="24.140625" style="697" customWidth="1"/>
    <col min="3306" max="3307" width="0" style="697" hidden="1" customWidth="1"/>
    <col min="3308" max="3308" width="61.42578125" style="697" customWidth="1"/>
    <col min="3309" max="3309" width="62.140625" style="697" customWidth="1"/>
    <col min="3310" max="3313" width="0" style="697" hidden="1" customWidth="1"/>
    <col min="3314" max="3558" width="9.140625" style="697"/>
    <col min="3559" max="3559" width="5.5703125" style="697" customWidth="1"/>
    <col min="3560" max="3560" width="58" style="697" customWidth="1"/>
    <col min="3561" max="3561" width="24.140625" style="697" customWidth="1"/>
    <col min="3562" max="3563" width="0" style="697" hidden="1" customWidth="1"/>
    <col min="3564" max="3564" width="61.42578125" style="697" customWidth="1"/>
    <col min="3565" max="3565" width="62.140625" style="697" customWidth="1"/>
    <col min="3566" max="3569" width="0" style="697" hidden="1" customWidth="1"/>
    <col min="3570" max="3814" width="9.140625" style="697"/>
    <col min="3815" max="3815" width="5.5703125" style="697" customWidth="1"/>
    <col min="3816" max="3816" width="58" style="697" customWidth="1"/>
    <col min="3817" max="3817" width="24.140625" style="697" customWidth="1"/>
    <col min="3818" max="3819" width="0" style="697" hidden="1" customWidth="1"/>
    <col min="3820" max="3820" width="61.42578125" style="697" customWidth="1"/>
    <col min="3821" max="3821" width="62.140625" style="697" customWidth="1"/>
    <col min="3822" max="3825" width="0" style="697" hidden="1" customWidth="1"/>
    <col min="3826" max="4070" width="9.140625" style="697"/>
    <col min="4071" max="4071" width="5.5703125" style="697" customWidth="1"/>
    <col min="4072" max="4072" width="58" style="697" customWidth="1"/>
    <col min="4073" max="4073" width="24.140625" style="697" customWidth="1"/>
    <col min="4074" max="4075" width="0" style="697" hidden="1" customWidth="1"/>
    <col min="4076" max="4076" width="61.42578125" style="697" customWidth="1"/>
    <col min="4077" max="4077" width="62.140625" style="697" customWidth="1"/>
    <col min="4078" max="4081" width="0" style="697" hidden="1" customWidth="1"/>
    <col min="4082" max="4326" width="9.140625" style="697"/>
    <col min="4327" max="4327" width="5.5703125" style="697" customWidth="1"/>
    <col min="4328" max="4328" width="58" style="697" customWidth="1"/>
    <col min="4329" max="4329" width="24.140625" style="697" customWidth="1"/>
    <col min="4330" max="4331" width="0" style="697" hidden="1" customWidth="1"/>
    <col min="4332" max="4332" width="61.42578125" style="697" customWidth="1"/>
    <col min="4333" max="4333" width="62.140625" style="697" customWidth="1"/>
    <col min="4334" max="4337" width="0" style="697" hidden="1" customWidth="1"/>
    <col min="4338" max="4582" width="9.140625" style="697"/>
    <col min="4583" max="4583" width="5.5703125" style="697" customWidth="1"/>
    <col min="4584" max="4584" width="58" style="697" customWidth="1"/>
    <col min="4585" max="4585" width="24.140625" style="697" customWidth="1"/>
    <col min="4586" max="4587" width="0" style="697" hidden="1" customWidth="1"/>
    <col min="4588" max="4588" width="61.42578125" style="697" customWidth="1"/>
    <col min="4589" max="4589" width="62.140625" style="697" customWidth="1"/>
    <col min="4590" max="4593" width="0" style="697" hidden="1" customWidth="1"/>
    <col min="4594" max="4838" width="9.140625" style="697"/>
    <col min="4839" max="4839" width="5.5703125" style="697" customWidth="1"/>
    <col min="4840" max="4840" width="58" style="697" customWidth="1"/>
    <col min="4841" max="4841" width="24.140625" style="697" customWidth="1"/>
    <col min="4842" max="4843" width="0" style="697" hidden="1" customWidth="1"/>
    <col min="4844" max="4844" width="61.42578125" style="697" customWidth="1"/>
    <col min="4845" max="4845" width="62.140625" style="697" customWidth="1"/>
    <col min="4846" max="4849" width="0" style="697" hidden="1" customWidth="1"/>
    <col min="4850" max="5094" width="9.140625" style="697"/>
    <col min="5095" max="5095" width="5.5703125" style="697" customWidth="1"/>
    <col min="5096" max="5096" width="58" style="697" customWidth="1"/>
    <col min="5097" max="5097" width="24.140625" style="697" customWidth="1"/>
    <col min="5098" max="5099" width="0" style="697" hidden="1" customWidth="1"/>
    <col min="5100" max="5100" width="61.42578125" style="697" customWidth="1"/>
    <col min="5101" max="5101" width="62.140625" style="697" customWidth="1"/>
    <col min="5102" max="5105" width="0" style="697" hidden="1" customWidth="1"/>
    <col min="5106" max="5350" width="9.140625" style="697"/>
    <col min="5351" max="5351" width="5.5703125" style="697" customWidth="1"/>
    <col min="5352" max="5352" width="58" style="697" customWidth="1"/>
    <col min="5353" max="5353" width="24.140625" style="697" customWidth="1"/>
    <col min="5354" max="5355" width="0" style="697" hidden="1" customWidth="1"/>
    <col min="5356" max="5356" width="61.42578125" style="697" customWidth="1"/>
    <col min="5357" max="5357" width="62.140625" style="697" customWidth="1"/>
    <col min="5358" max="5361" width="0" style="697" hidden="1" customWidth="1"/>
    <col min="5362" max="5606" width="9.140625" style="697"/>
    <col min="5607" max="5607" width="5.5703125" style="697" customWidth="1"/>
    <col min="5608" max="5608" width="58" style="697" customWidth="1"/>
    <col min="5609" max="5609" width="24.140625" style="697" customWidth="1"/>
    <col min="5610" max="5611" width="0" style="697" hidden="1" customWidth="1"/>
    <col min="5612" max="5612" width="61.42578125" style="697" customWidth="1"/>
    <col min="5613" max="5613" width="62.140625" style="697" customWidth="1"/>
    <col min="5614" max="5617" width="0" style="697" hidden="1" customWidth="1"/>
    <col min="5618" max="5862" width="9.140625" style="697"/>
    <col min="5863" max="5863" width="5.5703125" style="697" customWidth="1"/>
    <col min="5864" max="5864" width="58" style="697" customWidth="1"/>
    <col min="5865" max="5865" width="24.140625" style="697" customWidth="1"/>
    <col min="5866" max="5867" width="0" style="697" hidden="1" customWidth="1"/>
    <col min="5868" max="5868" width="61.42578125" style="697" customWidth="1"/>
    <col min="5869" max="5869" width="62.140625" style="697" customWidth="1"/>
    <col min="5870" max="5873" width="0" style="697" hidden="1" customWidth="1"/>
    <col min="5874" max="6118" width="9.140625" style="697"/>
    <col min="6119" max="6119" width="5.5703125" style="697" customWidth="1"/>
    <col min="6120" max="6120" width="58" style="697" customWidth="1"/>
    <col min="6121" max="6121" width="24.140625" style="697" customWidth="1"/>
    <col min="6122" max="6123" width="0" style="697" hidden="1" customWidth="1"/>
    <col min="6124" max="6124" width="61.42578125" style="697" customWidth="1"/>
    <col min="6125" max="6125" width="62.140625" style="697" customWidth="1"/>
    <col min="6126" max="6129" width="0" style="697" hidden="1" customWidth="1"/>
    <col min="6130" max="6374" width="9.140625" style="697"/>
    <col min="6375" max="6375" width="5.5703125" style="697" customWidth="1"/>
    <col min="6376" max="6376" width="58" style="697" customWidth="1"/>
    <col min="6377" max="6377" width="24.140625" style="697" customWidth="1"/>
    <col min="6378" max="6379" width="0" style="697" hidden="1" customWidth="1"/>
    <col min="6380" max="6380" width="61.42578125" style="697" customWidth="1"/>
    <col min="6381" max="6381" width="62.140625" style="697" customWidth="1"/>
    <col min="6382" max="6385" width="0" style="697" hidden="1" customWidth="1"/>
    <col min="6386" max="6630" width="9.140625" style="697"/>
    <col min="6631" max="6631" width="5.5703125" style="697" customWidth="1"/>
    <col min="6632" max="6632" width="58" style="697" customWidth="1"/>
    <col min="6633" max="6633" width="24.140625" style="697" customWidth="1"/>
    <col min="6634" max="6635" width="0" style="697" hidden="1" customWidth="1"/>
    <col min="6636" max="6636" width="61.42578125" style="697" customWidth="1"/>
    <col min="6637" max="6637" width="62.140625" style="697" customWidth="1"/>
    <col min="6638" max="6641" width="0" style="697" hidden="1" customWidth="1"/>
    <col min="6642" max="6886" width="9.140625" style="697"/>
    <col min="6887" max="6887" width="5.5703125" style="697" customWidth="1"/>
    <col min="6888" max="6888" width="58" style="697" customWidth="1"/>
    <col min="6889" max="6889" width="24.140625" style="697" customWidth="1"/>
    <col min="6890" max="6891" width="0" style="697" hidden="1" customWidth="1"/>
    <col min="6892" max="6892" width="61.42578125" style="697" customWidth="1"/>
    <col min="6893" max="6893" width="62.140625" style="697" customWidth="1"/>
    <col min="6894" max="6897" width="0" style="697" hidden="1" customWidth="1"/>
    <col min="6898" max="7142" width="9.140625" style="697"/>
    <col min="7143" max="7143" width="5.5703125" style="697" customWidth="1"/>
    <col min="7144" max="7144" width="58" style="697" customWidth="1"/>
    <col min="7145" max="7145" width="24.140625" style="697" customWidth="1"/>
    <col min="7146" max="7147" width="0" style="697" hidden="1" customWidth="1"/>
    <col min="7148" max="7148" width="61.42578125" style="697" customWidth="1"/>
    <col min="7149" max="7149" width="62.140625" style="697" customWidth="1"/>
    <col min="7150" max="7153" width="0" style="697" hidden="1" customWidth="1"/>
    <col min="7154" max="7398" width="9.140625" style="697"/>
    <col min="7399" max="7399" width="5.5703125" style="697" customWidth="1"/>
    <col min="7400" max="7400" width="58" style="697" customWidth="1"/>
    <col min="7401" max="7401" width="24.140625" style="697" customWidth="1"/>
    <col min="7402" max="7403" width="0" style="697" hidden="1" customWidth="1"/>
    <col min="7404" max="7404" width="61.42578125" style="697" customWidth="1"/>
    <col min="7405" max="7405" width="62.140625" style="697" customWidth="1"/>
    <col min="7406" max="7409" width="0" style="697" hidden="1" customWidth="1"/>
    <col min="7410" max="7654" width="9.140625" style="697"/>
    <col min="7655" max="7655" width="5.5703125" style="697" customWidth="1"/>
    <col min="7656" max="7656" width="58" style="697" customWidth="1"/>
    <col min="7657" max="7657" width="24.140625" style="697" customWidth="1"/>
    <col min="7658" max="7659" width="0" style="697" hidden="1" customWidth="1"/>
    <col min="7660" max="7660" width="61.42578125" style="697" customWidth="1"/>
    <col min="7661" max="7661" width="62.140625" style="697" customWidth="1"/>
    <col min="7662" max="7665" width="0" style="697" hidden="1" customWidth="1"/>
    <col min="7666" max="7910" width="9.140625" style="697"/>
    <col min="7911" max="7911" width="5.5703125" style="697" customWidth="1"/>
    <col min="7912" max="7912" width="58" style="697" customWidth="1"/>
    <col min="7913" max="7913" width="24.140625" style="697" customWidth="1"/>
    <col min="7914" max="7915" width="0" style="697" hidden="1" customWidth="1"/>
    <col min="7916" max="7916" width="61.42578125" style="697" customWidth="1"/>
    <col min="7917" max="7917" width="62.140625" style="697" customWidth="1"/>
    <col min="7918" max="7921" width="0" style="697" hidden="1" customWidth="1"/>
    <col min="7922" max="8166" width="9.140625" style="697"/>
    <col min="8167" max="8167" width="5.5703125" style="697" customWidth="1"/>
    <col min="8168" max="8168" width="58" style="697" customWidth="1"/>
    <col min="8169" max="8169" width="24.140625" style="697" customWidth="1"/>
    <col min="8170" max="8171" width="0" style="697" hidden="1" customWidth="1"/>
    <col min="8172" max="8172" width="61.42578125" style="697" customWidth="1"/>
    <col min="8173" max="8173" width="62.140625" style="697" customWidth="1"/>
    <col min="8174" max="8177" width="0" style="697" hidden="1" customWidth="1"/>
    <col min="8178" max="8422" width="9.140625" style="697"/>
    <col min="8423" max="8423" width="5.5703125" style="697" customWidth="1"/>
    <col min="8424" max="8424" width="58" style="697" customWidth="1"/>
    <col min="8425" max="8425" width="24.140625" style="697" customWidth="1"/>
    <col min="8426" max="8427" width="0" style="697" hidden="1" customWidth="1"/>
    <col min="8428" max="8428" width="61.42578125" style="697" customWidth="1"/>
    <col min="8429" max="8429" width="62.140625" style="697" customWidth="1"/>
    <col min="8430" max="8433" width="0" style="697" hidden="1" customWidth="1"/>
    <col min="8434" max="8678" width="9.140625" style="697"/>
    <col min="8679" max="8679" width="5.5703125" style="697" customWidth="1"/>
    <col min="8680" max="8680" width="58" style="697" customWidth="1"/>
    <col min="8681" max="8681" width="24.140625" style="697" customWidth="1"/>
    <col min="8682" max="8683" width="0" style="697" hidden="1" customWidth="1"/>
    <col min="8684" max="8684" width="61.42578125" style="697" customWidth="1"/>
    <col min="8685" max="8685" width="62.140625" style="697" customWidth="1"/>
    <col min="8686" max="8689" width="0" style="697" hidden="1" customWidth="1"/>
    <col min="8690" max="8934" width="9.140625" style="697"/>
    <col min="8935" max="8935" width="5.5703125" style="697" customWidth="1"/>
    <col min="8936" max="8936" width="58" style="697" customWidth="1"/>
    <col min="8937" max="8937" width="24.140625" style="697" customWidth="1"/>
    <col min="8938" max="8939" width="0" style="697" hidden="1" customWidth="1"/>
    <col min="8940" max="8940" width="61.42578125" style="697" customWidth="1"/>
    <col min="8941" max="8941" width="62.140625" style="697" customWidth="1"/>
    <col min="8942" max="8945" width="0" style="697" hidden="1" customWidth="1"/>
    <col min="8946" max="9190" width="9.140625" style="697"/>
    <col min="9191" max="9191" width="5.5703125" style="697" customWidth="1"/>
    <col min="9192" max="9192" width="58" style="697" customWidth="1"/>
    <col min="9193" max="9193" width="24.140625" style="697" customWidth="1"/>
    <col min="9194" max="9195" width="0" style="697" hidden="1" customWidth="1"/>
    <col min="9196" max="9196" width="61.42578125" style="697" customWidth="1"/>
    <col min="9197" max="9197" width="62.140625" style="697" customWidth="1"/>
    <col min="9198" max="9201" width="0" style="697" hidden="1" customWidth="1"/>
    <col min="9202" max="9446" width="9.140625" style="697"/>
    <col min="9447" max="9447" width="5.5703125" style="697" customWidth="1"/>
    <col min="9448" max="9448" width="58" style="697" customWidth="1"/>
    <col min="9449" max="9449" width="24.140625" style="697" customWidth="1"/>
    <col min="9450" max="9451" width="0" style="697" hidden="1" customWidth="1"/>
    <col min="9452" max="9452" width="61.42578125" style="697" customWidth="1"/>
    <col min="9453" max="9453" width="62.140625" style="697" customWidth="1"/>
    <col min="9454" max="9457" width="0" style="697" hidden="1" customWidth="1"/>
    <col min="9458" max="9702" width="9.140625" style="697"/>
    <col min="9703" max="9703" width="5.5703125" style="697" customWidth="1"/>
    <col min="9704" max="9704" width="58" style="697" customWidth="1"/>
    <col min="9705" max="9705" width="24.140625" style="697" customWidth="1"/>
    <col min="9706" max="9707" width="0" style="697" hidden="1" customWidth="1"/>
    <col min="9708" max="9708" width="61.42578125" style="697" customWidth="1"/>
    <col min="9709" max="9709" width="62.140625" style="697" customWidth="1"/>
    <col min="9710" max="9713" width="0" style="697" hidden="1" customWidth="1"/>
    <col min="9714" max="9958" width="9.140625" style="697"/>
    <col min="9959" max="9959" width="5.5703125" style="697" customWidth="1"/>
    <col min="9960" max="9960" width="58" style="697" customWidth="1"/>
    <col min="9961" max="9961" width="24.140625" style="697" customWidth="1"/>
    <col min="9962" max="9963" width="0" style="697" hidden="1" customWidth="1"/>
    <col min="9964" max="9964" width="61.42578125" style="697" customWidth="1"/>
    <col min="9965" max="9965" width="62.140625" style="697" customWidth="1"/>
    <col min="9966" max="9969" width="0" style="697" hidden="1" customWidth="1"/>
    <col min="9970" max="10214" width="9.140625" style="697"/>
    <col min="10215" max="10215" width="5.5703125" style="697" customWidth="1"/>
    <col min="10216" max="10216" width="58" style="697" customWidth="1"/>
    <col min="10217" max="10217" width="24.140625" style="697" customWidth="1"/>
    <col min="10218" max="10219" width="0" style="697" hidden="1" customWidth="1"/>
    <col min="10220" max="10220" width="61.42578125" style="697" customWidth="1"/>
    <col min="10221" max="10221" width="62.140625" style="697" customWidth="1"/>
    <col min="10222" max="10225" width="0" style="697" hidden="1" customWidth="1"/>
    <col min="10226" max="10470" width="9.140625" style="697"/>
    <col min="10471" max="10471" width="5.5703125" style="697" customWidth="1"/>
    <col min="10472" max="10472" width="58" style="697" customWidth="1"/>
    <col min="10473" max="10473" width="24.140625" style="697" customWidth="1"/>
    <col min="10474" max="10475" width="0" style="697" hidden="1" customWidth="1"/>
    <col min="10476" max="10476" width="61.42578125" style="697" customWidth="1"/>
    <col min="10477" max="10477" width="62.140625" style="697" customWidth="1"/>
    <col min="10478" max="10481" width="0" style="697" hidden="1" customWidth="1"/>
    <col min="10482" max="10726" width="9.140625" style="697"/>
    <col min="10727" max="10727" width="5.5703125" style="697" customWidth="1"/>
    <col min="10728" max="10728" width="58" style="697" customWidth="1"/>
    <col min="10729" max="10729" width="24.140625" style="697" customWidth="1"/>
    <col min="10730" max="10731" width="0" style="697" hidden="1" customWidth="1"/>
    <col min="10732" max="10732" width="61.42578125" style="697" customWidth="1"/>
    <col min="10733" max="10733" width="62.140625" style="697" customWidth="1"/>
    <col min="10734" max="10737" width="0" style="697" hidden="1" customWidth="1"/>
    <col min="10738" max="10982" width="9.140625" style="697"/>
    <col min="10983" max="10983" width="5.5703125" style="697" customWidth="1"/>
    <col min="10984" max="10984" width="58" style="697" customWidth="1"/>
    <col min="10985" max="10985" width="24.140625" style="697" customWidth="1"/>
    <col min="10986" max="10987" width="0" style="697" hidden="1" customWidth="1"/>
    <col min="10988" max="10988" width="61.42578125" style="697" customWidth="1"/>
    <col min="10989" max="10989" width="62.140625" style="697" customWidth="1"/>
    <col min="10990" max="10993" width="0" style="697" hidden="1" customWidth="1"/>
    <col min="10994" max="11238" width="9.140625" style="697"/>
    <col min="11239" max="11239" width="5.5703125" style="697" customWidth="1"/>
    <col min="11240" max="11240" width="58" style="697" customWidth="1"/>
    <col min="11241" max="11241" width="24.140625" style="697" customWidth="1"/>
    <col min="11242" max="11243" width="0" style="697" hidden="1" customWidth="1"/>
    <col min="11244" max="11244" width="61.42578125" style="697" customWidth="1"/>
    <col min="11245" max="11245" width="62.140625" style="697" customWidth="1"/>
    <col min="11246" max="11249" width="0" style="697" hidden="1" customWidth="1"/>
    <col min="11250" max="11494" width="9.140625" style="697"/>
    <col min="11495" max="11495" width="5.5703125" style="697" customWidth="1"/>
    <col min="11496" max="11496" width="58" style="697" customWidth="1"/>
    <col min="11497" max="11497" width="24.140625" style="697" customWidth="1"/>
    <col min="11498" max="11499" width="0" style="697" hidden="1" customWidth="1"/>
    <col min="11500" max="11500" width="61.42578125" style="697" customWidth="1"/>
    <col min="11501" max="11501" width="62.140625" style="697" customWidth="1"/>
    <col min="11502" max="11505" width="0" style="697" hidden="1" customWidth="1"/>
    <col min="11506" max="11750" width="9.140625" style="697"/>
    <col min="11751" max="11751" width="5.5703125" style="697" customWidth="1"/>
    <col min="11752" max="11752" width="58" style="697" customWidth="1"/>
    <col min="11753" max="11753" width="24.140625" style="697" customWidth="1"/>
    <col min="11754" max="11755" width="0" style="697" hidden="1" customWidth="1"/>
    <col min="11756" max="11756" width="61.42578125" style="697" customWidth="1"/>
    <col min="11757" max="11757" width="62.140625" style="697" customWidth="1"/>
    <col min="11758" max="11761" width="0" style="697" hidden="1" customWidth="1"/>
    <col min="11762" max="12006" width="9.140625" style="697"/>
    <col min="12007" max="12007" width="5.5703125" style="697" customWidth="1"/>
    <col min="12008" max="12008" width="58" style="697" customWidth="1"/>
    <col min="12009" max="12009" width="24.140625" style="697" customWidth="1"/>
    <col min="12010" max="12011" width="0" style="697" hidden="1" customWidth="1"/>
    <col min="12012" max="12012" width="61.42578125" style="697" customWidth="1"/>
    <col min="12013" max="12013" width="62.140625" style="697" customWidth="1"/>
    <col min="12014" max="12017" width="0" style="697" hidden="1" customWidth="1"/>
    <col min="12018" max="12262" width="9.140625" style="697"/>
    <col min="12263" max="12263" width="5.5703125" style="697" customWidth="1"/>
    <col min="12264" max="12264" width="58" style="697" customWidth="1"/>
    <col min="12265" max="12265" width="24.140625" style="697" customWidth="1"/>
    <col min="12266" max="12267" width="0" style="697" hidden="1" customWidth="1"/>
    <col min="12268" max="12268" width="61.42578125" style="697" customWidth="1"/>
    <col min="12269" max="12269" width="62.140625" style="697" customWidth="1"/>
    <col min="12270" max="12273" width="0" style="697" hidden="1" customWidth="1"/>
    <col min="12274" max="12518" width="9.140625" style="697"/>
    <col min="12519" max="12519" width="5.5703125" style="697" customWidth="1"/>
    <col min="12520" max="12520" width="58" style="697" customWidth="1"/>
    <col min="12521" max="12521" width="24.140625" style="697" customWidth="1"/>
    <col min="12522" max="12523" width="0" style="697" hidden="1" customWidth="1"/>
    <col min="12524" max="12524" width="61.42578125" style="697" customWidth="1"/>
    <col min="12525" max="12525" width="62.140625" style="697" customWidth="1"/>
    <col min="12526" max="12529" width="0" style="697" hidden="1" customWidth="1"/>
    <col min="12530" max="12774" width="9.140625" style="697"/>
    <col min="12775" max="12775" width="5.5703125" style="697" customWidth="1"/>
    <col min="12776" max="12776" width="58" style="697" customWidth="1"/>
    <col min="12777" max="12777" width="24.140625" style="697" customWidth="1"/>
    <col min="12778" max="12779" width="0" style="697" hidden="1" customWidth="1"/>
    <col min="12780" max="12780" width="61.42578125" style="697" customWidth="1"/>
    <col min="12781" max="12781" width="62.140625" style="697" customWidth="1"/>
    <col min="12782" max="12785" width="0" style="697" hidden="1" customWidth="1"/>
    <col min="12786" max="13030" width="9.140625" style="697"/>
    <col min="13031" max="13031" width="5.5703125" style="697" customWidth="1"/>
    <col min="13032" max="13032" width="58" style="697" customWidth="1"/>
    <col min="13033" max="13033" width="24.140625" style="697" customWidth="1"/>
    <col min="13034" max="13035" width="0" style="697" hidden="1" customWidth="1"/>
    <col min="13036" max="13036" width="61.42578125" style="697" customWidth="1"/>
    <col min="13037" max="13037" width="62.140625" style="697" customWidth="1"/>
    <col min="13038" max="13041" width="0" style="697" hidden="1" customWidth="1"/>
    <col min="13042" max="13286" width="9.140625" style="697"/>
    <col min="13287" max="13287" width="5.5703125" style="697" customWidth="1"/>
    <col min="13288" max="13288" width="58" style="697" customWidth="1"/>
    <col min="13289" max="13289" width="24.140625" style="697" customWidth="1"/>
    <col min="13290" max="13291" width="0" style="697" hidden="1" customWidth="1"/>
    <col min="13292" max="13292" width="61.42578125" style="697" customWidth="1"/>
    <col min="13293" max="13293" width="62.140625" style="697" customWidth="1"/>
    <col min="13294" max="13297" width="0" style="697" hidden="1" customWidth="1"/>
    <col min="13298" max="13542" width="9.140625" style="697"/>
    <col min="13543" max="13543" width="5.5703125" style="697" customWidth="1"/>
    <col min="13544" max="13544" width="58" style="697" customWidth="1"/>
    <col min="13545" max="13545" width="24.140625" style="697" customWidth="1"/>
    <col min="13546" max="13547" width="0" style="697" hidden="1" customWidth="1"/>
    <col min="13548" max="13548" width="61.42578125" style="697" customWidth="1"/>
    <col min="13549" max="13549" width="62.140625" style="697" customWidth="1"/>
    <col min="13550" max="13553" width="0" style="697" hidden="1" customWidth="1"/>
    <col min="13554" max="13798" width="9.140625" style="697"/>
    <col min="13799" max="13799" width="5.5703125" style="697" customWidth="1"/>
    <col min="13800" max="13800" width="58" style="697" customWidth="1"/>
    <col min="13801" max="13801" width="24.140625" style="697" customWidth="1"/>
    <col min="13802" max="13803" width="0" style="697" hidden="1" customWidth="1"/>
    <col min="13804" max="13804" width="61.42578125" style="697" customWidth="1"/>
    <col min="13805" max="13805" width="62.140625" style="697" customWidth="1"/>
    <col min="13806" max="13809" width="0" style="697" hidden="1" customWidth="1"/>
    <col min="13810" max="14054" width="9.140625" style="697"/>
    <col min="14055" max="14055" width="5.5703125" style="697" customWidth="1"/>
    <col min="14056" max="14056" width="58" style="697" customWidth="1"/>
    <col min="14057" max="14057" width="24.140625" style="697" customWidth="1"/>
    <col min="14058" max="14059" width="0" style="697" hidden="1" customWidth="1"/>
    <col min="14060" max="14060" width="61.42578125" style="697" customWidth="1"/>
    <col min="14061" max="14061" width="62.140625" style="697" customWidth="1"/>
    <col min="14062" max="14065" width="0" style="697" hidden="1" customWidth="1"/>
    <col min="14066" max="14310" width="9.140625" style="697"/>
    <col min="14311" max="14311" width="5.5703125" style="697" customWidth="1"/>
    <col min="14312" max="14312" width="58" style="697" customWidth="1"/>
    <col min="14313" max="14313" width="24.140625" style="697" customWidth="1"/>
    <col min="14314" max="14315" width="0" style="697" hidden="1" customWidth="1"/>
    <col min="14316" max="14316" width="61.42578125" style="697" customWidth="1"/>
    <col min="14317" max="14317" width="62.140625" style="697" customWidth="1"/>
    <col min="14318" max="14321" width="0" style="697" hidden="1" customWidth="1"/>
    <col min="14322" max="14566" width="9.140625" style="697"/>
    <col min="14567" max="14567" width="5.5703125" style="697" customWidth="1"/>
    <col min="14568" max="14568" width="58" style="697" customWidth="1"/>
    <col min="14569" max="14569" width="24.140625" style="697" customWidth="1"/>
    <col min="14570" max="14571" width="0" style="697" hidden="1" customWidth="1"/>
    <col min="14572" max="14572" width="61.42578125" style="697" customWidth="1"/>
    <col min="14573" max="14573" width="62.140625" style="697" customWidth="1"/>
    <col min="14574" max="14577" width="0" style="697" hidden="1" customWidth="1"/>
    <col min="14578" max="14822" width="9.140625" style="697"/>
    <col min="14823" max="14823" width="5.5703125" style="697" customWidth="1"/>
    <col min="14824" max="14824" width="58" style="697" customWidth="1"/>
    <col min="14825" max="14825" width="24.140625" style="697" customWidth="1"/>
    <col min="14826" max="14827" width="0" style="697" hidden="1" customWidth="1"/>
    <col min="14828" max="14828" width="61.42578125" style="697" customWidth="1"/>
    <col min="14829" max="14829" width="62.140625" style="697" customWidth="1"/>
    <col min="14830" max="14833" width="0" style="697" hidden="1" customWidth="1"/>
    <col min="14834" max="15078" width="9.140625" style="697"/>
    <col min="15079" max="15079" width="5.5703125" style="697" customWidth="1"/>
    <col min="15080" max="15080" width="58" style="697" customWidth="1"/>
    <col min="15081" max="15081" width="24.140625" style="697" customWidth="1"/>
    <col min="15082" max="15083" width="0" style="697" hidden="1" customWidth="1"/>
    <col min="15084" max="15084" width="61.42578125" style="697" customWidth="1"/>
    <col min="15085" max="15085" width="62.140625" style="697" customWidth="1"/>
    <col min="15086" max="15089" width="0" style="697" hidden="1" customWidth="1"/>
    <col min="15090" max="15334" width="9.140625" style="697"/>
    <col min="15335" max="15335" width="5.5703125" style="697" customWidth="1"/>
    <col min="15336" max="15336" width="58" style="697" customWidth="1"/>
    <col min="15337" max="15337" width="24.140625" style="697" customWidth="1"/>
    <col min="15338" max="15339" width="0" style="697" hidden="1" customWidth="1"/>
    <col min="15340" max="15340" width="61.42578125" style="697" customWidth="1"/>
    <col min="15341" max="15341" width="62.140625" style="697" customWidth="1"/>
    <col min="15342" max="15345" width="0" style="697" hidden="1" customWidth="1"/>
    <col min="15346" max="15590" width="9.140625" style="697"/>
    <col min="15591" max="15591" width="5.5703125" style="697" customWidth="1"/>
    <col min="15592" max="15592" width="58" style="697" customWidth="1"/>
    <col min="15593" max="15593" width="24.140625" style="697" customWidth="1"/>
    <col min="15594" max="15595" width="0" style="697" hidden="1" customWidth="1"/>
    <col min="15596" max="15596" width="61.42578125" style="697" customWidth="1"/>
    <col min="15597" max="15597" width="62.140625" style="697" customWidth="1"/>
    <col min="15598" max="15601" width="0" style="697" hidden="1" customWidth="1"/>
    <col min="15602" max="15846" width="9.140625" style="697"/>
    <col min="15847" max="15847" width="5.5703125" style="697" customWidth="1"/>
    <col min="15848" max="15848" width="58" style="697" customWidth="1"/>
    <col min="15849" max="15849" width="24.140625" style="697" customWidth="1"/>
    <col min="15850" max="15851" width="0" style="697" hidden="1" customWidth="1"/>
    <col min="15852" max="15852" width="61.42578125" style="697" customWidth="1"/>
    <col min="15853" max="15853" width="62.140625" style="697" customWidth="1"/>
    <col min="15854" max="15857" width="0" style="697" hidden="1" customWidth="1"/>
    <col min="15858" max="16102" width="9.140625" style="697"/>
    <col min="16103" max="16103" width="5.5703125" style="697" customWidth="1"/>
    <col min="16104" max="16104" width="58" style="697" customWidth="1"/>
    <col min="16105" max="16105" width="24.140625" style="697" customWidth="1"/>
    <col min="16106" max="16107" width="0" style="697" hidden="1" customWidth="1"/>
    <col min="16108" max="16108" width="61.42578125" style="697" customWidth="1"/>
    <col min="16109" max="16109" width="62.140625" style="697" customWidth="1"/>
    <col min="16110" max="16113" width="0" style="697" hidden="1" customWidth="1"/>
    <col min="16114" max="16357" width="9.140625" style="697"/>
    <col min="16358" max="16384" width="8.85546875" style="697" customWidth="1"/>
  </cols>
  <sheetData>
    <row r="1" spans="2:6">
      <c r="C1" s="698" t="s">
        <v>0</v>
      </c>
    </row>
    <row r="2" spans="2:6">
      <c r="C2" s="700">
        <v>44682</v>
      </c>
    </row>
    <row r="3" spans="2:6">
      <c r="B3" s="701"/>
      <c r="C3" s="702" t="s">
        <v>1</v>
      </c>
    </row>
    <row r="4" spans="2:6" ht="24.95" customHeight="1" thickBot="1">
      <c r="B4" s="703" t="s">
        <v>2</v>
      </c>
      <c r="C4" s="704" t="s">
        <v>350</v>
      </c>
      <c r="D4" s="703" t="s">
        <v>3</v>
      </c>
      <c r="E4" s="705" t="s">
        <v>4</v>
      </c>
      <c r="F4" s="705" t="s">
        <v>351</v>
      </c>
    </row>
    <row r="5" spans="2:6" ht="39.950000000000003" customHeight="1">
      <c r="B5" s="706" t="s">
        <v>5</v>
      </c>
      <c r="C5" s="707">
        <v>20</v>
      </c>
      <c r="D5" s="1228" t="s">
        <v>6</v>
      </c>
      <c r="E5" s="1226" t="s">
        <v>7</v>
      </c>
      <c r="F5" s="1226" t="s">
        <v>352</v>
      </c>
    </row>
    <row r="6" spans="2:6" ht="42.6" customHeight="1" thickBot="1">
      <c r="B6" s="708" t="s">
        <v>8</v>
      </c>
      <c r="C6" s="709">
        <f>C5*2080</f>
        <v>41600</v>
      </c>
      <c r="D6" s="1229"/>
      <c r="E6" s="1227"/>
      <c r="F6" s="1227"/>
    </row>
    <row r="7" spans="2:6">
      <c r="B7" s="710" t="s">
        <v>9</v>
      </c>
      <c r="C7" s="707">
        <f>'[22]DC  CNA  DC III'!I19</f>
        <v>25.580080000000002</v>
      </c>
      <c r="D7" s="711" t="s">
        <v>10</v>
      </c>
      <c r="E7" s="1226" t="s">
        <v>11</v>
      </c>
      <c r="F7" s="1226" t="s">
        <v>353</v>
      </c>
    </row>
    <row r="8" spans="2:6" ht="46.5" customHeight="1" thickBot="1">
      <c r="B8" s="712" t="s">
        <v>12</v>
      </c>
      <c r="C8" s="713">
        <f>C7*2080</f>
        <v>53206.566400000003</v>
      </c>
      <c r="D8" s="699" t="s">
        <v>354</v>
      </c>
      <c r="E8" s="1230"/>
      <c r="F8" s="1230"/>
    </row>
    <row r="9" spans="2:6" ht="26.1" customHeight="1">
      <c r="B9" s="710" t="s">
        <v>13</v>
      </c>
      <c r="C9" s="707">
        <f>'[22]DC  CNA  DC III'!I11</f>
        <v>19.121599999999997</v>
      </c>
      <c r="D9" s="711"/>
      <c r="E9" s="1226" t="s">
        <v>14</v>
      </c>
      <c r="F9" s="1226" t="s">
        <v>355</v>
      </c>
    </row>
    <row r="10" spans="2:6" ht="27" thickBot="1">
      <c r="B10" s="714" t="s">
        <v>15</v>
      </c>
      <c r="C10" s="709">
        <f>'[22]DC  CNA  DC III'!J11</f>
        <v>39772.927999999993</v>
      </c>
      <c r="D10" s="715"/>
      <c r="E10" s="1227"/>
      <c r="F10" s="1227"/>
    </row>
    <row r="11" spans="2:6">
      <c r="B11" s="710" t="s">
        <v>16</v>
      </c>
      <c r="C11" s="707">
        <f>'[22]Case Social Worker.Manager'!J4</f>
        <v>28.180799999999998</v>
      </c>
      <c r="D11" s="711" t="s">
        <v>17</v>
      </c>
      <c r="E11" s="1226" t="s">
        <v>18</v>
      </c>
      <c r="F11" s="1226" t="s">
        <v>356</v>
      </c>
    </row>
    <row r="12" spans="2:6" ht="27" thickBot="1">
      <c r="B12" s="712" t="s">
        <v>19</v>
      </c>
      <c r="C12" s="713">
        <f>C11*2080</f>
        <v>58616.063999999998</v>
      </c>
      <c r="D12" s="697" t="s">
        <v>20</v>
      </c>
      <c r="E12" s="1230"/>
      <c r="F12" s="1230"/>
    </row>
    <row r="13" spans="2:6" ht="52.5">
      <c r="B13" s="716" t="s">
        <v>21</v>
      </c>
      <c r="C13" s="707">
        <f>'[22]Case Social Worker.Manager'!J11</f>
        <v>30.9283</v>
      </c>
      <c r="D13" s="711" t="s">
        <v>22</v>
      </c>
      <c r="E13" s="1226" t="s">
        <v>23</v>
      </c>
      <c r="F13" s="1226" t="s">
        <v>357</v>
      </c>
    </row>
    <row r="14" spans="2:6" ht="53.25" thickBot="1">
      <c r="B14" s="717" t="s">
        <v>24</v>
      </c>
      <c r="C14" s="709">
        <f>C13*2080</f>
        <v>64330.864000000001</v>
      </c>
      <c r="D14" s="715" t="s">
        <v>25</v>
      </c>
      <c r="E14" s="1227"/>
      <c r="F14" s="1227"/>
    </row>
    <row r="15" spans="2:6">
      <c r="B15" s="710" t="s">
        <v>35</v>
      </c>
      <c r="C15" s="707">
        <f>[22]Nursing!J2</f>
        <v>31.575200000000002</v>
      </c>
      <c r="D15" s="711"/>
      <c r="E15" s="1226" t="s">
        <v>36</v>
      </c>
      <c r="F15" s="1226" t="s">
        <v>358</v>
      </c>
    </row>
    <row r="16" spans="2:6" ht="27" thickBot="1">
      <c r="B16" s="714" t="s">
        <v>37</v>
      </c>
      <c r="C16" s="718">
        <f>C15*2080</f>
        <v>65676.416000000012</v>
      </c>
      <c r="D16" s="715" t="s">
        <v>359</v>
      </c>
      <c r="E16" s="1227"/>
      <c r="F16" s="1227"/>
    </row>
    <row r="17" spans="2:12">
      <c r="B17" s="710" t="s">
        <v>26</v>
      </c>
      <c r="C17" s="707">
        <f>[22]Clinical!J6</f>
        <v>38.753100000000003</v>
      </c>
      <c r="D17" s="711" t="s">
        <v>27</v>
      </c>
      <c r="E17" s="1226" t="s">
        <v>28</v>
      </c>
      <c r="F17" s="1226" t="s">
        <v>360</v>
      </c>
    </row>
    <row r="18" spans="2:12" ht="27" thickBot="1">
      <c r="B18" s="714" t="s">
        <v>29</v>
      </c>
      <c r="C18" s="709">
        <f>C17*2080</f>
        <v>80606.448000000004</v>
      </c>
      <c r="D18" s="715"/>
      <c r="E18" s="1227"/>
      <c r="F18" s="1227"/>
    </row>
    <row r="19" spans="2:12">
      <c r="B19" s="710" t="s">
        <v>361</v>
      </c>
      <c r="C19" s="719">
        <f>[22]Therapies!M2</f>
        <v>32.740400000000001</v>
      </c>
      <c r="D19" s="711"/>
      <c r="E19" s="1226" t="s">
        <v>362</v>
      </c>
      <c r="F19" s="1226" t="s">
        <v>363</v>
      </c>
    </row>
    <row r="20" spans="2:12" ht="27" thickBot="1">
      <c r="B20" s="714" t="s">
        <v>364</v>
      </c>
      <c r="C20" s="709">
        <f>C19*2080</f>
        <v>68100.032000000007</v>
      </c>
      <c r="D20" s="715"/>
      <c r="E20" s="1227"/>
      <c r="F20" s="1227"/>
    </row>
    <row r="21" spans="2:12">
      <c r="B21" s="712" t="s">
        <v>30</v>
      </c>
      <c r="C21" s="720">
        <f>[22]Management!J2</f>
        <v>38.180400000000006</v>
      </c>
      <c r="D21" s="697" t="s">
        <v>365</v>
      </c>
      <c r="E21" s="1226" t="s">
        <v>31</v>
      </c>
      <c r="F21" s="1233" t="s">
        <v>366</v>
      </c>
    </row>
    <row r="22" spans="2:12" ht="27" thickBot="1">
      <c r="B22" s="714" t="s">
        <v>32</v>
      </c>
      <c r="C22" s="709">
        <f>C21*2080</f>
        <v>79415.232000000018</v>
      </c>
      <c r="D22" s="715" t="s">
        <v>367</v>
      </c>
      <c r="E22" s="1227"/>
      <c r="F22" s="1234"/>
    </row>
    <row r="23" spans="2:12" ht="39.950000000000003" customHeight="1">
      <c r="B23" s="721" t="s">
        <v>368</v>
      </c>
      <c r="C23" s="720">
        <f>[22]Therapies!M8</f>
        <v>38.017499999999998</v>
      </c>
      <c r="D23" s="697" t="s">
        <v>369</v>
      </c>
      <c r="E23" s="1226" t="s">
        <v>23</v>
      </c>
      <c r="F23" s="1226" t="s">
        <v>370</v>
      </c>
    </row>
    <row r="24" spans="2:12" ht="39.950000000000003" customHeight="1" thickBot="1">
      <c r="B24" s="708" t="s">
        <v>371</v>
      </c>
      <c r="C24" s="709">
        <f>C23*2080</f>
        <v>79076.399999999994</v>
      </c>
      <c r="D24" s="715"/>
      <c r="E24" s="1227"/>
      <c r="F24" s="1227"/>
    </row>
    <row r="25" spans="2:12">
      <c r="B25" s="712" t="s">
        <v>372</v>
      </c>
      <c r="C25" s="720">
        <f>[22]Therapies!M14</f>
        <v>41.25168</v>
      </c>
      <c r="D25" s="697" t="s">
        <v>373</v>
      </c>
      <c r="E25" s="1226" t="s">
        <v>23</v>
      </c>
      <c r="F25" s="1226" t="s">
        <v>374</v>
      </c>
    </row>
    <row r="26" spans="2:12" ht="27" thickBot="1">
      <c r="B26" s="714" t="s">
        <v>375</v>
      </c>
      <c r="C26" s="713">
        <f>C25*2080</f>
        <v>85803.494399999996</v>
      </c>
      <c r="E26" s="1227"/>
      <c r="F26" s="1227"/>
    </row>
    <row r="27" spans="2:12">
      <c r="B27" s="710" t="s">
        <v>376</v>
      </c>
      <c r="C27" s="707">
        <f>[22]Clinical!J12</f>
        <v>48.742200000000004</v>
      </c>
      <c r="D27" s="1231" t="s">
        <v>33</v>
      </c>
      <c r="E27" s="1226" t="s">
        <v>34</v>
      </c>
      <c r="F27" s="1226" t="s">
        <v>377</v>
      </c>
    </row>
    <row r="28" spans="2:12" ht="34.5" customHeight="1" thickBot="1">
      <c r="B28" s="714" t="s">
        <v>378</v>
      </c>
      <c r="C28" s="709">
        <f>C27*2080</f>
        <v>101383.77600000001</v>
      </c>
      <c r="D28" s="1232"/>
      <c r="E28" s="1227"/>
      <c r="F28" s="1227"/>
    </row>
    <row r="29" spans="2:12">
      <c r="B29" s="706" t="s">
        <v>379</v>
      </c>
      <c r="C29" s="707">
        <f>[22]Therapies!M18</f>
        <v>42.756720000000001</v>
      </c>
      <c r="D29" s="711"/>
      <c r="E29" s="1226" t="s">
        <v>23</v>
      </c>
      <c r="F29" s="1226" t="s">
        <v>380</v>
      </c>
    </row>
    <row r="30" spans="2:12" ht="27" thickBot="1">
      <c r="B30" s="708" t="s">
        <v>381</v>
      </c>
      <c r="C30" s="709">
        <f>C29*2080</f>
        <v>88933.977599999998</v>
      </c>
      <c r="D30" s="715"/>
      <c r="E30" s="1227"/>
      <c r="F30" s="1227"/>
    </row>
    <row r="31" spans="2:12">
      <c r="B31" s="710" t="s">
        <v>38</v>
      </c>
      <c r="C31" s="707">
        <f>[22]Nursing!J6</f>
        <v>49.162799999999997</v>
      </c>
      <c r="D31" s="711"/>
      <c r="E31" s="1226" t="s">
        <v>39</v>
      </c>
      <c r="F31" s="1226" t="s">
        <v>382</v>
      </c>
      <c r="I31" s="722" t="s">
        <v>383</v>
      </c>
      <c r="J31" s="1235" t="s">
        <v>384</v>
      </c>
      <c r="K31" s="1235"/>
      <c r="L31" s="723"/>
    </row>
    <row r="32" spans="2:12" ht="38.450000000000003" customHeight="1" thickBot="1">
      <c r="B32" s="714" t="s">
        <v>40</v>
      </c>
      <c r="C32" s="718">
        <f>C31*2080</f>
        <v>102258.624</v>
      </c>
      <c r="D32" s="715"/>
      <c r="E32" s="1227"/>
      <c r="F32" s="1227"/>
      <c r="I32" s="724"/>
      <c r="J32" s="725" t="s">
        <v>340</v>
      </c>
      <c r="K32" s="726" t="s">
        <v>290</v>
      </c>
      <c r="L32" s="727"/>
    </row>
    <row r="33" spans="2:12">
      <c r="B33" s="710" t="s">
        <v>41</v>
      </c>
      <c r="C33" s="707">
        <f>[22]Nursing!J11</f>
        <v>65.162400000000005</v>
      </c>
      <c r="D33" s="711"/>
      <c r="E33" s="1226" t="s">
        <v>42</v>
      </c>
      <c r="F33" s="1226" t="s">
        <v>385</v>
      </c>
      <c r="I33" s="728" t="s">
        <v>386</v>
      </c>
      <c r="J33" s="729">
        <v>15</v>
      </c>
      <c r="K33" s="729">
        <f>J33*8</f>
        <v>120</v>
      </c>
      <c r="L33" s="727"/>
    </row>
    <row r="34" spans="2:12" ht="27" thickBot="1">
      <c r="B34" s="714" t="s">
        <v>43</v>
      </c>
      <c r="C34" s="709">
        <f>C33*2080</f>
        <v>135537.79200000002</v>
      </c>
      <c r="D34" s="715"/>
      <c r="E34" s="1227"/>
      <c r="F34" s="1227"/>
      <c r="I34" s="728" t="s">
        <v>387</v>
      </c>
      <c r="J34" s="729">
        <v>10</v>
      </c>
      <c r="K34" s="729">
        <f>J34*8</f>
        <v>80</v>
      </c>
      <c r="L34" s="727"/>
    </row>
    <row r="35" spans="2:12">
      <c r="I35" s="728" t="s">
        <v>388</v>
      </c>
      <c r="J35" s="729">
        <v>11</v>
      </c>
      <c r="K35" s="729">
        <f>J35*8</f>
        <v>88</v>
      </c>
      <c r="L35" s="727"/>
    </row>
    <row r="36" spans="2:12" ht="52.5">
      <c r="B36" s="730" t="s">
        <v>389</v>
      </c>
      <c r="C36" s="713">
        <f>C6</f>
        <v>41600</v>
      </c>
      <c r="I36" s="731" t="s">
        <v>390</v>
      </c>
      <c r="J36" s="732">
        <v>5</v>
      </c>
      <c r="K36" s="732">
        <f>J36*8</f>
        <v>40</v>
      </c>
      <c r="L36" s="733"/>
    </row>
    <row r="37" spans="2:12">
      <c r="C37" s="734"/>
      <c r="I37" s="728"/>
      <c r="J37" s="735" t="s">
        <v>343</v>
      </c>
      <c r="K37" s="729">
        <f>SUM(K33:K36)</f>
        <v>328</v>
      </c>
      <c r="L37" s="736"/>
    </row>
    <row r="38" spans="2:12" ht="27" thickBot="1">
      <c r="B38" s="737" t="s">
        <v>391</v>
      </c>
      <c r="C38" s="738">
        <v>0.27379999999999999</v>
      </c>
      <c r="D38" s="697" t="s">
        <v>392</v>
      </c>
      <c r="I38" s="739"/>
      <c r="J38" s="740" t="s">
        <v>393</v>
      </c>
      <c r="K38" s="741">
        <f>K37/(52*40)</f>
        <v>0.15769230769230769</v>
      </c>
      <c r="L38" s="742"/>
    </row>
    <row r="39" spans="2:12" ht="34.35" customHeight="1">
      <c r="B39" s="737"/>
      <c r="C39" s="734"/>
      <c r="D39" s="1236" t="s">
        <v>394</v>
      </c>
      <c r="E39" s="1236"/>
      <c r="F39" s="697"/>
    </row>
    <row r="40" spans="2:12">
      <c r="C40" s="734"/>
    </row>
    <row r="41" spans="2:12">
      <c r="B41" s="737" t="s">
        <v>44</v>
      </c>
      <c r="C41" s="743">
        <v>0.12</v>
      </c>
      <c r="D41" s="697" t="s">
        <v>45</v>
      </c>
    </row>
    <row r="42" spans="2:12">
      <c r="B42" s="737"/>
      <c r="C42" s="744"/>
    </row>
    <row r="43" spans="2:12">
      <c r="B43" s="1237" t="s">
        <v>395</v>
      </c>
      <c r="C43" s="1237"/>
      <c r="D43" s="1237"/>
    </row>
    <row r="44" spans="2:12">
      <c r="B44" s="745" t="s">
        <v>396</v>
      </c>
      <c r="C44" s="713">
        <v>247470</v>
      </c>
      <c r="D44" s="697" t="s">
        <v>397</v>
      </c>
    </row>
    <row r="45" spans="2:12">
      <c r="B45" s="737" t="s">
        <v>398</v>
      </c>
      <c r="C45" s="713">
        <v>252850</v>
      </c>
      <c r="D45" s="697" t="s">
        <v>399</v>
      </c>
    </row>
    <row r="46" spans="2:12">
      <c r="B46" s="737" t="s">
        <v>400</v>
      </c>
      <c r="C46" s="713">
        <f>'[22]M2022 53_PCT'!N33</f>
        <v>135424.64000000001</v>
      </c>
      <c r="D46" s="697" t="s">
        <v>401</v>
      </c>
    </row>
    <row r="47" spans="2:12">
      <c r="B47" s="737" t="s">
        <v>402</v>
      </c>
      <c r="C47" s="746">
        <f>C6</f>
        <v>41600</v>
      </c>
      <c r="D47" s="697" t="s">
        <v>403</v>
      </c>
    </row>
    <row r="48" spans="2:12">
      <c r="B48" s="737" t="s">
        <v>404</v>
      </c>
      <c r="C48" s="746">
        <f>AVERAGE(C6,C8)</f>
        <v>47403.283200000005</v>
      </c>
      <c r="D48" s="697" t="s">
        <v>405</v>
      </c>
    </row>
    <row r="49" spans="2:6">
      <c r="B49" s="737" t="s">
        <v>406</v>
      </c>
      <c r="C49" s="713">
        <f>C8</f>
        <v>53206.566400000003</v>
      </c>
      <c r="D49" s="697" t="s">
        <v>407</v>
      </c>
    </row>
    <row r="50" spans="2:6">
      <c r="B50" s="737" t="s">
        <v>408</v>
      </c>
      <c r="C50" s="713">
        <f>'[22]M2022 53_PCT'!N34</f>
        <v>40890.303999999996</v>
      </c>
      <c r="D50" s="697" t="s">
        <v>409</v>
      </c>
    </row>
    <row r="51" spans="2:6">
      <c r="B51" s="737" t="s">
        <v>410</v>
      </c>
      <c r="C51" s="746">
        <f>'[22]M2022 53_PCT'!N37</f>
        <v>50652.160000000003</v>
      </c>
      <c r="D51" s="697" t="s">
        <v>411</v>
      </c>
    </row>
    <row r="52" spans="2:6">
      <c r="B52" s="737" t="s">
        <v>412</v>
      </c>
      <c r="C52" s="746">
        <f>AVERAGE('[22]M2022 53_PCT'!N35,'[22]M2022 53_PCT'!N36)</f>
        <v>57014.464000000007</v>
      </c>
      <c r="D52" s="697" t="s">
        <v>413</v>
      </c>
    </row>
    <row r="53" spans="2:6">
      <c r="B53" s="737"/>
      <c r="C53" s="746"/>
    </row>
    <row r="54" spans="2:6">
      <c r="B54" s="737"/>
      <c r="C54" s="746"/>
    </row>
    <row r="55" spans="2:6">
      <c r="B55" s="1238" t="s">
        <v>414</v>
      </c>
      <c r="C55" s="1238"/>
      <c r="D55" s="1238"/>
      <c r="E55" s="1238"/>
      <c r="F55" s="1238"/>
    </row>
    <row r="56" spans="2:6">
      <c r="B56" s="747" t="s">
        <v>415</v>
      </c>
      <c r="C56" s="697" t="s">
        <v>416</v>
      </c>
    </row>
    <row r="57" spans="2:6" ht="66.599999999999994" customHeight="1">
      <c r="B57" s="748" t="s">
        <v>417</v>
      </c>
      <c r="C57" s="1236" t="s">
        <v>418</v>
      </c>
      <c r="D57" s="1236"/>
      <c r="E57" s="1236"/>
      <c r="F57" s="1236"/>
    </row>
    <row r="60" spans="2:6">
      <c r="B60" s="749" t="s">
        <v>419</v>
      </c>
      <c r="C60" s="750">
        <f>(C32*0.5)+(C16*0.5)</f>
        <v>83967.52</v>
      </c>
    </row>
  </sheetData>
  <mergeCells count="37">
    <mergeCell ref="D39:E39"/>
    <mergeCell ref="B43:D43"/>
    <mergeCell ref="B55:F55"/>
    <mergeCell ref="C57:F57"/>
    <mergeCell ref="E29:E30"/>
    <mergeCell ref="F29:F30"/>
    <mergeCell ref="E31:E32"/>
    <mergeCell ref="F31:F32"/>
    <mergeCell ref="J31:K31"/>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1D5B-E4FE-481D-A2F7-1F0744AEC510}">
  <dimension ref="E2:K25"/>
  <sheetViews>
    <sheetView zoomScale="90" zoomScaleNormal="90" workbookViewId="0">
      <selection activeCell="H9" sqref="H9"/>
    </sheetView>
  </sheetViews>
  <sheetFormatPr defaultRowHeight="15"/>
  <cols>
    <col min="4" max="4" width="6.5703125" customWidth="1"/>
    <col min="5" max="5" width="41.42578125" customWidth="1"/>
    <col min="6" max="6" width="12.28515625" hidden="1" customWidth="1"/>
    <col min="7" max="7" width="11.140625" customWidth="1"/>
    <col min="8" max="8" width="11" customWidth="1"/>
    <col min="9" max="9" width="0" hidden="1" customWidth="1"/>
  </cols>
  <sheetData>
    <row r="2" spans="5:9" ht="15.75" thickBot="1"/>
    <row r="3" spans="5:9" ht="15.75" thickBot="1">
      <c r="F3" s="798" t="s">
        <v>439</v>
      </c>
      <c r="H3" s="801" t="s">
        <v>139</v>
      </c>
    </row>
    <row r="4" spans="5:9" ht="15.75" thickBot="1">
      <c r="E4" s="797" t="s">
        <v>441</v>
      </c>
      <c r="F4" s="799" t="s">
        <v>442</v>
      </c>
      <c r="G4" s="800" t="s">
        <v>443</v>
      </c>
      <c r="H4" s="803" t="s">
        <v>442</v>
      </c>
      <c r="I4" t="s">
        <v>459</v>
      </c>
    </row>
    <row r="5" spans="5:9" ht="15.75" thickBot="1">
      <c r="E5" s="791" t="s">
        <v>444</v>
      </c>
      <c r="F5" s="792">
        <v>101.44</v>
      </c>
      <c r="G5" s="802" t="s">
        <v>445</v>
      </c>
      <c r="H5" s="804">
        <f>'1. O&amp;M Model '!U18</f>
        <v>105.83717806512469</v>
      </c>
      <c r="I5" s="809">
        <f>(H5-F5)/F5</f>
        <v>4.3347575563137737E-2</v>
      </c>
    </row>
    <row r="6" spans="5:9" ht="15.75" thickBot="1">
      <c r="E6" s="791" t="s">
        <v>446</v>
      </c>
      <c r="F6" s="792">
        <v>115.33</v>
      </c>
      <c r="G6" s="802" t="s">
        <v>445</v>
      </c>
      <c r="H6" s="805">
        <f>'1. O&amp;M Model '!U19</f>
        <v>119.72246199828234</v>
      </c>
      <c r="I6" s="810">
        <f t="shared" ref="I6:I17" si="0">(H6-F6)/F6</f>
        <v>3.8086031373296997E-2</v>
      </c>
    </row>
    <row r="7" spans="5:9" ht="15.75" thickBot="1">
      <c r="E7" s="791" t="s">
        <v>447</v>
      </c>
      <c r="F7" s="792">
        <v>129.19999999999999</v>
      </c>
      <c r="G7" s="802" t="s">
        <v>445</v>
      </c>
      <c r="H7" s="805">
        <f>'1. O&amp;M Model '!U20</f>
        <v>133.59898373314087</v>
      </c>
      <c r="I7" s="810">
        <f t="shared" si="0"/>
        <v>3.404786171161673E-2</v>
      </c>
    </row>
    <row r="8" spans="5:9" ht="15.75" thickBot="1">
      <c r="E8" s="791" t="s">
        <v>448</v>
      </c>
      <c r="F8" s="792">
        <v>47.98</v>
      </c>
      <c r="G8" s="802" t="s">
        <v>445</v>
      </c>
      <c r="H8" s="806">
        <f>'5. DBCAN Model - 2405'!K24</f>
        <v>49.293202449210639</v>
      </c>
      <c r="I8" s="810">
        <f t="shared" si="0"/>
        <v>2.73697884370705E-2</v>
      </c>
    </row>
    <row r="9" spans="5:9" ht="15.75" thickBot="1">
      <c r="E9" s="791" t="s">
        <v>449</v>
      </c>
      <c r="F9" s="792">
        <v>174.5</v>
      </c>
      <c r="G9" s="802" t="s">
        <v>445</v>
      </c>
      <c r="H9" s="806">
        <f>'3. ATIL'!M26</f>
        <v>187.12877617469337</v>
      </c>
      <c r="I9" s="810">
        <f t="shared" si="0"/>
        <v>7.2371210170162584E-2</v>
      </c>
    </row>
    <row r="10" spans="5:9" ht="15.75" thickBot="1">
      <c r="E10" s="791" t="s">
        <v>449</v>
      </c>
      <c r="F10" s="793" t="s">
        <v>450</v>
      </c>
      <c r="G10" s="802" t="s">
        <v>451</v>
      </c>
      <c r="H10" s="807"/>
      <c r="I10" s="810"/>
    </row>
    <row r="11" spans="5:9" ht="15.75" thickBot="1">
      <c r="E11" s="794" t="s">
        <v>452</v>
      </c>
      <c r="F11" s="795"/>
      <c r="G11" s="802"/>
      <c r="H11" s="807"/>
      <c r="I11" s="810"/>
    </row>
    <row r="12" spans="5:9" ht="15.75" thickBot="1">
      <c r="E12" s="796" t="s">
        <v>141</v>
      </c>
      <c r="F12" s="792">
        <v>32.75</v>
      </c>
      <c r="G12" s="802" t="s">
        <v>445</v>
      </c>
      <c r="H12" s="805">
        <f>'2. HCA'!E7</f>
        <v>35.120157133072823</v>
      </c>
      <c r="I12" s="810">
        <f t="shared" si="0"/>
        <v>7.2371210170162528E-2</v>
      </c>
    </row>
    <row r="13" spans="5:9" ht="15.75" thickBot="1">
      <c r="E13" s="796" t="s">
        <v>142</v>
      </c>
      <c r="F13" s="792">
        <v>30.81</v>
      </c>
      <c r="G13" s="802" t="s">
        <v>445</v>
      </c>
      <c r="H13" s="805">
        <f>'2. HCA'!E8</f>
        <v>33.039756985342706</v>
      </c>
      <c r="I13" s="810">
        <f t="shared" si="0"/>
        <v>7.2371210170162514E-2</v>
      </c>
    </row>
    <row r="14" spans="5:9" ht="15.75" thickBot="1">
      <c r="E14" s="796" t="s">
        <v>453</v>
      </c>
      <c r="F14" s="792">
        <v>30.96</v>
      </c>
      <c r="G14" s="802" t="s">
        <v>445</v>
      </c>
      <c r="H14" s="805">
        <f>'2. HCA'!E9</f>
        <v>33.200612666868231</v>
      </c>
      <c r="I14" s="810">
        <f t="shared" si="0"/>
        <v>7.2371210170162487E-2</v>
      </c>
    </row>
    <row r="15" spans="5:9" ht="15.75" thickBot="1">
      <c r="E15" s="796" t="s">
        <v>144</v>
      </c>
      <c r="F15" s="792">
        <v>31.91</v>
      </c>
      <c r="G15" s="802" t="s">
        <v>445</v>
      </c>
      <c r="H15" s="805">
        <f>'2. HCA'!E10</f>
        <v>34.219365316529888</v>
      </c>
      <c r="I15" s="810">
        <f t="shared" si="0"/>
        <v>7.2371210170162584E-2</v>
      </c>
    </row>
    <row r="16" spans="5:9" ht="15.75" thickBot="1">
      <c r="E16" s="796" t="s">
        <v>145</v>
      </c>
      <c r="F16" s="792">
        <v>31.81</v>
      </c>
      <c r="G16" s="802" t="s">
        <v>445</v>
      </c>
      <c r="H16" s="805">
        <f>'2. HCA'!E11</f>
        <v>34.112128195512867</v>
      </c>
      <c r="I16" s="810">
        <f t="shared" si="0"/>
        <v>7.2371210170162459E-2</v>
      </c>
    </row>
    <row r="17" spans="5:11" ht="15.75" thickBot="1">
      <c r="E17" s="794" t="s">
        <v>454</v>
      </c>
      <c r="F17" s="792">
        <v>70.44</v>
      </c>
      <c r="G17" s="802" t="s">
        <v>445</v>
      </c>
      <c r="H17" s="806">
        <f>'4. VR Assistant'!I19</f>
        <v>73.470223118893571</v>
      </c>
      <c r="I17" s="810">
        <f t="shared" si="0"/>
        <v>4.3018499700363054E-2</v>
      </c>
    </row>
    <row r="18" spans="5:11" ht="15.75" thickBot="1"/>
    <row r="19" spans="5:11">
      <c r="E19" s="1184"/>
      <c r="F19" s="1185" t="s">
        <v>439</v>
      </c>
      <c r="G19" s="1186"/>
      <c r="H19" s="1187" t="s">
        <v>139</v>
      </c>
    </row>
    <row r="20" spans="5:11" ht="15.75" thickBot="1">
      <c r="E20" s="1198" t="s">
        <v>441</v>
      </c>
      <c r="F20" s="1199" t="s">
        <v>442</v>
      </c>
      <c r="G20" s="1200" t="s">
        <v>443</v>
      </c>
      <c r="H20" s="1201" t="s">
        <v>442</v>
      </c>
      <c r="I20" t="s">
        <v>459</v>
      </c>
    </row>
    <row r="21" spans="5:11">
      <c r="E21" s="1194" t="s">
        <v>455</v>
      </c>
      <c r="F21" s="1195">
        <v>24.52</v>
      </c>
      <c r="G21" s="1196" t="s">
        <v>456</v>
      </c>
      <c r="H21" s="1197">
        <f>'6. BI Community Outreach'!E24</f>
        <v>25.714860278355577</v>
      </c>
      <c r="I21" s="1178">
        <f>(H21-F21)/F21</f>
        <v>4.8730027665398738E-2</v>
      </c>
    </row>
    <row r="22" spans="5:11">
      <c r="E22" s="1188" t="s">
        <v>457</v>
      </c>
      <c r="F22" s="1182"/>
      <c r="G22" s="1183" t="s">
        <v>578</v>
      </c>
      <c r="H22" s="1189">
        <f>'7. BI Site Based'!S34</f>
        <v>163.65530508399743</v>
      </c>
      <c r="I22" s="1179"/>
    </row>
    <row r="23" spans="5:11">
      <c r="E23" s="1188" t="s">
        <v>457</v>
      </c>
      <c r="F23" s="1182"/>
      <c r="G23" s="1183" t="s">
        <v>570</v>
      </c>
      <c r="H23" s="1189">
        <f>'7. BI Site Based'!S33</f>
        <v>81.827652541998717</v>
      </c>
      <c r="I23" s="1179"/>
    </row>
    <row r="24" spans="5:11" ht="15.75" thickBot="1">
      <c r="E24" s="1190" t="s">
        <v>458</v>
      </c>
      <c r="F24" s="1191">
        <v>6.97</v>
      </c>
      <c r="G24" s="1192" t="s">
        <v>456</v>
      </c>
      <c r="H24" s="1193">
        <f>'8. BI Direct Care Add-on'!C15</f>
        <v>7.6868563141836779</v>
      </c>
      <c r="I24" s="1180">
        <f>(H24-F24)/F24</f>
        <v>0.10284882556437276</v>
      </c>
      <c r="J24" s="1064"/>
      <c r="K24" s="1064"/>
    </row>
    <row r="25" spans="5:11" hidden="1">
      <c r="E25" s="1176" t="s">
        <v>516</v>
      </c>
      <c r="F25" t="s">
        <v>517</v>
      </c>
      <c r="G25" s="1177" t="s">
        <v>518</v>
      </c>
      <c r="H25" s="1181">
        <f>'9. BI Site Based Start'!F27</f>
        <v>23901.393987360785</v>
      </c>
      <c r="I25" t="s">
        <v>517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72"/>
  <sheetViews>
    <sheetView showGridLines="0" topLeftCell="A3" zoomScale="90" zoomScaleNormal="90" workbookViewId="0">
      <selection activeCell="L34" sqref="L34"/>
    </sheetView>
  </sheetViews>
  <sheetFormatPr defaultRowHeight="15" customHeight="1"/>
  <cols>
    <col min="1" max="1" width="5.5703125" style="1" customWidth="1"/>
    <col min="2" max="2" width="24.5703125" style="1" bestFit="1" customWidth="1"/>
    <col min="3" max="3" width="7.42578125" style="2" bestFit="1" customWidth="1"/>
    <col min="4" max="4" width="14.28515625" style="1" customWidth="1"/>
    <col min="5" max="5" width="19.42578125" style="1" customWidth="1"/>
    <col min="6" max="6" width="3.7109375" style="1" customWidth="1"/>
    <col min="7" max="7" width="6.42578125" style="1" customWidth="1"/>
    <col min="8" max="8" width="3.5703125" style="1" customWidth="1"/>
    <col min="9" max="9" width="24.5703125" style="1" bestFit="1" customWidth="1"/>
    <col min="10" max="10" width="8" style="1" customWidth="1"/>
    <col min="11" max="11" width="8.5703125" style="1" bestFit="1" customWidth="1"/>
    <col min="12" max="12" width="9.85546875" style="1" bestFit="1" customWidth="1"/>
    <col min="13" max="13" width="9.5703125" style="1" bestFit="1" customWidth="1"/>
    <col min="14" max="14" width="6" style="1" customWidth="1"/>
    <col min="15" max="15" width="5" style="1" customWidth="1"/>
    <col min="16" max="16" width="22" style="1" customWidth="1"/>
    <col min="17" max="17" width="9" style="1" customWidth="1"/>
    <col min="18" max="18" width="11.140625" style="1" customWidth="1"/>
    <col min="19" max="19" width="10.42578125" style="1" customWidth="1"/>
    <col min="20" max="20" width="14.5703125" style="1" customWidth="1"/>
    <col min="21" max="21" width="13.42578125" style="1" customWidth="1"/>
    <col min="22" max="22" width="12" style="1" bestFit="1" customWidth="1"/>
    <col min="23" max="254" width="8.85546875" style="1"/>
    <col min="255" max="255" width="30.7109375" style="1" customWidth="1"/>
    <col min="256" max="257" width="13.28515625" style="1" customWidth="1"/>
    <col min="258" max="258" width="12.5703125" style="1" bestFit="1" customWidth="1"/>
    <col min="259" max="259" width="11.5703125" style="1" customWidth="1"/>
    <col min="260" max="261" width="10.5703125" style="1" customWidth="1"/>
    <col min="262" max="262" width="19.7109375" style="1" customWidth="1"/>
    <col min="263" max="263" width="6.5703125" style="1" customWidth="1"/>
    <col min="264" max="264" width="32.5703125" style="1" customWidth="1"/>
    <col min="265" max="265" width="15.28515625" style="1" customWidth="1"/>
    <col min="266" max="266" width="22.28515625" style="1" customWidth="1"/>
    <col min="267" max="267" width="16.7109375" style="1" customWidth="1"/>
    <col min="268" max="268" width="9.42578125" style="1" bestFit="1" customWidth="1"/>
    <col min="269" max="269" width="35.7109375" style="1" customWidth="1"/>
    <col min="270" max="270" width="14" style="1" customWidth="1"/>
    <col min="271" max="271" width="12" style="1" bestFit="1" customWidth="1"/>
    <col min="272" max="272" width="15" style="1" customWidth="1"/>
    <col min="273" max="273" width="8.85546875" style="1"/>
    <col min="274" max="274" width="29.5703125" style="1" bestFit="1" customWidth="1"/>
    <col min="275" max="275" width="14.42578125" style="1" bestFit="1" customWidth="1"/>
    <col min="276" max="276" width="12.42578125" style="1" bestFit="1" customWidth="1"/>
    <col min="277" max="277" width="22.42578125" style="1" bestFit="1" customWidth="1"/>
    <col min="278" max="510" width="8.85546875" style="1"/>
    <col min="511" max="511" width="30.7109375" style="1" customWidth="1"/>
    <col min="512" max="513" width="13.28515625" style="1" customWidth="1"/>
    <col min="514" max="514" width="12.5703125" style="1" bestFit="1" customWidth="1"/>
    <col min="515" max="515" width="11.5703125" style="1" customWidth="1"/>
    <col min="516" max="517" width="10.5703125" style="1" customWidth="1"/>
    <col min="518" max="518" width="19.7109375" style="1" customWidth="1"/>
    <col min="519" max="519" width="6.5703125" style="1" customWidth="1"/>
    <col min="520" max="520" width="32.5703125" style="1" customWidth="1"/>
    <col min="521" max="521" width="15.28515625" style="1" customWidth="1"/>
    <col min="522" max="522" width="22.28515625" style="1" customWidth="1"/>
    <col min="523" max="523" width="16.7109375" style="1" customWidth="1"/>
    <col min="524" max="524" width="9.42578125" style="1" bestFit="1" customWidth="1"/>
    <col min="525" max="525" width="35.7109375" style="1" customWidth="1"/>
    <col min="526" max="526" width="14" style="1" customWidth="1"/>
    <col min="527" max="527" width="12" style="1" bestFit="1" customWidth="1"/>
    <col min="528" max="528" width="15" style="1" customWidth="1"/>
    <col min="529" max="529" width="8.85546875" style="1"/>
    <col min="530" max="530" width="29.5703125" style="1" bestFit="1" customWidth="1"/>
    <col min="531" max="531" width="14.42578125" style="1" bestFit="1" customWidth="1"/>
    <col min="532" max="532" width="12.42578125" style="1" bestFit="1" customWidth="1"/>
    <col min="533" max="533" width="22.42578125" style="1" bestFit="1" customWidth="1"/>
    <col min="534" max="766" width="8.85546875" style="1"/>
    <col min="767" max="767" width="30.7109375" style="1" customWidth="1"/>
    <col min="768" max="769" width="13.28515625" style="1" customWidth="1"/>
    <col min="770" max="770" width="12.5703125" style="1" bestFit="1" customWidth="1"/>
    <col min="771" max="771" width="11.5703125" style="1" customWidth="1"/>
    <col min="772" max="773" width="10.5703125" style="1" customWidth="1"/>
    <col min="774" max="774" width="19.7109375" style="1" customWidth="1"/>
    <col min="775" max="775" width="6.5703125" style="1" customWidth="1"/>
    <col min="776" max="776" width="32.5703125" style="1" customWidth="1"/>
    <col min="777" max="777" width="15.28515625" style="1" customWidth="1"/>
    <col min="778" max="778" width="22.28515625" style="1" customWidth="1"/>
    <col min="779" max="779" width="16.7109375" style="1" customWidth="1"/>
    <col min="780" max="780" width="9.42578125" style="1" bestFit="1" customWidth="1"/>
    <col min="781" max="781" width="35.7109375" style="1" customWidth="1"/>
    <col min="782" max="782" width="14" style="1" customWidth="1"/>
    <col min="783" max="783" width="12" style="1" bestFit="1" customWidth="1"/>
    <col min="784" max="784" width="15" style="1" customWidth="1"/>
    <col min="785" max="785" width="8.85546875" style="1"/>
    <col min="786" max="786" width="29.5703125" style="1" bestFit="1" customWidth="1"/>
    <col min="787" max="787" width="14.42578125" style="1" bestFit="1" customWidth="1"/>
    <col min="788" max="788" width="12.42578125" style="1" bestFit="1" customWidth="1"/>
    <col min="789" max="789" width="22.42578125" style="1" bestFit="1" customWidth="1"/>
    <col min="790" max="1022" width="8.85546875" style="1"/>
    <col min="1023" max="1023" width="30.7109375" style="1" customWidth="1"/>
    <col min="1024" max="1025" width="13.28515625" style="1" customWidth="1"/>
    <col min="1026" max="1026" width="12.5703125" style="1" bestFit="1" customWidth="1"/>
    <col min="1027" max="1027" width="11.5703125" style="1" customWidth="1"/>
    <col min="1028" max="1029" width="10.5703125" style="1" customWidth="1"/>
    <col min="1030" max="1030" width="19.7109375" style="1" customWidth="1"/>
    <col min="1031" max="1031" width="6.5703125" style="1" customWidth="1"/>
    <col min="1032" max="1032" width="32.5703125" style="1" customWidth="1"/>
    <col min="1033" max="1033" width="15.28515625" style="1" customWidth="1"/>
    <col min="1034" max="1034" width="22.28515625" style="1" customWidth="1"/>
    <col min="1035" max="1035" width="16.7109375" style="1" customWidth="1"/>
    <col min="1036" max="1036" width="9.42578125" style="1" bestFit="1" customWidth="1"/>
    <col min="1037" max="1037" width="35.7109375" style="1" customWidth="1"/>
    <col min="1038" max="1038" width="14" style="1" customWidth="1"/>
    <col min="1039" max="1039" width="12" style="1" bestFit="1" customWidth="1"/>
    <col min="1040" max="1040" width="15" style="1" customWidth="1"/>
    <col min="1041" max="1041" width="8.85546875" style="1"/>
    <col min="1042" max="1042" width="29.5703125" style="1" bestFit="1" customWidth="1"/>
    <col min="1043" max="1043" width="14.42578125" style="1" bestFit="1" customWidth="1"/>
    <col min="1044" max="1044" width="12.42578125" style="1" bestFit="1" customWidth="1"/>
    <col min="1045" max="1045" width="22.42578125" style="1" bestFit="1" customWidth="1"/>
    <col min="1046" max="1278" width="8.85546875" style="1"/>
    <col min="1279" max="1279" width="30.7109375" style="1" customWidth="1"/>
    <col min="1280" max="1281" width="13.28515625" style="1" customWidth="1"/>
    <col min="1282" max="1282" width="12.5703125" style="1" bestFit="1" customWidth="1"/>
    <col min="1283" max="1283" width="11.5703125" style="1" customWidth="1"/>
    <col min="1284" max="1285" width="10.5703125" style="1" customWidth="1"/>
    <col min="1286" max="1286" width="19.7109375" style="1" customWidth="1"/>
    <col min="1287" max="1287" width="6.5703125" style="1" customWidth="1"/>
    <col min="1288" max="1288" width="32.5703125" style="1" customWidth="1"/>
    <col min="1289" max="1289" width="15.28515625" style="1" customWidth="1"/>
    <col min="1290" max="1290" width="22.28515625" style="1" customWidth="1"/>
    <col min="1291" max="1291" width="16.7109375" style="1" customWidth="1"/>
    <col min="1292" max="1292" width="9.42578125" style="1" bestFit="1" customWidth="1"/>
    <col min="1293" max="1293" width="35.7109375" style="1" customWidth="1"/>
    <col min="1294" max="1294" width="14" style="1" customWidth="1"/>
    <col min="1295" max="1295" width="12" style="1" bestFit="1" customWidth="1"/>
    <col min="1296" max="1296" width="15" style="1" customWidth="1"/>
    <col min="1297" max="1297" width="8.85546875" style="1"/>
    <col min="1298" max="1298" width="29.5703125" style="1" bestFit="1" customWidth="1"/>
    <col min="1299" max="1299" width="14.42578125" style="1" bestFit="1" customWidth="1"/>
    <col min="1300" max="1300" width="12.42578125" style="1" bestFit="1" customWidth="1"/>
    <col min="1301" max="1301" width="22.42578125" style="1" bestFit="1" customWidth="1"/>
    <col min="1302" max="1534" width="8.85546875" style="1"/>
    <col min="1535" max="1535" width="30.7109375" style="1" customWidth="1"/>
    <col min="1536" max="1537" width="13.28515625" style="1" customWidth="1"/>
    <col min="1538" max="1538" width="12.5703125" style="1" bestFit="1" customWidth="1"/>
    <col min="1539" max="1539" width="11.5703125" style="1" customWidth="1"/>
    <col min="1540" max="1541" width="10.5703125" style="1" customWidth="1"/>
    <col min="1542" max="1542" width="19.7109375" style="1" customWidth="1"/>
    <col min="1543" max="1543" width="6.5703125" style="1" customWidth="1"/>
    <col min="1544" max="1544" width="32.5703125" style="1" customWidth="1"/>
    <col min="1545" max="1545" width="15.28515625" style="1" customWidth="1"/>
    <col min="1546" max="1546" width="22.28515625" style="1" customWidth="1"/>
    <col min="1547" max="1547" width="16.7109375" style="1" customWidth="1"/>
    <col min="1548" max="1548" width="9.42578125" style="1" bestFit="1" customWidth="1"/>
    <col min="1549" max="1549" width="35.7109375" style="1" customWidth="1"/>
    <col min="1550" max="1550" width="14" style="1" customWidth="1"/>
    <col min="1551" max="1551" width="12" style="1" bestFit="1" customWidth="1"/>
    <col min="1552" max="1552" width="15" style="1" customWidth="1"/>
    <col min="1553" max="1553" width="8.85546875" style="1"/>
    <col min="1554" max="1554" width="29.5703125" style="1" bestFit="1" customWidth="1"/>
    <col min="1555" max="1555" width="14.42578125" style="1" bestFit="1" customWidth="1"/>
    <col min="1556" max="1556" width="12.42578125" style="1" bestFit="1" customWidth="1"/>
    <col min="1557" max="1557" width="22.42578125" style="1" bestFit="1" customWidth="1"/>
    <col min="1558" max="1790" width="8.85546875" style="1"/>
    <col min="1791" max="1791" width="30.7109375" style="1" customWidth="1"/>
    <col min="1792" max="1793" width="13.28515625" style="1" customWidth="1"/>
    <col min="1794" max="1794" width="12.5703125" style="1" bestFit="1" customWidth="1"/>
    <col min="1795" max="1795" width="11.5703125" style="1" customWidth="1"/>
    <col min="1796" max="1797" width="10.5703125" style="1" customWidth="1"/>
    <col min="1798" max="1798" width="19.7109375" style="1" customWidth="1"/>
    <col min="1799" max="1799" width="6.5703125" style="1" customWidth="1"/>
    <col min="1800" max="1800" width="32.5703125" style="1" customWidth="1"/>
    <col min="1801" max="1801" width="15.28515625" style="1" customWidth="1"/>
    <col min="1802" max="1802" width="22.28515625" style="1" customWidth="1"/>
    <col min="1803" max="1803" width="16.7109375" style="1" customWidth="1"/>
    <col min="1804" max="1804" width="9.42578125" style="1" bestFit="1" customWidth="1"/>
    <col min="1805" max="1805" width="35.7109375" style="1" customWidth="1"/>
    <col min="1806" max="1806" width="14" style="1" customWidth="1"/>
    <col min="1807" max="1807" width="12" style="1" bestFit="1" customWidth="1"/>
    <col min="1808" max="1808" width="15" style="1" customWidth="1"/>
    <col min="1809" max="1809" width="8.85546875" style="1"/>
    <col min="1810" max="1810" width="29.5703125" style="1" bestFit="1" customWidth="1"/>
    <col min="1811" max="1811" width="14.42578125" style="1" bestFit="1" customWidth="1"/>
    <col min="1812" max="1812" width="12.42578125" style="1" bestFit="1" customWidth="1"/>
    <col min="1813" max="1813" width="22.42578125" style="1" bestFit="1" customWidth="1"/>
    <col min="1814" max="2046" width="8.85546875" style="1"/>
    <col min="2047" max="2047" width="30.7109375" style="1" customWidth="1"/>
    <col min="2048" max="2049" width="13.28515625" style="1" customWidth="1"/>
    <col min="2050" max="2050" width="12.5703125" style="1" bestFit="1" customWidth="1"/>
    <col min="2051" max="2051" width="11.5703125" style="1" customWidth="1"/>
    <col min="2052" max="2053" width="10.5703125" style="1" customWidth="1"/>
    <col min="2054" max="2054" width="19.7109375" style="1" customWidth="1"/>
    <col min="2055" max="2055" width="6.5703125" style="1" customWidth="1"/>
    <col min="2056" max="2056" width="32.5703125" style="1" customWidth="1"/>
    <col min="2057" max="2057" width="15.28515625" style="1" customWidth="1"/>
    <col min="2058" max="2058" width="22.28515625" style="1" customWidth="1"/>
    <col min="2059" max="2059" width="16.7109375" style="1" customWidth="1"/>
    <col min="2060" max="2060" width="9.42578125" style="1" bestFit="1" customWidth="1"/>
    <col min="2061" max="2061" width="35.7109375" style="1" customWidth="1"/>
    <col min="2062" max="2062" width="14" style="1" customWidth="1"/>
    <col min="2063" max="2063" width="12" style="1" bestFit="1" customWidth="1"/>
    <col min="2064" max="2064" width="15" style="1" customWidth="1"/>
    <col min="2065" max="2065" width="8.85546875" style="1"/>
    <col min="2066" max="2066" width="29.5703125" style="1" bestFit="1" customWidth="1"/>
    <col min="2067" max="2067" width="14.42578125" style="1" bestFit="1" customWidth="1"/>
    <col min="2068" max="2068" width="12.42578125" style="1" bestFit="1" customWidth="1"/>
    <col min="2069" max="2069" width="22.42578125" style="1" bestFit="1" customWidth="1"/>
    <col min="2070" max="2302" width="8.85546875" style="1"/>
    <col min="2303" max="2303" width="30.7109375" style="1" customWidth="1"/>
    <col min="2304" max="2305" width="13.28515625" style="1" customWidth="1"/>
    <col min="2306" max="2306" width="12.5703125" style="1" bestFit="1" customWidth="1"/>
    <col min="2307" max="2307" width="11.5703125" style="1" customWidth="1"/>
    <col min="2308" max="2309" width="10.5703125" style="1" customWidth="1"/>
    <col min="2310" max="2310" width="19.7109375" style="1" customWidth="1"/>
    <col min="2311" max="2311" width="6.5703125" style="1" customWidth="1"/>
    <col min="2312" max="2312" width="32.5703125" style="1" customWidth="1"/>
    <col min="2313" max="2313" width="15.28515625" style="1" customWidth="1"/>
    <col min="2314" max="2314" width="22.28515625" style="1" customWidth="1"/>
    <col min="2315" max="2315" width="16.7109375" style="1" customWidth="1"/>
    <col min="2316" max="2316" width="9.42578125" style="1" bestFit="1" customWidth="1"/>
    <col min="2317" max="2317" width="35.7109375" style="1" customWidth="1"/>
    <col min="2318" max="2318" width="14" style="1" customWidth="1"/>
    <col min="2319" max="2319" width="12" style="1" bestFit="1" customWidth="1"/>
    <col min="2320" max="2320" width="15" style="1" customWidth="1"/>
    <col min="2321" max="2321" width="8.85546875" style="1"/>
    <col min="2322" max="2322" width="29.5703125" style="1" bestFit="1" customWidth="1"/>
    <col min="2323" max="2323" width="14.42578125" style="1" bestFit="1" customWidth="1"/>
    <col min="2324" max="2324" width="12.42578125" style="1" bestFit="1" customWidth="1"/>
    <col min="2325" max="2325" width="22.42578125" style="1" bestFit="1" customWidth="1"/>
    <col min="2326" max="2558" width="8.85546875" style="1"/>
    <col min="2559" max="2559" width="30.7109375" style="1" customWidth="1"/>
    <col min="2560" max="2561" width="13.28515625" style="1" customWidth="1"/>
    <col min="2562" max="2562" width="12.5703125" style="1" bestFit="1" customWidth="1"/>
    <col min="2563" max="2563" width="11.5703125" style="1" customWidth="1"/>
    <col min="2564" max="2565" width="10.5703125" style="1" customWidth="1"/>
    <col min="2566" max="2566" width="19.7109375" style="1" customWidth="1"/>
    <col min="2567" max="2567" width="6.5703125" style="1" customWidth="1"/>
    <col min="2568" max="2568" width="32.5703125" style="1" customWidth="1"/>
    <col min="2569" max="2569" width="15.28515625" style="1" customWidth="1"/>
    <col min="2570" max="2570" width="22.28515625" style="1" customWidth="1"/>
    <col min="2571" max="2571" width="16.7109375" style="1" customWidth="1"/>
    <col min="2572" max="2572" width="9.42578125" style="1" bestFit="1" customWidth="1"/>
    <col min="2573" max="2573" width="35.7109375" style="1" customWidth="1"/>
    <col min="2574" max="2574" width="14" style="1" customWidth="1"/>
    <col min="2575" max="2575" width="12" style="1" bestFit="1" customWidth="1"/>
    <col min="2576" max="2576" width="15" style="1" customWidth="1"/>
    <col min="2577" max="2577" width="8.85546875" style="1"/>
    <col min="2578" max="2578" width="29.5703125" style="1" bestFit="1" customWidth="1"/>
    <col min="2579" max="2579" width="14.42578125" style="1" bestFit="1" customWidth="1"/>
    <col min="2580" max="2580" width="12.42578125" style="1" bestFit="1" customWidth="1"/>
    <col min="2581" max="2581" width="22.42578125" style="1" bestFit="1" customWidth="1"/>
    <col min="2582" max="2814" width="8.85546875" style="1"/>
    <col min="2815" max="2815" width="30.7109375" style="1" customWidth="1"/>
    <col min="2816" max="2817" width="13.28515625" style="1" customWidth="1"/>
    <col min="2818" max="2818" width="12.5703125" style="1" bestFit="1" customWidth="1"/>
    <col min="2819" max="2819" width="11.5703125" style="1" customWidth="1"/>
    <col min="2820" max="2821" width="10.5703125" style="1" customWidth="1"/>
    <col min="2822" max="2822" width="19.7109375" style="1" customWidth="1"/>
    <col min="2823" max="2823" width="6.5703125" style="1" customWidth="1"/>
    <col min="2824" max="2824" width="32.5703125" style="1" customWidth="1"/>
    <col min="2825" max="2825" width="15.28515625" style="1" customWidth="1"/>
    <col min="2826" max="2826" width="22.28515625" style="1" customWidth="1"/>
    <col min="2827" max="2827" width="16.7109375" style="1" customWidth="1"/>
    <col min="2828" max="2828" width="9.42578125" style="1" bestFit="1" customWidth="1"/>
    <col min="2829" max="2829" width="35.7109375" style="1" customWidth="1"/>
    <col min="2830" max="2830" width="14" style="1" customWidth="1"/>
    <col min="2831" max="2831" width="12" style="1" bestFit="1" customWidth="1"/>
    <col min="2832" max="2832" width="15" style="1" customWidth="1"/>
    <col min="2833" max="2833" width="8.85546875" style="1"/>
    <col min="2834" max="2834" width="29.5703125" style="1" bestFit="1" customWidth="1"/>
    <col min="2835" max="2835" width="14.42578125" style="1" bestFit="1" customWidth="1"/>
    <col min="2836" max="2836" width="12.42578125" style="1" bestFit="1" customWidth="1"/>
    <col min="2837" max="2837" width="22.42578125" style="1" bestFit="1" customWidth="1"/>
    <col min="2838" max="3070" width="8.85546875" style="1"/>
    <col min="3071" max="3071" width="30.7109375" style="1" customWidth="1"/>
    <col min="3072" max="3073" width="13.28515625" style="1" customWidth="1"/>
    <col min="3074" max="3074" width="12.5703125" style="1" bestFit="1" customWidth="1"/>
    <col min="3075" max="3075" width="11.5703125" style="1" customWidth="1"/>
    <col min="3076" max="3077" width="10.5703125" style="1" customWidth="1"/>
    <col min="3078" max="3078" width="19.7109375" style="1" customWidth="1"/>
    <col min="3079" max="3079" width="6.5703125" style="1" customWidth="1"/>
    <col min="3080" max="3080" width="32.5703125" style="1" customWidth="1"/>
    <col min="3081" max="3081" width="15.28515625" style="1" customWidth="1"/>
    <col min="3082" max="3082" width="22.28515625" style="1" customWidth="1"/>
    <col min="3083" max="3083" width="16.7109375" style="1" customWidth="1"/>
    <col min="3084" max="3084" width="9.42578125" style="1" bestFit="1" customWidth="1"/>
    <col min="3085" max="3085" width="35.7109375" style="1" customWidth="1"/>
    <col min="3086" max="3086" width="14" style="1" customWidth="1"/>
    <col min="3087" max="3087" width="12" style="1" bestFit="1" customWidth="1"/>
    <col min="3088" max="3088" width="15" style="1" customWidth="1"/>
    <col min="3089" max="3089" width="8.85546875" style="1"/>
    <col min="3090" max="3090" width="29.5703125" style="1" bestFit="1" customWidth="1"/>
    <col min="3091" max="3091" width="14.42578125" style="1" bestFit="1" customWidth="1"/>
    <col min="3092" max="3092" width="12.42578125" style="1" bestFit="1" customWidth="1"/>
    <col min="3093" max="3093" width="22.42578125" style="1" bestFit="1" customWidth="1"/>
    <col min="3094" max="3326" width="8.85546875" style="1"/>
    <col min="3327" max="3327" width="30.7109375" style="1" customWidth="1"/>
    <col min="3328" max="3329" width="13.28515625" style="1" customWidth="1"/>
    <col min="3330" max="3330" width="12.5703125" style="1" bestFit="1" customWidth="1"/>
    <col min="3331" max="3331" width="11.5703125" style="1" customWidth="1"/>
    <col min="3332" max="3333" width="10.5703125" style="1" customWidth="1"/>
    <col min="3334" max="3334" width="19.7109375" style="1" customWidth="1"/>
    <col min="3335" max="3335" width="6.5703125" style="1" customWidth="1"/>
    <col min="3336" max="3336" width="32.5703125" style="1" customWidth="1"/>
    <col min="3337" max="3337" width="15.28515625" style="1" customWidth="1"/>
    <col min="3338" max="3338" width="22.28515625" style="1" customWidth="1"/>
    <col min="3339" max="3339" width="16.7109375" style="1" customWidth="1"/>
    <col min="3340" max="3340" width="9.42578125" style="1" bestFit="1" customWidth="1"/>
    <col min="3341" max="3341" width="35.7109375" style="1" customWidth="1"/>
    <col min="3342" max="3342" width="14" style="1" customWidth="1"/>
    <col min="3343" max="3343" width="12" style="1" bestFit="1" customWidth="1"/>
    <col min="3344" max="3344" width="15" style="1" customWidth="1"/>
    <col min="3345" max="3345" width="8.85546875" style="1"/>
    <col min="3346" max="3346" width="29.5703125" style="1" bestFit="1" customWidth="1"/>
    <col min="3347" max="3347" width="14.42578125" style="1" bestFit="1" customWidth="1"/>
    <col min="3348" max="3348" width="12.42578125" style="1" bestFit="1" customWidth="1"/>
    <col min="3349" max="3349" width="22.42578125" style="1" bestFit="1" customWidth="1"/>
    <col min="3350" max="3582" width="8.85546875" style="1"/>
    <col min="3583" max="3583" width="30.7109375" style="1" customWidth="1"/>
    <col min="3584" max="3585" width="13.28515625" style="1" customWidth="1"/>
    <col min="3586" max="3586" width="12.5703125" style="1" bestFit="1" customWidth="1"/>
    <col min="3587" max="3587" width="11.5703125" style="1" customWidth="1"/>
    <col min="3588" max="3589" width="10.5703125" style="1" customWidth="1"/>
    <col min="3590" max="3590" width="19.7109375" style="1" customWidth="1"/>
    <col min="3591" max="3591" width="6.5703125" style="1" customWidth="1"/>
    <col min="3592" max="3592" width="32.5703125" style="1" customWidth="1"/>
    <col min="3593" max="3593" width="15.28515625" style="1" customWidth="1"/>
    <col min="3594" max="3594" width="22.28515625" style="1" customWidth="1"/>
    <col min="3595" max="3595" width="16.7109375" style="1" customWidth="1"/>
    <col min="3596" max="3596" width="9.42578125" style="1" bestFit="1" customWidth="1"/>
    <col min="3597" max="3597" width="35.7109375" style="1" customWidth="1"/>
    <col min="3598" max="3598" width="14" style="1" customWidth="1"/>
    <col min="3599" max="3599" width="12" style="1" bestFit="1" customWidth="1"/>
    <col min="3600" max="3600" width="15" style="1" customWidth="1"/>
    <col min="3601" max="3601" width="8.85546875" style="1"/>
    <col min="3602" max="3602" width="29.5703125" style="1" bestFit="1" customWidth="1"/>
    <col min="3603" max="3603" width="14.42578125" style="1" bestFit="1" customWidth="1"/>
    <col min="3604" max="3604" width="12.42578125" style="1" bestFit="1" customWidth="1"/>
    <col min="3605" max="3605" width="22.42578125" style="1" bestFit="1" customWidth="1"/>
    <col min="3606" max="3838" width="8.85546875" style="1"/>
    <col min="3839" max="3839" width="30.7109375" style="1" customWidth="1"/>
    <col min="3840" max="3841" width="13.28515625" style="1" customWidth="1"/>
    <col min="3842" max="3842" width="12.5703125" style="1" bestFit="1" customWidth="1"/>
    <col min="3843" max="3843" width="11.5703125" style="1" customWidth="1"/>
    <col min="3844" max="3845" width="10.5703125" style="1" customWidth="1"/>
    <col min="3846" max="3846" width="19.7109375" style="1" customWidth="1"/>
    <col min="3847" max="3847" width="6.5703125" style="1" customWidth="1"/>
    <col min="3848" max="3848" width="32.5703125" style="1" customWidth="1"/>
    <col min="3849" max="3849" width="15.28515625" style="1" customWidth="1"/>
    <col min="3850" max="3850" width="22.28515625" style="1" customWidth="1"/>
    <col min="3851" max="3851" width="16.7109375" style="1" customWidth="1"/>
    <col min="3852" max="3852" width="9.42578125" style="1" bestFit="1" customWidth="1"/>
    <col min="3853" max="3853" width="35.7109375" style="1" customWidth="1"/>
    <col min="3854" max="3854" width="14" style="1" customWidth="1"/>
    <col min="3855" max="3855" width="12" style="1" bestFit="1" customWidth="1"/>
    <col min="3856" max="3856" width="15" style="1" customWidth="1"/>
    <col min="3857" max="3857" width="8.85546875" style="1"/>
    <col min="3858" max="3858" width="29.5703125" style="1" bestFit="1" customWidth="1"/>
    <col min="3859" max="3859" width="14.42578125" style="1" bestFit="1" customWidth="1"/>
    <col min="3860" max="3860" width="12.42578125" style="1" bestFit="1" customWidth="1"/>
    <col min="3861" max="3861" width="22.42578125" style="1" bestFit="1" customWidth="1"/>
    <col min="3862" max="4094" width="8.85546875" style="1"/>
    <col min="4095" max="4095" width="30.7109375" style="1" customWidth="1"/>
    <col min="4096" max="4097" width="13.28515625" style="1" customWidth="1"/>
    <col min="4098" max="4098" width="12.5703125" style="1" bestFit="1" customWidth="1"/>
    <col min="4099" max="4099" width="11.5703125" style="1" customWidth="1"/>
    <col min="4100" max="4101" width="10.5703125" style="1" customWidth="1"/>
    <col min="4102" max="4102" width="19.7109375" style="1" customWidth="1"/>
    <col min="4103" max="4103" width="6.5703125" style="1" customWidth="1"/>
    <col min="4104" max="4104" width="32.5703125" style="1" customWidth="1"/>
    <col min="4105" max="4105" width="15.28515625" style="1" customWidth="1"/>
    <col min="4106" max="4106" width="22.28515625" style="1" customWidth="1"/>
    <col min="4107" max="4107" width="16.7109375" style="1" customWidth="1"/>
    <col min="4108" max="4108" width="9.42578125" style="1" bestFit="1" customWidth="1"/>
    <col min="4109" max="4109" width="35.7109375" style="1" customWidth="1"/>
    <col min="4110" max="4110" width="14" style="1" customWidth="1"/>
    <col min="4111" max="4111" width="12" style="1" bestFit="1" customWidth="1"/>
    <col min="4112" max="4112" width="15" style="1" customWidth="1"/>
    <col min="4113" max="4113" width="8.85546875" style="1"/>
    <col min="4114" max="4114" width="29.5703125" style="1" bestFit="1" customWidth="1"/>
    <col min="4115" max="4115" width="14.42578125" style="1" bestFit="1" customWidth="1"/>
    <col min="4116" max="4116" width="12.42578125" style="1" bestFit="1" customWidth="1"/>
    <col min="4117" max="4117" width="22.42578125" style="1" bestFit="1" customWidth="1"/>
    <col min="4118" max="4350" width="8.85546875" style="1"/>
    <col min="4351" max="4351" width="30.7109375" style="1" customWidth="1"/>
    <col min="4352" max="4353" width="13.28515625" style="1" customWidth="1"/>
    <col min="4354" max="4354" width="12.5703125" style="1" bestFit="1" customWidth="1"/>
    <col min="4355" max="4355" width="11.5703125" style="1" customWidth="1"/>
    <col min="4356" max="4357" width="10.5703125" style="1" customWidth="1"/>
    <col min="4358" max="4358" width="19.7109375" style="1" customWidth="1"/>
    <col min="4359" max="4359" width="6.5703125" style="1" customWidth="1"/>
    <col min="4360" max="4360" width="32.5703125" style="1" customWidth="1"/>
    <col min="4361" max="4361" width="15.28515625" style="1" customWidth="1"/>
    <col min="4362" max="4362" width="22.28515625" style="1" customWidth="1"/>
    <col min="4363" max="4363" width="16.7109375" style="1" customWidth="1"/>
    <col min="4364" max="4364" width="9.42578125" style="1" bestFit="1" customWidth="1"/>
    <col min="4365" max="4365" width="35.7109375" style="1" customWidth="1"/>
    <col min="4366" max="4366" width="14" style="1" customWidth="1"/>
    <col min="4367" max="4367" width="12" style="1" bestFit="1" customWidth="1"/>
    <col min="4368" max="4368" width="15" style="1" customWidth="1"/>
    <col min="4369" max="4369" width="8.85546875" style="1"/>
    <col min="4370" max="4370" width="29.5703125" style="1" bestFit="1" customWidth="1"/>
    <col min="4371" max="4371" width="14.42578125" style="1" bestFit="1" customWidth="1"/>
    <col min="4372" max="4372" width="12.42578125" style="1" bestFit="1" customWidth="1"/>
    <col min="4373" max="4373" width="22.42578125" style="1" bestFit="1" customWidth="1"/>
    <col min="4374" max="4606" width="8.85546875" style="1"/>
    <col min="4607" max="4607" width="30.7109375" style="1" customWidth="1"/>
    <col min="4608" max="4609" width="13.28515625" style="1" customWidth="1"/>
    <col min="4610" max="4610" width="12.5703125" style="1" bestFit="1" customWidth="1"/>
    <col min="4611" max="4611" width="11.5703125" style="1" customWidth="1"/>
    <col min="4612" max="4613" width="10.5703125" style="1" customWidth="1"/>
    <col min="4614" max="4614" width="19.7109375" style="1" customWidth="1"/>
    <col min="4615" max="4615" width="6.5703125" style="1" customWidth="1"/>
    <col min="4616" max="4616" width="32.5703125" style="1" customWidth="1"/>
    <col min="4617" max="4617" width="15.28515625" style="1" customWidth="1"/>
    <col min="4618" max="4618" width="22.28515625" style="1" customWidth="1"/>
    <col min="4619" max="4619" width="16.7109375" style="1" customWidth="1"/>
    <col min="4620" max="4620" width="9.42578125" style="1" bestFit="1" customWidth="1"/>
    <col min="4621" max="4621" width="35.7109375" style="1" customWidth="1"/>
    <col min="4622" max="4622" width="14" style="1" customWidth="1"/>
    <col min="4623" max="4623" width="12" style="1" bestFit="1" customWidth="1"/>
    <col min="4624" max="4624" width="15" style="1" customWidth="1"/>
    <col min="4625" max="4625" width="8.85546875" style="1"/>
    <col min="4626" max="4626" width="29.5703125" style="1" bestFit="1" customWidth="1"/>
    <col min="4627" max="4627" width="14.42578125" style="1" bestFit="1" customWidth="1"/>
    <col min="4628" max="4628" width="12.42578125" style="1" bestFit="1" customWidth="1"/>
    <col min="4629" max="4629" width="22.42578125" style="1" bestFit="1" customWidth="1"/>
    <col min="4630" max="4862" width="8.85546875" style="1"/>
    <col min="4863" max="4863" width="30.7109375" style="1" customWidth="1"/>
    <col min="4864" max="4865" width="13.28515625" style="1" customWidth="1"/>
    <col min="4866" max="4866" width="12.5703125" style="1" bestFit="1" customWidth="1"/>
    <col min="4867" max="4867" width="11.5703125" style="1" customWidth="1"/>
    <col min="4868" max="4869" width="10.5703125" style="1" customWidth="1"/>
    <col min="4870" max="4870" width="19.7109375" style="1" customWidth="1"/>
    <col min="4871" max="4871" width="6.5703125" style="1" customWidth="1"/>
    <col min="4872" max="4872" width="32.5703125" style="1" customWidth="1"/>
    <col min="4873" max="4873" width="15.28515625" style="1" customWidth="1"/>
    <col min="4874" max="4874" width="22.28515625" style="1" customWidth="1"/>
    <col min="4875" max="4875" width="16.7109375" style="1" customWidth="1"/>
    <col min="4876" max="4876" width="9.42578125" style="1" bestFit="1" customWidth="1"/>
    <col min="4877" max="4877" width="35.7109375" style="1" customWidth="1"/>
    <col min="4878" max="4878" width="14" style="1" customWidth="1"/>
    <col min="4879" max="4879" width="12" style="1" bestFit="1" customWidth="1"/>
    <col min="4880" max="4880" width="15" style="1" customWidth="1"/>
    <col min="4881" max="4881" width="8.85546875" style="1"/>
    <col min="4882" max="4882" width="29.5703125" style="1" bestFit="1" customWidth="1"/>
    <col min="4883" max="4883" width="14.42578125" style="1" bestFit="1" customWidth="1"/>
    <col min="4884" max="4884" width="12.42578125" style="1" bestFit="1" customWidth="1"/>
    <col min="4885" max="4885" width="22.42578125" style="1" bestFit="1" customWidth="1"/>
    <col min="4886" max="5118" width="8.85546875" style="1"/>
    <col min="5119" max="5119" width="30.7109375" style="1" customWidth="1"/>
    <col min="5120" max="5121" width="13.28515625" style="1" customWidth="1"/>
    <col min="5122" max="5122" width="12.5703125" style="1" bestFit="1" customWidth="1"/>
    <col min="5123" max="5123" width="11.5703125" style="1" customWidth="1"/>
    <col min="5124" max="5125" width="10.5703125" style="1" customWidth="1"/>
    <col min="5126" max="5126" width="19.7109375" style="1" customWidth="1"/>
    <col min="5127" max="5127" width="6.5703125" style="1" customWidth="1"/>
    <col min="5128" max="5128" width="32.5703125" style="1" customWidth="1"/>
    <col min="5129" max="5129" width="15.28515625" style="1" customWidth="1"/>
    <col min="5130" max="5130" width="22.28515625" style="1" customWidth="1"/>
    <col min="5131" max="5131" width="16.7109375" style="1" customWidth="1"/>
    <col min="5132" max="5132" width="9.42578125" style="1" bestFit="1" customWidth="1"/>
    <col min="5133" max="5133" width="35.7109375" style="1" customWidth="1"/>
    <col min="5134" max="5134" width="14" style="1" customWidth="1"/>
    <col min="5135" max="5135" width="12" style="1" bestFit="1" customWidth="1"/>
    <col min="5136" max="5136" width="15" style="1" customWidth="1"/>
    <col min="5137" max="5137" width="8.85546875" style="1"/>
    <col min="5138" max="5138" width="29.5703125" style="1" bestFit="1" customWidth="1"/>
    <col min="5139" max="5139" width="14.42578125" style="1" bestFit="1" customWidth="1"/>
    <col min="5140" max="5140" width="12.42578125" style="1" bestFit="1" customWidth="1"/>
    <col min="5141" max="5141" width="22.42578125" style="1" bestFit="1" customWidth="1"/>
    <col min="5142" max="5374" width="8.85546875" style="1"/>
    <col min="5375" max="5375" width="30.7109375" style="1" customWidth="1"/>
    <col min="5376" max="5377" width="13.28515625" style="1" customWidth="1"/>
    <col min="5378" max="5378" width="12.5703125" style="1" bestFit="1" customWidth="1"/>
    <col min="5379" max="5379" width="11.5703125" style="1" customWidth="1"/>
    <col min="5380" max="5381" width="10.5703125" style="1" customWidth="1"/>
    <col min="5382" max="5382" width="19.7109375" style="1" customWidth="1"/>
    <col min="5383" max="5383" width="6.5703125" style="1" customWidth="1"/>
    <col min="5384" max="5384" width="32.5703125" style="1" customWidth="1"/>
    <col min="5385" max="5385" width="15.28515625" style="1" customWidth="1"/>
    <col min="5386" max="5386" width="22.28515625" style="1" customWidth="1"/>
    <col min="5387" max="5387" width="16.7109375" style="1" customWidth="1"/>
    <col min="5388" max="5388" width="9.42578125" style="1" bestFit="1" customWidth="1"/>
    <col min="5389" max="5389" width="35.7109375" style="1" customWidth="1"/>
    <col min="5390" max="5390" width="14" style="1" customWidth="1"/>
    <col min="5391" max="5391" width="12" style="1" bestFit="1" customWidth="1"/>
    <col min="5392" max="5392" width="15" style="1" customWidth="1"/>
    <col min="5393" max="5393" width="8.85546875" style="1"/>
    <col min="5394" max="5394" width="29.5703125" style="1" bestFit="1" customWidth="1"/>
    <col min="5395" max="5395" width="14.42578125" style="1" bestFit="1" customWidth="1"/>
    <col min="5396" max="5396" width="12.42578125" style="1" bestFit="1" customWidth="1"/>
    <col min="5397" max="5397" width="22.42578125" style="1" bestFit="1" customWidth="1"/>
    <col min="5398" max="5630" width="8.85546875" style="1"/>
    <col min="5631" max="5631" width="30.7109375" style="1" customWidth="1"/>
    <col min="5632" max="5633" width="13.28515625" style="1" customWidth="1"/>
    <col min="5634" max="5634" width="12.5703125" style="1" bestFit="1" customWidth="1"/>
    <col min="5635" max="5635" width="11.5703125" style="1" customWidth="1"/>
    <col min="5636" max="5637" width="10.5703125" style="1" customWidth="1"/>
    <col min="5638" max="5638" width="19.7109375" style="1" customWidth="1"/>
    <col min="5639" max="5639" width="6.5703125" style="1" customWidth="1"/>
    <col min="5640" max="5640" width="32.5703125" style="1" customWidth="1"/>
    <col min="5641" max="5641" width="15.28515625" style="1" customWidth="1"/>
    <col min="5642" max="5642" width="22.28515625" style="1" customWidth="1"/>
    <col min="5643" max="5643" width="16.7109375" style="1" customWidth="1"/>
    <col min="5644" max="5644" width="9.42578125" style="1" bestFit="1" customWidth="1"/>
    <col min="5645" max="5645" width="35.7109375" style="1" customWidth="1"/>
    <col min="5646" max="5646" width="14" style="1" customWidth="1"/>
    <col min="5647" max="5647" width="12" style="1" bestFit="1" customWidth="1"/>
    <col min="5648" max="5648" width="15" style="1" customWidth="1"/>
    <col min="5649" max="5649" width="8.85546875" style="1"/>
    <col min="5650" max="5650" width="29.5703125" style="1" bestFit="1" customWidth="1"/>
    <col min="5651" max="5651" width="14.42578125" style="1" bestFit="1" customWidth="1"/>
    <col min="5652" max="5652" width="12.42578125" style="1" bestFit="1" customWidth="1"/>
    <col min="5653" max="5653" width="22.42578125" style="1" bestFit="1" customWidth="1"/>
    <col min="5654" max="5886" width="8.85546875" style="1"/>
    <col min="5887" max="5887" width="30.7109375" style="1" customWidth="1"/>
    <col min="5888" max="5889" width="13.28515625" style="1" customWidth="1"/>
    <col min="5890" max="5890" width="12.5703125" style="1" bestFit="1" customWidth="1"/>
    <col min="5891" max="5891" width="11.5703125" style="1" customWidth="1"/>
    <col min="5892" max="5893" width="10.5703125" style="1" customWidth="1"/>
    <col min="5894" max="5894" width="19.7109375" style="1" customWidth="1"/>
    <col min="5895" max="5895" width="6.5703125" style="1" customWidth="1"/>
    <col min="5896" max="5896" width="32.5703125" style="1" customWidth="1"/>
    <col min="5897" max="5897" width="15.28515625" style="1" customWidth="1"/>
    <col min="5898" max="5898" width="22.28515625" style="1" customWidth="1"/>
    <col min="5899" max="5899" width="16.7109375" style="1" customWidth="1"/>
    <col min="5900" max="5900" width="9.42578125" style="1" bestFit="1" customWidth="1"/>
    <col min="5901" max="5901" width="35.7109375" style="1" customWidth="1"/>
    <col min="5902" max="5902" width="14" style="1" customWidth="1"/>
    <col min="5903" max="5903" width="12" style="1" bestFit="1" customWidth="1"/>
    <col min="5904" max="5904" width="15" style="1" customWidth="1"/>
    <col min="5905" max="5905" width="8.85546875" style="1"/>
    <col min="5906" max="5906" width="29.5703125" style="1" bestFit="1" customWidth="1"/>
    <col min="5907" max="5907" width="14.42578125" style="1" bestFit="1" customWidth="1"/>
    <col min="5908" max="5908" width="12.42578125" style="1" bestFit="1" customWidth="1"/>
    <col min="5909" max="5909" width="22.42578125" style="1" bestFit="1" customWidth="1"/>
    <col min="5910" max="6142" width="8.85546875" style="1"/>
    <col min="6143" max="6143" width="30.7109375" style="1" customWidth="1"/>
    <col min="6144" max="6145" width="13.28515625" style="1" customWidth="1"/>
    <col min="6146" max="6146" width="12.5703125" style="1" bestFit="1" customWidth="1"/>
    <col min="6147" max="6147" width="11.5703125" style="1" customWidth="1"/>
    <col min="6148" max="6149" width="10.5703125" style="1" customWidth="1"/>
    <col min="6150" max="6150" width="19.7109375" style="1" customWidth="1"/>
    <col min="6151" max="6151" width="6.5703125" style="1" customWidth="1"/>
    <col min="6152" max="6152" width="32.5703125" style="1" customWidth="1"/>
    <col min="6153" max="6153" width="15.28515625" style="1" customWidth="1"/>
    <col min="6154" max="6154" width="22.28515625" style="1" customWidth="1"/>
    <col min="6155" max="6155" width="16.7109375" style="1" customWidth="1"/>
    <col min="6156" max="6156" width="9.42578125" style="1" bestFit="1" customWidth="1"/>
    <col min="6157" max="6157" width="35.7109375" style="1" customWidth="1"/>
    <col min="6158" max="6158" width="14" style="1" customWidth="1"/>
    <col min="6159" max="6159" width="12" style="1" bestFit="1" customWidth="1"/>
    <col min="6160" max="6160" width="15" style="1" customWidth="1"/>
    <col min="6161" max="6161" width="8.85546875" style="1"/>
    <col min="6162" max="6162" width="29.5703125" style="1" bestFit="1" customWidth="1"/>
    <col min="6163" max="6163" width="14.42578125" style="1" bestFit="1" customWidth="1"/>
    <col min="6164" max="6164" width="12.42578125" style="1" bestFit="1" customWidth="1"/>
    <col min="6165" max="6165" width="22.42578125" style="1" bestFit="1" customWidth="1"/>
    <col min="6166" max="6398" width="8.85546875" style="1"/>
    <col min="6399" max="6399" width="30.7109375" style="1" customWidth="1"/>
    <col min="6400" max="6401" width="13.28515625" style="1" customWidth="1"/>
    <col min="6402" max="6402" width="12.5703125" style="1" bestFit="1" customWidth="1"/>
    <col min="6403" max="6403" width="11.5703125" style="1" customWidth="1"/>
    <col min="6404" max="6405" width="10.5703125" style="1" customWidth="1"/>
    <col min="6406" max="6406" width="19.7109375" style="1" customWidth="1"/>
    <col min="6407" max="6407" width="6.5703125" style="1" customWidth="1"/>
    <col min="6408" max="6408" width="32.5703125" style="1" customWidth="1"/>
    <col min="6409" max="6409" width="15.28515625" style="1" customWidth="1"/>
    <col min="6410" max="6410" width="22.28515625" style="1" customWidth="1"/>
    <col min="6411" max="6411" width="16.7109375" style="1" customWidth="1"/>
    <col min="6412" max="6412" width="9.42578125" style="1" bestFit="1" customWidth="1"/>
    <col min="6413" max="6413" width="35.7109375" style="1" customWidth="1"/>
    <col min="6414" max="6414" width="14" style="1" customWidth="1"/>
    <col min="6415" max="6415" width="12" style="1" bestFit="1" customWidth="1"/>
    <col min="6416" max="6416" width="15" style="1" customWidth="1"/>
    <col min="6417" max="6417" width="8.85546875" style="1"/>
    <col min="6418" max="6418" width="29.5703125" style="1" bestFit="1" customWidth="1"/>
    <col min="6419" max="6419" width="14.42578125" style="1" bestFit="1" customWidth="1"/>
    <col min="6420" max="6420" width="12.42578125" style="1" bestFit="1" customWidth="1"/>
    <col min="6421" max="6421" width="22.42578125" style="1" bestFit="1" customWidth="1"/>
    <col min="6422" max="6654" width="8.85546875" style="1"/>
    <col min="6655" max="6655" width="30.7109375" style="1" customWidth="1"/>
    <col min="6656" max="6657" width="13.28515625" style="1" customWidth="1"/>
    <col min="6658" max="6658" width="12.5703125" style="1" bestFit="1" customWidth="1"/>
    <col min="6659" max="6659" width="11.5703125" style="1" customWidth="1"/>
    <col min="6660" max="6661" width="10.5703125" style="1" customWidth="1"/>
    <col min="6662" max="6662" width="19.7109375" style="1" customWidth="1"/>
    <col min="6663" max="6663" width="6.5703125" style="1" customWidth="1"/>
    <col min="6664" max="6664" width="32.5703125" style="1" customWidth="1"/>
    <col min="6665" max="6665" width="15.28515625" style="1" customWidth="1"/>
    <col min="6666" max="6666" width="22.28515625" style="1" customWidth="1"/>
    <col min="6667" max="6667" width="16.7109375" style="1" customWidth="1"/>
    <col min="6668" max="6668" width="9.42578125" style="1" bestFit="1" customWidth="1"/>
    <col min="6669" max="6669" width="35.7109375" style="1" customWidth="1"/>
    <col min="6670" max="6670" width="14" style="1" customWidth="1"/>
    <col min="6671" max="6671" width="12" style="1" bestFit="1" customWidth="1"/>
    <col min="6672" max="6672" width="15" style="1" customWidth="1"/>
    <col min="6673" max="6673" width="8.85546875" style="1"/>
    <col min="6674" max="6674" width="29.5703125" style="1" bestFit="1" customWidth="1"/>
    <col min="6675" max="6675" width="14.42578125" style="1" bestFit="1" customWidth="1"/>
    <col min="6676" max="6676" width="12.42578125" style="1" bestFit="1" customWidth="1"/>
    <col min="6677" max="6677" width="22.42578125" style="1" bestFit="1" customWidth="1"/>
    <col min="6678" max="6910" width="8.85546875" style="1"/>
    <col min="6911" max="6911" width="30.7109375" style="1" customWidth="1"/>
    <col min="6912" max="6913" width="13.28515625" style="1" customWidth="1"/>
    <col min="6914" max="6914" width="12.5703125" style="1" bestFit="1" customWidth="1"/>
    <col min="6915" max="6915" width="11.5703125" style="1" customWidth="1"/>
    <col min="6916" max="6917" width="10.5703125" style="1" customWidth="1"/>
    <col min="6918" max="6918" width="19.7109375" style="1" customWidth="1"/>
    <col min="6919" max="6919" width="6.5703125" style="1" customWidth="1"/>
    <col min="6920" max="6920" width="32.5703125" style="1" customWidth="1"/>
    <col min="6921" max="6921" width="15.28515625" style="1" customWidth="1"/>
    <col min="6922" max="6922" width="22.28515625" style="1" customWidth="1"/>
    <col min="6923" max="6923" width="16.7109375" style="1" customWidth="1"/>
    <col min="6924" max="6924" width="9.42578125" style="1" bestFit="1" customWidth="1"/>
    <col min="6925" max="6925" width="35.7109375" style="1" customWidth="1"/>
    <col min="6926" max="6926" width="14" style="1" customWidth="1"/>
    <col min="6927" max="6927" width="12" style="1" bestFit="1" customWidth="1"/>
    <col min="6928" max="6928" width="15" style="1" customWidth="1"/>
    <col min="6929" max="6929" width="8.85546875" style="1"/>
    <col min="6930" max="6930" width="29.5703125" style="1" bestFit="1" customWidth="1"/>
    <col min="6931" max="6931" width="14.42578125" style="1" bestFit="1" customWidth="1"/>
    <col min="6932" max="6932" width="12.42578125" style="1" bestFit="1" customWidth="1"/>
    <col min="6933" max="6933" width="22.42578125" style="1" bestFit="1" customWidth="1"/>
    <col min="6934" max="7166" width="8.85546875" style="1"/>
    <col min="7167" max="7167" width="30.7109375" style="1" customWidth="1"/>
    <col min="7168" max="7169" width="13.28515625" style="1" customWidth="1"/>
    <col min="7170" max="7170" width="12.5703125" style="1" bestFit="1" customWidth="1"/>
    <col min="7171" max="7171" width="11.5703125" style="1" customWidth="1"/>
    <col min="7172" max="7173" width="10.5703125" style="1" customWidth="1"/>
    <col min="7174" max="7174" width="19.7109375" style="1" customWidth="1"/>
    <col min="7175" max="7175" width="6.5703125" style="1" customWidth="1"/>
    <col min="7176" max="7176" width="32.5703125" style="1" customWidth="1"/>
    <col min="7177" max="7177" width="15.28515625" style="1" customWidth="1"/>
    <col min="7178" max="7178" width="22.28515625" style="1" customWidth="1"/>
    <col min="7179" max="7179" width="16.7109375" style="1" customWidth="1"/>
    <col min="7180" max="7180" width="9.42578125" style="1" bestFit="1" customWidth="1"/>
    <col min="7181" max="7181" width="35.7109375" style="1" customWidth="1"/>
    <col min="7182" max="7182" width="14" style="1" customWidth="1"/>
    <col min="7183" max="7183" width="12" style="1" bestFit="1" customWidth="1"/>
    <col min="7184" max="7184" width="15" style="1" customWidth="1"/>
    <col min="7185" max="7185" width="8.85546875" style="1"/>
    <col min="7186" max="7186" width="29.5703125" style="1" bestFit="1" customWidth="1"/>
    <col min="7187" max="7187" width="14.42578125" style="1" bestFit="1" customWidth="1"/>
    <col min="7188" max="7188" width="12.42578125" style="1" bestFit="1" customWidth="1"/>
    <col min="7189" max="7189" width="22.42578125" style="1" bestFit="1" customWidth="1"/>
    <col min="7190" max="7422" width="8.85546875" style="1"/>
    <col min="7423" max="7423" width="30.7109375" style="1" customWidth="1"/>
    <col min="7424" max="7425" width="13.28515625" style="1" customWidth="1"/>
    <col min="7426" max="7426" width="12.5703125" style="1" bestFit="1" customWidth="1"/>
    <col min="7427" max="7427" width="11.5703125" style="1" customWidth="1"/>
    <col min="7428" max="7429" width="10.5703125" style="1" customWidth="1"/>
    <col min="7430" max="7430" width="19.7109375" style="1" customWidth="1"/>
    <col min="7431" max="7431" width="6.5703125" style="1" customWidth="1"/>
    <col min="7432" max="7432" width="32.5703125" style="1" customWidth="1"/>
    <col min="7433" max="7433" width="15.28515625" style="1" customWidth="1"/>
    <col min="7434" max="7434" width="22.28515625" style="1" customWidth="1"/>
    <col min="7435" max="7435" width="16.7109375" style="1" customWidth="1"/>
    <col min="7436" max="7436" width="9.42578125" style="1" bestFit="1" customWidth="1"/>
    <col min="7437" max="7437" width="35.7109375" style="1" customWidth="1"/>
    <col min="7438" max="7438" width="14" style="1" customWidth="1"/>
    <col min="7439" max="7439" width="12" style="1" bestFit="1" customWidth="1"/>
    <col min="7440" max="7440" width="15" style="1" customWidth="1"/>
    <col min="7441" max="7441" width="8.85546875" style="1"/>
    <col min="7442" max="7442" width="29.5703125" style="1" bestFit="1" customWidth="1"/>
    <col min="7443" max="7443" width="14.42578125" style="1" bestFit="1" customWidth="1"/>
    <col min="7444" max="7444" width="12.42578125" style="1" bestFit="1" customWidth="1"/>
    <col min="7445" max="7445" width="22.42578125" style="1" bestFit="1" customWidth="1"/>
    <col min="7446" max="7678" width="8.85546875" style="1"/>
    <col min="7679" max="7679" width="30.7109375" style="1" customWidth="1"/>
    <col min="7680" max="7681" width="13.28515625" style="1" customWidth="1"/>
    <col min="7682" max="7682" width="12.5703125" style="1" bestFit="1" customWidth="1"/>
    <col min="7683" max="7683" width="11.5703125" style="1" customWidth="1"/>
    <col min="7684" max="7685" width="10.5703125" style="1" customWidth="1"/>
    <col min="7686" max="7686" width="19.7109375" style="1" customWidth="1"/>
    <col min="7687" max="7687" width="6.5703125" style="1" customWidth="1"/>
    <col min="7688" max="7688" width="32.5703125" style="1" customWidth="1"/>
    <col min="7689" max="7689" width="15.28515625" style="1" customWidth="1"/>
    <col min="7690" max="7690" width="22.28515625" style="1" customWidth="1"/>
    <col min="7691" max="7691" width="16.7109375" style="1" customWidth="1"/>
    <col min="7692" max="7692" width="9.42578125" style="1" bestFit="1" customWidth="1"/>
    <col min="7693" max="7693" width="35.7109375" style="1" customWidth="1"/>
    <col min="7694" max="7694" width="14" style="1" customWidth="1"/>
    <col min="7695" max="7695" width="12" style="1" bestFit="1" customWidth="1"/>
    <col min="7696" max="7696" width="15" style="1" customWidth="1"/>
    <col min="7697" max="7697" width="8.85546875" style="1"/>
    <col min="7698" max="7698" width="29.5703125" style="1" bestFit="1" customWidth="1"/>
    <col min="7699" max="7699" width="14.42578125" style="1" bestFit="1" customWidth="1"/>
    <col min="7700" max="7700" width="12.42578125" style="1" bestFit="1" customWidth="1"/>
    <col min="7701" max="7701" width="22.42578125" style="1" bestFit="1" customWidth="1"/>
    <col min="7702" max="7934" width="8.85546875" style="1"/>
    <col min="7935" max="7935" width="30.7109375" style="1" customWidth="1"/>
    <col min="7936" max="7937" width="13.28515625" style="1" customWidth="1"/>
    <col min="7938" max="7938" width="12.5703125" style="1" bestFit="1" customWidth="1"/>
    <col min="7939" max="7939" width="11.5703125" style="1" customWidth="1"/>
    <col min="7940" max="7941" width="10.5703125" style="1" customWidth="1"/>
    <col min="7942" max="7942" width="19.7109375" style="1" customWidth="1"/>
    <col min="7943" max="7943" width="6.5703125" style="1" customWidth="1"/>
    <col min="7944" max="7944" width="32.5703125" style="1" customWidth="1"/>
    <col min="7945" max="7945" width="15.28515625" style="1" customWidth="1"/>
    <col min="7946" max="7946" width="22.28515625" style="1" customWidth="1"/>
    <col min="7947" max="7947" width="16.7109375" style="1" customWidth="1"/>
    <col min="7948" max="7948" width="9.42578125" style="1" bestFit="1" customWidth="1"/>
    <col min="7949" max="7949" width="35.7109375" style="1" customWidth="1"/>
    <col min="7950" max="7950" width="14" style="1" customWidth="1"/>
    <col min="7951" max="7951" width="12" style="1" bestFit="1" customWidth="1"/>
    <col min="7952" max="7952" width="15" style="1" customWidth="1"/>
    <col min="7953" max="7953" width="8.85546875" style="1"/>
    <col min="7954" max="7954" width="29.5703125" style="1" bestFit="1" customWidth="1"/>
    <col min="7955" max="7955" width="14.42578125" style="1" bestFit="1" customWidth="1"/>
    <col min="7956" max="7956" width="12.42578125" style="1" bestFit="1" customWidth="1"/>
    <col min="7957" max="7957" width="22.42578125" style="1" bestFit="1" customWidth="1"/>
    <col min="7958" max="8190" width="8.85546875" style="1"/>
    <col min="8191" max="8191" width="30.7109375" style="1" customWidth="1"/>
    <col min="8192" max="8193" width="13.28515625" style="1" customWidth="1"/>
    <col min="8194" max="8194" width="12.5703125" style="1" bestFit="1" customWidth="1"/>
    <col min="8195" max="8195" width="11.5703125" style="1" customWidth="1"/>
    <col min="8196" max="8197" width="10.5703125" style="1" customWidth="1"/>
    <col min="8198" max="8198" width="19.7109375" style="1" customWidth="1"/>
    <col min="8199" max="8199" width="6.5703125" style="1" customWidth="1"/>
    <col min="8200" max="8200" width="32.5703125" style="1" customWidth="1"/>
    <col min="8201" max="8201" width="15.28515625" style="1" customWidth="1"/>
    <col min="8202" max="8202" width="22.28515625" style="1" customWidth="1"/>
    <col min="8203" max="8203" width="16.7109375" style="1" customWidth="1"/>
    <col min="8204" max="8204" width="9.42578125" style="1" bestFit="1" customWidth="1"/>
    <col min="8205" max="8205" width="35.7109375" style="1" customWidth="1"/>
    <col min="8206" max="8206" width="14" style="1" customWidth="1"/>
    <col min="8207" max="8207" width="12" style="1" bestFit="1" customWidth="1"/>
    <col min="8208" max="8208" width="15" style="1" customWidth="1"/>
    <col min="8209" max="8209" width="8.85546875" style="1"/>
    <col min="8210" max="8210" width="29.5703125" style="1" bestFit="1" customWidth="1"/>
    <col min="8211" max="8211" width="14.42578125" style="1" bestFit="1" customWidth="1"/>
    <col min="8212" max="8212" width="12.42578125" style="1" bestFit="1" customWidth="1"/>
    <col min="8213" max="8213" width="22.42578125" style="1" bestFit="1" customWidth="1"/>
    <col min="8214" max="8446" width="8.85546875" style="1"/>
    <col min="8447" max="8447" width="30.7109375" style="1" customWidth="1"/>
    <col min="8448" max="8449" width="13.28515625" style="1" customWidth="1"/>
    <col min="8450" max="8450" width="12.5703125" style="1" bestFit="1" customWidth="1"/>
    <col min="8451" max="8451" width="11.5703125" style="1" customWidth="1"/>
    <col min="8452" max="8453" width="10.5703125" style="1" customWidth="1"/>
    <col min="8454" max="8454" width="19.7109375" style="1" customWidth="1"/>
    <col min="8455" max="8455" width="6.5703125" style="1" customWidth="1"/>
    <col min="8456" max="8456" width="32.5703125" style="1" customWidth="1"/>
    <col min="8457" max="8457" width="15.28515625" style="1" customWidth="1"/>
    <col min="8458" max="8458" width="22.28515625" style="1" customWidth="1"/>
    <col min="8459" max="8459" width="16.7109375" style="1" customWidth="1"/>
    <col min="8460" max="8460" width="9.42578125" style="1" bestFit="1" customWidth="1"/>
    <col min="8461" max="8461" width="35.7109375" style="1" customWidth="1"/>
    <col min="8462" max="8462" width="14" style="1" customWidth="1"/>
    <col min="8463" max="8463" width="12" style="1" bestFit="1" customWidth="1"/>
    <col min="8464" max="8464" width="15" style="1" customWidth="1"/>
    <col min="8465" max="8465" width="8.85546875" style="1"/>
    <col min="8466" max="8466" width="29.5703125" style="1" bestFit="1" customWidth="1"/>
    <col min="8467" max="8467" width="14.42578125" style="1" bestFit="1" customWidth="1"/>
    <col min="8468" max="8468" width="12.42578125" style="1" bestFit="1" customWidth="1"/>
    <col min="8469" max="8469" width="22.42578125" style="1" bestFit="1" customWidth="1"/>
    <col min="8470" max="8702" width="8.85546875" style="1"/>
    <col min="8703" max="8703" width="30.7109375" style="1" customWidth="1"/>
    <col min="8704" max="8705" width="13.28515625" style="1" customWidth="1"/>
    <col min="8706" max="8706" width="12.5703125" style="1" bestFit="1" customWidth="1"/>
    <col min="8707" max="8707" width="11.5703125" style="1" customWidth="1"/>
    <col min="8708" max="8709" width="10.5703125" style="1" customWidth="1"/>
    <col min="8710" max="8710" width="19.7109375" style="1" customWidth="1"/>
    <col min="8711" max="8711" width="6.5703125" style="1" customWidth="1"/>
    <col min="8712" max="8712" width="32.5703125" style="1" customWidth="1"/>
    <col min="8713" max="8713" width="15.28515625" style="1" customWidth="1"/>
    <col min="8714" max="8714" width="22.28515625" style="1" customWidth="1"/>
    <col min="8715" max="8715" width="16.7109375" style="1" customWidth="1"/>
    <col min="8716" max="8716" width="9.42578125" style="1" bestFit="1" customWidth="1"/>
    <col min="8717" max="8717" width="35.7109375" style="1" customWidth="1"/>
    <col min="8718" max="8718" width="14" style="1" customWidth="1"/>
    <col min="8719" max="8719" width="12" style="1" bestFit="1" customWidth="1"/>
    <col min="8720" max="8720" width="15" style="1" customWidth="1"/>
    <col min="8721" max="8721" width="8.85546875" style="1"/>
    <col min="8722" max="8722" width="29.5703125" style="1" bestFit="1" customWidth="1"/>
    <col min="8723" max="8723" width="14.42578125" style="1" bestFit="1" customWidth="1"/>
    <col min="8724" max="8724" width="12.42578125" style="1" bestFit="1" customWidth="1"/>
    <col min="8725" max="8725" width="22.42578125" style="1" bestFit="1" customWidth="1"/>
    <col min="8726" max="8958" width="8.85546875" style="1"/>
    <col min="8959" max="8959" width="30.7109375" style="1" customWidth="1"/>
    <col min="8960" max="8961" width="13.28515625" style="1" customWidth="1"/>
    <col min="8962" max="8962" width="12.5703125" style="1" bestFit="1" customWidth="1"/>
    <col min="8963" max="8963" width="11.5703125" style="1" customWidth="1"/>
    <col min="8964" max="8965" width="10.5703125" style="1" customWidth="1"/>
    <col min="8966" max="8966" width="19.7109375" style="1" customWidth="1"/>
    <col min="8967" max="8967" width="6.5703125" style="1" customWidth="1"/>
    <col min="8968" max="8968" width="32.5703125" style="1" customWidth="1"/>
    <col min="8969" max="8969" width="15.28515625" style="1" customWidth="1"/>
    <col min="8970" max="8970" width="22.28515625" style="1" customWidth="1"/>
    <col min="8971" max="8971" width="16.7109375" style="1" customWidth="1"/>
    <col min="8972" max="8972" width="9.42578125" style="1" bestFit="1" customWidth="1"/>
    <col min="8973" max="8973" width="35.7109375" style="1" customWidth="1"/>
    <col min="8974" max="8974" width="14" style="1" customWidth="1"/>
    <col min="8975" max="8975" width="12" style="1" bestFit="1" customWidth="1"/>
    <col min="8976" max="8976" width="15" style="1" customWidth="1"/>
    <col min="8977" max="8977" width="8.85546875" style="1"/>
    <col min="8978" max="8978" width="29.5703125" style="1" bestFit="1" customWidth="1"/>
    <col min="8979" max="8979" width="14.42578125" style="1" bestFit="1" customWidth="1"/>
    <col min="8980" max="8980" width="12.42578125" style="1" bestFit="1" customWidth="1"/>
    <col min="8981" max="8981" width="22.42578125" style="1" bestFit="1" customWidth="1"/>
    <col min="8982" max="9214" width="8.85546875" style="1"/>
    <col min="9215" max="9215" width="30.7109375" style="1" customWidth="1"/>
    <col min="9216" max="9217" width="13.28515625" style="1" customWidth="1"/>
    <col min="9218" max="9218" width="12.5703125" style="1" bestFit="1" customWidth="1"/>
    <col min="9219" max="9219" width="11.5703125" style="1" customWidth="1"/>
    <col min="9220" max="9221" width="10.5703125" style="1" customWidth="1"/>
    <col min="9222" max="9222" width="19.7109375" style="1" customWidth="1"/>
    <col min="9223" max="9223" width="6.5703125" style="1" customWidth="1"/>
    <col min="9224" max="9224" width="32.5703125" style="1" customWidth="1"/>
    <col min="9225" max="9225" width="15.28515625" style="1" customWidth="1"/>
    <col min="9226" max="9226" width="22.28515625" style="1" customWidth="1"/>
    <col min="9227" max="9227" width="16.7109375" style="1" customWidth="1"/>
    <col min="9228" max="9228" width="9.42578125" style="1" bestFit="1" customWidth="1"/>
    <col min="9229" max="9229" width="35.7109375" style="1" customWidth="1"/>
    <col min="9230" max="9230" width="14" style="1" customWidth="1"/>
    <col min="9231" max="9231" width="12" style="1" bestFit="1" customWidth="1"/>
    <col min="9232" max="9232" width="15" style="1" customWidth="1"/>
    <col min="9233" max="9233" width="8.85546875" style="1"/>
    <col min="9234" max="9234" width="29.5703125" style="1" bestFit="1" customWidth="1"/>
    <col min="9235" max="9235" width="14.42578125" style="1" bestFit="1" customWidth="1"/>
    <col min="9236" max="9236" width="12.42578125" style="1" bestFit="1" customWidth="1"/>
    <col min="9237" max="9237" width="22.42578125" style="1" bestFit="1" customWidth="1"/>
    <col min="9238" max="9470" width="8.85546875" style="1"/>
    <col min="9471" max="9471" width="30.7109375" style="1" customWidth="1"/>
    <col min="9472" max="9473" width="13.28515625" style="1" customWidth="1"/>
    <col min="9474" max="9474" width="12.5703125" style="1" bestFit="1" customWidth="1"/>
    <col min="9475" max="9475" width="11.5703125" style="1" customWidth="1"/>
    <col min="9476" max="9477" width="10.5703125" style="1" customWidth="1"/>
    <col min="9478" max="9478" width="19.7109375" style="1" customWidth="1"/>
    <col min="9479" max="9479" width="6.5703125" style="1" customWidth="1"/>
    <col min="9480" max="9480" width="32.5703125" style="1" customWidth="1"/>
    <col min="9481" max="9481" width="15.28515625" style="1" customWidth="1"/>
    <col min="9482" max="9482" width="22.28515625" style="1" customWidth="1"/>
    <col min="9483" max="9483" width="16.7109375" style="1" customWidth="1"/>
    <col min="9484" max="9484" width="9.42578125" style="1" bestFit="1" customWidth="1"/>
    <col min="9485" max="9485" width="35.7109375" style="1" customWidth="1"/>
    <col min="9486" max="9486" width="14" style="1" customWidth="1"/>
    <col min="9487" max="9487" width="12" style="1" bestFit="1" customWidth="1"/>
    <col min="9488" max="9488" width="15" style="1" customWidth="1"/>
    <col min="9489" max="9489" width="8.85546875" style="1"/>
    <col min="9490" max="9490" width="29.5703125" style="1" bestFit="1" customWidth="1"/>
    <col min="9491" max="9491" width="14.42578125" style="1" bestFit="1" customWidth="1"/>
    <col min="9492" max="9492" width="12.42578125" style="1" bestFit="1" customWidth="1"/>
    <col min="9493" max="9493" width="22.42578125" style="1" bestFit="1" customWidth="1"/>
    <col min="9494" max="9726" width="8.85546875" style="1"/>
    <col min="9727" max="9727" width="30.7109375" style="1" customWidth="1"/>
    <col min="9728" max="9729" width="13.28515625" style="1" customWidth="1"/>
    <col min="9730" max="9730" width="12.5703125" style="1" bestFit="1" customWidth="1"/>
    <col min="9731" max="9731" width="11.5703125" style="1" customWidth="1"/>
    <col min="9732" max="9733" width="10.5703125" style="1" customWidth="1"/>
    <col min="9734" max="9734" width="19.7109375" style="1" customWidth="1"/>
    <col min="9735" max="9735" width="6.5703125" style="1" customWidth="1"/>
    <col min="9736" max="9736" width="32.5703125" style="1" customWidth="1"/>
    <col min="9737" max="9737" width="15.28515625" style="1" customWidth="1"/>
    <col min="9738" max="9738" width="22.28515625" style="1" customWidth="1"/>
    <col min="9739" max="9739" width="16.7109375" style="1" customWidth="1"/>
    <col min="9740" max="9740" width="9.42578125" style="1" bestFit="1" customWidth="1"/>
    <col min="9741" max="9741" width="35.7109375" style="1" customWidth="1"/>
    <col min="9742" max="9742" width="14" style="1" customWidth="1"/>
    <col min="9743" max="9743" width="12" style="1" bestFit="1" customWidth="1"/>
    <col min="9744" max="9744" width="15" style="1" customWidth="1"/>
    <col min="9745" max="9745" width="8.85546875" style="1"/>
    <col min="9746" max="9746" width="29.5703125" style="1" bestFit="1" customWidth="1"/>
    <col min="9747" max="9747" width="14.42578125" style="1" bestFit="1" customWidth="1"/>
    <col min="9748" max="9748" width="12.42578125" style="1" bestFit="1" customWidth="1"/>
    <col min="9749" max="9749" width="22.42578125" style="1" bestFit="1" customWidth="1"/>
    <col min="9750" max="9982" width="8.85546875" style="1"/>
    <col min="9983" max="9983" width="30.7109375" style="1" customWidth="1"/>
    <col min="9984" max="9985" width="13.28515625" style="1" customWidth="1"/>
    <col min="9986" max="9986" width="12.5703125" style="1" bestFit="1" customWidth="1"/>
    <col min="9987" max="9987" width="11.5703125" style="1" customWidth="1"/>
    <col min="9988" max="9989" width="10.5703125" style="1" customWidth="1"/>
    <col min="9990" max="9990" width="19.7109375" style="1" customWidth="1"/>
    <col min="9991" max="9991" width="6.5703125" style="1" customWidth="1"/>
    <col min="9992" max="9992" width="32.5703125" style="1" customWidth="1"/>
    <col min="9993" max="9993" width="15.28515625" style="1" customWidth="1"/>
    <col min="9994" max="9994" width="22.28515625" style="1" customWidth="1"/>
    <col min="9995" max="9995" width="16.7109375" style="1" customWidth="1"/>
    <col min="9996" max="9996" width="9.42578125" style="1" bestFit="1" customWidth="1"/>
    <col min="9997" max="9997" width="35.7109375" style="1" customWidth="1"/>
    <col min="9998" max="9998" width="14" style="1" customWidth="1"/>
    <col min="9999" max="9999" width="12" style="1" bestFit="1" customWidth="1"/>
    <col min="10000" max="10000" width="15" style="1" customWidth="1"/>
    <col min="10001" max="10001" width="8.85546875" style="1"/>
    <col min="10002" max="10002" width="29.5703125" style="1" bestFit="1" customWidth="1"/>
    <col min="10003" max="10003" width="14.42578125" style="1" bestFit="1" customWidth="1"/>
    <col min="10004" max="10004" width="12.42578125" style="1" bestFit="1" customWidth="1"/>
    <col min="10005" max="10005" width="22.42578125" style="1" bestFit="1" customWidth="1"/>
    <col min="10006" max="10238" width="8.85546875" style="1"/>
    <col min="10239" max="10239" width="30.7109375" style="1" customWidth="1"/>
    <col min="10240" max="10241" width="13.28515625" style="1" customWidth="1"/>
    <col min="10242" max="10242" width="12.5703125" style="1" bestFit="1" customWidth="1"/>
    <col min="10243" max="10243" width="11.5703125" style="1" customWidth="1"/>
    <col min="10244" max="10245" width="10.5703125" style="1" customWidth="1"/>
    <col min="10246" max="10246" width="19.7109375" style="1" customWidth="1"/>
    <col min="10247" max="10247" width="6.5703125" style="1" customWidth="1"/>
    <col min="10248" max="10248" width="32.5703125" style="1" customWidth="1"/>
    <col min="10249" max="10249" width="15.28515625" style="1" customWidth="1"/>
    <col min="10250" max="10250" width="22.28515625" style="1" customWidth="1"/>
    <col min="10251" max="10251" width="16.7109375" style="1" customWidth="1"/>
    <col min="10252" max="10252" width="9.42578125" style="1" bestFit="1" customWidth="1"/>
    <col min="10253" max="10253" width="35.7109375" style="1" customWidth="1"/>
    <col min="10254" max="10254" width="14" style="1" customWidth="1"/>
    <col min="10255" max="10255" width="12" style="1" bestFit="1" customWidth="1"/>
    <col min="10256" max="10256" width="15" style="1" customWidth="1"/>
    <col min="10257" max="10257" width="8.85546875" style="1"/>
    <col min="10258" max="10258" width="29.5703125" style="1" bestFit="1" customWidth="1"/>
    <col min="10259" max="10259" width="14.42578125" style="1" bestFit="1" customWidth="1"/>
    <col min="10260" max="10260" width="12.42578125" style="1" bestFit="1" customWidth="1"/>
    <col min="10261" max="10261" width="22.42578125" style="1" bestFit="1" customWidth="1"/>
    <col min="10262" max="10494" width="8.85546875" style="1"/>
    <col min="10495" max="10495" width="30.7109375" style="1" customWidth="1"/>
    <col min="10496" max="10497" width="13.28515625" style="1" customWidth="1"/>
    <col min="10498" max="10498" width="12.5703125" style="1" bestFit="1" customWidth="1"/>
    <col min="10499" max="10499" width="11.5703125" style="1" customWidth="1"/>
    <col min="10500" max="10501" width="10.5703125" style="1" customWidth="1"/>
    <col min="10502" max="10502" width="19.7109375" style="1" customWidth="1"/>
    <col min="10503" max="10503" width="6.5703125" style="1" customWidth="1"/>
    <col min="10504" max="10504" width="32.5703125" style="1" customWidth="1"/>
    <col min="10505" max="10505" width="15.28515625" style="1" customWidth="1"/>
    <col min="10506" max="10506" width="22.28515625" style="1" customWidth="1"/>
    <col min="10507" max="10507" width="16.7109375" style="1" customWidth="1"/>
    <col min="10508" max="10508" width="9.42578125" style="1" bestFit="1" customWidth="1"/>
    <col min="10509" max="10509" width="35.7109375" style="1" customWidth="1"/>
    <col min="10510" max="10510" width="14" style="1" customWidth="1"/>
    <col min="10511" max="10511" width="12" style="1" bestFit="1" customWidth="1"/>
    <col min="10512" max="10512" width="15" style="1" customWidth="1"/>
    <col min="10513" max="10513" width="8.85546875" style="1"/>
    <col min="10514" max="10514" width="29.5703125" style="1" bestFit="1" customWidth="1"/>
    <col min="10515" max="10515" width="14.42578125" style="1" bestFit="1" customWidth="1"/>
    <col min="10516" max="10516" width="12.42578125" style="1" bestFit="1" customWidth="1"/>
    <col min="10517" max="10517" width="22.42578125" style="1" bestFit="1" customWidth="1"/>
    <col min="10518" max="10750" width="8.85546875" style="1"/>
    <col min="10751" max="10751" width="30.7109375" style="1" customWidth="1"/>
    <col min="10752" max="10753" width="13.28515625" style="1" customWidth="1"/>
    <col min="10754" max="10754" width="12.5703125" style="1" bestFit="1" customWidth="1"/>
    <col min="10755" max="10755" width="11.5703125" style="1" customWidth="1"/>
    <col min="10756" max="10757" width="10.5703125" style="1" customWidth="1"/>
    <col min="10758" max="10758" width="19.7109375" style="1" customWidth="1"/>
    <col min="10759" max="10759" width="6.5703125" style="1" customWidth="1"/>
    <col min="10760" max="10760" width="32.5703125" style="1" customWidth="1"/>
    <col min="10761" max="10761" width="15.28515625" style="1" customWidth="1"/>
    <col min="10762" max="10762" width="22.28515625" style="1" customWidth="1"/>
    <col min="10763" max="10763" width="16.7109375" style="1" customWidth="1"/>
    <col min="10764" max="10764" width="9.42578125" style="1" bestFit="1" customWidth="1"/>
    <col min="10765" max="10765" width="35.7109375" style="1" customWidth="1"/>
    <col min="10766" max="10766" width="14" style="1" customWidth="1"/>
    <col min="10767" max="10767" width="12" style="1" bestFit="1" customWidth="1"/>
    <col min="10768" max="10768" width="15" style="1" customWidth="1"/>
    <col min="10769" max="10769" width="8.85546875" style="1"/>
    <col min="10770" max="10770" width="29.5703125" style="1" bestFit="1" customWidth="1"/>
    <col min="10771" max="10771" width="14.42578125" style="1" bestFit="1" customWidth="1"/>
    <col min="10772" max="10772" width="12.42578125" style="1" bestFit="1" customWidth="1"/>
    <col min="10773" max="10773" width="22.42578125" style="1" bestFit="1" customWidth="1"/>
    <col min="10774" max="11006" width="8.85546875" style="1"/>
    <col min="11007" max="11007" width="30.7109375" style="1" customWidth="1"/>
    <col min="11008" max="11009" width="13.28515625" style="1" customWidth="1"/>
    <col min="11010" max="11010" width="12.5703125" style="1" bestFit="1" customWidth="1"/>
    <col min="11011" max="11011" width="11.5703125" style="1" customWidth="1"/>
    <col min="11012" max="11013" width="10.5703125" style="1" customWidth="1"/>
    <col min="11014" max="11014" width="19.7109375" style="1" customWidth="1"/>
    <col min="11015" max="11015" width="6.5703125" style="1" customWidth="1"/>
    <col min="11016" max="11016" width="32.5703125" style="1" customWidth="1"/>
    <col min="11017" max="11017" width="15.28515625" style="1" customWidth="1"/>
    <col min="11018" max="11018" width="22.28515625" style="1" customWidth="1"/>
    <col min="11019" max="11019" width="16.7109375" style="1" customWidth="1"/>
    <col min="11020" max="11020" width="9.42578125" style="1" bestFit="1" customWidth="1"/>
    <col min="11021" max="11021" width="35.7109375" style="1" customWidth="1"/>
    <col min="11022" max="11022" width="14" style="1" customWidth="1"/>
    <col min="11023" max="11023" width="12" style="1" bestFit="1" customWidth="1"/>
    <col min="11024" max="11024" width="15" style="1" customWidth="1"/>
    <col min="11025" max="11025" width="8.85546875" style="1"/>
    <col min="11026" max="11026" width="29.5703125" style="1" bestFit="1" customWidth="1"/>
    <col min="11027" max="11027" width="14.42578125" style="1" bestFit="1" customWidth="1"/>
    <col min="11028" max="11028" width="12.42578125" style="1" bestFit="1" customWidth="1"/>
    <col min="11029" max="11029" width="22.42578125" style="1" bestFit="1" customWidth="1"/>
    <col min="11030" max="11262" width="8.85546875" style="1"/>
    <col min="11263" max="11263" width="30.7109375" style="1" customWidth="1"/>
    <col min="11264" max="11265" width="13.28515625" style="1" customWidth="1"/>
    <col min="11266" max="11266" width="12.5703125" style="1" bestFit="1" customWidth="1"/>
    <col min="11267" max="11267" width="11.5703125" style="1" customWidth="1"/>
    <col min="11268" max="11269" width="10.5703125" style="1" customWidth="1"/>
    <col min="11270" max="11270" width="19.7109375" style="1" customWidth="1"/>
    <col min="11271" max="11271" width="6.5703125" style="1" customWidth="1"/>
    <col min="11272" max="11272" width="32.5703125" style="1" customWidth="1"/>
    <col min="11273" max="11273" width="15.28515625" style="1" customWidth="1"/>
    <col min="11274" max="11274" width="22.28515625" style="1" customWidth="1"/>
    <col min="11275" max="11275" width="16.7109375" style="1" customWidth="1"/>
    <col min="11276" max="11276" width="9.42578125" style="1" bestFit="1" customWidth="1"/>
    <col min="11277" max="11277" width="35.7109375" style="1" customWidth="1"/>
    <col min="11278" max="11278" width="14" style="1" customWidth="1"/>
    <col min="11279" max="11279" width="12" style="1" bestFit="1" customWidth="1"/>
    <col min="11280" max="11280" width="15" style="1" customWidth="1"/>
    <col min="11281" max="11281" width="8.85546875" style="1"/>
    <col min="11282" max="11282" width="29.5703125" style="1" bestFit="1" customWidth="1"/>
    <col min="11283" max="11283" width="14.42578125" style="1" bestFit="1" customWidth="1"/>
    <col min="11284" max="11284" width="12.42578125" style="1" bestFit="1" customWidth="1"/>
    <col min="11285" max="11285" width="22.42578125" style="1" bestFit="1" customWidth="1"/>
    <col min="11286" max="11518" width="8.85546875" style="1"/>
    <col min="11519" max="11519" width="30.7109375" style="1" customWidth="1"/>
    <col min="11520" max="11521" width="13.28515625" style="1" customWidth="1"/>
    <col min="11522" max="11522" width="12.5703125" style="1" bestFit="1" customWidth="1"/>
    <col min="11523" max="11523" width="11.5703125" style="1" customWidth="1"/>
    <col min="11524" max="11525" width="10.5703125" style="1" customWidth="1"/>
    <col min="11526" max="11526" width="19.7109375" style="1" customWidth="1"/>
    <col min="11527" max="11527" width="6.5703125" style="1" customWidth="1"/>
    <col min="11528" max="11528" width="32.5703125" style="1" customWidth="1"/>
    <col min="11529" max="11529" width="15.28515625" style="1" customWidth="1"/>
    <col min="11530" max="11530" width="22.28515625" style="1" customWidth="1"/>
    <col min="11531" max="11531" width="16.7109375" style="1" customWidth="1"/>
    <col min="11532" max="11532" width="9.42578125" style="1" bestFit="1" customWidth="1"/>
    <col min="11533" max="11533" width="35.7109375" style="1" customWidth="1"/>
    <col min="11534" max="11534" width="14" style="1" customWidth="1"/>
    <col min="11535" max="11535" width="12" style="1" bestFit="1" customWidth="1"/>
    <col min="11536" max="11536" width="15" style="1" customWidth="1"/>
    <col min="11537" max="11537" width="8.85546875" style="1"/>
    <col min="11538" max="11538" width="29.5703125" style="1" bestFit="1" customWidth="1"/>
    <col min="11539" max="11539" width="14.42578125" style="1" bestFit="1" customWidth="1"/>
    <col min="11540" max="11540" width="12.42578125" style="1" bestFit="1" customWidth="1"/>
    <col min="11541" max="11541" width="22.42578125" style="1" bestFit="1" customWidth="1"/>
    <col min="11542" max="11774" width="8.85546875" style="1"/>
    <col min="11775" max="11775" width="30.7109375" style="1" customWidth="1"/>
    <col min="11776" max="11777" width="13.28515625" style="1" customWidth="1"/>
    <col min="11778" max="11778" width="12.5703125" style="1" bestFit="1" customWidth="1"/>
    <col min="11779" max="11779" width="11.5703125" style="1" customWidth="1"/>
    <col min="11780" max="11781" width="10.5703125" style="1" customWidth="1"/>
    <col min="11782" max="11782" width="19.7109375" style="1" customWidth="1"/>
    <col min="11783" max="11783" width="6.5703125" style="1" customWidth="1"/>
    <col min="11784" max="11784" width="32.5703125" style="1" customWidth="1"/>
    <col min="11785" max="11785" width="15.28515625" style="1" customWidth="1"/>
    <col min="11786" max="11786" width="22.28515625" style="1" customWidth="1"/>
    <col min="11787" max="11787" width="16.7109375" style="1" customWidth="1"/>
    <col min="11788" max="11788" width="9.42578125" style="1" bestFit="1" customWidth="1"/>
    <col min="11789" max="11789" width="35.7109375" style="1" customWidth="1"/>
    <col min="11790" max="11790" width="14" style="1" customWidth="1"/>
    <col min="11791" max="11791" width="12" style="1" bestFit="1" customWidth="1"/>
    <col min="11792" max="11792" width="15" style="1" customWidth="1"/>
    <col min="11793" max="11793" width="8.85546875" style="1"/>
    <col min="11794" max="11794" width="29.5703125" style="1" bestFit="1" customWidth="1"/>
    <col min="11795" max="11795" width="14.42578125" style="1" bestFit="1" customWidth="1"/>
    <col min="11796" max="11796" width="12.42578125" style="1" bestFit="1" customWidth="1"/>
    <col min="11797" max="11797" width="22.42578125" style="1" bestFit="1" customWidth="1"/>
    <col min="11798" max="12030" width="8.85546875" style="1"/>
    <col min="12031" max="12031" width="30.7109375" style="1" customWidth="1"/>
    <col min="12032" max="12033" width="13.28515625" style="1" customWidth="1"/>
    <col min="12034" max="12034" width="12.5703125" style="1" bestFit="1" customWidth="1"/>
    <col min="12035" max="12035" width="11.5703125" style="1" customWidth="1"/>
    <col min="12036" max="12037" width="10.5703125" style="1" customWidth="1"/>
    <col min="12038" max="12038" width="19.7109375" style="1" customWidth="1"/>
    <col min="12039" max="12039" width="6.5703125" style="1" customWidth="1"/>
    <col min="12040" max="12040" width="32.5703125" style="1" customWidth="1"/>
    <col min="12041" max="12041" width="15.28515625" style="1" customWidth="1"/>
    <col min="12042" max="12042" width="22.28515625" style="1" customWidth="1"/>
    <col min="12043" max="12043" width="16.7109375" style="1" customWidth="1"/>
    <col min="12044" max="12044" width="9.42578125" style="1" bestFit="1" customWidth="1"/>
    <col min="12045" max="12045" width="35.7109375" style="1" customWidth="1"/>
    <col min="12046" max="12046" width="14" style="1" customWidth="1"/>
    <col min="12047" max="12047" width="12" style="1" bestFit="1" customWidth="1"/>
    <col min="12048" max="12048" width="15" style="1" customWidth="1"/>
    <col min="12049" max="12049" width="8.85546875" style="1"/>
    <col min="12050" max="12050" width="29.5703125" style="1" bestFit="1" customWidth="1"/>
    <col min="12051" max="12051" width="14.42578125" style="1" bestFit="1" customWidth="1"/>
    <col min="12052" max="12052" width="12.42578125" style="1" bestFit="1" customWidth="1"/>
    <col min="12053" max="12053" width="22.42578125" style="1" bestFit="1" customWidth="1"/>
    <col min="12054" max="12286" width="8.85546875" style="1"/>
    <col min="12287" max="12287" width="30.7109375" style="1" customWidth="1"/>
    <col min="12288" max="12289" width="13.28515625" style="1" customWidth="1"/>
    <col min="12290" max="12290" width="12.5703125" style="1" bestFit="1" customWidth="1"/>
    <col min="12291" max="12291" width="11.5703125" style="1" customWidth="1"/>
    <col min="12292" max="12293" width="10.5703125" style="1" customWidth="1"/>
    <col min="12294" max="12294" width="19.7109375" style="1" customWidth="1"/>
    <col min="12295" max="12295" width="6.5703125" style="1" customWidth="1"/>
    <col min="12296" max="12296" width="32.5703125" style="1" customWidth="1"/>
    <col min="12297" max="12297" width="15.28515625" style="1" customWidth="1"/>
    <col min="12298" max="12298" width="22.28515625" style="1" customWidth="1"/>
    <col min="12299" max="12299" width="16.7109375" style="1" customWidth="1"/>
    <col min="12300" max="12300" width="9.42578125" style="1" bestFit="1" customWidth="1"/>
    <col min="12301" max="12301" width="35.7109375" style="1" customWidth="1"/>
    <col min="12302" max="12302" width="14" style="1" customWidth="1"/>
    <col min="12303" max="12303" width="12" style="1" bestFit="1" customWidth="1"/>
    <col min="12304" max="12304" width="15" style="1" customWidth="1"/>
    <col min="12305" max="12305" width="8.85546875" style="1"/>
    <col min="12306" max="12306" width="29.5703125" style="1" bestFit="1" customWidth="1"/>
    <col min="12307" max="12307" width="14.42578125" style="1" bestFit="1" customWidth="1"/>
    <col min="12308" max="12308" width="12.42578125" style="1" bestFit="1" customWidth="1"/>
    <col min="12309" max="12309" width="22.42578125" style="1" bestFit="1" customWidth="1"/>
    <col min="12310" max="12542" width="8.85546875" style="1"/>
    <col min="12543" max="12543" width="30.7109375" style="1" customWidth="1"/>
    <col min="12544" max="12545" width="13.28515625" style="1" customWidth="1"/>
    <col min="12546" max="12546" width="12.5703125" style="1" bestFit="1" customWidth="1"/>
    <col min="12547" max="12547" width="11.5703125" style="1" customWidth="1"/>
    <col min="12548" max="12549" width="10.5703125" style="1" customWidth="1"/>
    <col min="12550" max="12550" width="19.7109375" style="1" customWidth="1"/>
    <col min="12551" max="12551" width="6.5703125" style="1" customWidth="1"/>
    <col min="12552" max="12552" width="32.5703125" style="1" customWidth="1"/>
    <col min="12553" max="12553" width="15.28515625" style="1" customWidth="1"/>
    <col min="12554" max="12554" width="22.28515625" style="1" customWidth="1"/>
    <col min="12555" max="12555" width="16.7109375" style="1" customWidth="1"/>
    <col min="12556" max="12556" width="9.42578125" style="1" bestFit="1" customWidth="1"/>
    <col min="12557" max="12557" width="35.7109375" style="1" customWidth="1"/>
    <col min="12558" max="12558" width="14" style="1" customWidth="1"/>
    <col min="12559" max="12559" width="12" style="1" bestFit="1" customWidth="1"/>
    <col min="12560" max="12560" width="15" style="1" customWidth="1"/>
    <col min="12561" max="12561" width="8.85546875" style="1"/>
    <col min="12562" max="12562" width="29.5703125" style="1" bestFit="1" customWidth="1"/>
    <col min="12563" max="12563" width="14.42578125" style="1" bestFit="1" customWidth="1"/>
    <col min="12564" max="12564" width="12.42578125" style="1" bestFit="1" customWidth="1"/>
    <col min="12565" max="12565" width="22.42578125" style="1" bestFit="1" customWidth="1"/>
    <col min="12566" max="12798" width="8.85546875" style="1"/>
    <col min="12799" max="12799" width="30.7109375" style="1" customWidth="1"/>
    <col min="12800" max="12801" width="13.28515625" style="1" customWidth="1"/>
    <col min="12802" max="12802" width="12.5703125" style="1" bestFit="1" customWidth="1"/>
    <col min="12803" max="12803" width="11.5703125" style="1" customWidth="1"/>
    <col min="12804" max="12805" width="10.5703125" style="1" customWidth="1"/>
    <col min="12806" max="12806" width="19.7109375" style="1" customWidth="1"/>
    <col min="12807" max="12807" width="6.5703125" style="1" customWidth="1"/>
    <col min="12808" max="12808" width="32.5703125" style="1" customWidth="1"/>
    <col min="12809" max="12809" width="15.28515625" style="1" customWidth="1"/>
    <col min="12810" max="12810" width="22.28515625" style="1" customWidth="1"/>
    <col min="12811" max="12811" width="16.7109375" style="1" customWidth="1"/>
    <col min="12812" max="12812" width="9.42578125" style="1" bestFit="1" customWidth="1"/>
    <col min="12813" max="12813" width="35.7109375" style="1" customWidth="1"/>
    <col min="12814" max="12814" width="14" style="1" customWidth="1"/>
    <col min="12815" max="12815" width="12" style="1" bestFit="1" customWidth="1"/>
    <col min="12816" max="12816" width="15" style="1" customWidth="1"/>
    <col min="12817" max="12817" width="8.85546875" style="1"/>
    <col min="12818" max="12818" width="29.5703125" style="1" bestFit="1" customWidth="1"/>
    <col min="12819" max="12819" width="14.42578125" style="1" bestFit="1" customWidth="1"/>
    <col min="12820" max="12820" width="12.42578125" style="1" bestFit="1" customWidth="1"/>
    <col min="12821" max="12821" width="22.42578125" style="1" bestFit="1" customWidth="1"/>
    <col min="12822" max="13054" width="8.85546875" style="1"/>
    <col min="13055" max="13055" width="30.7109375" style="1" customWidth="1"/>
    <col min="13056" max="13057" width="13.28515625" style="1" customWidth="1"/>
    <col min="13058" max="13058" width="12.5703125" style="1" bestFit="1" customWidth="1"/>
    <col min="13059" max="13059" width="11.5703125" style="1" customWidth="1"/>
    <col min="13060" max="13061" width="10.5703125" style="1" customWidth="1"/>
    <col min="13062" max="13062" width="19.7109375" style="1" customWidth="1"/>
    <col min="13063" max="13063" width="6.5703125" style="1" customWidth="1"/>
    <col min="13064" max="13064" width="32.5703125" style="1" customWidth="1"/>
    <col min="13065" max="13065" width="15.28515625" style="1" customWidth="1"/>
    <col min="13066" max="13066" width="22.28515625" style="1" customWidth="1"/>
    <col min="13067" max="13067" width="16.7109375" style="1" customWidth="1"/>
    <col min="13068" max="13068" width="9.42578125" style="1" bestFit="1" customWidth="1"/>
    <col min="13069" max="13069" width="35.7109375" style="1" customWidth="1"/>
    <col min="13070" max="13070" width="14" style="1" customWidth="1"/>
    <col min="13071" max="13071" width="12" style="1" bestFit="1" customWidth="1"/>
    <col min="13072" max="13072" width="15" style="1" customWidth="1"/>
    <col min="13073" max="13073" width="8.85546875" style="1"/>
    <col min="13074" max="13074" width="29.5703125" style="1" bestFit="1" customWidth="1"/>
    <col min="13075" max="13075" width="14.42578125" style="1" bestFit="1" customWidth="1"/>
    <col min="13076" max="13076" width="12.42578125" style="1" bestFit="1" customWidth="1"/>
    <col min="13077" max="13077" width="22.42578125" style="1" bestFit="1" customWidth="1"/>
    <col min="13078" max="13310" width="8.85546875" style="1"/>
    <col min="13311" max="13311" width="30.7109375" style="1" customWidth="1"/>
    <col min="13312" max="13313" width="13.28515625" style="1" customWidth="1"/>
    <col min="13314" max="13314" width="12.5703125" style="1" bestFit="1" customWidth="1"/>
    <col min="13315" max="13315" width="11.5703125" style="1" customWidth="1"/>
    <col min="13316" max="13317" width="10.5703125" style="1" customWidth="1"/>
    <col min="13318" max="13318" width="19.7109375" style="1" customWidth="1"/>
    <col min="13319" max="13319" width="6.5703125" style="1" customWidth="1"/>
    <col min="13320" max="13320" width="32.5703125" style="1" customWidth="1"/>
    <col min="13321" max="13321" width="15.28515625" style="1" customWidth="1"/>
    <col min="13322" max="13322" width="22.28515625" style="1" customWidth="1"/>
    <col min="13323" max="13323" width="16.7109375" style="1" customWidth="1"/>
    <col min="13324" max="13324" width="9.42578125" style="1" bestFit="1" customWidth="1"/>
    <col min="13325" max="13325" width="35.7109375" style="1" customWidth="1"/>
    <col min="13326" max="13326" width="14" style="1" customWidth="1"/>
    <col min="13327" max="13327" width="12" style="1" bestFit="1" customWidth="1"/>
    <col min="13328" max="13328" width="15" style="1" customWidth="1"/>
    <col min="13329" max="13329" width="8.85546875" style="1"/>
    <col min="13330" max="13330" width="29.5703125" style="1" bestFit="1" customWidth="1"/>
    <col min="13331" max="13331" width="14.42578125" style="1" bestFit="1" customWidth="1"/>
    <col min="13332" max="13332" width="12.42578125" style="1" bestFit="1" customWidth="1"/>
    <col min="13333" max="13333" width="22.42578125" style="1" bestFit="1" customWidth="1"/>
    <col min="13334" max="13566" width="8.85546875" style="1"/>
    <col min="13567" max="13567" width="30.7109375" style="1" customWidth="1"/>
    <col min="13568" max="13569" width="13.28515625" style="1" customWidth="1"/>
    <col min="13570" max="13570" width="12.5703125" style="1" bestFit="1" customWidth="1"/>
    <col min="13571" max="13571" width="11.5703125" style="1" customWidth="1"/>
    <col min="13572" max="13573" width="10.5703125" style="1" customWidth="1"/>
    <col min="13574" max="13574" width="19.7109375" style="1" customWidth="1"/>
    <col min="13575" max="13575" width="6.5703125" style="1" customWidth="1"/>
    <col min="13576" max="13576" width="32.5703125" style="1" customWidth="1"/>
    <col min="13577" max="13577" width="15.28515625" style="1" customWidth="1"/>
    <col min="13578" max="13578" width="22.28515625" style="1" customWidth="1"/>
    <col min="13579" max="13579" width="16.7109375" style="1" customWidth="1"/>
    <col min="13580" max="13580" width="9.42578125" style="1" bestFit="1" customWidth="1"/>
    <col min="13581" max="13581" width="35.7109375" style="1" customWidth="1"/>
    <col min="13582" max="13582" width="14" style="1" customWidth="1"/>
    <col min="13583" max="13583" width="12" style="1" bestFit="1" customWidth="1"/>
    <col min="13584" max="13584" width="15" style="1" customWidth="1"/>
    <col min="13585" max="13585" width="8.85546875" style="1"/>
    <col min="13586" max="13586" width="29.5703125" style="1" bestFit="1" customWidth="1"/>
    <col min="13587" max="13587" width="14.42578125" style="1" bestFit="1" customWidth="1"/>
    <col min="13588" max="13588" width="12.42578125" style="1" bestFit="1" customWidth="1"/>
    <col min="13589" max="13589" width="22.42578125" style="1" bestFit="1" customWidth="1"/>
    <col min="13590" max="13822" width="8.85546875" style="1"/>
    <col min="13823" max="13823" width="30.7109375" style="1" customWidth="1"/>
    <col min="13824" max="13825" width="13.28515625" style="1" customWidth="1"/>
    <col min="13826" max="13826" width="12.5703125" style="1" bestFit="1" customWidth="1"/>
    <col min="13827" max="13827" width="11.5703125" style="1" customWidth="1"/>
    <col min="13828" max="13829" width="10.5703125" style="1" customWidth="1"/>
    <col min="13830" max="13830" width="19.7109375" style="1" customWidth="1"/>
    <col min="13831" max="13831" width="6.5703125" style="1" customWidth="1"/>
    <col min="13832" max="13832" width="32.5703125" style="1" customWidth="1"/>
    <col min="13833" max="13833" width="15.28515625" style="1" customWidth="1"/>
    <col min="13834" max="13834" width="22.28515625" style="1" customWidth="1"/>
    <col min="13835" max="13835" width="16.7109375" style="1" customWidth="1"/>
    <col min="13836" max="13836" width="9.42578125" style="1" bestFit="1" customWidth="1"/>
    <col min="13837" max="13837" width="35.7109375" style="1" customWidth="1"/>
    <col min="13838" max="13838" width="14" style="1" customWidth="1"/>
    <col min="13839" max="13839" width="12" style="1" bestFit="1" customWidth="1"/>
    <col min="13840" max="13840" width="15" style="1" customWidth="1"/>
    <col min="13841" max="13841" width="8.85546875" style="1"/>
    <col min="13842" max="13842" width="29.5703125" style="1" bestFit="1" customWidth="1"/>
    <col min="13843" max="13843" width="14.42578125" style="1" bestFit="1" customWidth="1"/>
    <col min="13844" max="13844" width="12.42578125" style="1" bestFit="1" customWidth="1"/>
    <col min="13845" max="13845" width="22.42578125" style="1" bestFit="1" customWidth="1"/>
    <col min="13846" max="14078" width="8.85546875" style="1"/>
    <col min="14079" max="14079" width="30.7109375" style="1" customWidth="1"/>
    <col min="14080" max="14081" width="13.28515625" style="1" customWidth="1"/>
    <col min="14082" max="14082" width="12.5703125" style="1" bestFit="1" customWidth="1"/>
    <col min="14083" max="14083" width="11.5703125" style="1" customWidth="1"/>
    <col min="14084" max="14085" width="10.5703125" style="1" customWidth="1"/>
    <col min="14086" max="14086" width="19.7109375" style="1" customWidth="1"/>
    <col min="14087" max="14087" width="6.5703125" style="1" customWidth="1"/>
    <col min="14088" max="14088" width="32.5703125" style="1" customWidth="1"/>
    <col min="14089" max="14089" width="15.28515625" style="1" customWidth="1"/>
    <col min="14090" max="14090" width="22.28515625" style="1" customWidth="1"/>
    <col min="14091" max="14091" width="16.7109375" style="1" customWidth="1"/>
    <col min="14092" max="14092" width="9.42578125" style="1" bestFit="1" customWidth="1"/>
    <col min="14093" max="14093" width="35.7109375" style="1" customWidth="1"/>
    <col min="14094" max="14094" width="14" style="1" customWidth="1"/>
    <col min="14095" max="14095" width="12" style="1" bestFit="1" customWidth="1"/>
    <col min="14096" max="14096" width="15" style="1" customWidth="1"/>
    <col min="14097" max="14097" width="8.85546875" style="1"/>
    <col min="14098" max="14098" width="29.5703125" style="1" bestFit="1" customWidth="1"/>
    <col min="14099" max="14099" width="14.42578125" style="1" bestFit="1" customWidth="1"/>
    <col min="14100" max="14100" width="12.42578125" style="1" bestFit="1" customWidth="1"/>
    <col min="14101" max="14101" width="22.42578125" style="1" bestFit="1" customWidth="1"/>
    <col min="14102" max="14334" width="8.85546875" style="1"/>
    <col min="14335" max="14335" width="30.7109375" style="1" customWidth="1"/>
    <col min="14336" max="14337" width="13.28515625" style="1" customWidth="1"/>
    <col min="14338" max="14338" width="12.5703125" style="1" bestFit="1" customWidth="1"/>
    <col min="14339" max="14339" width="11.5703125" style="1" customWidth="1"/>
    <col min="14340" max="14341" width="10.5703125" style="1" customWidth="1"/>
    <col min="14342" max="14342" width="19.7109375" style="1" customWidth="1"/>
    <col min="14343" max="14343" width="6.5703125" style="1" customWidth="1"/>
    <col min="14344" max="14344" width="32.5703125" style="1" customWidth="1"/>
    <col min="14345" max="14345" width="15.28515625" style="1" customWidth="1"/>
    <col min="14346" max="14346" width="22.28515625" style="1" customWidth="1"/>
    <col min="14347" max="14347" width="16.7109375" style="1" customWidth="1"/>
    <col min="14348" max="14348" width="9.42578125" style="1" bestFit="1" customWidth="1"/>
    <col min="14349" max="14349" width="35.7109375" style="1" customWidth="1"/>
    <col min="14350" max="14350" width="14" style="1" customWidth="1"/>
    <col min="14351" max="14351" width="12" style="1" bestFit="1" customWidth="1"/>
    <col min="14352" max="14352" width="15" style="1" customWidth="1"/>
    <col min="14353" max="14353" width="8.85546875" style="1"/>
    <col min="14354" max="14354" width="29.5703125" style="1" bestFit="1" customWidth="1"/>
    <col min="14355" max="14355" width="14.42578125" style="1" bestFit="1" customWidth="1"/>
    <col min="14356" max="14356" width="12.42578125" style="1" bestFit="1" customWidth="1"/>
    <col min="14357" max="14357" width="22.42578125" style="1" bestFit="1" customWidth="1"/>
    <col min="14358" max="14590" width="8.85546875" style="1"/>
    <col min="14591" max="14591" width="30.7109375" style="1" customWidth="1"/>
    <col min="14592" max="14593" width="13.28515625" style="1" customWidth="1"/>
    <col min="14594" max="14594" width="12.5703125" style="1" bestFit="1" customWidth="1"/>
    <col min="14595" max="14595" width="11.5703125" style="1" customWidth="1"/>
    <col min="14596" max="14597" width="10.5703125" style="1" customWidth="1"/>
    <col min="14598" max="14598" width="19.7109375" style="1" customWidth="1"/>
    <col min="14599" max="14599" width="6.5703125" style="1" customWidth="1"/>
    <col min="14600" max="14600" width="32.5703125" style="1" customWidth="1"/>
    <col min="14601" max="14601" width="15.28515625" style="1" customWidth="1"/>
    <col min="14602" max="14602" width="22.28515625" style="1" customWidth="1"/>
    <col min="14603" max="14603" width="16.7109375" style="1" customWidth="1"/>
    <col min="14604" max="14604" width="9.42578125" style="1" bestFit="1" customWidth="1"/>
    <col min="14605" max="14605" width="35.7109375" style="1" customWidth="1"/>
    <col min="14606" max="14606" width="14" style="1" customWidth="1"/>
    <col min="14607" max="14607" width="12" style="1" bestFit="1" customWidth="1"/>
    <col min="14608" max="14608" width="15" style="1" customWidth="1"/>
    <col min="14609" max="14609" width="8.85546875" style="1"/>
    <col min="14610" max="14610" width="29.5703125" style="1" bestFit="1" customWidth="1"/>
    <col min="14611" max="14611" width="14.42578125" style="1" bestFit="1" customWidth="1"/>
    <col min="14612" max="14612" width="12.42578125" style="1" bestFit="1" customWidth="1"/>
    <col min="14613" max="14613" width="22.42578125" style="1" bestFit="1" customWidth="1"/>
    <col min="14614" max="14846" width="8.85546875" style="1"/>
    <col min="14847" max="14847" width="30.7109375" style="1" customWidth="1"/>
    <col min="14848" max="14849" width="13.28515625" style="1" customWidth="1"/>
    <col min="14850" max="14850" width="12.5703125" style="1" bestFit="1" customWidth="1"/>
    <col min="14851" max="14851" width="11.5703125" style="1" customWidth="1"/>
    <col min="14852" max="14853" width="10.5703125" style="1" customWidth="1"/>
    <col min="14854" max="14854" width="19.7109375" style="1" customWidth="1"/>
    <col min="14855" max="14855" width="6.5703125" style="1" customWidth="1"/>
    <col min="14856" max="14856" width="32.5703125" style="1" customWidth="1"/>
    <col min="14857" max="14857" width="15.28515625" style="1" customWidth="1"/>
    <col min="14858" max="14858" width="22.28515625" style="1" customWidth="1"/>
    <col min="14859" max="14859" width="16.7109375" style="1" customWidth="1"/>
    <col min="14860" max="14860" width="9.42578125" style="1" bestFit="1" customWidth="1"/>
    <col min="14861" max="14861" width="35.7109375" style="1" customWidth="1"/>
    <col min="14862" max="14862" width="14" style="1" customWidth="1"/>
    <col min="14863" max="14863" width="12" style="1" bestFit="1" customWidth="1"/>
    <col min="14864" max="14864" width="15" style="1" customWidth="1"/>
    <col min="14865" max="14865" width="8.85546875" style="1"/>
    <col min="14866" max="14866" width="29.5703125" style="1" bestFit="1" customWidth="1"/>
    <col min="14867" max="14867" width="14.42578125" style="1" bestFit="1" customWidth="1"/>
    <col min="14868" max="14868" width="12.42578125" style="1" bestFit="1" customWidth="1"/>
    <col min="14869" max="14869" width="22.42578125" style="1" bestFit="1" customWidth="1"/>
    <col min="14870" max="15102" width="8.85546875" style="1"/>
    <col min="15103" max="15103" width="30.7109375" style="1" customWidth="1"/>
    <col min="15104" max="15105" width="13.28515625" style="1" customWidth="1"/>
    <col min="15106" max="15106" width="12.5703125" style="1" bestFit="1" customWidth="1"/>
    <col min="15107" max="15107" width="11.5703125" style="1" customWidth="1"/>
    <col min="15108" max="15109" width="10.5703125" style="1" customWidth="1"/>
    <col min="15110" max="15110" width="19.7109375" style="1" customWidth="1"/>
    <col min="15111" max="15111" width="6.5703125" style="1" customWidth="1"/>
    <col min="15112" max="15112" width="32.5703125" style="1" customWidth="1"/>
    <col min="15113" max="15113" width="15.28515625" style="1" customWidth="1"/>
    <col min="15114" max="15114" width="22.28515625" style="1" customWidth="1"/>
    <col min="15115" max="15115" width="16.7109375" style="1" customWidth="1"/>
    <col min="15116" max="15116" width="9.42578125" style="1" bestFit="1" customWidth="1"/>
    <col min="15117" max="15117" width="35.7109375" style="1" customWidth="1"/>
    <col min="15118" max="15118" width="14" style="1" customWidth="1"/>
    <col min="15119" max="15119" width="12" style="1" bestFit="1" customWidth="1"/>
    <col min="15120" max="15120" width="15" style="1" customWidth="1"/>
    <col min="15121" max="15121" width="8.85546875" style="1"/>
    <col min="15122" max="15122" width="29.5703125" style="1" bestFit="1" customWidth="1"/>
    <col min="15123" max="15123" width="14.42578125" style="1" bestFit="1" customWidth="1"/>
    <col min="15124" max="15124" width="12.42578125" style="1" bestFit="1" customWidth="1"/>
    <col min="15125" max="15125" width="22.42578125" style="1" bestFit="1" customWidth="1"/>
    <col min="15126" max="15358" width="8.85546875" style="1"/>
    <col min="15359" max="15359" width="30.7109375" style="1" customWidth="1"/>
    <col min="15360" max="15361" width="13.28515625" style="1" customWidth="1"/>
    <col min="15362" max="15362" width="12.5703125" style="1" bestFit="1" customWidth="1"/>
    <col min="15363" max="15363" width="11.5703125" style="1" customWidth="1"/>
    <col min="15364" max="15365" width="10.5703125" style="1" customWidth="1"/>
    <col min="15366" max="15366" width="19.7109375" style="1" customWidth="1"/>
    <col min="15367" max="15367" width="6.5703125" style="1" customWidth="1"/>
    <col min="15368" max="15368" width="32.5703125" style="1" customWidth="1"/>
    <col min="15369" max="15369" width="15.28515625" style="1" customWidth="1"/>
    <col min="15370" max="15370" width="22.28515625" style="1" customWidth="1"/>
    <col min="15371" max="15371" width="16.7109375" style="1" customWidth="1"/>
    <col min="15372" max="15372" width="9.42578125" style="1" bestFit="1" customWidth="1"/>
    <col min="15373" max="15373" width="35.7109375" style="1" customWidth="1"/>
    <col min="15374" max="15374" width="14" style="1" customWidth="1"/>
    <col min="15375" max="15375" width="12" style="1" bestFit="1" customWidth="1"/>
    <col min="15376" max="15376" width="15" style="1" customWidth="1"/>
    <col min="15377" max="15377" width="8.85546875" style="1"/>
    <col min="15378" max="15378" width="29.5703125" style="1" bestFit="1" customWidth="1"/>
    <col min="15379" max="15379" width="14.42578125" style="1" bestFit="1" customWidth="1"/>
    <col min="15380" max="15380" width="12.42578125" style="1" bestFit="1" customWidth="1"/>
    <col min="15381" max="15381" width="22.42578125" style="1" bestFit="1" customWidth="1"/>
    <col min="15382" max="15614" width="8.85546875" style="1"/>
    <col min="15615" max="15615" width="30.7109375" style="1" customWidth="1"/>
    <col min="15616" max="15617" width="13.28515625" style="1" customWidth="1"/>
    <col min="15618" max="15618" width="12.5703125" style="1" bestFit="1" customWidth="1"/>
    <col min="15619" max="15619" width="11.5703125" style="1" customWidth="1"/>
    <col min="15620" max="15621" width="10.5703125" style="1" customWidth="1"/>
    <col min="15622" max="15622" width="19.7109375" style="1" customWidth="1"/>
    <col min="15623" max="15623" width="6.5703125" style="1" customWidth="1"/>
    <col min="15624" max="15624" width="32.5703125" style="1" customWidth="1"/>
    <col min="15625" max="15625" width="15.28515625" style="1" customWidth="1"/>
    <col min="15626" max="15626" width="22.28515625" style="1" customWidth="1"/>
    <col min="15627" max="15627" width="16.7109375" style="1" customWidth="1"/>
    <col min="15628" max="15628" width="9.42578125" style="1" bestFit="1" customWidth="1"/>
    <col min="15629" max="15629" width="35.7109375" style="1" customWidth="1"/>
    <col min="15630" max="15630" width="14" style="1" customWidth="1"/>
    <col min="15631" max="15631" width="12" style="1" bestFit="1" customWidth="1"/>
    <col min="15632" max="15632" width="15" style="1" customWidth="1"/>
    <col min="15633" max="15633" width="8.85546875" style="1"/>
    <col min="15634" max="15634" width="29.5703125" style="1" bestFit="1" customWidth="1"/>
    <col min="15635" max="15635" width="14.42578125" style="1" bestFit="1" customWidth="1"/>
    <col min="15636" max="15636" width="12.42578125" style="1" bestFit="1" customWidth="1"/>
    <col min="15637" max="15637" width="22.42578125" style="1" bestFit="1" customWidth="1"/>
    <col min="15638" max="15870" width="8.85546875" style="1"/>
    <col min="15871" max="15871" width="30.7109375" style="1" customWidth="1"/>
    <col min="15872" max="15873" width="13.28515625" style="1" customWidth="1"/>
    <col min="15874" max="15874" width="12.5703125" style="1" bestFit="1" customWidth="1"/>
    <col min="15875" max="15875" width="11.5703125" style="1" customWidth="1"/>
    <col min="15876" max="15877" width="10.5703125" style="1" customWidth="1"/>
    <col min="15878" max="15878" width="19.7109375" style="1" customWidth="1"/>
    <col min="15879" max="15879" width="6.5703125" style="1" customWidth="1"/>
    <col min="15880" max="15880" width="32.5703125" style="1" customWidth="1"/>
    <col min="15881" max="15881" width="15.28515625" style="1" customWidth="1"/>
    <col min="15882" max="15882" width="22.28515625" style="1" customWidth="1"/>
    <col min="15883" max="15883" width="16.7109375" style="1" customWidth="1"/>
    <col min="15884" max="15884" width="9.42578125" style="1" bestFit="1" customWidth="1"/>
    <col min="15885" max="15885" width="35.7109375" style="1" customWidth="1"/>
    <col min="15886" max="15886" width="14" style="1" customWidth="1"/>
    <col min="15887" max="15887" width="12" style="1" bestFit="1" customWidth="1"/>
    <col min="15888" max="15888" width="15" style="1" customWidth="1"/>
    <col min="15889" max="15889" width="8.85546875" style="1"/>
    <col min="15890" max="15890" width="29.5703125" style="1" bestFit="1" customWidth="1"/>
    <col min="15891" max="15891" width="14.42578125" style="1" bestFit="1" customWidth="1"/>
    <col min="15892" max="15892" width="12.42578125" style="1" bestFit="1" customWidth="1"/>
    <col min="15893" max="15893" width="22.42578125" style="1" bestFit="1" customWidth="1"/>
    <col min="15894" max="16126" width="8.85546875" style="1"/>
    <col min="16127" max="16127" width="30.7109375" style="1" customWidth="1"/>
    <col min="16128" max="16129" width="13.28515625" style="1" customWidth="1"/>
    <col min="16130" max="16130" width="12.5703125" style="1" bestFit="1" customWidth="1"/>
    <col min="16131" max="16131" width="11.5703125" style="1" customWidth="1"/>
    <col min="16132" max="16133" width="10.5703125" style="1" customWidth="1"/>
    <col min="16134" max="16134" width="19.7109375" style="1" customWidth="1"/>
    <col min="16135" max="16135" width="6.5703125" style="1" customWidth="1"/>
    <col min="16136" max="16136" width="32.5703125" style="1" customWidth="1"/>
    <col min="16137" max="16137" width="15.28515625" style="1" customWidth="1"/>
    <col min="16138" max="16138" width="22.28515625" style="1" customWidth="1"/>
    <col min="16139" max="16139" width="16.7109375" style="1" customWidth="1"/>
    <col min="16140" max="16140" width="9.42578125" style="1" bestFit="1" customWidth="1"/>
    <col min="16141" max="16141" width="35.7109375" style="1" customWidth="1"/>
    <col min="16142" max="16142" width="14" style="1" customWidth="1"/>
    <col min="16143" max="16143" width="12" style="1" bestFit="1" customWidth="1"/>
    <col min="16144" max="16144" width="15" style="1" customWidth="1"/>
    <col min="16145" max="16145" width="8.85546875" style="1"/>
    <col min="16146" max="16146" width="29.5703125" style="1" bestFit="1" customWidth="1"/>
    <col min="16147" max="16147" width="14.42578125" style="1" bestFit="1" customWidth="1"/>
    <col min="16148" max="16148" width="12.42578125" style="1" bestFit="1" customWidth="1"/>
    <col min="16149" max="16149" width="22.42578125" style="1" bestFit="1" customWidth="1"/>
    <col min="16150" max="16381" width="8.85546875" style="1"/>
    <col min="16382" max="16384" width="8.7109375" style="1" customWidth="1"/>
  </cols>
  <sheetData>
    <row r="2" spans="2:21" ht="15" customHeight="1" thickBot="1">
      <c r="B2" s="1243"/>
      <c r="C2" s="1243"/>
      <c r="D2" s="1243"/>
      <c r="E2" s="1243"/>
      <c r="F2" s="3"/>
      <c r="G2" s="3"/>
      <c r="H2" s="3"/>
      <c r="J2" s="1" t="s">
        <v>46</v>
      </c>
    </row>
    <row r="3" spans="2:21" ht="39" customHeight="1" thickBot="1">
      <c r="B3" s="1244" t="s">
        <v>47</v>
      </c>
      <c r="C3" s="1245"/>
      <c r="D3" s="1245"/>
      <c r="E3" s="1245"/>
      <c r="F3" s="1246"/>
      <c r="G3" s="4"/>
      <c r="H3" s="3"/>
      <c r="I3" s="1247" t="s">
        <v>347</v>
      </c>
      <c r="J3" s="1248"/>
      <c r="K3" s="1248"/>
      <c r="L3" s="1248"/>
      <c r="M3" s="1249"/>
      <c r="N3" s="4"/>
      <c r="P3" s="1250" t="s">
        <v>48</v>
      </c>
      <c r="Q3" s="1251"/>
      <c r="R3" s="5" t="s">
        <v>49</v>
      </c>
      <c r="S3" s="6" t="s">
        <v>50</v>
      </c>
      <c r="T3" s="7" t="s">
        <v>51</v>
      </c>
      <c r="U3" s="8"/>
    </row>
    <row r="4" spans="2:21" ht="15" customHeight="1" thickBot="1">
      <c r="B4" s="1252" t="s">
        <v>52</v>
      </c>
      <c r="C4" s="1253"/>
      <c r="D4" s="1254" t="s">
        <v>53</v>
      </c>
      <c r="E4" s="1255"/>
      <c r="F4" s="1256"/>
      <c r="G4" s="10"/>
      <c r="H4" s="3"/>
      <c r="I4" s="11"/>
      <c r="J4" s="12" t="s">
        <v>54</v>
      </c>
      <c r="K4" s="10">
        <v>12</v>
      </c>
      <c r="L4" s="10" t="s">
        <v>55</v>
      </c>
      <c r="M4" s="13">
        <f>$R$14</f>
        <v>6247.5</v>
      </c>
      <c r="N4" s="14"/>
      <c r="P4" s="15" t="s">
        <v>55</v>
      </c>
      <c r="Q4" s="16"/>
      <c r="R4" s="17">
        <v>2080</v>
      </c>
      <c r="S4" s="18" t="s">
        <v>56</v>
      </c>
      <c r="T4" s="19" t="s">
        <v>57</v>
      </c>
      <c r="U4" s="2"/>
    </row>
    <row r="5" spans="2:21" ht="15" customHeight="1">
      <c r="B5" s="20" t="s">
        <v>58</v>
      </c>
      <c r="C5" s="21"/>
      <c r="D5" s="22"/>
      <c r="E5" s="3"/>
      <c r="F5" s="23"/>
      <c r="G5" s="3"/>
      <c r="H5" s="3"/>
      <c r="I5" s="24"/>
      <c r="J5" s="25"/>
      <c r="K5" s="26" t="s">
        <v>59</v>
      </c>
      <c r="L5" s="26" t="s">
        <v>60</v>
      </c>
      <c r="M5" s="27" t="s">
        <v>61</v>
      </c>
      <c r="N5" s="10"/>
      <c r="P5" s="28" t="s">
        <v>62</v>
      </c>
      <c r="Q5" s="29"/>
      <c r="R5" s="30">
        <v>88</v>
      </c>
      <c r="S5" s="1127">
        <v>11</v>
      </c>
      <c r="T5" s="31" t="s">
        <v>63</v>
      </c>
      <c r="U5" s="2"/>
    </row>
    <row r="6" spans="2:21" ht="13.5" customHeight="1">
      <c r="B6" s="32" t="s">
        <v>64</v>
      </c>
      <c r="C6" s="33">
        <f>'M2024 BLS SALARY CHART (53_PCT)'!C22</f>
        <v>81486.911999999997</v>
      </c>
      <c r="D6" s="22" t="s">
        <v>558</v>
      </c>
      <c r="E6" s="3"/>
      <c r="F6" s="23"/>
      <c r="G6" s="3"/>
      <c r="H6" s="3"/>
      <c r="I6" s="34" t="str">
        <f>$B$5</f>
        <v>Management</v>
      </c>
      <c r="J6" s="35"/>
      <c r="K6" s="10"/>
      <c r="L6" s="10"/>
      <c r="M6" s="36"/>
      <c r="N6" s="10"/>
      <c r="P6" s="37" t="s">
        <v>65</v>
      </c>
      <c r="Q6" s="38"/>
      <c r="R6" s="39">
        <v>80</v>
      </c>
      <c r="S6" s="40">
        <v>10</v>
      </c>
      <c r="T6" s="41" t="s">
        <v>63</v>
      </c>
      <c r="U6" s="42"/>
    </row>
    <row r="7" spans="2:21" ht="15" customHeight="1">
      <c r="B7" s="34" t="s">
        <v>66</v>
      </c>
      <c r="C7" s="33"/>
      <c r="D7" s="22"/>
      <c r="E7" s="3"/>
      <c r="F7" s="23"/>
      <c r="G7" s="3"/>
      <c r="H7" s="3"/>
      <c r="I7" s="32" t="str">
        <f>$B$6</f>
        <v xml:space="preserve">  Program Management</v>
      </c>
      <c r="J7" s="43"/>
      <c r="K7" s="44">
        <f>C6</f>
        <v>81486.911999999997</v>
      </c>
      <c r="L7" s="45">
        <v>1</v>
      </c>
      <c r="M7" s="46">
        <f>K7*L7</f>
        <v>81486.911999999997</v>
      </c>
      <c r="N7" s="47"/>
      <c r="P7" s="48" t="s">
        <v>67</v>
      </c>
      <c r="Q7" s="49"/>
      <c r="R7" s="50">
        <v>40</v>
      </c>
      <c r="S7" s="40">
        <v>5</v>
      </c>
      <c r="T7" s="51" t="s">
        <v>63</v>
      </c>
      <c r="U7" s="2"/>
    </row>
    <row r="8" spans="2:21" ht="15" customHeight="1">
      <c r="B8" s="32" t="s">
        <v>68</v>
      </c>
      <c r="C8" s="33">
        <f>'M2024 BLS SALARY CHART (53_PCT)'!C8</f>
        <v>56388.633600000001</v>
      </c>
      <c r="D8" s="22" t="s">
        <v>558</v>
      </c>
      <c r="E8" s="3"/>
      <c r="F8" s="23"/>
      <c r="G8" s="3"/>
      <c r="H8" s="3"/>
      <c r="I8" s="34" t="str">
        <f>$B$7</f>
        <v>Direct Care</v>
      </c>
      <c r="J8" s="35"/>
      <c r="K8" s="44"/>
      <c r="L8" s="45"/>
      <c r="M8" s="46"/>
      <c r="N8" s="47"/>
      <c r="P8" s="48" t="s">
        <v>69</v>
      </c>
      <c r="Q8" s="49"/>
      <c r="R8" s="50">
        <v>80</v>
      </c>
      <c r="S8" s="40">
        <v>10</v>
      </c>
      <c r="T8" s="51" t="s">
        <v>63</v>
      </c>
      <c r="U8" s="2"/>
    </row>
    <row r="9" spans="2:21" ht="15" customHeight="1">
      <c r="B9" s="52" t="s">
        <v>70</v>
      </c>
      <c r="C9" s="53">
        <f>'M2024 BLS SALARY CHART (53_PCT)'!C6</f>
        <v>46842.432000000008</v>
      </c>
      <c r="D9" s="22" t="s">
        <v>558</v>
      </c>
      <c r="E9" s="54"/>
      <c r="F9" s="55"/>
      <c r="G9" s="3"/>
      <c r="H9" s="3"/>
      <c r="I9" s="32" t="str">
        <f>$B$14</f>
        <v xml:space="preserve">  Certified O&amp;M Specialist</v>
      </c>
      <c r="J9" s="43"/>
      <c r="K9" s="44">
        <f>C8</f>
        <v>56388.633600000001</v>
      </c>
      <c r="L9" s="45">
        <v>5</v>
      </c>
      <c r="M9" s="46">
        <f>K9*L9</f>
        <v>281943.16800000001</v>
      </c>
      <c r="N9" s="47"/>
      <c r="P9" s="56" t="s">
        <v>71</v>
      </c>
      <c r="Q9" s="57"/>
      <c r="R9" s="50">
        <v>329</v>
      </c>
      <c r="S9" s="58">
        <f>R9/52</f>
        <v>6.3269230769230766</v>
      </c>
      <c r="T9" s="51" t="s">
        <v>72</v>
      </c>
      <c r="U9" s="2"/>
    </row>
    <row r="10" spans="2:21" ht="15" customHeight="1" thickBot="1">
      <c r="B10" s="59" t="s">
        <v>73</v>
      </c>
      <c r="C10" s="60"/>
      <c r="D10" s="22"/>
      <c r="E10" s="3"/>
      <c r="F10" s="23"/>
      <c r="G10" s="3"/>
      <c r="H10" s="3"/>
      <c r="I10" s="32" t="str">
        <f>$B$15</f>
        <v xml:space="preserve">  Secretarial / Clerical</v>
      </c>
      <c r="J10" s="43"/>
      <c r="K10" s="44">
        <f>C9</f>
        <v>46842.432000000008</v>
      </c>
      <c r="L10" s="45">
        <f>$C$15</f>
        <v>1</v>
      </c>
      <c r="M10" s="46">
        <f>K10*L10</f>
        <v>46842.432000000008</v>
      </c>
      <c r="N10" s="47"/>
      <c r="P10" s="61" t="s">
        <v>74</v>
      </c>
      <c r="Q10" s="62"/>
      <c r="R10" s="63">
        <v>213.5</v>
      </c>
      <c r="S10" s="64">
        <f>R10/52</f>
        <v>4.1057692307692308</v>
      </c>
      <c r="T10" s="65" t="s">
        <v>72</v>
      </c>
      <c r="U10" s="2"/>
    </row>
    <row r="11" spans="2:21" ht="15" customHeight="1" thickBot="1">
      <c r="B11" s="20" t="str">
        <f>B5</f>
        <v>Management</v>
      </c>
      <c r="C11" s="66"/>
      <c r="D11" s="22"/>
      <c r="E11" s="3"/>
      <c r="F11" s="23"/>
      <c r="G11" s="3"/>
      <c r="H11" s="3"/>
      <c r="I11" s="67" t="s">
        <v>75</v>
      </c>
      <c r="J11" s="68"/>
      <c r="K11" s="68"/>
      <c r="L11" s="69">
        <f>SUM(L7:L10)</f>
        <v>7</v>
      </c>
      <c r="M11" s="70">
        <f>SUM(M7:M10)</f>
        <v>410272.51200000005</v>
      </c>
      <c r="N11" s="47"/>
      <c r="P11" s="71" t="s">
        <v>76</v>
      </c>
      <c r="Q11" s="72"/>
      <c r="R11" s="17">
        <f>SUM(R5:R10)</f>
        <v>830.5</v>
      </c>
    </row>
    <row r="12" spans="2:21" ht="15" customHeight="1">
      <c r="B12" s="32" t="str">
        <f>B6</f>
        <v xml:space="preserve">  Program Management</v>
      </c>
      <c r="C12" s="73">
        <v>1</v>
      </c>
      <c r="D12" s="22" t="s">
        <v>504</v>
      </c>
      <c r="E12" s="3"/>
      <c r="F12" s="23"/>
      <c r="G12" s="3"/>
      <c r="H12" s="3"/>
      <c r="I12" s="20"/>
      <c r="J12" s="3"/>
      <c r="K12" s="3"/>
      <c r="L12" s="74"/>
      <c r="M12" s="23"/>
      <c r="N12" s="75"/>
      <c r="P12" s="76" t="s">
        <v>77</v>
      </c>
      <c r="Q12" s="77"/>
      <c r="R12" s="78">
        <f>R4-R11</f>
        <v>1249.5</v>
      </c>
      <c r="U12" s="79"/>
    </row>
    <row r="13" spans="2:21" ht="15" customHeight="1" thickBot="1">
      <c r="B13" s="34" t="str">
        <f>B7</f>
        <v>Direct Care</v>
      </c>
      <c r="C13" s="73"/>
      <c r="D13" s="22"/>
      <c r="E13" s="3"/>
      <c r="F13" s="23"/>
      <c r="G13" s="3"/>
      <c r="H13" s="3"/>
      <c r="I13" s="80"/>
      <c r="J13" s="81"/>
      <c r="K13" s="82"/>
      <c r="L13" s="10"/>
      <c r="M13" s="83"/>
      <c r="N13" s="3"/>
      <c r="P13" s="84" t="s">
        <v>78</v>
      </c>
      <c r="Q13" s="85"/>
      <c r="R13" s="86">
        <v>5</v>
      </c>
    </row>
    <row r="14" spans="2:21" ht="15" customHeight="1" thickBot="1">
      <c r="B14" s="32" t="str">
        <f>B8</f>
        <v xml:space="preserve">  Certified O&amp;M Specialist</v>
      </c>
      <c r="C14" s="73">
        <v>5</v>
      </c>
      <c r="D14" s="22" t="s">
        <v>504</v>
      </c>
      <c r="E14" s="3"/>
      <c r="F14" s="23"/>
      <c r="G14" s="3"/>
      <c r="H14" s="3"/>
      <c r="I14" s="80" t="s">
        <v>79</v>
      </c>
      <c r="J14" s="3"/>
      <c r="K14" s="87">
        <f>C17</f>
        <v>0.24970000000000001</v>
      </c>
      <c r="L14" s="74"/>
      <c r="M14" s="46">
        <f>K14*M11</f>
        <v>102445.04624640002</v>
      </c>
      <c r="N14" s="3"/>
      <c r="P14" s="71" t="s">
        <v>80</v>
      </c>
      <c r="Q14" s="72"/>
      <c r="R14" s="17">
        <f>R12*R13</f>
        <v>6247.5</v>
      </c>
    </row>
    <row r="15" spans="2:21" ht="15" customHeight="1">
      <c r="B15" s="52" t="str">
        <f>B9</f>
        <v xml:space="preserve">  Secretarial / Clerical</v>
      </c>
      <c r="C15" s="88">
        <v>1</v>
      </c>
      <c r="D15" s="22" t="s">
        <v>504</v>
      </c>
      <c r="E15" s="54"/>
      <c r="F15" s="55"/>
      <c r="G15" s="3"/>
      <c r="H15" s="3"/>
      <c r="I15" s="67" t="s">
        <v>81</v>
      </c>
      <c r="J15" s="68"/>
      <c r="K15" s="68"/>
      <c r="L15" s="89"/>
      <c r="M15" s="70">
        <f>SUM(M11:M14)</f>
        <v>512717.55824640009</v>
      </c>
      <c r="N15" s="47"/>
      <c r="P15" s="77"/>
      <c r="Q15" s="77"/>
      <c r="R15" s="90"/>
    </row>
    <row r="16" spans="2:21" ht="15" customHeight="1" thickBot="1">
      <c r="B16" s="91" t="s">
        <v>82</v>
      </c>
      <c r="C16" s="92"/>
      <c r="D16" s="93"/>
      <c r="E16" s="3"/>
      <c r="F16" s="23"/>
      <c r="G16" s="3"/>
      <c r="H16" s="3"/>
      <c r="I16" s="80"/>
      <c r="J16" s="3"/>
      <c r="K16" s="3"/>
      <c r="L16" s="74"/>
      <c r="M16" s="23"/>
      <c r="N16" s="75"/>
      <c r="P16" s="77"/>
      <c r="Q16" s="77"/>
      <c r="R16" s="90"/>
    </row>
    <row r="17" spans="2:22" ht="15" customHeight="1" thickBot="1">
      <c r="B17" s="94" t="s">
        <v>83</v>
      </c>
      <c r="C17" s="95">
        <f>'M2024 BLS SALARY CHART (53_PCT)'!C40</f>
        <v>0.24970000000000001</v>
      </c>
      <c r="D17" s="115" t="s">
        <v>45</v>
      </c>
      <c r="E17" s="3"/>
      <c r="F17" s="23"/>
      <c r="G17" s="3"/>
      <c r="H17" s="3"/>
      <c r="I17" s="80" t="str">
        <f>$B$18</f>
        <v>Occupancy</v>
      </c>
      <c r="J17" s="3"/>
      <c r="K17" s="3"/>
      <c r="L17" s="96">
        <f>C18</f>
        <v>4171.8131539999995</v>
      </c>
      <c r="M17" s="83">
        <f>L17*L11</f>
        <v>29202.692077999996</v>
      </c>
      <c r="N17" s="3"/>
      <c r="P17" s="97" t="s">
        <v>84</v>
      </c>
      <c r="Q17" s="98"/>
      <c r="R17" s="99"/>
      <c r="S17" s="99"/>
      <c r="T17" s="99"/>
      <c r="U17" s="100" t="s">
        <v>85</v>
      </c>
    </row>
    <row r="18" spans="2:22" ht="15" customHeight="1">
      <c r="B18" s="101" t="s">
        <v>86</v>
      </c>
      <c r="C18" s="102">
        <f>4061.74*(1+C24)</f>
        <v>4171.8131539999995</v>
      </c>
      <c r="D18" s="22" t="s">
        <v>571</v>
      </c>
      <c r="E18" s="3"/>
      <c r="F18" s="23"/>
      <c r="G18" s="3"/>
      <c r="H18" s="3"/>
      <c r="I18" s="80" t="str">
        <f>$B$19</f>
        <v>Transportation</v>
      </c>
      <c r="J18" s="3"/>
      <c r="K18" s="103"/>
      <c r="L18" s="104">
        <v>0.5</v>
      </c>
      <c r="M18" s="83">
        <f>(L11*C19)*L18</f>
        <v>16889.036681999998</v>
      </c>
      <c r="N18" s="105"/>
      <c r="P18" s="1239" t="s">
        <v>88</v>
      </c>
      <c r="Q18" s="1240"/>
      <c r="R18" s="106" t="s">
        <v>89</v>
      </c>
      <c r="S18" s="107">
        <f>M26/4</f>
        <v>26.459294516281172</v>
      </c>
      <c r="T18" s="108" t="s">
        <v>90</v>
      </c>
      <c r="U18" s="109">
        <f>S18*4</f>
        <v>105.83717806512469</v>
      </c>
      <c r="V18" s="175"/>
    </row>
    <row r="19" spans="2:22" ht="15" customHeight="1">
      <c r="B19" s="101" t="s">
        <v>91</v>
      </c>
      <c r="C19" s="102">
        <f>4698.12*(1+C24)</f>
        <v>4825.4390519999997</v>
      </c>
      <c r="D19" s="22" t="s">
        <v>571</v>
      </c>
      <c r="E19" s="3"/>
      <c r="F19" s="23"/>
      <c r="G19" s="3"/>
      <c r="H19" s="3"/>
      <c r="I19" s="80" t="str">
        <f>$B$20</f>
        <v>Program Supplies &amp; Expenses</v>
      </c>
      <c r="J19" s="3"/>
      <c r="K19" s="3"/>
      <c r="L19" s="96">
        <f>C20</f>
        <v>2421.6450249999998</v>
      </c>
      <c r="M19" s="83">
        <f>L19*L11</f>
        <v>16951.515175</v>
      </c>
      <c r="N19" s="105"/>
      <c r="P19" s="1239" t="s">
        <v>92</v>
      </c>
      <c r="Q19" s="1240"/>
      <c r="R19" s="106" t="s">
        <v>93</v>
      </c>
      <c r="S19" s="107">
        <f>S27</f>
        <v>29.925615499570586</v>
      </c>
      <c r="T19" s="108" t="s">
        <v>90</v>
      </c>
      <c r="U19" s="111">
        <f>S19*4+0.02</f>
        <v>119.72246199828234</v>
      </c>
      <c r="V19" s="175"/>
    </row>
    <row r="20" spans="2:22" ht="15" customHeight="1" thickBot="1">
      <c r="B20" s="101" t="s">
        <v>503</v>
      </c>
      <c r="C20" s="102">
        <f>2357.75*(1+C24)</f>
        <v>2421.6450249999998</v>
      </c>
      <c r="D20" s="22" t="s">
        <v>571</v>
      </c>
      <c r="E20" s="3"/>
      <c r="F20" s="23"/>
      <c r="G20" s="3"/>
      <c r="H20" s="3"/>
      <c r="I20" s="80"/>
      <c r="J20" s="3"/>
      <c r="K20" s="3"/>
      <c r="L20" s="74"/>
      <c r="M20" s="23"/>
      <c r="N20" s="105"/>
      <c r="P20" s="1241" t="s">
        <v>95</v>
      </c>
      <c r="Q20" s="1242"/>
      <c r="R20" s="112" t="s">
        <v>96</v>
      </c>
      <c r="S20" s="113">
        <f>S35</f>
        <v>33.39724593328522</v>
      </c>
      <c r="T20" s="112" t="s">
        <v>90</v>
      </c>
      <c r="U20" s="114">
        <f>S20*4+0.01</f>
        <v>133.59898373314087</v>
      </c>
      <c r="V20" s="175"/>
    </row>
    <row r="21" spans="2:22" ht="15" customHeight="1">
      <c r="B21" s="101" t="s">
        <v>97</v>
      </c>
      <c r="C21" s="95">
        <f>'M2024 BLS SALARY CHART (53_PCT)'!C43</f>
        <v>0.12</v>
      </c>
      <c r="D21" s="115" t="s">
        <v>45</v>
      </c>
      <c r="E21" s="3"/>
      <c r="F21" s="23"/>
      <c r="G21" s="3"/>
      <c r="H21" s="3"/>
      <c r="I21" s="67" t="s">
        <v>99</v>
      </c>
      <c r="J21" s="68"/>
      <c r="K21" s="68"/>
      <c r="L21" s="116"/>
      <c r="M21" s="70">
        <f>SUM(M15:M19)</f>
        <v>575760.80218140013</v>
      </c>
      <c r="N21" s="3"/>
    </row>
    <row r="22" spans="2:22" ht="15" customHeight="1" thickBot="1">
      <c r="B22" s="117"/>
      <c r="C22" s="118"/>
      <c r="D22" s="119"/>
      <c r="E22" s="120"/>
      <c r="F22" s="55"/>
      <c r="G22" s="3"/>
      <c r="H22" s="3"/>
      <c r="I22" s="121" t="s">
        <v>97</v>
      </c>
      <c r="J22" s="122"/>
      <c r="K22" s="123">
        <f>C21</f>
        <v>0.12</v>
      </c>
      <c r="L22" s="124"/>
      <c r="M22" s="125">
        <f>K22*M21</f>
        <v>69091.296261768017</v>
      </c>
      <c r="N22" s="75"/>
      <c r="P22" s="81" t="s">
        <v>100</v>
      </c>
      <c r="Q22" s="81"/>
      <c r="R22" s="126"/>
      <c r="S22" s="127"/>
      <c r="T22" s="3"/>
    </row>
    <row r="23" spans="2:22" ht="15" customHeight="1" thickTop="1" thickBot="1">
      <c r="B23" s="128" t="s">
        <v>101</v>
      </c>
      <c r="C23" s="129">
        <f>'CAF Spring 2025'!CT26</f>
        <v>2.5282070971092779E-2</v>
      </c>
      <c r="D23" s="130" t="s">
        <v>572</v>
      </c>
      <c r="E23" s="131"/>
      <c r="F23" s="132"/>
      <c r="G23" s="3"/>
      <c r="H23" s="3"/>
      <c r="I23" s="133" t="s">
        <v>102</v>
      </c>
      <c r="J23" s="134"/>
      <c r="K23" s="135"/>
      <c r="L23" s="136"/>
      <c r="M23" s="137">
        <f>SUM(M21:M22)</f>
        <v>644852.0984431681</v>
      </c>
      <c r="N23" s="138"/>
      <c r="P23" s="139" t="s">
        <v>103</v>
      </c>
      <c r="Q23" s="140"/>
      <c r="R23" s="140"/>
      <c r="S23" s="141"/>
      <c r="T23" s="142"/>
    </row>
    <row r="24" spans="2:22" ht="15" customHeight="1">
      <c r="B24" s="3"/>
      <c r="C24" s="143">
        <v>2.7099999999999999E-2</v>
      </c>
      <c r="D24" s="144" t="s">
        <v>104</v>
      </c>
      <c r="E24" s="3"/>
      <c r="F24" s="3"/>
      <c r="G24" s="3"/>
      <c r="H24" s="3"/>
      <c r="I24" s="80"/>
      <c r="J24" s="3"/>
      <c r="K24" s="3"/>
      <c r="L24" s="74"/>
      <c r="M24" s="23"/>
      <c r="N24" s="47"/>
      <c r="P24" s="145" t="s">
        <v>105</v>
      </c>
      <c r="Q24" s="146"/>
      <c r="R24" s="146"/>
      <c r="S24" s="147"/>
      <c r="T24" s="148"/>
      <c r="U24" s="110"/>
    </row>
    <row r="25" spans="2:22" ht="15" customHeight="1">
      <c r="B25" s="149"/>
      <c r="C25" s="150">
        <v>2.7199999999999998E-2</v>
      </c>
      <c r="D25" s="144" t="s">
        <v>104</v>
      </c>
      <c r="E25" s="3"/>
      <c r="F25" s="3"/>
      <c r="G25" s="3"/>
      <c r="H25" s="3"/>
      <c r="I25" s="80" t="s">
        <v>106</v>
      </c>
      <c r="J25" s="3"/>
      <c r="K25" s="151">
        <f>C23</f>
        <v>2.5282070971092779E-2</v>
      </c>
      <c r="L25" s="74"/>
      <c r="M25" s="152">
        <f>M23*(1+K25)</f>
        <v>661155.29496186646</v>
      </c>
      <c r="N25" s="3"/>
      <c r="P25" s="145" t="s">
        <v>107</v>
      </c>
      <c r="Q25" s="146"/>
      <c r="R25" s="146"/>
      <c r="S25" s="153">
        <f>(15*0.45)*2</f>
        <v>13.5</v>
      </c>
      <c r="T25" s="154" t="s">
        <v>108</v>
      </c>
    </row>
    <row r="26" spans="2:22" ht="15" customHeight="1">
      <c r="C26" s="155">
        <v>1.8100000000000002E-2</v>
      </c>
      <c r="D26" s="144" t="s">
        <v>104</v>
      </c>
      <c r="F26" s="3"/>
      <c r="G26" s="3"/>
      <c r="H26" s="3"/>
      <c r="I26" s="156" t="s">
        <v>109</v>
      </c>
      <c r="J26" s="54"/>
      <c r="K26" s="157">
        <v>1</v>
      </c>
      <c r="L26" s="158"/>
      <c r="M26" s="159">
        <f>M25/M4+0.01</f>
        <v>105.83717806512469</v>
      </c>
      <c r="N26" s="75"/>
      <c r="P26" s="145" t="s">
        <v>110</v>
      </c>
      <c r="Q26" s="146"/>
      <c r="R26" s="146"/>
      <c r="S26" s="153">
        <v>3.466320983289414</v>
      </c>
      <c r="T26" s="154" t="s">
        <v>111</v>
      </c>
      <c r="U26" s="110"/>
    </row>
    <row r="27" spans="2:22" ht="15" customHeight="1">
      <c r="F27" s="3"/>
      <c r="G27" s="3"/>
      <c r="H27" s="3"/>
      <c r="I27" s="160" t="s">
        <v>112</v>
      </c>
      <c r="J27" s="161"/>
      <c r="K27" s="162">
        <v>0.9</v>
      </c>
      <c r="L27" s="163"/>
      <c r="M27" s="164">
        <f>M26/K27</f>
        <v>117.59686451680521</v>
      </c>
      <c r="N27" s="3"/>
      <c r="P27" s="145" t="s">
        <v>113</v>
      </c>
      <c r="Q27" s="146"/>
      <c r="R27" s="146"/>
      <c r="S27" s="153">
        <f>S18+S26</f>
        <v>29.925615499570586</v>
      </c>
      <c r="T27" s="154" t="s">
        <v>114</v>
      </c>
    </row>
    <row r="28" spans="2:22" ht="15" customHeight="1" thickBot="1">
      <c r="F28" s="3"/>
      <c r="G28" s="3"/>
      <c r="H28" s="3"/>
      <c r="I28" s="165"/>
      <c r="J28" s="166"/>
      <c r="K28" s="167">
        <v>0.85</v>
      </c>
      <c r="L28" s="168"/>
      <c r="M28" s="169">
        <f>M26/K28</f>
        <v>124.51432713544081</v>
      </c>
      <c r="N28" s="170"/>
      <c r="P28" s="171" t="s">
        <v>115</v>
      </c>
      <c r="Q28" s="172"/>
      <c r="R28" s="172"/>
      <c r="S28" s="173">
        <f>S27*4+0.02</f>
        <v>119.72246199828234</v>
      </c>
      <c r="T28" s="174" t="s">
        <v>116</v>
      </c>
      <c r="U28" s="110"/>
    </row>
    <row r="29" spans="2:22" ht="15" customHeight="1">
      <c r="G29" s="3"/>
      <c r="H29" s="3"/>
      <c r="N29" s="3"/>
      <c r="S29" s="2"/>
      <c r="U29" s="110"/>
    </row>
    <row r="30" spans="2:22" ht="15" customHeight="1" thickBot="1">
      <c r="F30" s="3"/>
      <c r="G30" s="3"/>
      <c r="H30" s="3"/>
      <c r="M30" s="175"/>
      <c r="N30" s="176"/>
      <c r="P30" s="81" t="s">
        <v>117</v>
      </c>
      <c r="Q30" s="81"/>
      <c r="R30" s="126"/>
      <c r="S30" s="127"/>
      <c r="T30" s="3"/>
      <c r="U30" s="110"/>
    </row>
    <row r="31" spans="2:22" ht="15" customHeight="1">
      <c r="F31" s="3"/>
      <c r="H31" s="3"/>
      <c r="N31" s="177"/>
      <c r="P31" s="139" t="s">
        <v>118</v>
      </c>
      <c r="Q31" s="140"/>
      <c r="R31" s="140"/>
      <c r="S31" s="141"/>
      <c r="T31" s="142"/>
      <c r="U31" s="178"/>
    </row>
    <row r="32" spans="2:22" ht="15" customHeight="1">
      <c r="G32" s="3"/>
      <c r="H32" s="3"/>
      <c r="N32" s="177"/>
      <c r="P32" s="145" t="s">
        <v>105</v>
      </c>
      <c r="Q32" s="146"/>
      <c r="R32" s="146"/>
      <c r="S32" s="147"/>
      <c r="T32" s="148"/>
    </row>
    <row r="33" spans="7:21" ht="15" customHeight="1">
      <c r="G33" s="3"/>
      <c r="H33" s="3"/>
      <c r="P33" s="145" t="s">
        <v>107</v>
      </c>
      <c r="Q33" s="146"/>
      <c r="R33" s="146"/>
      <c r="S33" s="153">
        <f>(30*0.45)*2</f>
        <v>27</v>
      </c>
      <c r="T33" s="154" t="s">
        <v>108</v>
      </c>
    </row>
    <row r="34" spans="7:21" ht="15" customHeight="1">
      <c r="H34" s="3"/>
      <c r="P34" s="145" t="s">
        <v>110</v>
      </c>
      <c r="Q34" s="146"/>
      <c r="R34" s="146"/>
      <c r="S34" s="153">
        <v>6.9379514170040482</v>
      </c>
      <c r="T34" s="154" t="s">
        <v>111</v>
      </c>
      <c r="U34" s="110"/>
    </row>
    <row r="35" spans="7:21" ht="15" customHeight="1">
      <c r="H35" s="3"/>
      <c r="K35" s="179"/>
      <c r="P35" s="145" t="s">
        <v>119</v>
      </c>
      <c r="Q35" s="146"/>
      <c r="R35" s="146"/>
      <c r="S35" s="153">
        <f>S18+S34</f>
        <v>33.39724593328522</v>
      </c>
      <c r="T35" s="154" t="s">
        <v>114</v>
      </c>
    </row>
    <row r="36" spans="7:21" ht="15" customHeight="1" thickBot="1">
      <c r="H36" s="3"/>
      <c r="P36" s="171" t="s">
        <v>120</v>
      </c>
      <c r="Q36" s="172"/>
      <c r="R36" s="172"/>
      <c r="S36" s="173">
        <f>S35*4+0.01</f>
        <v>133.59898373314087</v>
      </c>
      <c r="T36" s="174" t="s">
        <v>116</v>
      </c>
    </row>
    <row r="37" spans="7:21" ht="15" customHeight="1">
      <c r="H37" s="3"/>
    </row>
    <row r="38" spans="7:21" ht="15" customHeight="1">
      <c r="H38" s="3"/>
      <c r="S38" s="3"/>
    </row>
    <row r="40" spans="7:21" ht="15" customHeight="1">
      <c r="H40" s="3"/>
    </row>
    <row r="41" spans="7:21" ht="15" customHeight="1">
      <c r="H41" s="3"/>
    </row>
    <row r="72" spans="8:8" ht="24.75" customHeight="1">
      <c r="H72" s="180" t="s">
        <v>121</v>
      </c>
    </row>
  </sheetData>
  <mergeCells count="9">
    <mergeCell ref="P18:Q18"/>
    <mergeCell ref="P19:Q19"/>
    <mergeCell ref="P20:Q20"/>
    <mergeCell ref="B2:E2"/>
    <mergeCell ref="B3:F3"/>
    <mergeCell ref="I3:M3"/>
    <mergeCell ref="P3:Q3"/>
    <mergeCell ref="B4:C4"/>
    <mergeCell ref="D4:F4"/>
  </mergeCells>
  <pageMargins left="0.25" right="0" top="0.25" bottom="0.25" header="0.3" footer="0.3"/>
  <pageSetup scale="60" orientation="landscape" cellComments="asDisplaye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107"/>
  <sheetViews>
    <sheetView workbookViewId="0">
      <selection activeCell="H17" sqref="H17"/>
    </sheetView>
  </sheetViews>
  <sheetFormatPr defaultColWidth="9.28515625" defaultRowHeight="12.75"/>
  <cols>
    <col min="1" max="1" width="9.7109375" style="235" customWidth="1"/>
    <col min="2" max="2" width="15.28515625" style="235" customWidth="1"/>
    <col min="3" max="3" width="13" style="235" customWidth="1"/>
    <col min="4" max="4" width="10.7109375" style="235" customWidth="1"/>
    <col min="5" max="5" width="11.42578125" style="236" customWidth="1"/>
    <col min="6" max="6" width="12" style="236" customWidth="1"/>
    <col min="7" max="7" width="7.5703125" style="235" customWidth="1"/>
    <col min="8" max="8" width="23" style="235" customWidth="1"/>
    <col min="9" max="9" width="14.5703125" style="235" customWidth="1"/>
    <col min="10" max="10" width="11.5703125" style="235" customWidth="1"/>
    <col min="11" max="11" width="19.5703125" style="235" customWidth="1"/>
    <col min="12" max="16384" width="9.28515625" style="235"/>
  </cols>
  <sheetData>
    <row r="2" spans="1:6" ht="13.5" thickBot="1">
      <c r="A2" s="234"/>
      <c r="B2" s="1257" t="s">
        <v>136</v>
      </c>
      <c r="C2" s="1257"/>
      <c r="E2" s="235"/>
    </row>
    <row r="3" spans="1:6" ht="16.5" customHeight="1" thickBot="1">
      <c r="A3" s="234"/>
      <c r="B3" s="1258" t="s">
        <v>137</v>
      </c>
      <c r="C3" s="1259"/>
      <c r="D3" s="1260" t="s">
        <v>577</v>
      </c>
      <c r="E3" s="1261"/>
      <c r="F3" s="235"/>
    </row>
    <row r="4" spans="1:6" ht="12.75" customHeight="1">
      <c r="A4" s="236"/>
      <c r="B4" s="1262" t="s">
        <v>138</v>
      </c>
      <c r="C4" s="237"/>
      <c r="D4" s="1065"/>
      <c r="E4" s="238" t="s">
        <v>522</v>
      </c>
      <c r="F4" s="1007"/>
    </row>
    <row r="5" spans="1:6" ht="25.5">
      <c r="A5" s="239"/>
      <c r="B5" s="1263"/>
      <c r="C5" s="240" t="s">
        <v>140</v>
      </c>
      <c r="D5" s="1066" t="s">
        <v>521</v>
      </c>
      <c r="E5" s="241" t="s">
        <v>140</v>
      </c>
      <c r="F5" s="235"/>
    </row>
    <row r="6" spans="1:6" ht="13.5" thickBot="1">
      <c r="A6" s="239"/>
      <c r="B6" s="1264"/>
      <c r="C6" s="366"/>
      <c r="D6" s="1067"/>
      <c r="E6" s="241"/>
      <c r="F6" s="232">
        <f>'3. ATIL'!M28</f>
        <v>7.2371210170162584E-2</v>
      </c>
    </row>
    <row r="7" spans="1:6">
      <c r="A7" s="239"/>
      <c r="B7" s="1068" t="s">
        <v>141</v>
      </c>
      <c r="C7" s="1069">
        <v>32.75</v>
      </c>
      <c r="D7" s="1070"/>
      <c r="E7" s="1071">
        <f>C7*(1+$F$6)</f>
        <v>35.120157133072823</v>
      </c>
      <c r="F7" s="1006">
        <f>C7*($F$6+1)</f>
        <v>35.120157133072823</v>
      </c>
    </row>
    <row r="8" spans="1:6">
      <c r="A8" s="239"/>
      <c r="B8" s="244" t="s">
        <v>142</v>
      </c>
      <c r="C8" s="242">
        <v>30.81</v>
      </c>
      <c r="D8" s="243"/>
      <c r="E8" s="1072">
        <f t="shared" ref="E8:E11" si="0">C8*(1+$F$6)</f>
        <v>33.039756985342706</v>
      </c>
      <c r="F8" s="1006">
        <f t="shared" ref="F8:F11" si="1">C8*($F$6+1)</f>
        <v>33.039756985342706</v>
      </c>
    </row>
    <row r="9" spans="1:6">
      <c r="A9" s="239"/>
      <c r="B9" s="244" t="s">
        <v>143</v>
      </c>
      <c r="C9" s="242">
        <v>30.96</v>
      </c>
      <c r="D9" s="243"/>
      <c r="E9" s="1072">
        <f t="shared" si="0"/>
        <v>33.200612666868231</v>
      </c>
      <c r="F9" s="1006">
        <f t="shared" si="1"/>
        <v>33.200612666868231</v>
      </c>
    </row>
    <row r="10" spans="1:6">
      <c r="A10" s="239"/>
      <c r="B10" s="244" t="s">
        <v>144</v>
      </c>
      <c r="C10" s="242">
        <v>31.91</v>
      </c>
      <c r="D10" s="243"/>
      <c r="E10" s="1072">
        <f t="shared" si="0"/>
        <v>34.219365316529888</v>
      </c>
      <c r="F10" s="1006">
        <f t="shared" si="1"/>
        <v>34.219365316529888</v>
      </c>
    </row>
    <row r="11" spans="1:6" ht="13.5" thickBot="1">
      <c r="A11" s="239"/>
      <c r="B11" s="245" t="s">
        <v>145</v>
      </c>
      <c r="C11" s="246">
        <v>31.81</v>
      </c>
      <c r="D11" s="247"/>
      <c r="E11" s="1073">
        <f t="shared" si="0"/>
        <v>34.112128195512867</v>
      </c>
      <c r="F11" s="1006">
        <f t="shared" si="1"/>
        <v>34.112128195512867</v>
      </c>
    </row>
    <row r="12" spans="1:6">
      <c r="A12" s="239"/>
      <c r="E12" s="235"/>
    </row>
    <row r="13" spans="1:6">
      <c r="A13" s="239"/>
    </row>
    <row r="14" spans="1:6">
      <c r="A14" s="239"/>
      <c r="B14" s="239"/>
      <c r="C14" s="239"/>
      <c r="D14" s="239"/>
      <c r="E14" s="239"/>
      <c r="F14" s="239"/>
    </row>
    <row r="15" spans="1:6">
      <c r="A15" s="239"/>
      <c r="B15" s="239"/>
      <c r="C15" s="239"/>
      <c r="D15" s="239"/>
      <c r="E15" s="239"/>
      <c r="F15" s="239"/>
    </row>
    <row r="16" spans="1:6" ht="18.75">
      <c r="A16" s="239"/>
      <c r="B16" s="239"/>
      <c r="C16" s="239"/>
      <c r="D16" s="239"/>
      <c r="E16" s="248"/>
      <c r="F16" s="239"/>
    </row>
    <row r="17" spans="1:6">
      <c r="A17" s="239"/>
      <c r="B17" s="239"/>
      <c r="C17" s="239"/>
      <c r="D17" s="239"/>
      <c r="E17" s="239"/>
      <c r="F17" s="239"/>
    </row>
    <row r="18" spans="1:6">
      <c r="A18" s="239"/>
      <c r="B18" s="239"/>
      <c r="C18" s="239"/>
      <c r="D18" s="239"/>
      <c r="E18" s="239"/>
      <c r="F18" s="239"/>
    </row>
    <row r="19" spans="1:6">
      <c r="A19" s="239"/>
      <c r="B19" s="239"/>
      <c r="C19" s="239"/>
      <c r="D19" s="239"/>
      <c r="E19" s="239"/>
      <c r="F19" s="239"/>
    </row>
    <row r="20" spans="1:6">
      <c r="A20" s="239"/>
      <c r="B20" s="239"/>
      <c r="C20" s="239"/>
      <c r="D20" s="239"/>
      <c r="E20" s="239"/>
      <c r="F20" s="239"/>
    </row>
    <row r="21" spans="1:6">
      <c r="A21" s="239"/>
      <c r="B21" s="239"/>
      <c r="C21" s="239"/>
      <c r="D21" s="239"/>
    </row>
    <row r="22" spans="1:6">
      <c r="A22" s="239"/>
      <c r="B22" s="239"/>
      <c r="C22" s="239"/>
      <c r="D22" s="239"/>
    </row>
    <row r="23" spans="1:6">
      <c r="A23" s="239"/>
      <c r="B23" s="239"/>
      <c r="C23" s="239"/>
      <c r="D23" s="239"/>
    </row>
    <row r="24" spans="1:6">
      <c r="A24" s="239"/>
      <c r="B24" s="239"/>
      <c r="C24" s="239"/>
      <c r="D24" s="239"/>
    </row>
    <row r="25" spans="1:6" ht="15.75" customHeight="1">
      <c r="A25" s="249"/>
      <c r="B25" s="249"/>
      <c r="C25" s="249"/>
      <c r="D25" s="249"/>
    </row>
    <row r="26" spans="1:6" ht="14.25" customHeight="1">
      <c r="A26" s="249"/>
      <c r="B26" s="249"/>
      <c r="C26" s="249"/>
      <c r="D26" s="249"/>
    </row>
    <row r="27" spans="1:6" ht="14.25" customHeight="1">
      <c r="A27" s="250"/>
      <c r="B27" s="250"/>
      <c r="C27" s="250"/>
      <c r="D27" s="250"/>
      <c r="E27" s="251"/>
    </row>
    <row r="28" spans="1:6" ht="12" customHeight="1"/>
    <row r="29" spans="1:6">
      <c r="A29" s="252"/>
    </row>
    <row r="30" spans="1:6">
      <c r="A30" s="252"/>
    </row>
    <row r="31" spans="1:6">
      <c r="A31" s="252"/>
    </row>
    <row r="32" spans="1:6">
      <c r="A32" s="252"/>
    </row>
    <row r="33" spans="1:4">
      <c r="A33" s="252"/>
    </row>
    <row r="34" spans="1:4">
      <c r="A34" s="252"/>
    </row>
    <row r="35" spans="1:4">
      <c r="A35" s="252"/>
    </row>
    <row r="36" spans="1:4">
      <c r="A36" s="252"/>
    </row>
    <row r="37" spans="1:4">
      <c r="A37" s="252"/>
    </row>
    <row r="38" spans="1:4">
      <c r="A38" s="252"/>
    </row>
    <row r="39" spans="1:4">
      <c r="A39" s="252"/>
    </row>
    <row r="40" spans="1:4">
      <c r="A40" s="252"/>
    </row>
    <row r="41" spans="1:4">
      <c r="A41" s="252"/>
    </row>
    <row r="42" spans="1:4">
      <c r="A42" s="252"/>
    </row>
    <row r="44" spans="1:4" s="236" customFormat="1">
      <c r="A44" s="235"/>
      <c r="B44" s="235"/>
      <c r="C44" s="235"/>
      <c r="D44" s="235"/>
    </row>
    <row r="45" spans="1:4" s="236" customFormat="1">
      <c r="A45" s="235"/>
      <c r="B45" s="235"/>
      <c r="C45" s="235"/>
      <c r="D45" s="235"/>
    </row>
    <row r="46" spans="1:4" s="236" customFormat="1">
      <c r="A46" s="235"/>
      <c r="B46" s="235"/>
      <c r="C46" s="235"/>
      <c r="D46" s="235"/>
    </row>
    <row r="47" spans="1:4" s="236" customFormat="1">
      <c r="A47" s="235"/>
      <c r="B47" s="235"/>
      <c r="C47" s="235"/>
      <c r="D47" s="235"/>
    </row>
    <row r="48" spans="1:4" s="236" customFormat="1">
      <c r="A48" s="235"/>
      <c r="B48" s="235"/>
      <c r="C48" s="235"/>
      <c r="D48" s="235"/>
    </row>
    <row r="49" spans="1:4" s="236" customFormat="1">
      <c r="A49" s="235"/>
      <c r="B49" s="235"/>
      <c r="C49" s="235"/>
      <c r="D49" s="235"/>
    </row>
    <row r="50" spans="1:4" s="236" customFormat="1">
      <c r="A50" s="235"/>
      <c r="B50" s="235"/>
      <c r="C50" s="235"/>
      <c r="D50" s="235"/>
    </row>
    <row r="51" spans="1:4" s="236" customFormat="1">
      <c r="A51" s="235"/>
      <c r="B51" s="235"/>
      <c r="C51" s="235"/>
      <c r="D51" s="235"/>
    </row>
    <row r="52" spans="1:4" s="236" customFormat="1">
      <c r="A52" s="235"/>
      <c r="B52" s="235"/>
      <c r="C52" s="235"/>
      <c r="D52" s="235"/>
    </row>
    <row r="53" spans="1:4" s="236" customFormat="1">
      <c r="A53" s="235"/>
      <c r="B53" s="235"/>
      <c r="C53" s="235"/>
      <c r="D53" s="235"/>
    </row>
    <row r="54" spans="1:4" s="236" customFormat="1">
      <c r="A54" s="235"/>
      <c r="B54" s="235"/>
      <c r="C54" s="235"/>
      <c r="D54" s="235"/>
    </row>
    <row r="55" spans="1:4" s="236" customFormat="1">
      <c r="A55" s="235"/>
      <c r="B55" s="235"/>
      <c r="C55" s="235"/>
      <c r="D55" s="235"/>
    </row>
    <row r="56" spans="1:4" s="236" customFormat="1">
      <c r="A56" s="235"/>
      <c r="B56" s="235"/>
      <c r="C56" s="235"/>
      <c r="D56" s="235"/>
    </row>
    <row r="57" spans="1:4" s="236" customFormat="1">
      <c r="A57" s="235"/>
      <c r="B57" s="235"/>
      <c r="C57" s="235"/>
      <c r="D57" s="235"/>
    </row>
    <row r="58" spans="1:4" s="236" customFormat="1">
      <c r="A58" s="235"/>
      <c r="B58" s="235"/>
      <c r="C58" s="235"/>
      <c r="D58" s="235"/>
    </row>
    <row r="59" spans="1:4" s="236" customFormat="1">
      <c r="A59" s="235"/>
      <c r="B59" s="235"/>
      <c r="C59" s="235"/>
      <c r="D59" s="235"/>
    </row>
    <row r="60" spans="1:4" s="236" customFormat="1">
      <c r="A60" s="235"/>
      <c r="B60" s="235"/>
      <c r="C60" s="235"/>
      <c r="D60" s="235"/>
    </row>
    <row r="61" spans="1:4" s="236" customFormat="1">
      <c r="A61" s="235"/>
      <c r="B61" s="235"/>
      <c r="C61" s="235"/>
      <c r="D61" s="235"/>
    </row>
    <row r="62" spans="1:4" s="236" customFormat="1">
      <c r="A62" s="235"/>
      <c r="B62" s="235"/>
      <c r="C62" s="235"/>
      <c r="D62" s="235"/>
    </row>
    <row r="63" spans="1:4" s="236" customFormat="1">
      <c r="A63" s="235"/>
      <c r="B63" s="235"/>
      <c r="C63" s="235"/>
      <c r="D63" s="235"/>
    </row>
    <row r="64" spans="1:4" s="236" customFormat="1">
      <c r="A64" s="235"/>
      <c r="B64" s="235"/>
      <c r="C64" s="235"/>
      <c r="D64" s="235"/>
    </row>
    <row r="65" spans="1:4" s="236" customFormat="1">
      <c r="A65" s="235"/>
      <c r="B65" s="235"/>
      <c r="C65" s="235"/>
      <c r="D65" s="235"/>
    </row>
    <row r="66" spans="1:4" s="236" customFormat="1">
      <c r="A66" s="235"/>
      <c r="B66" s="235"/>
      <c r="C66" s="235"/>
      <c r="D66" s="235"/>
    </row>
    <row r="67" spans="1:4" s="236" customFormat="1">
      <c r="A67" s="235"/>
      <c r="B67" s="235"/>
      <c r="C67" s="235"/>
      <c r="D67" s="235"/>
    </row>
    <row r="68" spans="1:4" s="236" customFormat="1">
      <c r="A68" s="235"/>
      <c r="B68" s="235"/>
      <c r="C68" s="235"/>
      <c r="D68" s="235"/>
    </row>
    <row r="69" spans="1:4" s="236" customFormat="1">
      <c r="A69" s="235"/>
      <c r="B69" s="235"/>
      <c r="C69" s="235"/>
      <c r="D69" s="235"/>
    </row>
    <row r="70" spans="1:4" s="236" customFormat="1">
      <c r="A70" s="235"/>
      <c r="B70" s="235"/>
      <c r="C70" s="235"/>
      <c r="D70" s="235"/>
    </row>
    <row r="71" spans="1:4" s="236" customFormat="1">
      <c r="A71" s="235"/>
      <c r="B71" s="235"/>
      <c r="C71" s="235"/>
      <c r="D71" s="235"/>
    </row>
    <row r="72" spans="1:4" s="236" customFormat="1">
      <c r="A72" s="235"/>
      <c r="B72" s="235"/>
      <c r="C72" s="235"/>
      <c r="D72" s="235"/>
    </row>
    <row r="73" spans="1:4" s="236" customFormat="1">
      <c r="A73" s="235"/>
      <c r="B73" s="235"/>
      <c r="C73" s="235"/>
      <c r="D73" s="235"/>
    </row>
    <row r="74" spans="1:4" s="236" customFormat="1">
      <c r="A74" s="235"/>
      <c r="B74" s="235"/>
      <c r="C74" s="235"/>
      <c r="D74" s="235"/>
    </row>
    <row r="75" spans="1:4" s="236" customFormat="1">
      <c r="A75" s="235"/>
      <c r="B75" s="235"/>
      <c r="C75" s="235"/>
      <c r="D75" s="235"/>
    </row>
    <row r="76" spans="1:4" s="236" customFormat="1">
      <c r="A76" s="235"/>
      <c r="B76" s="235"/>
      <c r="C76" s="235"/>
      <c r="D76" s="235"/>
    </row>
    <row r="77" spans="1:4" s="236" customFormat="1">
      <c r="A77" s="235"/>
      <c r="B77" s="235"/>
      <c r="C77" s="235"/>
      <c r="D77" s="235"/>
    </row>
    <row r="78" spans="1:4" s="236" customFormat="1">
      <c r="A78" s="235"/>
      <c r="B78" s="235"/>
      <c r="C78" s="235"/>
      <c r="D78" s="235"/>
    </row>
    <row r="79" spans="1:4" s="236" customFormat="1">
      <c r="A79" s="235"/>
      <c r="B79" s="235"/>
      <c r="C79" s="235"/>
      <c r="D79" s="235"/>
    </row>
    <row r="80" spans="1:4" s="236" customFormat="1">
      <c r="A80" s="235"/>
      <c r="B80" s="235"/>
      <c r="C80" s="235"/>
      <c r="D80" s="235"/>
    </row>
    <row r="81" spans="1:4" s="236" customFormat="1">
      <c r="A81" s="235"/>
      <c r="B81" s="235"/>
      <c r="C81" s="235"/>
      <c r="D81" s="235"/>
    </row>
    <row r="82" spans="1:4" s="236" customFormat="1">
      <c r="A82" s="235"/>
      <c r="B82" s="235"/>
      <c r="C82" s="235"/>
      <c r="D82" s="235"/>
    </row>
    <row r="83" spans="1:4" s="236" customFormat="1">
      <c r="A83" s="235"/>
      <c r="B83" s="235"/>
      <c r="C83" s="235"/>
      <c r="D83" s="235"/>
    </row>
    <row r="84" spans="1:4" s="236" customFormat="1">
      <c r="A84" s="235"/>
      <c r="B84" s="235"/>
      <c r="C84" s="235"/>
      <c r="D84" s="235"/>
    </row>
    <row r="85" spans="1:4" s="236" customFormat="1">
      <c r="A85" s="235"/>
      <c r="B85" s="235"/>
      <c r="C85" s="235"/>
      <c r="D85" s="235"/>
    </row>
    <row r="86" spans="1:4" s="236" customFormat="1">
      <c r="A86" s="235"/>
      <c r="B86" s="235"/>
      <c r="C86" s="235"/>
      <c r="D86" s="235"/>
    </row>
    <row r="87" spans="1:4" s="236" customFormat="1">
      <c r="A87" s="235"/>
      <c r="B87" s="235"/>
      <c r="C87" s="235"/>
      <c r="D87" s="235"/>
    </row>
    <row r="88" spans="1:4" s="236" customFormat="1">
      <c r="A88" s="235"/>
      <c r="B88" s="235"/>
      <c r="C88" s="235"/>
      <c r="D88" s="235"/>
    </row>
    <row r="89" spans="1:4" s="236" customFormat="1">
      <c r="A89" s="235"/>
      <c r="B89" s="235"/>
      <c r="C89" s="235"/>
      <c r="D89" s="235"/>
    </row>
    <row r="90" spans="1:4" s="236" customFormat="1">
      <c r="A90" s="235"/>
      <c r="B90" s="235"/>
      <c r="C90" s="235"/>
      <c r="D90" s="235"/>
    </row>
    <row r="91" spans="1:4" s="236" customFormat="1">
      <c r="A91" s="235"/>
      <c r="B91" s="235"/>
      <c r="C91" s="235"/>
      <c r="D91" s="235"/>
    </row>
    <row r="92" spans="1:4" s="236" customFormat="1">
      <c r="A92" s="235"/>
      <c r="B92" s="235"/>
      <c r="C92" s="235"/>
      <c r="D92" s="235"/>
    </row>
    <row r="93" spans="1:4" s="236" customFormat="1">
      <c r="A93" s="235"/>
      <c r="B93" s="235"/>
      <c r="C93" s="235"/>
      <c r="D93" s="235"/>
    </row>
    <row r="94" spans="1:4" s="236" customFormat="1">
      <c r="A94" s="235"/>
      <c r="B94" s="235"/>
      <c r="C94" s="235"/>
      <c r="D94" s="235"/>
    </row>
    <row r="95" spans="1:4" s="236" customFormat="1">
      <c r="A95" s="235"/>
      <c r="B95" s="235"/>
      <c r="C95" s="235"/>
      <c r="D95" s="235"/>
    </row>
    <row r="96" spans="1:4" s="236" customFormat="1">
      <c r="A96" s="235"/>
      <c r="B96" s="235"/>
      <c r="C96" s="235"/>
      <c r="D96" s="235"/>
    </row>
    <row r="97" spans="1:4" s="236" customFormat="1">
      <c r="A97" s="235"/>
      <c r="B97" s="235"/>
      <c r="C97" s="235"/>
      <c r="D97" s="235"/>
    </row>
    <row r="98" spans="1:4" s="236" customFormat="1">
      <c r="A98" s="235"/>
      <c r="B98" s="235"/>
      <c r="C98" s="235"/>
      <c r="D98" s="235"/>
    </row>
    <row r="99" spans="1:4" s="236" customFormat="1">
      <c r="A99" s="235"/>
      <c r="B99" s="235"/>
      <c r="C99" s="235"/>
      <c r="D99" s="235"/>
    </row>
    <row r="100" spans="1:4" s="236" customFormat="1">
      <c r="A100" s="235"/>
      <c r="B100" s="235"/>
      <c r="C100" s="235"/>
      <c r="D100" s="235"/>
    </row>
    <row r="101" spans="1:4" s="236" customFormat="1">
      <c r="A101" s="235"/>
      <c r="B101" s="235"/>
      <c r="C101" s="235"/>
      <c r="D101" s="235"/>
    </row>
    <row r="102" spans="1:4" s="236" customFormat="1">
      <c r="A102" s="235"/>
      <c r="B102" s="235"/>
      <c r="C102" s="235"/>
      <c r="D102" s="235"/>
    </row>
    <row r="103" spans="1:4" s="236" customFormat="1">
      <c r="A103" s="235"/>
      <c r="B103" s="235"/>
      <c r="C103" s="235"/>
      <c r="D103" s="235"/>
    </row>
    <row r="104" spans="1:4" s="236" customFormat="1">
      <c r="A104" s="235"/>
      <c r="B104" s="235"/>
      <c r="C104" s="235"/>
      <c r="D104" s="235"/>
    </row>
    <row r="105" spans="1:4" s="236" customFormat="1">
      <c r="A105" s="235"/>
      <c r="B105" s="235"/>
      <c r="C105" s="235"/>
      <c r="D105" s="235"/>
    </row>
    <row r="106" spans="1:4" s="236" customFormat="1">
      <c r="A106" s="235"/>
      <c r="B106" s="235"/>
      <c r="C106" s="235"/>
      <c r="D106" s="235"/>
    </row>
    <row r="107" spans="1:4" s="236" customFormat="1">
      <c r="A107" s="235"/>
      <c r="B107" s="235"/>
      <c r="C107" s="235"/>
      <c r="D107" s="235"/>
    </row>
  </sheetData>
  <mergeCells count="4">
    <mergeCell ref="B2:C2"/>
    <mergeCell ref="B3:C3"/>
    <mergeCell ref="D3:E3"/>
    <mergeCell ref="B4:B6"/>
  </mergeCells>
  <pageMargins left="0.2" right="0.2" top="0.25" bottom="0.2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99"/>
  <sheetViews>
    <sheetView zoomScale="90" zoomScaleNormal="90" zoomScaleSheetLayoutView="100" workbookViewId="0">
      <selection activeCell="O37" sqref="O37"/>
    </sheetView>
  </sheetViews>
  <sheetFormatPr defaultColWidth="9.28515625" defaultRowHeight="12.75"/>
  <cols>
    <col min="1" max="1" width="9.28515625" style="235"/>
    <col min="2" max="2" width="33.42578125" style="235" customWidth="1"/>
    <col min="3" max="3" width="8" style="235" customWidth="1"/>
    <col min="4" max="4" width="11.7109375" style="235" customWidth="1"/>
    <col min="5" max="5" width="6" style="235" customWidth="1"/>
    <col min="6" max="6" width="11.140625" style="235" customWidth="1"/>
    <col min="7" max="7" width="2.5703125" style="235" customWidth="1"/>
    <col min="8" max="8" width="4.42578125" style="235" customWidth="1"/>
    <col min="9" max="9" width="3.5703125" style="235" customWidth="1"/>
    <col min="10" max="10" width="42.28515625" style="235" bestFit="1" customWidth="1"/>
    <col min="11" max="11" width="9" style="235" customWidth="1"/>
    <col min="12" max="12" width="7.140625" style="235" customWidth="1"/>
    <col min="13" max="13" width="11.28515625" style="235" customWidth="1"/>
    <col min="14" max="14" width="9.5703125" style="235" bestFit="1" customWidth="1"/>
    <col min="15" max="15" width="31.7109375" style="235" bestFit="1" customWidth="1"/>
    <col min="16" max="16384" width="9.28515625" style="235"/>
  </cols>
  <sheetData>
    <row r="2" spans="2:18" ht="23.25" customHeight="1" thickBot="1">
      <c r="J2" s="253"/>
    </row>
    <row r="3" spans="2:18" s="234" customFormat="1" ht="35.25" customHeight="1" thickBot="1">
      <c r="B3" s="1267" t="s">
        <v>47</v>
      </c>
      <c r="C3" s="1268"/>
      <c r="D3" s="1268"/>
      <c r="E3" s="1268"/>
      <c r="F3" s="1268"/>
      <c r="G3" s="1268"/>
      <c r="H3" s="1269"/>
      <c r="I3" s="254"/>
      <c r="J3" s="1270" t="s">
        <v>348</v>
      </c>
      <c r="K3" s="1271"/>
      <c r="L3" s="1271"/>
      <c r="M3" s="1272"/>
      <c r="O3" s="255" t="s">
        <v>146</v>
      </c>
      <c r="P3" s="256" t="s">
        <v>147</v>
      </c>
      <c r="Q3" s="257" t="s">
        <v>50</v>
      </c>
      <c r="R3" s="258" t="s">
        <v>51</v>
      </c>
    </row>
    <row r="4" spans="2:18" ht="15.75" customHeight="1" thickBot="1">
      <c r="B4" s="1273" t="s">
        <v>52</v>
      </c>
      <c r="C4" s="1274"/>
      <c r="D4" s="1275" t="s">
        <v>53</v>
      </c>
      <c r="E4" s="1276"/>
      <c r="F4" s="1276"/>
      <c r="G4" s="1276"/>
      <c r="H4" s="1277"/>
      <c r="J4" s="259"/>
      <c r="K4" s="260"/>
      <c r="L4" s="261" t="s">
        <v>148</v>
      </c>
      <c r="M4" s="262">
        <v>1084</v>
      </c>
      <c r="O4" s="263" t="s">
        <v>55</v>
      </c>
      <c r="P4" s="264">
        <v>2080</v>
      </c>
      <c r="Q4" s="265" t="s">
        <v>56</v>
      </c>
      <c r="R4" s="266" t="s">
        <v>57</v>
      </c>
    </row>
    <row r="5" spans="2:18" ht="15.75" customHeight="1">
      <c r="B5" s="267" t="s">
        <v>149</v>
      </c>
      <c r="C5" s="268">
        <f>'M2024 BLS SALARY CHART (53_PCT)'!C22</f>
        <v>81486.911999999997</v>
      </c>
      <c r="D5" s="269" t="s">
        <v>558</v>
      </c>
      <c r="E5" s="270"/>
      <c r="F5" s="270"/>
      <c r="G5" s="270"/>
      <c r="H5" s="271"/>
      <c r="I5" s="272"/>
      <c r="J5" s="273" t="s">
        <v>150</v>
      </c>
      <c r="K5" s="274" t="s">
        <v>59</v>
      </c>
      <c r="L5" s="274" t="s">
        <v>151</v>
      </c>
      <c r="M5" s="275" t="s">
        <v>61</v>
      </c>
      <c r="O5" s="276" t="s">
        <v>62</v>
      </c>
      <c r="P5" s="1128">
        <v>88</v>
      </c>
      <c r="Q5" s="1129">
        <v>11</v>
      </c>
      <c r="R5" s="277" t="s">
        <v>63</v>
      </c>
    </row>
    <row r="6" spans="2:18" s="279" customFormat="1" ht="15.75" customHeight="1">
      <c r="B6" s="267" t="s">
        <v>152</v>
      </c>
      <c r="C6" s="278">
        <f>'M2024 BLS SALARY CHART (53_PCT)'!C8</f>
        <v>56388.633600000001</v>
      </c>
      <c r="D6" s="269" t="s">
        <v>558</v>
      </c>
      <c r="E6" s="270"/>
      <c r="F6" s="270"/>
      <c r="G6" s="270"/>
      <c r="H6" s="271"/>
      <c r="I6" s="272"/>
      <c r="J6" s="280" t="str">
        <f>B5</f>
        <v>Director</v>
      </c>
      <c r="K6" s="281">
        <f>C5</f>
        <v>81486.911999999997</v>
      </c>
      <c r="L6" s="282">
        <v>0.2</v>
      </c>
      <c r="M6" s="283">
        <f>K6*L6</f>
        <v>16297.3824</v>
      </c>
      <c r="O6" s="284" t="s">
        <v>65</v>
      </c>
      <c r="P6" s="285">
        <v>80</v>
      </c>
      <c r="Q6" s="286">
        <v>10</v>
      </c>
      <c r="R6" s="287" t="s">
        <v>63</v>
      </c>
    </row>
    <row r="7" spans="2:18" ht="15.75" customHeight="1">
      <c r="B7" s="267" t="s">
        <v>153</v>
      </c>
      <c r="C7" s="278">
        <f>'M2024 BLS SALARY CHART (53_PCT)'!C14</f>
        <v>75175.152000000002</v>
      </c>
      <c r="D7" s="269" t="s">
        <v>558</v>
      </c>
      <c r="E7" s="270"/>
      <c r="F7" s="270"/>
      <c r="G7" s="270"/>
      <c r="H7" s="271"/>
      <c r="I7" s="288"/>
      <c r="J7" s="280" t="str">
        <f>B6</f>
        <v>Direct Client Interaction</v>
      </c>
      <c r="K7" s="281">
        <f>C6</f>
        <v>56388.633600000001</v>
      </c>
      <c r="L7" s="282">
        <v>0.15</v>
      </c>
      <c r="M7" s="289">
        <f>K7*L7</f>
        <v>8458.2950399999991</v>
      </c>
      <c r="O7" s="290" t="s">
        <v>67</v>
      </c>
      <c r="P7" s="291">
        <v>40</v>
      </c>
      <c r="Q7" s="286">
        <v>5</v>
      </c>
      <c r="R7" s="292" t="s">
        <v>63</v>
      </c>
    </row>
    <row r="8" spans="2:18" ht="15.75" customHeight="1">
      <c r="B8" s="267" t="s">
        <v>154</v>
      </c>
      <c r="C8" s="278">
        <f>'M2024 BLS SALARY CHART (53_PCT)'!C8</f>
        <v>56388.633600000001</v>
      </c>
      <c r="D8" s="269" t="s">
        <v>558</v>
      </c>
      <c r="E8" s="270"/>
      <c r="F8" s="270"/>
      <c r="G8" s="270"/>
      <c r="H8" s="271"/>
      <c r="I8" s="288"/>
      <c r="J8" s="293" t="s">
        <v>155</v>
      </c>
      <c r="K8" s="281"/>
      <c r="L8" s="282"/>
      <c r="M8" s="289"/>
      <c r="O8" s="290" t="s">
        <v>69</v>
      </c>
      <c r="P8" s="291">
        <v>80</v>
      </c>
      <c r="Q8" s="286">
        <v>10</v>
      </c>
      <c r="R8" s="292" t="s">
        <v>63</v>
      </c>
    </row>
    <row r="9" spans="2:18" ht="15.75" customHeight="1">
      <c r="B9" s="294" t="s">
        <v>156</v>
      </c>
      <c r="C9" s="295">
        <f>'M2024 BLS SALARY CHART (53_PCT)'!C6</f>
        <v>46842.432000000008</v>
      </c>
      <c r="D9" s="269" t="s">
        <v>558</v>
      </c>
      <c r="E9" s="296"/>
      <c r="F9" s="296"/>
      <c r="G9" s="296"/>
      <c r="H9" s="297"/>
      <c r="I9" s="288"/>
      <c r="J9" s="298" t="s">
        <v>157</v>
      </c>
      <c r="K9" s="281"/>
      <c r="L9" s="282"/>
      <c r="M9" s="289"/>
      <c r="O9" s="299" t="s">
        <v>71</v>
      </c>
      <c r="P9" s="291">
        <v>459.53984793058396</v>
      </c>
      <c r="Q9" s="300">
        <v>10.211996620679644</v>
      </c>
      <c r="R9" s="292" t="s">
        <v>72</v>
      </c>
    </row>
    <row r="10" spans="2:18" ht="15.75" customHeight="1" thickBot="1">
      <c r="B10" s="1278" t="s">
        <v>73</v>
      </c>
      <c r="C10" s="1279"/>
      <c r="D10" s="301"/>
      <c r="E10" s="302"/>
      <c r="F10" s="302"/>
      <c r="G10" s="302"/>
      <c r="H10" s="303"/>
      <c r="I10" s="288"/>
      <c r="J10" s="304" t="s">
        <v>158</v>
      </c>
      <c r="K10" s="281"/>
      <c r="L10" s="282"/>
      <c r="M10" s="289"/>
      <c r="O10" s="305" t="s">
        <v>74</v>
      </c>
      <c r="P10" s="306">
        <v>652.16901723222827</v>
      </c>
      <c r="Q10" s="307">
        <v>14.492644827382851</v>
      </c>
      <c r="R10" s="308" t="s">
        <v>72</v>
      </c>
    </row>
    <row r="11" spans="2:18" ht="15.75" customHeight="1" thickBot="1">
      <c r="B11" s="267" t="s">
        <v>149</v>
      </c>
      <c r="C11" s="309">
        <v>0.18087407407407408</v>
      </c>
      <c r="D11" s="269" t="s">
        <v>505</v>
      </c>
      <c r="E11" s="270"/>
      <c r="F11" s="270"/>
      <c r="G11" s="270"/>
      <c r="H11" s="271"/>
      <c r="I11" s="288"/>
      <c r="J11" s="280" t="str">
        <f t="shared" ref="J11:J13" si="0">B7</f>
        <v>Assistive Technology Specialist</v>
      </c>
      <c r="K11" s="281">
        <f>C7</f>
        <v>75175.152000000002</v>
      </c>
      <c r="L11" s="282">
        <v>0.65</v>
      </c>
      <c r="M11" s="289">
        <f>K11*L11</f>
        <v>48863.8488</v>
      </c>
      <c r="O11" s="310" t="s">
        <v>76</v>
      </c>
      <c r="P11" s="264">
        <v>1391.7088651628123</v>
      </c>
    </row>
    <row r="12" spans="2:18" ht="15.75" customHeight="1">
      <c r="B12" s="267" t="s">
        <v>159</v>
      </c>
      <c r="C12" s="309">
        <v>0.12888888888888889</v>
      </c>
      <c r="D12" s="269" t="s">
        <v>505</v>
      </c>
      <c r="E12" s="270"/>
      <c r="F12" s="270"/>
      <c r="G12" s="270"/>
      <c r="H12" s="271"/>
      <c r="I12" s="288"/>
      <c r="J12" s="280" t="str">
        <f t="shared" si="0"/>
        <v>Equipment Tech/Specialist/Designer</v>
      </c>
      <c r="K12" s="281">
        <f>C8</f>
        <v>56388.633600000001</v>
      </c>
      <c r="L12" s="282">
        <v>0.8</v>
      </c>
      <c r="M12" s="289">
        <f>K12*L12</f>
        <v>45110.906880000002</v>
      </c>
      <c r="O12" s="311" t="s">
        <v>160</v>
      </c>
      <c r="P12" s="312">
        <v>688.29113483718766</v>
      </c>
    </row>
    <row r="13" spans="2:18" ht="15.75" customHeight="1" thickBot="1">
      <c r="B13" s="267" t="s">
        <v>153</v>
      </c>
      <c r="C13" s="309">
        <v>0.628</v>
      </c>
      <c r="D13" s="269" t="s">
        <v>505</v>
      </c>
      <c r="E13" s="270"/>
      <c r="F13" s="270"/>
      <c r="G13" s="270"/>
      <c r="H13" s="271"/>
      <c r="I13" s="288"/>
      <c r="J13" s="280" t="str">
        <f t="shared" si="0"/>
        <v>Support</v>
      </c>
      <c r="K13" s="313">
        <f>C9</f>
        <v>46842.432000000008</v>
      </c>
      <c r="L13" s="282">
        <v>0.24299999999999999</v>
      </c>
      <c r="M13" s="283">
        <f>K13*L13</f>
        <v>11382.710976000002</v>
      </c>
      <c r="O13" s="314" t="s">
        <v>161</v>
      </c>
      <c r="P13" s="315">
        <v>1.5748888888888888</v>
      </c>
    </row>
    <row r="14" spans="2:18" ht="15.75" customHeight="1" thickBot="1">
      <c r="B14" s="267" t="s">
        <v>162</v>
      </c>
      <c r="C14" s="309">
        <v>0.81799999999999995</v>
      </c>
      <c r="D14" s="269" t="s">
        <v>505</v>
      </c>
      <c r="E14" s="270"/>
      <c r="F14" s="270"/>
      <c r="G14" s="270"/>
      <c r="H14" s="271"/>
      <c r="I14" s="288"/>
      <c r="J14" s="316" t="s">
        <v>163</v>
      </c>
      <c r="K14" s="317"/>
      <c r="L14" s="318">
        <f>SUM(L6:L13)</f>
        <v>2.0430000000000001</v>
      </c>
      <c r="M14" s="319">
        <f>SUM(M6:M13)</f>
        <v>130113.144096</v>
      </c>
      <c r="O14" s="310" t="s">
        <v>164</v>
      </c>
      <c r="P14" s="264">
        <v>1083.9820605758107</v>
      </c>
    </row>
    <row r="15" spans="2:18" ht="15.75" customHeight="1">
      <c r="B15" s="294" t="s">
        <v>156</v>
      </c>
      <c r="C15" s="320">
        <v>0.23200000000000004</v>
      </c>
      <c r="D15" s="269" t="s">
        <v>505</v>
      </c>
      <c r="E15" s="296"/>
      <c r="F15" s="296"/>
      <c r="G15" s="296"/>
      <c r="H15" s="297"/>
      <c r="I15" s="288"/>
      <c r="J15" s="293"/>
      <c r="K15" s="321"/>
      <c r="L15" s="322"/>
      <c r="M15" s="289"/>
    </row>
    <row r="16" spans="2:18" ht="15.75" customHeight="1" thickBot="1">
      <c r="B16" s="1265" t="s">
        <v>82</v>
      </c>
      <c r="C16" s="1266"/>
      <c r="D16" s="323"/>
      <c r="E16" s="323"/>
      <c r="F16" s="323"/>
      <c r="G16" s="323"/>
      <c r="H16" s="324"/>
      <c r="I16" s="288"/>
      <c r="J16" s="325" t="s">
        <v>79</v>
      </c>
      <c r="K16" s="326">
        <f>C17</f>
        <v>0.24970000000000001</v>
      </c>
      <c r="L16" s="327"/>
      <c r="M16" s="328">
        <f>M14*K16</f>
        <v>32489.252080771203</v>
      </c>
    </row>
    <row r="17" spans="2:15" ht="15.75" customHeight="1" thickTop="1" thickBot="1">
      <c r="B17" s="329" t="s">
        <v>83</v>
      </c>
      <c r="C17" s="330">
        <f>'M2024 BLS SALARY CHART (53_PCT)'!C40</f>
        <v>0.24970000000000001</v>
      </c>
      <c r="D17" s="394" t="s">
        <v>346</v>
      </c>
      <c r="E17" s="331"/>
      <c r="F17" s="331"/>
      <c r="G17" s="331"/>
      <c r="H17" s="332"/>
      <c r="I17" s="288"/>
      <c r="J17" s="333" t="s">
        <v>165</v>
      </c>
      <c r="K17" s="334"/>
      <c r="L17" s="334"/>
      <c r="M17" s="335">
        <f>SUM(M14:M16)</f>
        <v>162602.3961767712</v>
      </c>
    </row>
    <row r="18" spans="2:15" ht="15.75" customHeight="1" thickTop="1">
      <c r="B18" s="329" t="s">
        <v>86</v>
      </c>
      <c r="C18" s="278">
        <f>3207.98*(1+C24)</f>
        <v>3294.9162579999997</v>
      </c>
      <c r="D18" s="269" t="s">
        <v>571</v>
      </c>
      <c r="E18" s="270"/>
      <c r="F18" s="270"/>
      <c r="G18" s="270"/>
      <c r="H18" s="271"/>
      <c r="I18" s="288"/>
      <c r="J18" s="293" t="s">
        <v>86</v>
      </c>
      <c r="K18" s="336"/>
      <c r="L18" s="336">
        <f>C18</f>
        <v>3294.9162579999997</v>
      </c>
      <c r="M18" s="289">
        <f>L18</f>
        <v>3294.9162579999997</v>
      </c>
    </row>
    <row r="19" spans="2:15" ht="15.75" customHeight="1">
      <c r="B19" s="337" t="s">
        <v>507</v>
      </c>
      <c r="C19" s="278">
        <f>10448.55*(1+C24)</f>
        <v>10731.705704999998</v>
      </c>
      <c r="D19" s="269" t="s">
        <v>571</v>
      </c>
      <c r="E19" s="270"/>
      <c r="F19" s="270"/>
      <c r="G19" s="270"/>
      <c r="H19" s="271"/>
      <c r="I19" s="272"/>
      <c r="J19" s="293" t="s">
        <v>507</v>
      </c>
      <c r="K19" s="336"/>
      <c r="L19" s="336">
        <f>C19</f>
        <v>10731.705704999998</v>
      </c>
      <c r="M19" s="289">
        <f>L19</f>
        <v>10731.705704999998</v>
      </c>
    </row>
    <row r="20" spans="2:15" ht="15.75" customHeight="1">
      <c r="B20" s="338" t="s">
        <v>97</v>
      </c>
      <c r="C20" s="339">
        <f>'M2024 BLS SALARY CHART (53_PCT)'!C43</f>
        <v>0.12</v>
      </c>
      <c r="D20" s="115" t="s">
        <v>98</v>
      </c>
      <c r="E20" s="340"/>
      <c r="F20" s="340"/>
      <c r="G20" s="340"/>
      <c r="H20" s="341"/>
      <c r="I20" s="288"/>
      <c r="J20" s="293"/>
      <c r="K20" s="336"/>
      <c r="L20" s="336"/>
      <c r="M20" s="289"/>
    </row>
    <row r="21" spans="2:15" ht="15.75" customHeight="1">
      <c r="B21" s="337"/>
      <c r="C21" s="330"/>
      <c r="D21" s="343"/>
      <c r="E21" s="323"/>
      <c r="F21" s="323"/>
      <c r="G21" s="323"/>
      <c r="H21" s="324"/>
      <c r="I21" s="288"/>
      <c r="J21" s="316" t="s">
        <v>168</v>
      </c>
      <c r="K21" s="317"/>
      <c r="L21" s="317"/>
      <c r="M21" s="319">
        <f>SUM(M17:M20)</f>
        <v>176629.01813977121</v>
      </c>
      <c r="O21" s="342"/>
    </row>
    <row r="22" spans="2:15" ht="15.75" customHeight="1" thickBot="1">
      <c r="B22" s="337" t="s">
        <v>133</v>
      </c>
      <c r="C22" s="330">
        <f>'CAF Spring 2025'!CT26</f>
        <v>2.5282070971092779E-2</v>
      </c>
      <c r="D22" s="130"/>
      <c r="E22" s="331"/>
      <c r="F22" s="331"/>
      <c r="G22" s="331"/>
      <c r="H22" s="344"/>
      <c r="I22" s="272"/>
      <c r="J22" s="293" t="s">
        <v>97</v>
      </c>
      <c r="K22" s="272">
        <f>C20</f>
        <v>0.12</v>
      </c>
      <c r="L22" s="336"/>
      <c r="M22" s="289">
        <f>M21*K22</f>
        <v>21195.482176772544</v>
      </c>
    </row>
    <row r="23" spans="2:15" ht="15.75" customHeight="1" thickBot="1">
      <c r="B23" s="345"/>
      <c r="C23" s="346"/>
      <c r="D23" s="130"/>
      <c r="E23" s="347"/>
      <c r="F23" s="347"/>
      <c r="G23" s="347"/>
      <c r="H23" s="348"/>
      <c r="I23" s="272"/>
      <c r="J23" s="333" t="s">
        <v>102</v>
      </c>
      <c r="K23" s="334"/>
      <c r="L23" s="334"/>
      <c r="M23" s="335">
        <f>SUM(M21:M22)</f>
        <v>197824.50031654377</v>
      </c>
    </row>
    <row r="24" spans="2:15" ht="15.75" customHeight="1">
      <c r="B24" s="349"/>
      <c r="C24" s="350">
        <v>2.7099999999999999E-2</v>
      </c>
      <c r="D24" s="331"/>
      <c r="E24" s="331"/>
      <c r="F24" s="331"/>
      <c r="G24" s="331"/>
      <c r="H24" s="331"/>
      <c r="I24" s="288"/>
      <c r="J24" s="293"/>
      <c r="M24" s="289"/>
    </row>
    <row r="25" spans="2:15" ht="15.75" customHeight="1">
      <c r="B25" s="349"/>
      <c r="C25" s="353"/>
      <c r="G25" s="331"/>
      <c r="I25" s="272"/>
      <c r="J25" s="351" t="s">
        <v>106</v>
      </c>
      <c r="K25" s="321">
        <f>C22</f>
        <v>2.5282070971092779E-2</v>
      </c>
      <c r="L25" s="234"/>
      <c r="M25" s="352">
        <f>(1+K25)*M23</f>
        <v>202825.9133733676</v>
      </c>
    </row>
    <row r="26" spans="2:15" ht="15.75" customHeight="1" thickBot="1">
      <c r="I26" s="288"/>
      <c r="J26" s="354" t="s">
        <v>169</v>
      </c>
      <c r="K26" s="355"/>
      <c r="L26" s="356"/>
      <c r="M26" s="357">
        <f>M25/M4+0.02</f>
        <v>187.12877617469337</v>
      </c>
      <c r="O26" s="358"/>
    </row>
    <row r="27" spans="2:15" ht="15.75" customHeight="1">
      <c r="I27" s="272"/>
      <c r="M27" s="1202">
        <v>174.5</v>
      </c>
    </row>
    <row r="28" spans="2:15" ht="13.5" customHeight="1">
      <c r="I28" s="288"/>
      <c r="M28" s="1159">
        <f>(M26-M27)/M27</f>
        <v>7.2371210170162584E-2</v>
      </c>
    </row>
    <row r="29" spans="2:15" ht="14.25" customHeight="1">
      <c r="H29" s="359"/>
      <c r="I29" s="288"/>
      <c r="O29" s="358"/>
    </row>
    <row r="30" spans="2:15" ht="15.75" customHeight="1">
      <c r="G30" s="359"/>
      <c r="H30" s="361"/>
      <c r="I30" s="288"/>
      <c r="N30" s="360"/>
      <c r="O30" s="232"/>
    </row>
    <row r="31" spans="2:15" ht="15.75" hidden="1" customHeight="1">
      <c r="B31" s="362" t="s">
        <v>170</v>
      </c>
      <c r="C31" s="363"/>
      <c r="D31" s="364"/>
      <c r="E31" s="364"/>
      <c r="F31" s="365"/>
      <c r="G31" s="361"/>
      <c r="H31" s="236"/>
      <c r="I31" s="272"/>
    </row>
    <row r="32" spans="2:15" ht="18.75" hidden="1" customHeight="1">
      <c r="B32" s="366" t="s">
        <v>171</v>
      </c>
      <c r="F32" s="367"/>
      <c r="G32" s="236"/>
      <c r="H32" s="368"/>
      <c r="I32" s="272"/>
    </row>
    <row r="33" spans="2:9" ht="18.75" hidden="1" customHeight="1">
      <c r="B33" s="366" t="s">
        <v>172</v>
      </c>
      <c r="F33" s="367"/>
      <c r="G33" s="368"/>
      <c r="H33" s="236"/>
      <c r="I33" s="272"/>
    </row>
    <row r="34" spans="2:9" ht="19.5" hidden="1" customHeight="1">
      <c r="B34" s="369" t="s">
        <v>173</v>
      </c>
      <c r="C34" s="370"/>
      <c r="D34" s="370"/>
      <c r="E34" s="370"/>
      <c r="F34" s="371"/>
      <c r="G34" s="236"/>
      <c r="H34" s="236"/>
      <c r="I34" s="272"/>
    </row>
    <row r="35" spans="2:9" ht="15.75" hidden="1" customHeight="1">
      <c r="G35" s="236"/>
      <c r="H35" s="236"/>
    </row>
    <row r="36" spans="2:9" ht="15.75" customHeight="1">
      <c r="G36" s="236"/>
      <c r="H36" s="236"/>
    </row>
    <row r="37" spans="2:9" ht="15.75" customHeight="1">
      <c r="G37" s="236"/>
      <c r="H37" s="236"/>
    </row>
    <row r="38" spans="2:9" ht="15.75" customHeight="1">
      <c r="G38" s="236"/>
      <c r="H38" s="236"/>
    </row>
    <row r="39" spans="2:9" ht="15.75" customHeight="1">
      <c r="G39" s="236"/>
      <c r="H39" s="236"/>
    </row>
    <row r="40" spans="2:9" ht="15.75" customHeight="1">
      <c r="G40" s="236"/>
      <c r="H40" s="236"/>
    </row>
    <row r="41" spans="2:9" ht="15.75" customHeight="1">
      <c r="G41" s="236"/>
    </row>
    <row r="42" spans="2:9" ht="15.75" customHeight="1"/>
    <row r="43" spans="2:9" ht="15.75" customHeight="1"/>
    <row r="45" spans="2:9">
      <c r="E45" s="372"/>
      <c r="F45" s="372"/>
    </row>
    <row r="58" spans="7:8">
      <c r="H58" s="372"/>
    </row>
    <row r="59" spans="7:8">
      <c r="G59" s="372"/>
    </row>
    <row r="68" spans="2:4">
      <c r="B68" s="1"/>
      <c r="C68" s="2"/>
      <c r="D68" s="1"/>
    </row>
    <row r="69" spans="2:4">
      <c r="B69" s="1"/>
      <c r="C69" s="2"/>
      <c r="D69" s="1"/>
    </row>
    <row r="70" spans="2:4">
      <c r="B70" s="1"/>
      <c r="C70" s="2"/>
      <c r="D70" s="1"/>
    </row>
    <row r="96" spans="8:9">
      <c r="H96" s="179"/>
      <c r="I96" s="179"/>
    </row>
    <row r="97" spans="5:9">
      <c r="E97" s="3"/>
      <c r="F97" s="3"/>
      <c r="G97" s="1"/>
      <c r="H97" s="179"/>
      <c r="I97" s="1"/>
    </row>
    <row r="98" spans="5:9">
      <c r="E98" s="3"/>
      <c r="F98" s="3"/>
      <c r="G98" s="1"/>
      <c r="H98" s="179"/>
      <c r="I98" s="1"/>
    </row>
    <row r="99" spans="5:9">
      <c r="E99" s="3"/>
      <c r="F99" s="3"/>
      <c r="G99" s="1"/>
    </row>
  </sheetData>
  <mergeCells count="6">
    <mergeCell ref="B16:C16"/>
    <mergeCell ref="B3:H3"/>
    <mergeCell ref="J3:M3"/>
    <mergeCell ref="B4:C4"/>
    <mergeCell ref="D4:H4"/>
    <mergeCell ref="B10:C10"/>
  </mergeCells>
  <phoneticPr fontId="123" type="noConversion"/>
  <pageMargins left="0.25" right="0.25" top="0.75" bottom="0.75" header="0.3" footer="0.3"/>
  <pageSetup scale="7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zoomScale="90" zoomScaleNormal="90" workbookViewId="0">
      <selection activeCell="J20" sqref="J20"/>
    </sheetView>
  </sheetViews>
  <sheetFormatPr defaultRowHeight="15"/>
  <cols>
    <col min="2" max="2" width="19.85546875" customWidth="1"/>
    <col min="3" max="3" width="9" bestFit="1" customWidth="1"/>
    <col min="4" max="4" width="27.85546875" customWidth="1"/>
    <col min="6" max="6" width="22.7109375" customWidth="1"/>
    <col min="7" max="7" width="12" bestFit="1" customWidth="1"/>
    <col min="8" max="8" width="13.28515625" bestFit="1" customWidth="1"/>
    <col min="9" max="9" width="11.28515625" bestFit="1" customWidth="1"/>
    <col min="10" max="10" width="6.42578125" bestFit="1" customWidth="1"/>
    <col min="11" max="11" width="11.5703125" customWidth="1"/>
    <col min="12" max="12" width="15.5703125" customWidth="1"/>
    <col min="260" max="260" width="28.28515625" bestFit="1" customWidth="1"/>
    <col min="262" max="262" width="11.28515625" bestFit="1" customWidth="1"/>
    <col min="263" max="263" width="13.28515625" bestFit="1" customWidth="1"/>
    <col min="266" max="266" width="19.42578125" bestFit="1" customWidth="1"/>
    <col min="267" max="267" width="12" bestFit="1" customWidth="1"/>
    <col min="268" max="268" width="49.42578125" bestFit="1" customWidth="1"/>
    <col min="516" max="516" width="28.28515625" bestFit="1" customWidth="1"/>
    <col min="518" max="518" width="11.28515625" bestFit="1" customWidth="1"/>
    <col min="519" max="519" width="13.28515625" bestFit="1" customWidth="1"/>
    <col min="522" max="522" width="19.42578125" bestFit="1" customWidth="1"/>
    <col min="523" max="523" width="12" bestFit="1" customWidth="1"/>
    <col min="524" max="524" width="49.42578125" bestFit="1" customWidth="1"/>
    <col min="772" max="772" width="28.28515625" bestFit="1" customWidth="1"/>
    <col min="774" max="774" width="11.28515625" bestFit="1" customWidth="1"/>
    <col min="775" max="775" width="13.28515625" bestFit="1" customWidth="1"/>
    <col min="778" max="778" width="19.42578125" bestFit="1" customWidth="1"/>
    <col min="779" max="779" width="12" bestFit="1" customWidth="1"/>
    <col min="780" max="780" width="49.42578125" bestFit="1" customWidth="1"/>
    <col min="1028" max="1028" width="28.28515625" bestFit="1" customWidth="1"/>
    <col min="1030" max="1030" width="11.28515625" bestFit="1" customWidth="1"/>
    <col min="1031" max="1031" width="13.28515625" bestFit="1" customWidth="1"/>
    <col min="1034" max="1034" width="19.42578125" bestFit="1" customWidth="1"/>
    <col min="1035" max="1035" width="12" bestFit="1" customWidth="1"/>
    <col min="1036" max="1036" width="49.42578125" bestFit="1" customWidth="1"/>
    <col min="1284" max="1284" width="28.28515625" bestFit="1" customWidth="1"/>
    <col min="1286" max="1286" width="11.28515625" bestFit="1" customWidth="1"/>
    <col min="1287" max="1287" width="13.28515625" bestFit="1" customWidth="1"/>
    <col min="1290" max="1290" width="19.42578125" bestFit="1" customWidth="1"/>
    <col min="1291" max="1291" width="12" bestFit="1" customWidth="1"/>
    <col min="1292" max="1292" width="49.42578125" bestFit="1" customWidth="1"/>
    <col min="1540" max="1540" width="28.28515625" bestFit="1" customWidth="1"/>
    <col min="1542" max="1542" width="11.28515625" bestFit="1" customWidth="1"/>
    <col min="1543" max="1543" width="13.28515625" bestFit="1" customWidth="1"/>
    <col min="1546" max="1546" width="19.42578125" bestFit="1" customWidth="1"/>
    <col min="1547" max="1547" width="12" bestFit="1" customWidth="1"/>
    <col min="1548" max="1548" width="49.42578125" bestFit="1" customWidth="1"/>
    <col min="1796" max="1796" width="28.28515625" bestFit="1" customWidth="1"/>
    <col min="1798" max="1798" width="11.28515625" bestFit="1" customWidth="1"/>
    <col min="1799" max="1799" width="13.28515625" bestFit="1" customWidth="1"/>
    <col min="1802" max="1802" width="19.42578125" bestFit="1" customWidth="1"/>
    <col min="1803" max="1803" width="12" bestFit="1" customWidth="1"/>
    <col min="1804" max="1804" width="49.42578125" bestFit="1" customWidth="1"/>
    <col min="2052" max="2052" width="28.28515625" bestFit="1" customWidth="1"/>
    <col min="2054" max="2054" width="11.28515625" bestFit="1" customWidth="1"/>
    <col min="2055" max="2055" width="13.28515625" bestFit="1" customWidth="1"/>
    <col min="2058" max="2058" width="19.42578125" bestFit="1" customWidth="1"/>
    <col min="2059" max="2059" width="12" bestFit="1" customWidth="1"/>
    <col min="2060" max="2060" width="49.42578125" bestFit="1" customWidth="1"/>
    <col min="2308" max="2308" width="28.28515625" bestFit="1" customWidth="1"/>
    <col min="2310" max="2310" width="11.28515625" bestFit="1" customWidth="1"/>
    <col min="2311" max="2311" width="13.28515625" bestFit="1" customWidth="1"/>
    <col min="2314" max="2314" width="19.42578125" bestFit="1" customWidth="1"/>
    <col min="2315" max="2315" width="12" bestFit="1" customWidth="1"/>
    <col min="2316" max="2316" width="49.42578125" bestFit="1" customWidth="1"/>
    <col min="2564" max="2564" width="28.28515625" bestFit="1" customWidth="1"/>
    <col min="2566" max="2566" width="11.28515625" bestFit="1" customWidth="1"/>
    <col min="2567" max="2567" width="13.28515625" bestFit="1" customWidth="1"/>
    <col min="2570" max="2570" width="19.42578125" bestFit="1" customWidth="1"/>
    <col min="2571" max="2571" width="12" bestFit="1" customWidth="1"/>
    <col min="2572" max="2572" width="49.42578125" bestFit="1" customWidth="1"/>
    <col min="2820" max="2820" width="28.28515625" bestFit="1" customWidth="1"/>
    <col min="2822" max="2822" width="11.28515625" bestFit="1" customWidth="1"/>
    <col min="2823" max="2823" width="13.28515625" bestFit="1" customWidth="1"/>
    <col min="2826" max="2826" width="19.42578125" bestFit="1" customWidth="1"/>
    <col min="2827" max="2827" width="12" bestFit="1" customWidth="1"/>
    <col min="2828" max="2828" width="49.42578125" bestFit="1" customWidth="1"/>
    <col min="3076" max="3076" width="28.28515625" bestFit="1" customWidth="1"/>
    <col min="3078" max="3078" width="11.28515625" bestFit="1" customWidth="1"/>
    <col min="3079" max="3079" width="13.28515625" bestFit="1" customWidth="1"/>
    <col min="3082" max="3082" width="19.42578125" bestFit="1" customWidth="1"/>
    <col min="3083" max="3083" width="12" bestFit="1" customWidth="1"/>
    <col min="3084" max="3084" width="49.42578125" bestFit="1" customWidth="1"/>
    <col min="3332" max="3332" width="28.28515625" bestFit="1" customWidth="1"/>
    <col min="3334" max="3334" width="11.28515625" bestFit="1" customWidth="1"/>
    <col min="3335" max="3335" width="13.28515625" bestFit="1" customWidth="1"/>
    <col min="3338" max="3338" width="19.42578125" bestFit="1" customWidth="1"/>
    <col min="3339" max="3339" width="12" bestFit="1" customWidth="1"/>
    <col min="3340" max="3340" width="49.42578125" bestFit="1" customWidth="1"/>
    <col min="3588" max="3588" width="28.28515625" bestFit="1" customWidth="1"/>
    <col min="3590" max="3590" width="11.28515625" bestFit="1" customWidth="1"/>
    <col min="3591" max="3591" width="13.28515625" bestFit="1" customWidth="1"/>
    <col min="3594" max="3594" width="19.42578125" bestFit="1" customWidth="1"/>
    <col min="3595" max="3595" width="12" bestFit="1" customWidth="1"/>
    <col min="3596" max="3596" width="49.42578125" bestFit="1" customWidth="1"/>
    <col min="3844" max="3844" width="28.28515625" bestFit="1" customWidth="1"/>
    <col min="3846" max="3846" width="11.28515625" bestFit="1" customWidth="1"/>
    <col min="3847" max="3847" width="13.28515625" bestFit="1" customWidth="1"/>
    <col min="3850" max="3850" width="19.42578125" bestFit="1" customWidth="1"/>
    <col min="3851" max="3851" width="12" bestFit="1" customWidth="1"/>
    <col min="3852" max="3852" width="49.42578125" bestFit="1" customWidth="1"/>
    <col min="4100" max="4100" width="28.28515625" bestFit="1" customWidth="1"/>
    <col min="4102" max="4102" width="11.28515625" bestFit="1" customWidth="1"/>
    <col min="4103" max="4103" width="13.28515625" bestFit="1" customWidth="1"/>
    <col min="4106" max="4106" width="19.42578125" bestFit="1" customWidth="1"/>
    <col min="4107" max="4107" width="12" bestFit="1" customWidth="1"/>
    <col min="4108" max="4108" width="49.42578125" bestFit="1" customWidth="1"/>
    <col min="4356" max="4356" width="28.28515625" bestFit="1" customWidth="1"/>
    <col min="4358" max="4358" width="11.28515625" bestFit="1" customWidth="1"/>
    <col min="4359" max="4359" width="13.28515625" bestFit="1" customWidth="1"/>
    <col min="4362" max="4362" width="19.42578125" bestFit="1" customWidth="1"/>
    <col min="4363" max="4363" width="12" bestFit="1" customWidth="1"/>
    <col min="4364" max="4364" width="49.42578125" bestFit="1" customWidth="1"/>
    <col min="4612" max="4612" width="28.28515625" bestFit="1" customWidth="1"/>
    <col min="4614" max="4614" width="11.28515625" bestFit="1" customWidth="1"/>
    <col min="4615" max="4615" width="13.28515625" bestFit="1" customWidth="1"/>
    <col min="4618" max="4618" width="19.42578125" bestFit="1" customWidth="1"/>
    <col min="4619" max="4619" width="12" bestFit="1" customWidth="1"/>
    <col min="4620" max="4620" width="49.42578125" bestFit="1" customWidth="1"/>
    <col min="4868" max="4868" width="28.28515625" bestFit="1" customWidth="1"/>
    <col min="4870" max="4870" width="11.28515625" bestFit="1" customWidth="1"/>
    <col min="4871" max="4871" width="13.28515625" bestFit="1" customWidth="1"/>
    <col min="4874" max="4874" width="19.42578125" bestFit="1" customWidth="1"/>
    <col min="4875" max="4875" width="12" bestFit="1" customWidth="1"/>
    <col min="4876" max="4876" width="49.42578125" bestFit="1" customWidth="1"/>
    <col min="5124" max="5124" width="28.28515625" bestFit="1" customWidth="1"/>
    <col min="5126" max="5126" width="11.28515625" bestFit="1" customWidth="1"/>
    <col min="5127" max="5127" width="13.28515625" bestFit="1" customWidth="1"/>
    <col min="5130" max="5130" width="19.42578125" bestFit="1" customWidth="1"/>
    <col min="5131" max="5131" width="12" bestFit="1" customWidth="1"/>
    <col min="5132" max="5132" width="49.42578125" bestFit="1" customWidth="1"/>
    <col min="5380" max="5380" width="28.28515625" bestFit="1" customWidth="1"/>
    <col min="5382" max="5382" width="11.28515625" bestFit="1" customWidth="1"/>
    <col min="5383" max="5383" width="13.28515625" bestFit="1" customWidth="1"/>
    <col min="5386" max="5386" width="19.42578125" bestFit="1" customWidth="1"/>
    <col min="5387" max="5387" width="12" bestFit="1" customWidth="1"/>
    <col min="5388" max="5388" width="49.42578125" bestFit="1" customWidth="1"/>
    <col min="5636" max="5636" width="28.28515625" bestFit="1" customWidth="1"/>
    <col min="5638" max="5638" width="11.28515625" bestFit="1" customWidth="1"/>
    <col min="5639" max="5639" width="13.28515625" bestFit="1" customWidth="1"/>
    <col min="5642" max="5642" width="19.42578125" bestFit="1" customWidth="1"/>
    <col min="5643" max="5643" width="12" bestFit="1" customWidth="1"/>
    <col min="5644" max="5644" width="49.42578125" bestFit="1" customWidth="1"/>
    <col min="5892" max="5892" width="28.28515625" bestFit="1" customWidth="1"/>
    <col min="5894" max="5894" width="11.28515625" bestFit="1" customWidth="1"/>
    <col min="5895" max="5895" width="13.28515625" bestFit="1" customWidth="1"/>
    <col min="5898" max="5898" width="19.42578125" bestFit="1" customWidth="1"/>
    <col min="5899" max="5899" width="12" bestFit="1" customWidth="1"/>
    <col min="5900" max="5900" width="49.42578125" bestFit="1" customWidth="1"/>
    <col min="6148" max="6148" width="28.28515625" bestFit="1" customWidth="1"/>
    <col min="6150" max="6150" width="11.28515625" bestFit="1" customWidth="1"/>
    <col min="6151" max="6151" width="13.28515625" bestFit="1" customWidth="1"/>
    <col min="6154" max="6154" width="19.42578125" bestFit="1" customWidth="1"/>
    <col min="6155" max="6155" width="12" bestFit="1" customWidth="1"/>
    <col min="6156" max="6156" width="49.42578125" bestFit="1" customWidth="1"/>
    <col min="6404" max="6404" width="28.28515625" bestFit="1" customWidth="1"/>
    <col min="6406" max="6406" width="11.28515625" bestFit="1" customWidth="1"/>
    <col min="6407" max="6407" width="13.28515625" bestFit="1" customWidth="1"/>
    <col min="6410" max="6410" width="19.42578125" bestFit="1" customWidth="1"/>
    <col min="6411" max="6411" width="12" bestFit="1" customWidth="1"/>
    <col min="6412" max="6412" width="49.42578125" bestFit="1" customWidth="1"/>
    <col min="6660" max="6660" width="28.28515625" bestFit="1" customWidth="1"/>
    <col min="6662" max="6662" width="11.28515625" bestFit="1" customWidth="1"/>
    <col min="6663" max="6663" width="13.28515625" bestFit="1" customWidth="1"/>
    <col min="6666" max="6666" width="19.42578125" bestFit="1" customWidth="1"/>
    <col min="6667" max="6667" width="12" bestFit="1" customWidth="1"/>
    <col min="6668" max="6668" width="49.42578125" bestFit="1" customWidth="1"/>
    <col min="6916" max="6916" width="28.28515625" bestFit="1" customWidth="1"/>
    <col min="6918" max="6918" width="11.28515625" bestFit="1" customWidth="1"/>
    <col min="6919" max="6919" width="13.28515625" bestFit="1" customWidth="1"/>
    <col min="6922" max="6922" width="19.42578125" bestFit="1" customWidth="1"/>
    <col min="6923" max="6923" width="12" bestFit="1" customWidth="1"/>
    <col min="6924" max="6924" width="49.42578125" bestFit="1" customWidth="1"/>
    <col min="7172" max="7172" width="28.28515625" bestFit="1" customWidth="1"/>
    <col min="7174" max="7174" width="11.28515625" bestFit="1" customWidth="1"/>
    <col min="7175" max="7175" width="13.28515625" bestFit="1" customWidth="1"/>
    <col min="7178" max="7178" width="19.42578125" bestFit="1" customWidth="1"/>
    <col min="7179" max="7179" width="12" bestFit="1" customWidth="1"/>
    <col min="7180" max="7180" width="49.42578125" bestFit="1" customWidth="1"/>
    <col min="7428" max="7428" width="28.28515625" bestFit="1" customWidth="1"/>
    <col min="7430" max="7430" width="11.28515625" bestFit="1" customWidth="1"/>
    <col min="7431" max="7431" width="13.28515625" bestFit="1" customWidth="1"/>
    <col min="7434" max="7434" width="19.42578125" bestFit="1" customWidth="1"/>
    <col min="7435" max="7435" width="12" bestFit="1" customWidth="1"/>
    <col min="7436" max="7436" width="49.42578125" bestFit="1" customWidth="1"/>
    <col min="7684" max="7684" width="28.28515625" bestFit="1" customWidth="1"/>
    <col min="7686" max="7686" width="11.28515625" bestFit="1" customWidth="1"/>
    <col min="7687" max="7687" width="13.28515625" bestFit="1" customWidth="1"/>
    <col min="7690" max="7690" width="19.42578125" bestFit="1" customWidth="1"/>
    <col min="7691" max="7691" width="12" bestFit="1" customWidth="1"/>
    <col min="7692" max="7692" width="49.42578125" bestFit="1" customWidth="1"/>
    <col min="7940" max="7940" width="28.28515625" bestFit="1" customWidth="1"/>
    <col min="7942" max="7942" width="11.28515625" bestFit="1" customWidth="1"/>
    <col min="7943" max="7943" width="13.28515625" bestFit="1" customWidth="1"/>
    <col min="7946" max="7946" width="19.42578125" bestFit="1" customWidth="1"/>
    <col min="7947" max="7947" width="12" bestFit="1" customWidth="1"/>
    <col min="7948" max="7948" width="49.42578125" bestFit="1" customWidth="1"/>
    <col min="8196" max="8196" width="28.28515625" bestFit="1" customWidth="1"/>
    <col min="8198" max="8198" width="11.28515625" bestFit="1" customWidth="1"/>
    <col min="8199" max="8199" width="13.28515625" bestFit="1" customWidth="1"/>
    <col min="8202" max="8202" width="19.42578125" bestFit="1" customWidth="1"/>
    <col min="8203" max="8203" width="12" bestFit="1" customWidth="1"/>
    <col min="8204" max="8204" width="49.42578125" bestFit="1" customWidth="1"/>
    <col min="8452" max="8452" width="28.28515625" bestFit="1" customWidth="1"/>
    <col min="8454" max="8454" width="11.28515625" bestFit="1" customWidth="1"/>
    <col min="8455" max="8455" width="13.28515625" bestFit="1" customWidth="1"/>
    <col min="8458" max="8458" width="19.42578125" bestFit="1" customWidth="1"/>
    <col min="8459" max="8459" width="12" bestFit="1" customWidth="1"/>
    <col min="8460" max="8460" width="49.42578125" bestFit="1" customWidth="1"/>
    <col min="8708" max="8708" width="28.28515625" bestFit="1" customWidth="1"/>
    <col min="8710" max="8710" width="11.28515625" bestFit="1" customWidth="1"/>
    <col min="8711" max="8711" width="13.28515625" bestFit="1" customWidth="1"/>
    <col min="8714" max="8714" width="19.42578125" bestFit="1" customWidth="1"/>
    <col min="8715" max="8715" width="12" bestFit="1" customWidth="1"/>
    <col min="8716" max="8716" width="49.42578125" bestFit="1" customWidth="1"/>
    <col min="8964" max="8964" width="28.28515625" bestFit="1" customWidth="1"/>
    <col min="8966" max="8966" width="11.28515625" bestFit="1" customWidth="1"/>
    <col min="8967" max="8967" width="13.28515625" bestFit="1" customWidth="1"/>
    <col min="8970" max="8970" width="19.42578125" bestFit="1" customWidth="1"/>
    <col min="8971" max="8971" width="12" bestFit="1" customWidth="1"/>
    <col min="8972" max="8972" width="49.42578125" bestFit="1" customWidth="1"/>
    <col min="9220" max="9220" width="28.28515625" bestFit="1" customWidth="1"/>
    <col min="9222" max="9222" width="11.28515625" bestFit="1" customWidth="1"/>
    <col min="9223" max="9223" width="13.28515625" bestFit="1" customWidth="1"/>
    <col min="9226" max="9226" width="19.42578125" bestFit="1" customWidth="1"/>
    <col min="9227" max="9227" width="12" bestFit="1" customWidth="1"/>
    <col min="9228" max="9228" width="49.42578125" bestFit="1" customWidth="1"/>
    <col min="9476" max="9476" width="28.28515625" bestFit="1" customWidth="1"/>
    <col min="9478" max="9478" width="11.28515625" bestFit="1" customWidth="1"/>
    <col min="9479" max="9479" width="13.28515625" bestFit="1" customWidth="1"/>
    <col min="9482" max="9482" width="19.42578125" bestFit="1" customWidth="1"/>
    <col min="9483" max="9483" width="12" bestFit="1" customWidth="1"/>
    <col min="9484" max="9484" width="49.42578125" bestFit="1" customWidth="1"/>
    <col min="9732" max="9732" width="28.28515625" bestFit="1" customWidth="1"/>
    <col min="9734" max="9734" width="11.28515625" bestFit="1" customWidth="1"/>
    <col min="9735" max="9735" width="13.28515625" bestFit="1" customWidth="1"/>
    <col min="9738" max="9738" width="19.42578125" bestFit="1" customWidth="1"/>
    <col min="9739" max="9739" width="12" bestFit="1" customWidth="1"/>
    <col min="9740" max="9740" width="49.42578125" bestFit="1" customWidth="1"/>
    <col min="9988" max="9988" width="28.28515625" bestFit="1" customWidth="1"/>
    <col min="9990" max="9990" width="11.28515625" bestFit="1" customWidth="1"/>
    <col min="9991" max="9991" width="13.28515625" bestFit="1" customWidth="1"/>
    <col min="9994" max="9994" width="19.42578125" bestFit="1" customWidth="1"/>
    <col min="9995" max="9995" width="12" bestFit="1" customWidth="1"/>
    <col min="9996" max="9996" width="49.42578125" bestFit="1" customWidth="1"/>
    <col min="10244" max="10244" width="28.28515625" bestFit="1" customWidth="1"/>
    <col min="10246" max="10246" width="11.28515625" bestFit="1" customWidth="1"/>
    <col min="10247" max="10247" width="13.28515625" bestFit="1" customWidth="1"/>
    <col min="10250" max="10250" width="19.42578125" bestFit="1" customWidth="1"/>
    <col min="10251" max="10251" width="12" bestFit="1" customWidth="1"/>
    <col min="10252" max="10252" width="49.42578125" bestFit="1" customWidth="1"/>
    <col min="10500" max="10500" width="28.28515625" bestFit="1" customWidth="1"/>
    <col min="10502" max="10502" width="11.28515625" bestFit="1" customWidth="1"/>
    <col min="10503" max="10503" width="13.28515625" bestFit="1" customWidth="1"/>
    <col min="10506" max="10506" width="19.42578125" bestFit="1" customWidth="1"/>
    <col min="10507" max="10507" width="12" bestFit="1" customWidth="1"/>
    <col min="10508" max="10508" width="49.42578125" bestFit="1" customWidth="1"/>
    <col min="10756" max="10756" width="28.28515625" bestFit="1" customWidth="1"/>
    <col min="10758" max="10758" width="11.28515625" bestFit="1" customWidth="1"/>
    <col min="10759" max="10759" width="13.28515625" bestFit="1" customWidth="1"/>
    <col min="10762" max="10762" width="19.42578125" bestFit="1" customWidth="1"/>
    <col min="10763" max="10763" width="12" bestFit="1" customWidth="1"/>
    <col min="10764" max="10764" width="49.42578125" bestFit="1" customWidth="1"/>
    <col min="11012" max="11012" width="28.28515625" bestFit="1" customWidth="1"/>
    <col min="11014" max="11014" width="11.28515625" bestFit="1" customWidth="1"/>
    <col min="11015" max="11015" width="13.28515625" bestFit="1" customWidth="1"/>
    <col min="11018" max="11018" width="19.42578125" bestFit="1" customWidth="1"/>
    <col min="11019" max="11019" width="12" bestFit="1" customWidth="1"/>
    <col min="11020" max="11020" width="49.42578125" bestFit="1" customWidth="1"/>
    <col min="11268" max="11268" width="28.28515625" bestFit="1" customWidth="1"/>
    <col min="11270" max="11270" width="11.28515625" bestFit="1" customWidth="1"/>
    <col min="11271" max="11271" width="13.28515625" bestFit="1" customWidth="1"/>
    <col min="11274" max="11274" width="19.42578125" bestFit="1" customWidth="1"/>
    <col min="11275" max="11275" width="12" bestFit="1" customWidth="1"/>
    <col min="11276" max="11276" width="49.42578125" bestFit="1" customWidth="1"/>
    <col min="11524" max="11524" width="28.28515625" bestFit="1" customWidth="1"/>
    <col min="11526" max="11526" width="11.28515625" bestFit="1" customWidth="1"/>
    <col min="11527" max="11527" width="13.28515625" bestFit="1" customWidth="1"/>
    <col min="11530" max="11530" width="19.42578125" bestFit="1" customWidth="1"/>
    <col min="11531" max="11531" width="12" bestFit="1" customWidth="1"/>
    <col min="11532" max="11532" width="49.42578125" bestFit="1" customWidth="1"/>
    <col min="11780" max="11780" width="28.28515625" bestFit="1" customWidth="1"/>
    <col min="11782" max="11782" width="11.28515625" bestFit="1" customWidth="1"/>
    <col min="11783" max="11783" width="13.28515625" bestFit="1" customWidth="1"/>
    <col min="11786" max="11786" width="19.42578125" bestFit="1" customWidth="1"/>
    <col min="11787" max="11787" width="12" bestFit="1" customWidth="1"/>
    <col min="11788" max="11788" width="49.42578125" bestFit="1" customWidth="1"/>
    <col min="12036" max="12036" width="28.28515625" bestFit="1" customWidth="1"/>
    <col min="12038" max="12038" width="11.28515625" bestFit="1" customWidth="1"/>
    <col min="12039" max="12039" width="13.28515625" bestFit="1" customWidth="1"/>
    <col min="12042" max="12042" width="19.42578125" bestFit="1" customWidth="1"/>
    <col min="12043" max="12043" width="12" bestFit="1" customWidth="1"/>
    <col min="12044" max="12044" width="49.42578125" bestFit="1" customWidth="1"/>
    <col min="12292" max="12292" width="28.28515625" bestFit="1" customWidth="1"/>
    <col min="12294" max="12294" width="11.28515625" bestFit="1" customWidth="1"/>
    <col min="12295" max="12295" width="13.28515625" bestFit="1" customWidth="1"/>
    <col min="12298" max="12298" width="19.42578125" bestFit="1" customWidth="1"/>
    <col min="12299" max="12299" width="12" bestFit="1" customWidth="1"/>
    <col min="12300" max="12300" width="49.42578125" bestFit="1" customWidth="1"/>
    <col min="12548" max="12548" width="28.28515625" bestFit="1" customWidth="1"/>
    <col min="12550" max="12550" width="11.28515625" bestFit="1" customWidth="1"/>
    <col min="12551" max="12551" width="13.28515625" bestFit="1" customWidth="1"/>
    <col min="12554" max="12554" width="19.42578125" bestFit="1" customWidth="1"/>
    <col min="12555" max="12555" width="12" bestFit="1" customWidth="1"/>
    <col min="12556" max="12556" width="49.42578125" bestFit="1" customWidth="1"/>
    <col min="12804" max="12804" width="28.28515625" bestFit="1" customWidth="1"/>
    <col min="12806" max="12806" width="11.28515625" bestFit="1" customWidth="1"/>
    <col min="12807" max="12807" width="13.28515625" bestFit="1" customWidth="1"/>
    <col min="12810" max="12810" width="19.42578125" bestFit="1" customWidth="1"/>
    <col min="12811" max="12811" width="12" bestFit="1" customWidth="1"/>
    <col min="12812" max="12812" width="49.42578125" bestFit="1" customWidth="1"/>
    <col min="13060" max="13060" width="28.28515625" bestFit="1" customWidth="1"/>
    <col min="13062" max="13062" width="11.28515625" bestFit="1" customWidth="1"/>
    <col min="13063" max="13063" width="13.28515625" bestFit="1" customWidth="1"/>
    <col min="13066" max="13066" width="19.42578125" bestFit="1" customWidth="1"/>
    <col min="13067" max="13067" width="12" bestFit="1" customWidth="1"/>
    <col min="13068" max="13068" width="49.42578125" bestFit="1" customWidth="1"/>
    <col min="13316" max="13316" width="28.28515625" bestFit="1" customWidth="1"/>
    <col min="13318" max="13318" width="11.28515625" bestFit="1" customWidth="1"/>
    <col min="13319" max="13319" width="13.28515625" bestFit="1" customWidth="1"/>
    <col min="13322" max="13322" width="19.42578125" bestFit="1" customWidth="1"/>
    <col min="13323" max="13323" width="12" bestFit="1" customWidth="1"/>
    <col min="13324" max="13324" width="49.42578125" bestFit="1" customWidth="1"/>
    <col min="13572" max="13572" width="28.28515625" bestFit="1" customWidth="1"/>
    <col min="13574" max="13574" width="11.28515625" bestFit="1" customWidth="1"/>
    <col min="13575" max="13575" width="13.28515625" bestFit="1" customWidth="1"/>
    <col min="13578" max="13578" width="19.42578125" bestFit="1" customWidth="1"/>
    <col min="13579" max="13579" width="12" bestFit="1" customWidth="1"/>
    <col min="13580" max="13580" width="49.42578125" bestFit="1" customWidth="1"/>
    <col min="13828" max="13828" width="28.28515625" bestFit="1" customWidth="1"/>
    <col min="13830" max="13830" width="11.28515625" bestFit="1" customWidth="1"/>
    <col min="13831" max="13831" width="13.28515625" bestFit="1" customWidth="1"/>
    <col min="13834" max="13834" width="19.42578125" bestFit="1" customWidth="1"/>
    <col min="13835" max="13835" width="12" bestFit="1" customWidth="1"/>
    <col min="13836" max="13836" width="49.42578125" bestFit="1" customWidth="1"/>
    <col min="14084" max="14084" width="28.28515625" bestFit="1" customWidth="1"/>
    <col min="14086" max="14086" width="11.28515625" bestFit="1" customWidth="1"/>
    <col min="14087" max="14087" width="13.28515625" bestFit="1" customWidth="1"/>
    <col min="14090" max="14090" width="19.42578125" bestFit="1" customWidth="1"/>
    <col min="14091" max="14091" width="12" bestFit="1" customWidth="1"/>
    <col min="14092" max="14092" width="49.42578125" bestFit="1" customWidth="1"/>
    <col min="14340" max="14340" width="28.28515625" bestFit="1" customWidth="1"/>
    <col min="14342" max="14342" width="11.28515625" bestFit="1" customWidth="1"/>
    <col min="14343" max="14343" width="13.28515625" bestFit="1" customWidth="1"/>
    <col min="14346" max="14346" width="19.42578125" bestFit="1" customWidth="1"/>
    <col min="14347" max="14347" width="12" bestFit="1" customWidth="1"/>
    <col min="14348" max="14348" width="49.42578125" bestFit="1" customWidth="1"/>
    <col min="14596" max="14596" width="28.28515625" bestFit="1" customWidth="1"/>
    <col min="14598" max="14598" width="11.28515625" bestFit="1" customWidth="1"/>
    <col min="14599" max="14599" width="13.28515625" bestFit="1" customWidth="1"/>
    <col min="14602" max="14602" width="19.42578125" bestFit="1" customWidth="1"/>
    <col min="14603" max="14603" width="12" bestFit="1" customWidth="1"/>
    <col min="14604" max="14604" width="49.42578125" bestFit="1" customWidth="1"/>
    <col min="14852" max="14852" width="28.28515625" bestFit="1" customWidth="1"/>
    <col min="14854" max="14854" width="11.28515625" bestFit="1" customWidth="1"/>
    <col min="14855" max="14855" width="13.28515625" bestFit="1" customWidth="1"/>
    <col min="14858" max="14858" width="19.42578125" bestFit="1" customWidth="1"/>
    <col min="14859" max="14859" width="12" bestFit="1" customWidth="1"/>
    <col min="14860" max="14860" width="49.42578125" bestFit="1" customWidth="1"/>
    <col min="15108" max="15108" width="28.28515625" bestFit="1" customWidth="1"/>
    <col min="15110" max="15110" width="11.28515625" bestFit="1" customWidth="1"/>
    <col min="15111" max="15111" width="13.28515625" bestFit="1" customWidth="1"/>
    <col min="15114" max="15114" width="19.42578125" bestFit="1" customWidth="1"/>
    <col min="15115" max="15115" width="12" bestFit="1" customWidth="1"/>
    <col min="15116" max="15116" width="49.42578125" bestFit="1" customWidth="1"/>
    <col min="15364" max="15364" width="28.28515625" bestFit="1" customWidth="1"/>
    <col min="15366" max="15366" width="11.28515625" bestFit="1" customWidth="1"/>
    <col min="15367" max="15367" width="13.28515625" bestFit="1" customWidth="1"/>
    <col min="15370" max="15370" width="19.42578125" bestFit="1" customWidth="1"/>
    <col min="15371" max="15371" width="12" bestFit="1" customWidth="1"/>
    <col min="15372" max="15372" width="49.42578125" bestFit="1" customWidth="1"/>
    <col min="15620" max="15620" width="28.28515625" bestFit="1" customWidth="1"/>
    <col min="15622" max="15622" width="11.28515625" bestFit="1" customWidth="1"/>
    <col min="15623" max="15623" width="13.28515625" bestFit="1" customWidth="1"/>
    <col min="15626" max="15626" width="19.42578125" bestFit="1" customWidth="1"/>
    <col min="15627" max="15627" width="12" bestFit="1" customWidth="1"/>
    <col min="15628" max="15628" width="49.42578125" bestFit="1" customWidth="1"/>
    <col min="15876" max="15876" width="28.28515625" bestFit="1" customWidth="1"/>
    <col min="15878" max="15878" width="11.28515625" bestFit="1" customWidth="1"/>
    <col min="15879" max="15879" width="13.28515625" bestFit="1" customWidth="1"/>
    <col min="15882" max="15882" width="19.42578125" bestFit="1" customWidth="1"/>
    <col min="15883" max="15883" width="12" bestFit="1" customWidth="1"/>
    <col min="15884" max="15884" width="49.42578125" bestFit="1" customWidth="1"/>
    <col min="16132" max="16132" width="28.28515625" bestFit="1" customWidth="1"/>
    <col min="16134" max="16134" width="11.28515625" bestFit="1" customWidth="1"/>
    <col min="16135" max="16135" width="13.28515625" bestFit="1" customWidth="1"/>
    <col min="16138" max="16138" width="19.42578125" bestFit="1" customWidth="1"/>
    <col min="16139" max="16139" width="12" bestFit="1" customWidth="1"/>
    <col min="16140" max="16140" width="49.42578125" bestFit="1" customWidth="1"/>
  </cols>
  <sheetData>
    <row r="1" spans="1:12">
      <c r="A1" s="181"/>
      <c r="B1" s="181"/>
      <c r="C1" s="181"/>
      <c r="D1" s="181"/>
      <c r="E1" s="181"/>
      <c r="F1" s="181"/>
      <c r="G1" s="181"/>
      <c r="H1" s="181"/>
      <c r="I1" s="181"/>
      <c r="J1" s="181"/>
      <c r="K1" s="181"/>
      <c r="L1" s="181"/>
    </row>
    <row r="2" spans="1:12" ht="15.75" thickBot="1">
      <c r="A2" s="181"/>
      <c r="B2" s="181"/>
      <c r="C2" s="181"/>
      <c r="D2" s="181"/>
      <c r="E2" s="181"/>
      <c r="F2" s="181"/>
      <c r="G2" s="181"/>
      <c r="H2" s="181"/>
      <c r="I2" s="181"/>
      <c r="J2" s="181"/>
      <c r="K2" s="181"/>
      <c r="L2" s="181"/>
    </row>
    <row r="3" spans="1:12" ht="15.75" thickBot="1">
      <c r="A3" s="181"/>
      <c r="B3" s="181"/>
      <c r="C3" s="181"/>
      <c r="D3" s="181"/>
      <c r="E3" s="181"/>
      <c r="F3" s="1280" t="s">
        <v>122</v>
      </c>
      <c r="G3" s="1281"/>
      <c r="H3" s="1281"/>
      <c r="I3" s="1282"/>
      <c r="J3" s="181"/>
      <c r="K3" s="181"/>
      <c r="L3" s="181"/>
    </row>
    <row r="4" spans="1:12" ht="15.75" thickBot="1">
      <c r="A4" s="181"/>
      <c r="B4" s="1283" t="s">
        <v>123</v>
      </c>
      <c r="C4" s="1284"/>
      <c r="D4" s="1285"/>
      <c r="E4" s="181"/>
      <c r="F4" s="182"/>
      <c r="G4" s="183"/>
      <c r="H4" s="183" t="s">
        <v>55</v>
      </c>
      <c r="I4" s="184">
        <f>'1. O&amp;M Model '!R12</f>
        <v>1249.5</v>
      </c>
      <c r="J4" s="181"/>
      <c r="K4" s="181"/>
      <c r="L4" s="181"/>
    </row>
    <row r="5" spans="1:12" ht="15.75" thickBot="1">
      <c r="A5" s="181"/>
      <c r="B5" s="1283" t="s">
        <v>124</v>
      </c>
      <c r="C5" s="1285"/>
      <c r="D5" s="185" t="s">
        <v>53</v>
      </c>
      <c r="E5" s="181"/>
      <c r="F5" s="186"/>
      <c r="G5" s="187" t="s">
        <v>59</v>
      </c>
      <c r="H5" s="188" t="s">
        <v>60</v>
      </c>
      <c r="I5" s="189" t="s">
        <v>61</v>
      </c>
      <c r="J5" s="181"/>
      <c r="K5" s="181"/>
      <c r="L5" s="181"/>
    </row>
    <row r="6" spans="1:12">
      <c r="A6" s="181"/>
      <c r="B6" s="190" t="s">
        <v>125</v>
      </c>
      <c r="C6" s="191">
        <f>'M2024 BLS SALARY CHART (53_PCT)'!C8</f>
        <v>56388.633600000001</v>
      </c>
      <c r="D6" s="23" t="s">
        <v>558</v>
      </c>
      <c r="E6" s="181"/>
      <c r="F6" s="190" t="s">
        <v>126</v>
      </c>
      <c r="G6" s="192">
        <f>C6</f>
        <v>56388.633600000001</v>
      </c>
      <c r="H6" s="193">
        <v>1</v>
      </c>
      <c r="I6" s="194">
        <f>G6*H6</f>
        <v>56388.633600000001</v>
      </c>
      <c r="J6" s="181"/>
      <c r="K6" s="181"/>
      <c r="L6" s="181"/>
    </row>
    <row r="7" spans="1:12" ht="15.75" thickBot="1">
      <c r="A7" s="181"/>
      <c r="B7" s="190" t="s">
        <v>83</v>
      </c>
      <c r="C7" s="195">
        <f>'M2024 BLS SALARY CHART (53_PCT)'!C40</f>
        <v>0.24970000000000001</v>
      </c>
      <c r="D7" s="394" t="s">
        <v>346</v>
      </c>
      <c r="E7" s="181"/>
      <c r="F7" s="197" t="s">
        <v>127</v>
      </c>
      <c r="G7" s="198"/>
      <c r="H7" s="198"/>
      <c r="I7" s="199">
        <f>SUM(I6)</f>
        <v>56388.633600000001</v>
      </c>
      <c r="J7" s="181"/>
      <c r="K7" s="181"/>
      <c r="L7" s="181"/>
    </row>
    <row r="8" spans="1:12">
      <c r="A8" s="181"/>
      <c r="B8" s="190" t="s">
        <v>86</v>
      </c>
      <c r="C8" s="200">
        <f>6031*(1+2.71%)</f>
        <v>6194.4400999999998</v>
      </c>
      <c r="D8" s="201" t="s">
        <v>571</v>
      </c>
      <c r="E8" s="181"/>
      <c r="F8" s="202"/>
      <c r="G8" s="203"/>
      <c r="H8" s="204"/>
      <c r="I8" s="205"/>
      <c r="J8" s="181"/>
      <c r="K8" s="181"/>
      <c r="L8" s="181"/>
    </row>
    <row r="9" spans="1:12" ht="15.75" thickBot="1">
      <c r="A9" s="181"/>
      <c r="B9" s="190" t="s">
        <v>128</v>
      </c>
      <c r="C9" s="200">
        <f>2660*(1+2.71%)</f>
        <v>2732.0859999999998</v>
      </c>
      <c r="D9" s="201" t="s">
        <v>571</v>
      </c>
      <c r="E9" s="181"/>
      <c r="F9" s="206" t="s">
        <v>79</v>
      </c>
      <c r="G9" s="207">
        <f>C7</f>
        <v>0.24970000000000001</v>
      </c>
      <c r="H9" s="208"/>
      <c r="I9" s="209">
        <f>G9*I7</f>
        <v>14080.24180992</v>
      </c>
      <c r="J9" s="181"/>
      <c r="K9" s="181"/>
      <c r="L9" s="181"/>
    </row>
    <row r="10" spans="1:12" ht="16.5" thickTop="1" thickBot="1">
      <c r="A10" s="181"/>
      <c r="B10" s="190" t="s">
        <v>129</v>
      </c>
      <c r="C10" s="200">
        <f>513*(1+2.71%)</f>
        <v>526.90229999999997</v>
      </c>
      <c r="D10" s="201" t="s">
        <v>571</v>
      </c>
      <c r="E10" s="181"/>
      <c r="F10" s="197" t="s">
        <v>130</v>
      </c>
      <c r="G10" s="198"/>
      <c r="H10" s="198"/>
      <c r="I10" s="199">
        <f>I9+I7</f>
        <v>70468.875409920001</v>
      </c>
      <c r="J10" s="181"/>
      <c r="K10" s="181"/>
      <c r="L10" s="181"/>
    </row>
    <row r="11" spans="1:12">
      <c r="A11" s="181"/>
      <c r="B11" s="101" t="s">
        <v>97</v>
      </c>
      <c r="C11" s="210">
        <f>'M2024 BLS SALARY CHART (53_PCT)'!C43</f>
        <v>0.12</v>
      </c>
      <c r="D11" s="196" t="s">
        <v>98</v>
      </c>
      <c r="E11" s="181"/>
      <c r="F11" s="190" t="s">
        <v>86</v>
      </c>
      <c r="G11" s="181"/>
      <c r="H11" s="181"/>
      <c r="I11" s="211">
        <f>C8</f>
        <v>6194.4400999999998</v>
      </c>
      <c r="J11" s="181"/>
      <c r="K11" s="181"/>
      <c r="L11" s="181"/>
    </row>
    <row r="12" spans="1:12">
      <c r="A12" s="181"/>
      <c r="B12" s="212"/>
      <c r="C12" s="213"/>
      <c r="D12" s="214"/>
      <c r="E12" s="181"/>
      <c r="F12" s="190" t="s">
        <v>91</v>
      </c>
      <c r="G12" s="181"/>
      <c r="H12" s="215"/>
      <c r="I12" s="211">
        <f>C9</f>
        <v>2732.0859999999998</v>
      </c>
      <c r="J12" s="181"/>
      <c r="K12" s="181"/>
      <c r="L12" s="181"/>
    </row>
    <row r="13" spans="1:12" ht="15.75" thickBot="1">
      <c r="A13" s="181"/>
      <c r="B13" s="197"/>
      <c r="C13" s="216"/>
      <c r="D13" s="217"/>
      <c r="E13" s="181"/>
      <c r="F13" s="206" t="s">
        <v>132</v>
      </c>
      <c r="G13" s="208"/>
      <c r="H13" s="208"/>
      <c r="I13" s="209">
        <f>C10</f>
        <v>526.90229999999997</v>
      </c>
      <c r="J13" s="181"/>
      <c r="K13" s="181"/>
      <c r="L13" s="181"/>
    </row>
    <row r="14" spans="1:12" ht="15.75" thickBot="1">
      <c r="A14" s="181"/>
      <c r="B14" s="197" t="s">
        <v>133</v>
      </c>
      <c r="C14" s="218">
        <f>'CAF Spring 2025'!CT26</f>
        <v>2.5282070971092779E-2</v>
      </c>
      <c r="D14" s="219" t="str">
        <f>'1. O&amp;M Model '!D23</f>
        <v>Base 2025Q4 -Prospective CY26 &amp; CY27</v>
      </c>
      <c r="E14" s="181"/>
      <c r="F14" s="197" t="s">
        <v>99</v>
      </c>
      <c r="G14" s="198"/>
      <c r="H14" s="198"/>
      <c r="I14" s="199">
        <f>SUM(I10:I13)</f>
        <v>79922.303809920006</v>
      </c>
      <c r="J14" s="181"/>
      <c r="K14" s="181"/>
      <c r="L14" s="181"/>
    </row>
    <row r="15" spans="1:12" ht="15.75" thickBot="1">
      <c r="A15" s="181"/>
      <c r="B15" s="181"/>
      <c r="C15" s="181"/>
      <c r="D15" s="181"/>
      <c r="E15" s="181"/>
      <c r="F15" s="220" t="s">
        <v>97</v>
      </c>
      <c r="G15" s="221">
        <f>C11</f>
        <v>0.12</v>
      </c>
      <c r="H15" s="222"/>
      <c r="I15" s="194">
        <f>I14*G15</f>
        <v>9590.6764571904005</v>
      </c>
      <c r="J15" s="181"/>
      <c r="K15" s="181"/>
      <c r="L15" s="181"/>
    </row>
    <row r="16" spans="1:12" ht="15.75" thickBot="1">
      <c r="A16" s="181"/>
      <c r="B16" s="181"/>
      <c r="C16" s="181"/>
      <c r="D16" s="181"/>
      <c r="E16" s="181"/>
      <c r="F16" s="223" t="s">
        <v>102</v>
      </c>
      <c r="G16" s="224"/>
      <c r="H16" s="224"/>
      <c r="I16" s="225">
        <f>I15+I14</f>
        <v>89512.980267110412</v>
      </c>
      <c r="J16" s="181"/>
      <c r="K16" s="181"/>
      <c r="L16" s="181"/>
    </row>
    <row r="17" spans="1:12">
      <c r="A17" s="181"/>
      <c r="B17" s="181"/>
      <c r="C17" s="181"/>
      <c r="D17" s="181"/>
      <c r="E17" s="181"/>
      <c r="F17" s="190"/>
      <c r="G17" s="181"/>
      <c r="H17" s="181"/>
      <c r="I17" s="211"/>
      <c r="J17" s="181"/>
      <c r="K17" s="181"/>
      <c r="L17" s="181"/>
    </row>
    <row r="18" spans="1:12" ht="15.75" thickBot="1">
      <c r="A18" s="181"/>
      <c r="B18" s="181"/>
      <c r="C18" s="181"/>
      <c r="D18" s="181"/>
      <c r="E18" s="181"/>
      <c r="F18" s="190" t="s">
        <v>106</v>
      </c>
      <c r="G18" s="226">
        <f>C14</f>
        <v>2.5282070971092779E-2</v>
      </c>
      <c r="H18" s="181"/>
      <c r="I18" s="211">
        <f>I16*(G18+1)</f>
        <v>91776.053787057521</v>
      </c>
      <c r="J18" s="181"/>
      <c r="K18" s="227" t="s">
        <v>134</v>
      </c>
      <c r="L18" s="181"/>
    </row>
    <row r="19" spans="1:12" ht="15.75" thickBot="1">
      <c r="A19" s="181"/>
      <c r="B19" s="181"/>
      <c r="C19" s="181"/>
      <c r="D19" s="181"/>
      <c r="E19" s="181"/>
      <c r="F19" s="223" t="s">
        <v>135</v>
      </c>
      <c r="G19" s="224"/>
      <c r="H19" s="224" t="s">
        <v>522</v>
      </c>
      <c r="I19" s="228">
        <f>I18/I4+0.02</f>
        <v>73.470223118893571</v>
      </c>
      <c r="J19" s="181"/>
      <c r="K19" s="229">
        <f>58.12*0.25</f>
        <v>14.53</v>
      </c>
      <c r="L19" s="230"/>
    </row>
    <row r="20" spans="1:12">
      <c r="A20" s="181"/>
      <c r="B20" s="181"/>
      <c r="C20" s="181"/>
      <c r="D20" s="181"/>
      <c r="E20" s="181"/>
      <c r="F20" s="181"/>
      <c r="G20" s="181"/>
      <c r="H20" s="181"/>
      <c r="I20" s="230">
        <v>70.44</v>
      </c>
      <c r="J20" s="181"/>
      <c r="K20" s="231"/>
      <c r="L20" s="181"/>
    </row>
    <row r="21" spans="1:12">
      <c r="A21" s="181"/>
      <c r="B21" s="181"/>
      <c r="C21" s="181"/>
      <c r="D21" s="181"/>
      <c r="E21" s="181"/>
      <c r="F21" s="181"/>
      <c r="G21" s="181"/>
      <c r="H21" s="181"/>
      <c r="I21" s="1159"/>
      <c r="J21" s="181"/>
      <c r="L21" s="181"/>
    </row>
    <row r="22" spans="1:12">
      <c r="A22" s="181"/>
      <c r="B22" s="181"/>
      <c r="C22" s="181"/>
      <c r="D22" s="181"/>
      <c r="E22" s="181"/>
      <c r="F22" s="181"/>
      <c r="G22" s="181"/>
      <c r="H22" s="181"/>
      <c r="I22" s="1159"/>
      <c r="J22" s="181"/>
      <c r="L22" s="230"/>
    </row>
    <row r="23" spans="1:12">
      <c r="A23" s="181"/>
      <c r="B23" s="181"/>
      <c r="C23" s="181"/>
      <c r="D23" s="181"/>
      <c r="E23" s="181"/>
      <c r="F23" s="181"/>
      <c r="G23" s="181"/>
      <c r="H23" s="181"/>
      <c r="I23" s="181"/>
      <c r="J23" s="181"/>
      <c r="L23" s="181"/>
    </row>
    <row r="24" spans="1:12">
      <c r="A24" s="181"/>
      <c r="B24" s="181"/>
      <c r="C24" s="181"/>
      <c r="D24" s="181"/>
      <c r="E24" s="181"/>
      <c r="F24" s="181"/>
      <c r="G24" s="181"/>
      <c r="H24" s="181"/>
      <c r="I24" s="233"/>
      <c r="J24" s="232"/>
      <c r="K24" s="181"/>
      <c r="L24" s="181"/>
    </row>
    <row r="25" spans="1:12">
      <c r="A25" s="181"/>
      <c r="B25" s="181"/>
      <c r="C25" s="181"/>
      <c r="D25" s="181"/>
      <c r="E25" s="181"/>
      <c r="J25" s="181"/>
      <c r="K25" s="181"/>
      <c r="L25" s="181"/>
    </row>
    <row r="26" spans="1:12">
      <c r="A26" s="181"/>
      <c r="B26" s="181"/>
      <c r="C26" s="181"/>
      <c r="D26" s="181"/>
      <c r="E26" s="181"/>
      <c r="J26" s="181"/>
      <c r="K26" s="181"/>
      <c r="L26" s="181"/>
    </row>
    <row r="27" spans="1:12">
      <c r="A27" s="181"/>
      <c r="B27" s="181"/>
      <c r="C27" s="181"/>
      <c r="D27" s="181"/>
      <c r="E27" s="181"/>
      <c r="J27" s="181"/>
      <c r="K27" s="181"/>
      <c r="L27" s="181"/>
    </row>
    <row r="28" spans="1:12">
      <c r="A28" s="181"/>
      <c r="B28" s="181"/>
      <c r="C28" s="181"/>
      <c r="D28" s="181"/>
      <c r="E28" s="181"/>
      <c r="J28" s="181"/>
      <c r="K28" s="181"/>
      <c r="L28" s="181"/>
    </row>
    <row r="29" spans="1:12">
      <c r="B29" s="181"/>
      <c r="C29" s="181"/>
      <c r="D29" s="181"/>
    </row>
    <row r="30" spans="1:12">
      <c r="B30" s="181"/>
      <c r="C30" s="181"/>
      <c r="D30" s="181"/>
    </row>
  </sheetData>
  <mergeCells count="3">
    <mergeCell ref="F3:I3"/>
    <mergeCell ref="B4:D4"/>
    <mergeCell ref="B5:C5"/>
  </mergeCells>
  <pageMargins left="0.7" right="0.7" top="0.75" bottom="0.75" header="0.3" footer="0.3"/>
  <pageSetup scale="68"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0"/>
  <sheetViews>
    <sheetView zoomScale="90" zoomScaleNormal="90" workbookViewId="0">
      <selection activeCell="N38" sqref="N38"/>
    </sheetView>
  </sheetViews>
  <sheetFormatPr defaultColWidth="9.28515625" defaultRowHeight="15.75"/>
  <cols>
    <col min="1" max="1" width="9.28515625" style="373"/>
    <col min="2" max="2" width="42" style="373" customWidth="1"/>
    <col min="3" max="3" width="8.5703125" style="431" customWidth="1"/>
    <col min="4" max="4" width="19.5703125" style="373" customWidth="1"/>
    <col min="5" max="5" width="13.5703125" style="373" customWidth="1"/>
    <col min="6" max="6" width="6.7109375" style="373" customWidth="1"/>
    <col min="7" max="7" width="4.42578125" style="373" customWidth="1"/>
    <col min="8" max="8" width="25.28515625" style="373" bestFit="1" customWidth="1"/>
    <col min="9" max="9" width="11.7109375" style="373" customWidth="1"/>
    <col min="10" max="10" width="12.85546875" style="431" customWidth="1"/>
    <col min="11" max="11" width="13.28515625" style="373" customWidth="1"/>
    <col min="12" max="14" width="9.28515625" style="373"/>
    <col min="15" max="15" width="12.7109375" style="373" bestFit="1" customWidth="1"/>
    <col min="16" max="16384" width="9.28515625" style="373"/>
  </cols>
  <sheetData>
    <row r="1" spans="1:14">
      <c r="A1" s="1"/>
      <c r="B1" s="1"/>
      <c r="C1" s="2"/>
      <c r="D1" s="1"/>
      <c r="E1" s="1"/>
      <c r="F1" s="1"/>
      <c r="G1" s="1"/>
      <c r="H1" s="1"/>
      <c r="I1" s="1"/>
      <c r="J1" s="2"/>
      <c r="K1" s="1"/>
      <c r="L1" s="1"/>
      <c r="M1" s="1"/>
      <c r="N1" s="1"/>
    </row>
    <row r="2" spans="1:14" ht="16.5" thickBot="1">
      <c r="A2" s="1"/>
      <c r="B2" s="149"/>
      <c r="C2" s="374"/>
      <c r="D2" s="375"/>
      <c r="E2" s="375"/>
      <c r="F2" s="375"/>
      <c r="G2" s="3"/>
      <c r="H2" s="1"/>
      <c r="I2" s="1"/>
      <c r="J2" s="2"/>
      <c r="K2" s="1"/>
      <c r="L2" s="1"/>
      <c r="M2" s="1"/>
      <c r="N2" s="1"/>
    </row>
    <row r="3" spans="1:14" ht="22.5" customHeight="1" thickBot="1">
      <c r="A3" s="1"/>
      <c r="B3" s="1244" t="s">
        <v>47</v>
      </c>
      <c r="C3" s="1245"/>
      <c r="D3" s="1245"/>
      <c r="E3" s="1245"/>
      <c r="F3" s="1246"/>
      <c r="G3" s="3"/>
      <c r="H3" s="1286" t="s">
        <v>349</v>
      </c>
      <c r="I3" s="1287"/>
      <c r="J3" s="1287"/>
      <c r="K3" s="1288"/>
      <c r="L3" s="1"/>
      <c r="M3" s="1"/>
      <c r="N3" s="1"/>
    </row>
    <row r="4" spans="1:14">
      <c r="A4" s="1"/>
      <c r="B4" s="9" t="s">
        <v>52</v>
      </c>
      <c r="C4" s="376"/>
      <c r="D4" s="1289" t="s">
        <v>53</v>
      </c>
      <c r="E4" s="1290"/>
      <c r="F4" s="1291"/>
      <c r="G4" s="3"/>
      <c r="H4" s="11" t="s">
        <v>174</v>
      </c>
      <c r="I4" s="377">
        <v>60</v>
      </c>
      <c r="J4" s="377" t="s">
        <v>175</v>
      </c>
      <c r="K4" s="378">
        <f>I4*16*12</f>
        <v>11520</v>
      </c>
      <c r="L4" s="1"/>
      <c r="M4" s="1"/>
      <c r="N4" s="1"/>
    </row>
    <row r="5" spans="1:14">
      <c r="A5" s="1"/>
      <c r="B5" s="379" t="s">
        <v>58</v>
      </c>
      <c r="C5" s="380"/>
      <c r="D5" s="381"/>
      <c r="E5" s="381"/>
      <c r="F5" s="382"/>
      <c r="G5" s="3"/>
      <c r="H5" s="24"/>
      <c r="I5" s="26" t="s">
        <v>59</v>
      </c>
      <c r="J5" s="26" t="s">
        <v>60</v>
      </c>
      <c r="K5" s="27" t="s">
        <v>61</v>
      </c>
      <c r="L5" s="1"/>
      <c r="M5" s="1"/>
      <c r="N5" s="1"/>
    </row>
    <row r="6" spans="1:14">
      <c r="A6" s="1"/>
      <c r="B6" s="32" t="s">
        <v>176</v>
      </c>
      <c r="C6" s="33">
        <f>'M2024 BLS SALARY CHART (53_PCT)'!C22</f>
        <v>81486.911999999997</v>
      </c>
      <c r="D6" s="43" t="s">
        <v>558</v>
      </c>
      <c r="E6" s="43"/>
      <c r="F6" s="383"/>
      <c r="G6" s="3"/>
      <c r="H6" s="34" t="str">
        <f>$B$5</f>
        <v>Management</v>
      </c>
      <c r="I6" s="10"/>
      <c r="J6" s="10"/>
      <c r="K6" s="36"/>
      <c r="L6" s="1"/>
      <c r="M6" s="1"/>
      <c r="N6" s="1"/>
    </row>
    <row r="7" spans="1:14">
      <c r="A7" s="1"/>
      <c r="B7" s="32" t="s">
        <v>177</v>
      </c>
      <c r="C7" s="33">
        <f>'M2024 BLS SALARY CHART (53_PCT)'!C8</f>
        <v>56388.633600000001</v>
      </c>
      <c r="D7" s="43" t="s">
        <v>558</v>
      </c>
      <c r="E7" s="43"/>
      <c r="F7" s="383"/>
      <c r="G7" s="3"/>
      <c r="H7" s="32" t="str">
        <f>$B$6</f>
        <v>Mgmt supervision</v>
      </c>
      <c r="I7" s="1162">
        <f>C6</f>
        <v>81486.911999999997</v>
      </c>
      <c r="J7" s="1163">
        <f>$C$12</f>
        <v>1</v>
      </c>
      <c r="K7" s="384">
        <f>I7*J7</f>
        <v>81486.911999999997</v>
      </c>
      <c r="L7" s="1"/>
      <c r="M7" s="1"/>
      <c r="N7" s="1"/>
    </row>
    <row r="8" spans="1:14">
      <c r="A8" s="1"/>
      <c r="B8" s="34" t="s">
        <v>66</v>
      </c>
      <c r="C8" s="33"/>
      <c r="D8" s="43"/>
      <c r="E8" s="43"/>
      <c r="F8" s="383"/>
      <c r="G8" s="3"/>
      <c r="H8" s="32" t="str">
        <f>$B$7</f>
        <v xml:space="preserve">  Assistant Program Director</v>
      </c>
      <c r="I8" s="1162">
        <f>C7</f>
        <v>56388.633600000001</v>
      </c>
      <c r="J8" s="1163">
        <v>0.25</v>
      </c>
      <c r="K8" s="384">
        <f>I8*J8</f>
        <v>14097.1584</v>
      </c>
      <c r="L8" s="1"/>
      <c r="M8" s="1"/>
      <c r="N8" s="1"/>
    </row>
    <row r="9" spans="1:14">
      <c r="A9" s="1"/>
      <c r="B9" s="52" t="s">
        <v>178</v>
      </c>
      <c r="C9" s="53">
        <f>'M2024 BLS SALARY CHART (53_PCT)'!C6</f>
        <v>46842.432000000008</v>
      </c>
      <c r="D9" s="43" t="s">
        <v>558</v>
      </c>
      <c r="E9" s="385"/>
      <c r="F9" s="386"/>
      <c r="G9" s="3"/>
      <c r="H9" s="34" t="str">
        <f>$B$8</f>
        <v>Direct Care</v>
      </c>
      <c r="I9" s="1162"/>
      <c r="J9" s="1163"/>
      <c r="K9" s="384"/>
      <c r="L9" s="1"/>
      <c r="M9" s="1"/>
      <c r="N9" s="1"/>
    </row>
    <row r="10" spans="1:14">
      <c r="A10" s="1"/>
      <c r="B10" s="1292" t="s">
        <v>73</v>
      </c>
      <c r="C10" s="1293"/>
      <c r="D10" s="387"/>
      <c r="E10" s="387"/>
      <c r="F10" s="388"/>
      <c r="G10" s="3"/>
      <c r="H10" s="32" t="str">
        <f>$B$9</f>
        <v xml:space="preserve">  Program Staff</v>
      </c>
      <c r="I10" s="1162">
        <f>C9</f>
        <v>46842.432000000008</v>
      </c>
      <c r="J10" s="1163">
        <v>0.75</v>
      </c>
      <c r="K10" s="384">
        <f>I10*J10</f>
        <v>35131.824000000008</v>
      </c>
      <c r="L10" s="1"/>
      <c r="M10" s="1"/>
      <c r="N10" s="1"/>
    </row>
    <row r="11" spans="1:14">
      <c r="A11" s="1"/>
      <c r="B11" s="379" t="str">
        <f>B5</f>
        <v>Management</v>
      </c>
      <c r="C11" s="66"/>
      <c r="D11" s="389"/>
      <c r="E11" s="389"/>
      <c r="F11" s="390"/>
      <c r="G11" s="3"/>
      <c r="H11" s="67" t="s">
        <v>75</v>
      </c>
      <c r="I11" s="391"/>
      <c r="J11" s="392">
        <f>SUM(J7:J10)</f>
        <v>2</v>
      </c>
      <c r="K11" s="393">
        <f>SUM(K7:K10)</f>
        <v>130715.8944</v>
      </c>
      <c r="L11" s="1"/>
      <c r="M11" s="1"/>
      <c r="N11" s="1"/>
    </row>
    <row r="12" spans="1:14">
      <c r="A12" s="1"/>
      <c r="B12" s="32" t="str">
        <f>B6</f>
        <v>Mgmt supervision</v>
      </c>
      <c r="C12" s="73">
        <v>1</v>
      </c>
      <c r="D12" s="43" t="s">
        <v>179</v>
      </c>
      <c r="E12" s="43"/>
      <c r="F12" s="383"/>
      <c r="G12" s="3"/>
      <c r="H12" s="80"/>
      <c r="I12" s="394"/>
      <c r="J12" s="1164"/>
      <c r="K12" s="395"/>
      <c r="L12" s="1"/>
      <c r="M12" s="1"/>
      <c r="N12" s="1"/>
    </row>
    <row r="13" spans="1:14">
      <c r="A13" s="1"/>
      <c r="B13" s="32" t="str">
        <f>B7</f>
        <v xml:space="preserve">  Assistant Program Director</v>
      </c>
      <c r="C13" s="73">
        <v>0.25</v>
      </c>
      <c r="D13" s="43" t="s">
        <v>179</v>
      </c>
      <c r="E13" s="43"/>
      <c r="F13" s="383"/>
      <c r="G13" s="3"/>
      <c r="H13" s="80" t="s">
        <v>79</v>
      </c>
      <c r="I13" s="394">
        <f>C17</f>
        <v>0.24970000000000001</v>
      </c>
      <c r="J13" s="374"/>
      <c r="K13" s="384">
        <f>I13*K11</f>
        <v>32639.758831680003</v>
      </c>
      <c r="L13" s="1"/>
      <c r="M13" s="1"/>
      <c r="N13" s="1"/>
    </row>
    <row r="14" spans="1:14">
      <c r="A14" s="1"/>
      <c r="B14" s="34" t="str">
        <f>B8</f>
        <v>Direct Care</v>
      </c>
      <c r="C14" s="73"/>
      <c r="D14" s="396"/>
      <c r="E14" s="397"/>
      <c r="F14" s="398"/>
      <c r="G14" s="3"/>
      <c r="H14" s="67" t="s">
        <v>81</v>
      </c>
      <c r="I14" s="391"/>
      <c r="J14" s="399"/>
      <c r="K14" s="393">
        <f>SUM(K11:K13)</f>
        <v>163355.65323168001</v>
      </c>
      <c r="L14" s="1"/>
      <c r="M14" s="1"/>
      <c r="N14" s="1"/>
    </row>
    <row r="15" spans="1:14">
      <c r="A15" s="1"/>
      <c r="B15" s="52" t="str">
        <f>B9</f>
        <v xml:space="preserve">  Program Staff</v>
      </c>
      <c r="C15" s="88">
        <v>0.75</v>
      </c>
      <c r="D15" s="400" t="s">
        <v>179</v>
      </c>
      <c r="E15" s="385"/>
      <c r="F15" s="386"/>
      <c r="G15" s="3"/>
      <c r="H15" s="80" t="str">
        <f>$B$18</f>
        <v>Occupancy</v>
      </c>
      <c r="I15" s="149"/>
      <c r="J15" s="1165"/>
      <c r="K15" s="395">
        <f>C18*J11</f>
        <v>53665.974999999991</v>
      </c>
      <c r="L15" s="1"/>
      <c r="M15" s="1"/>
      <c r="N15" s="1"/>
    </row>
    <row r="16" spans="1:14">
      <c r="A16" s="1"/>
      <c r="B16" s="1294" t="s">
        <v>82</v>
      </c>
      <c r="C16" s="1295"/>
      <c r="D16" s="401"/>
      <c r="E16" s="401"/>
      <c r="F16" s="402"/>
      <c r="G16" s="3"/>
      <c r="H16" s="80" t="s">
        <v>180</v>
      </c>
      <c r="I16" s="149"/>
      <c r="J16" s="1165"/>
      <c r="K16" s="395">
        <f>C19*K4</f>
        <v>261018.15551999997</v>
      </c>
      <c r="L16" s="1"/>
      <c r="M16" s="1"/>
      <c r="N16" s="1"/>
    </row>
    <row r="17" spans="1:15">
      <c r="A17" s="1"/>
      <c r="B17" s="94" t="s">
        <v>83</v>
      </c>
      <c r="C17" s="403">
        <f>'M2024 BLS SALARY CHART (53_PCT)'!C40</f>
        <v>0.24970000000000001</v>
      </c>
      <c r="D17" s="394" t="s">
        <v>346</v>
      </c>
      <c r="E17" s="394"/>
      <c r="F17" s="404"/>
      <c r="G17" s="3"/>
      <c r="H17" s="101" t="str">
        <f>B20</f>
        <v>DC Consultant Training and Interperter services</v>
      </c>
      <c r="I17" s="149"/>
      <c r="J17" s="1165"/>
      <c r="K17" s="395">
        <f>C20*48</f>
        <v>9600</v>
      </c>
      <c r="L17" s="1"/>
      <c r="M17" s="1"/>
      <c r="N17" s="1"/>
    </row>
    <row r="18" spans="1:15">
      <c r="A18" s="1"/>
      <c r="B18" s="101" t="s">
        <v>86</v>
      </c>
      <c r="C18" s="33">
        <f>26125*(1+2.71%)</f>
        <v>26832.987499999996</v>
      </c>
      <c r="D18" s="405" t="s">
        <v>571</v>
      </c>
      <c r="E18" s="405"/>
      <c r="F18" s="406"/>
      <c r="G18" s="3"/>
      <c r="H18" s="80" t="str">
        <f>$B$21</f>
        <v>All other Program Supplies &amp; Materials</v>
      </c>
      <c r="I18" s="149"/>
      <c r="J18" s="1165"/>
      <c r="K18" s="395">
        <f>C21*J11</f>
        <v>6974.0089999999991</v>
      </c>
      <c r="L18" s="1"/>
      <c r="M18" s="1"/>
      <c r="N18" s="1"/>
      <c r="O18" s="983"/>
    </row>
    <row r="19" spans="1:15">
      <c r="A19" s="1"/>
      <c r="B19" s="101" t="s">
        <v>181</v>
      </c>
      <c r="C19" s="407">
        <f>22.06*(1+2.71%)</f>
        <v>22.657825999999996</v>
      </c>
      <c r="D19" s="405" t="s">
        <v>571</v>
      </c>
      <c r="E19" s="405"/>
      <c r="F19" s="406"/>
      <c r="G19" s="3"/>
      <c r="H19" s="67" t="s">
        <v>99</v>
      </c>
      <c r="I19" s="391"/>
      <c r="J19" s="408"/>
      <c r="K19" s="393">
        <f>SUM(K14:K18)</f>
        <v>494613.79275168001</v>
      </c>
      <c r="L19" s="1"/>
      <c r="M19" s="1"/>
      <c r="N19" s="1"/>
      <c r="O19" s="983"/>
    </row>
    <row r="20" spans="1:15">
      <c r="A20" s="1"/>
      <c r="B20" s="101" t="s">
        <v>182</v>
      </c>
      <c r="C20" s="407">
        <v>200</v>
      </c>
      <c r="D20" s="405" t="s">
        <v>183</v>
      </c>
      <c r="E20" s="405"/>
      <c r="F20" s="406"/>
      <c r="G20" s="3"/>
      <c r="H20" s="80" t="s">
        <v>97</v>
      </c>
      <c r="I20" s="394">
        <f>C22</f>
        <v>0.12</v>
      </c>
      <c r="J20" s="374"/>
      <c r="K20" s="384">
        <f>I20*K19</f>
        <v>59353.655130201601</v>
      </c>
      <c r="L20" s="1"/>
      <c r="M20" s="1"/>
      <c r="N20" s="1"/>
    </row>
    <row r="21" spans="1:15" ht="16.5" thickBot="1">
      <c r="A21" s="1"/>
      <c r="B21" s="101" t="s">
        <v>184</v>
      </c>
      <c r="C21" s="33">
        <f>3395*(1+2.71%)</f>
        <v>3487.0044999999996</v>
      </c>
      <c r="D21" s="405" t="s">
        <v>571</v>
      </c>
      <c r="E21" s="43"/>
      <c r="F21" s="383"/>
      <c r="G21" s="3">
        <v>3205</v>
      </c>
      <c r="H21" s="133" t="s">
        <v>102</v>
      </c>
      <c r="I21" s="135"/>
      <c r="J21" s="136"/>
      <c r="K21" s="137">
        <f>SUM(K19:K20)</f>
        <v>553967.44788188161</v>
      </c>
      <c r="L21" s="1"/>
      <c r="M21" s="1"/>
      <c r="N21" s="1"/>
      <c r="O21" s="983"/>
    </row>
    <row r="22" spans="1:15" ht="16.5" thickTop="1">
      <c r="A22" s="1"/>
      <c r="B22" s="101" t="s">
        <v>97</v>
      </c>
      <c r="C22" s="409">
        <f>'M2024 BLS SALARY CHART (53_PCT)'!C43</f>
        <v>0.12</v>
      </c>
      <c r="D22" s="405" t="s">
        <v>98</v>
      </c>
      <c r="E22" s="405"/>
      <c r="F22" s="406"/>
      <c r="G22" s="3"/>
      <c r="H22" s="80"/>
      <c r="I22" s="151"/>
      <c r="J22" s="74"/>
      <c r="K22" s="410"/>
      <c r="L22" s="1"/>
      <c r="M22" s="1"/>
      <c r="N22" s="1"/>
    </row>
    <row r="23" spans="1:15" ht="16.5" thickBot="1">
      <c r="A23" s="1"/>
      <c r="B23" s="411"/>
      <c r="C23" s="412"/>
      <c r="D23" s="413"/>
      <c r="E23" s="414"/>
      <c r="F23" s="415"/>
      <c r="G23" s="3"/>
      <c r="H23" s="80" t="s">
        <v>106</v>
      </c>
      <c r="I23" s="394">
        <f>C24</f>
        <v>2.5282070971092779E-2</v>
      </c>
      <c r="J23" s="74"/>
      <c r="K23" s="410">
        <f>K21*(I23+1)</f>
        <v>567972.89221490652</v>
      </c>
      <c r="L23" s="1"/>
      <c r="M23" s="1"/>
      <c r="N23" s="1"/>
    </row>
    <row r="24" spans="1:15" ht="16.5" thickBot="1">
      <c r="A24" s="1"/>
      <c r="B24" s="411" t="s">
        <v>133</v>
      </c>
      <c r="C24" s="409">
        <f>'CAF Spring 2025'!CT26</f>
        <v>2.5282070971092779E-2</v>
      </c>
      <c r="D24" s="130" t="str">
        <f>'1. O&amp;M Model '!D23</f>
        <v>Base 2025Q4 -Prospective CY26 &amp; CY27</v>
      </c>
      <c r="E24" s="405"/>
      <c r="F24" s="406"/>
      <c r="G24" s="3"/>
      <c r="H24" s="416" t="s">
        <v>109</v>
      </c>
      <c r="I24" s="417"/>
      <c r="J24" s="418"/>
      <c r="K24" s="419">
        <f>K23/K4-0.01</f>
        <v>49.293202449210639</v>
      </c>
      <c r="L24" s="1"/>
      <c r="M24" s="1"/>
      <c r="N24" s="1"/>
    </row>
    <row r="25" spans="1:15" ht="16.5" thickBot="1">
      <c r="A25" s="1"/>
      <c r="B25" s="420" t="s">
        <v>104</v>
      </c>
      <c r="C25" s="421">
        <v>2.5399999999999999E-2</v>
      </c>
      <c r="D25" s="422"/>
      <c r="E25" s="423"/>
      <c r="F25" s="424"/>
      <c r="G25" s="3"/>
      <c r="H25" s="1"/>
      <c r="I25" s="1"/>
      <c r="J25" s="2"/>
      <c r="K25" s="1203">
        <v>47.98</v>
      </c>
      <c r="L25" s="1"/>
      <c r="M25" s="1"/>
      <c r="N25" s="1"/>
    </row>
    <row r="26" spans="1:15">
      <c r="A26" s="1"/>
      <c r="B26" s="144" t="s">
        <v>104</v>
      </c>
      <c r="C26" s="143"/>
      <c r="D26" s="3"/>
      <c r="E26" s="3"/>
      <c r="F26" s="3"/>
      <c r="G26" s="3"/>
      <c r="H26" s="425"/>
      <c r="I26" s="426"/>
      <c r="J26" s="1160"/>
      <c r="K26" s="1161"/>
      <c r="L26" s="1"/>
      <c r="M26" s="1"/>
      <c r="N26" s="1"/>
    </row>
    <row r="27" spans="1:15">
      <c r="A27" s="1"/>
      <c r="B27" s="427" t="s">
        <v>104</v>
      </c>
      <c r="C27" s="428"/>
      <c r="D27" s="1"/>
      <c r="E27" s="1"/>
      <c r="F27" s="1"/>
      <c r="G27" s="3"/>
      <c r="H27" s="429"/>
      <c r="I27" s="430"/>
      <c r="L27" s="1"/>
      <c r="M27" s="1"/>
      <c r="N27" s="1"/>
    </row>
    <row r="28" spans="1:15">
      <c r="A28" s="1"/>
      <c r="B28" s="1"/>
      <c r="C28" s="982"/>
      <c r="D28" s="1"/>
      <c r="E28" s="1"/>
      <c r="F28" s="1"/>
      <c r="G28" s="3"/>
      <c r="H28" s="432"/>
      <c r="I28" s="433"/>
      <c r="J28" s="434"/>
      <c r="L28" s="1"/>
      <c r="M28" s="1"/>
      <c r="N28" s="1"/>
    </row>
    <row r="29" spans="1:15">
      <c r="A29" s="1"/>
      <c r="B29" s="1"/>
      <c r="C29" s="2"/>
      <c r="G29" s="3"/>
      <c r="H29" s="432"/>
      <c r="I29" s="433"/>
      <c r="J29" s="434"/>
      <c r="L29" s="175"/>
      <c r="M29" s="1"/>
      <c r="N29" s="1"/>
    </row>
    <row r="30" spans="1:15">
      <c r="A30" s="1"/>
      <c r="G30" s="3"/>
      <c r="H30" s="432"/>
      <c r="I30" s="433"/>
      <c r="J30" s="434"/>
      <c r="L30" s="1"/>
      <c r="M30" s="1"/>
      <c r="N30" s="1"/>
    </row>
    <row r="31" spans="1:15">
      <c r="A31" s="1"/>
      <c r="G31" s="3"/>
      <c r="H31" s="432"/>
      <c r="I31" s="433"/>
      <c r="J31" s="434"/>
      <c r="L31" s="1"/>
      <c r="M31" s="1"/>
      <c r="N31" s="1"/>
    </row>
    <row r="32" spans="1:15">
      <c r="G32" s="435"/>
    </row>
    <row r="33" spans="7:11">
      <c r="G33" s="435"/>
      <c r="H33" s="429"/>
      <c r="I33" s="429"/>
      <c r="J33" s="429"/>
      <c r="K33" s="429"/>
    </row>
    <row r="34" spans="7:11">
      <c r="G34" s="435"/>
      <c r="H34" s="436"/>
      <c r="I34" s="437"/>
      <c r="J34" s="437"/>
      <c r="K34" s="437"/>
    </row>
    <row r="35" spans="7:11">
      <c r="G35" s="435"/>
      <c r="H35" s="436"/>
      <c r="I35" s="437"/>
      <c r="J35" s="437"/>
      <c r="K35" s="437"/>
    </row>
    <row r="36" spans="7:11">
      <c r="G36" s="435"/>
      <c r="H36" s="436"/>
      <c r="I36" s="437"/>
      <c r="J36" s="437"/>
      <c r="K36" s="437"/>
    </row>
    <row r="37" spans="7:11">
      <c r="G37" s="435"/>
      <c r="H37" s="436"/>
      <c r="I37" s="438"/>
      <c r="J37" s="438"/>
      <c r="K37" s="438"/>
    </row>
    <row r="38" spans="7:11">
      <c r="H38" s="436"/>
      <c r="I38" s="437"/>
      <c r="J38" s="437"/>
      <c r="K38" s="437"/>
    </row>
    <row r="39" spans="7:11">
      <c r="H39" s="436"/>
      <c r="I39" s="437"/>
      <c r="J39" s="437"/>
      <c r="K39" s="437"/>
    </row>
    <row r="41" spans="7:11">
      <c r="H41" s="436"/>
      <c r="I41" s="439"/>
    </row>
    <row r="60" spans="7:7" ht="21">
      <c r="G60" s="440"/>
    </row>
  </sheetData>
  <mergeCells count="5">
    <mergeCell ref="B3:F3"/>
    <mergeCell ref="H3:K3"/>
    <mergeCell ref="D4:F4"/>
    <mergeCell ref="B10:C10"/>
    <mergeCell ref="B16:C16"/>
  </mergeCells>
  <pageMargins left="0.25" right="0.25" top="0.75" bottom="0.75" header="0.3" footer="0.3"/>
  <pageSetup scale="63" orientation="landscape"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M2024 BLS SALARY CHART (53_PCT)</vt:lpstr>
      <vt:lpstr>Fiscal Impact</vt:lpstr>
      <vt:lpstr>M2022 BLS SALARY CHART (53_PCT)</vt:lpstr>
      <vt:lpstr>Rate Chart RR26</vt:lpstr>
      <vt:lpstr>1. O&amp;M Model </vt:lpstr>
      <vt:lpstr>2. HCA</vt:lpstr>
      <vt:lpstr>3. ATIL</vt:lpstr>
      <vt:lpstr>4. VR Assistant</vt:lpstr>
      <vt:lpstr>5. DBCAN Model - 2405</vt:lpstr>
      <vt:lpstr>6. BI Community Outreach</vt:lpstr>
      <vt:lpstr>7. BI Site Based</vt:lpstr>
      <vt:lpstr>8. BI Direct Care Add-on</vt:lpstr>
      <vt:lpstr>9. BI Site Based Start</vt:lpstr>
      <vt:lpstr>Rate Chart</vt:lpstr>
      <vt:lpstr>CAF Spring 2025</vt:lpstr>
      <vt:lpstr>Sheet1</vt:lpstr>
      <vt:lpstr>CAF Spring 2023</vt:lpstr>
      <vt:lpstr>UFR DATA</vt:lpstr>
      <vt:lpstr>'1. O&amp;M Model '!Print_Area</vt:lpstr>
      <vt:lpstr>'2. HCA'!Print_Area</vt:lpstr>
      <vt:lpstr>'3. ATIL'!Print_Area</vt:lpstr>
      <vt:lpstr>'4. VR Assistant'!Print_Area</vt:lpstr>
      <vt:lpstr>'5. DBCAN Model - 2405'!Print_Area</vt:lpstr>
      <vt:lpstr>'6. BI Community Outreach'!Print_Area</vt:lpstr>
      <vt:lpstr>'7. BI Site Based'!Print_Area</vt:lpstr>
      <vt:lpstr>'8. BI Direct Care Add-on'!Print_Area</vt:lpstr>
      <vt:lpstr>'9. BI Site Based Start'!Print_Area</vt:lpstr>
      <vt:lpstr>'Fiscal Impact'!Print_Area</vt:lpstr>
      <vt:lpstr>'M2022 BLS SALARY CHART (53_PCT)'!Print_Area</vt:lpstr>
      <vt:lpstr>'CAF Spring 2023'!Print_Titles</vt:lpstr>
      <vt:lpstr>'CAF Spring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2021-09-29T15:12:14Z</dcterms:created>
  <dcterms:modified xsi:type="dcterms:W3CDTF">2026-01-14T17:46:41Z</dcterms:modified>
</cp:coreProperties>
</file>