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8" windowWidth="23256" windowHeight="10836"/>
  </bookViews>
  <sheets>
    <sheet name="CorpRepPayee 3274 Models" sheetId="4" r:id="rId1"/>
    <sheet name="TAP 2222 Model" sheetId="8" r:id="rId2"/>
    <sheet name="2222 FY18 UFR BTL" sheetId="22" state="hidden" r:id="rId3"/>
    <sheet name="Dau Hab 3285 Add on Rates" sheetId="21" r:id="rId4"/>
    <sheet name="CAF 2019 Fall" sheetId="1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sdfasdf" localSheetId="3">#REF!</definedName>
    <definedName name="asdfasdf">#REF!</definedName>
    <definedName name="Average" localSheetId="3">#REF!</definedName>
    <definedName name="Average">#REF!</definedName>
    <definedName name="CAF_NEW">[1]RawDataCalcs!$L$70:$DB$70</definedName>
    <definedName name="Cap">[2]RawDataCalcs!$L$70:$DB$70</definedName>
    <definedName name="Data" localSheetId="3">#REF!</definedName>
    <definedName name="Data">#REF!</definedName>
    <definedName name="Floor">[2]RawDataCalcs!$L$69:$DB$69</definedName>
    <definedName name="Funds">'[3]RawDataCalcs3386&amp;3401'!$L$68:$DB$68</definedName>
    <definedName name="gk" localSheetId="3">#REF!</definedName>
    <definedName name="gk">#REF!</definedName>
    <definedName name="hhh" localSheetId="3">#REF!</definedName>
    <definedName name="hhh">#REF!</definedName>
    <definedName name="JailDAverage" localSheetId="3">#REF!</definedName>
    <definedName name="JailDAverage">#REF!</definedName>
    <definedName name="JailDCap">[4]ALLRawDataCalcs!$L$80:$DB$80</definedName>
    <definedName name="JailDFloor">[4]ALLRawDataCalcs!$L$79:$DB$79</definedName>
    <definedName name="JailDgk" localSheetId="3">#REF!</definedName>
    <definedName name="JailDgk">#REF!</definedName>
    <definedName name="JailDMax" localSheetId="3">#REF!</definedName>
    <definedName name="JailDMax">#REF!</definedName>
    <definedName name="JailDMedian" localSheetId="3">#REF!</definedName>
    <definedName name="JailDMedian">#REF!</definedName>
    <definedName name="kls">#REF!</definedName>
    <definedName name="ListProviders">'[5]List of Programs'!$A$24:$A$29</definedName>
    <definedName name="Max" localSheetId="3">#REF!</definedName>
    <definedName name="Max">#REF!</definedName>
    <definedName name="Median" localSheetId="3">#REF!</definedName>
    <definedName name="Median">#REF!</definedName>
    <definedName name="Min" localSheetId="3">#REF!</definedName>
    <definedName name="Min">#REF!</definedName>
    <definedName name="MT">#REF!</definedName>
    <definedName name="new">#REF!</definedName>
    <definedName name="ok">#REF!</definedName>
    <definedName name="_xlnm.Print_Area" localSheetId="2">'2222 FY18 UFR BTL'!$A$2:$Q$28</definedName>
    <definedName name="_xlnm.Print_Area" localSheetId="4">'CAF 2019 Fall'!$BO$6:$BZ$27</definedName>
    <definedName name="_xlnm.Print_Area" localSheetId="0">'CorpRepPayee 3274 Models'!$D$1:$Q$41</definedName>
    <definedName name="_xlnm.Print_Area" localSheetId="3">'Dau Hab 3285 Add on Rates'!$A$4:$J$25</definedName>
    <definedName name="_xlnm.Print_Titles" localSheetId="4">'CAF 2019 Fall'!$A:$A</definedName>
    <definedName name="Program_File" localSheetId="3">#REF!</definedName>
    <definedName name="Program_File">#REF!</definedName>
    <definedName name="Programs">'[5]List of Programs'!$B$3:$B$19</definedName>
    <definedName name="ProvFTE">'[6]FTE Data'!$A$3:$AW$56</definedName>
    <definedName name="PurchasedBy">'[6]FTE Data'!$C$263:$AZ$657</definedName>
    <definedName name="resmay2007" localSheetId="3">#REF!</definedName>
    <definedName name="resmay2007">#REF!</definedName>
    <definedName name="Site_list">[6]Lists!$A$2:$A$53</definedName>
    <definedName name="Source" localSheetId="3">#REF!</definedName>
    <definedName name="Source">#REF!</definedName>
    <definedName name="Source_2" localSheetId="3">#REF!</definedName>
    <definedName name="Source_2">#REF!</definedName>
    <definedName name="SourcePathAndFileName" localSheetId="3">#REF!</definedName>
    <definedName name="SourcePathAndFileName">#REF!</definedName>
    <definedName name="Total_UFR">#REF!</definedName>
    <definedName name="Total_UFRs">#REF!</definedName>
    <definedName name="Total_UFRs_">#REF!</definedName>
    <definedName name="UFR">'[7]Complete UFR List'!#REF!</definedName>
    <definedName name="UFRS">'[7]Complete UFR List'!#REF!</definedName>
  </definedNames>
  <calcPr calcId="145621"/>
</workbook>
</file>

<file path=xl/calcChain.xml><?xml version="1.0" encoding="utf-8"?>
<calcChain xmlns="http://schemas.openxmlformats.org/spreadsheetml/2006/main">
  <c r="D14" i="21" l="1"/>
  <c r="H28" i="22" l="1"/>
  <c r="H27" i="22"/>
  <c r="H26" i="22"/>
  <c r="D23" i="22"/>
  <c r="E23" i="22"/>
  <c r="F23" i="22"/>
  <c r="G23" i="22"/>
  <c r="H23" i="22"/>
  <c r="I23" i="22"/>
  <c r="J23" i="22"/>
  <c r="K23" i="22"/>
  <c r="L23" i="22"/>
  <c r="M23" i="22"/>
  <c r="N23" i="22"/>
  <c r="C23" i="22"/>
  <c r="P23" i="22"/>
  <c r="I6" i="8"/>
  <c r="C4" i="8"/>
  <c r="C15" i="8"/>
  <c r="G11" i="8" l="1"/>
  <c r="G8" i="8"/>
  <c r="G7" i="8"/>
  <c r="G6" i="8"/>
  <c r="C16" i="8"/>
  <c r="I16" i="8" s="1"/>
  <c r="O30" i="4"/>
  <c r="O27" i="4"/>
  <c r="O26" i="4"/>
  <c r="J30" i="4"/>
  <c r="J27" i="4"/>
  <c r="J26" i="4"/>
  <c r="E30" i="4"/>
  <c r="E27" i="4"/>
  <c r="E26" i="4"/>
  <c r="D15" i="21" l="1"/>
  <c r="C15" i="21"/>
  <c r="B15" i="21"/>
  <c r="P34" i="4" l="1"/>
  <c r="K34" i="4"/>
  <c r="F34" i="4"/>
  <c r="O36" i="4"/>
  <c r="J36" i="4"/>
  <c r="E36" i="4"/>
  <c r="J22" i="21" l="1"/>
  <c r="E11" i="21" l="1"/>
  <c r="D22" i="21"/>
  <c r="E4" i="4" l="1"/>
  <c r="H7" i="8"/>
  <c r="H6" i="8"/>
  <c r="F6" i="8"/>
  <c r="F7" i="8"/>
  <c r="J21" i="21" l="1"/>
  <c r="D21" i="21"/>
  <c r="D23" i="21" l="1"/>
  <c r="D24" i="21" s="1"/>
  <c r="J23" i="21"/>
  <c r="J24" i="21" s="1"/>
  <c r="D13" i="21" s="1"/>
  <c r="D10" i="21"/>
  <c r="D8" i="21"/>
  <c r="D9" i="21" s="1"/>
  <c r="B13" i="21"/>
  <c r="C13" i="21"/>
  <c r="B8" i="21"/>
  <c r="B9" i="21" s="1"/>
  <c r="B10" i="21"/>
  <c r="C8" i="21"/>
  <c r="C9" i="21" s="1"/>
  <c r="C10" i="21"/>
  <c r="B12" i="21" l="1"/>
  <c r="B14" i="21" s="1"/>
  <c r="B11" i="21"/>
  <c r="C12" i="21"/>
  <c r="C14" i="21" s="1"/>
  <c r="C11" i="21"/>
  <c r="D11" i="21"/>
  <c r="D12" i="21" s="1"/>
  <c r="F26" i="4"/>
  <c r="F27" i="4" l="1"/>
  <c r="K27" i="4" s="1"/>
  <c r="P27" i="4" s="1"/>
  <c r="K26" i="4"/>
  <c r="P26" i="4" s="1"/>
  <c r="C20" i="8" l="1"/>
  <c r="E18" i="4" l="1"/>
  <c r="BX23" i="19"/>
  <c r="BW23" i="19"/>
  <c r="BV23" i="19"/>
  <c r="BU23" i="19"/>
  <c r="BT23" i="19"/>
  <c r="BS23" i="19"/>
  <c r="BR23" i="19"/>
  <c r="BQ23" i="19"/>
  <c r="BZ23" i="19" s="1"/>
  <c r="BZ25" i="19" s="1"/>
  <c r="BX22" i="19"/>
  <c r="BW22" i="19"/>
  <c r="BV22" i="19"/>
  <c r="BU22" i="19"/>
  <c r="BT22" i="19"/>
  <c r="BS22" i="19"/>
  <c r="BR22" i="19"/>
  <c r="BQ22" i="19"/>
  <c r="BQ19" i="19"/>
  <c r="BZ19" i="19" s="1"/>
  <c r="BQ18" i="19"/>
  <c r="E32" i="4" l="1"/>
  <c r="E13" i="4"/>
  <c r="O39" i="4" l="1"/>
  <c r="J39" i="4"/>
  <c r="E39" i="4"/>
  <c r="O32" i="4"/>
  <c r="J32" i="4"/>
  <c r="N32" i="4"/>
  <c r="I32" i="4"/>
  <c r="D32" i="4"/>
  <c r="G22" i="8"/>
  <c r="F22" i="8"/>
  <c r="G14" i="8"/>
  <c r="F14" i="8"/>
  <c r="Q34" i="4" l="1"/>
  <c r="L34" i="4"/>
  <c r="G34" i="4"/>
  <c r="G19" i="8" l="1"/>
  <c r="H8" i="8"/>
  <c r="H5" i="8"/>
  <c r="I8" i="8"/>
  <c r="G5" i="8"/>
  <c r="I7" i="8" l="1"/>
  <c r="I5" i="8"/>
  <c r="I9" i="8" l="1"/>
  <c r="I11" i="8" s="1"/>
  <c r="I12" i="8" s="1"/>
  <c r="I15" i="8"/>
  <c r="I14" i="8" l="1"/>
  <c r="I17" i="8" s="1"/>
  <c r="I19" i="8" s="1"/>
  <c r="I20" i="8" s="1"/>
  <c r="I22" i="8" s="1"/>
  <c r="I23" i="8" s="1"/>
  <c r="B12" i="8"/>
  <c r="B10" i="8"/>
  <c r="B9" i="8"/>
  <c r="N7" i="8"/>
  <c r="N6" i="8"/>
  <c r="N5" i="8"/>
  <c r="N3" i="8"/>
  <c r="N9" i="8" l="1"/>
  <c r="N10" i="8" s="1"/>
  <c r="N12" i="8" l="1"/>
  <c r="I3" i="8" s="1"/>
  <c r="I24" i="8" s="1"/>
  <c r="T39" i="4" l="1"/>
  <c r="T36" i="4"/>
  <c r="V34" i="4"/>
  <c r="N34" i="4"/>
  <c r="I34" i="4"/>
  <c r="S34" i="4" s="1"/>
  <c r="D34" i="4"/>
  <c r="N33" i="4"/>
  <c r="I33" i="4"/>
  <c r="S33" i="4" s="1"/>
  <c r="D33" i="4"/>
  <c r="T30" i="4"/>
  <c r="U28" i="4"/>
  <c r="V33" i="4" s="1"/>
  <c r="K28" i="4"/>
  <c r="L33" i="4" s="1"/>
  <c r="F28" i="4"/>
  <c r="D6" i="4"/>
  <c r="D10" i="4" s="1"/>
  <c r="Q26" i="4"/>
  <c r="N26" i="4"/>
  <c r="O25" i="4"/>
  <c r="Q25" i="4" s="1"/>
  <c r="D4" i="4"/>
  <c r="D8" i="4" s="1"/>
  <c r="P28" i="4" l="1"/>
  <c r="Q33" i="4" s="1"/>
  <c r="E25" i="4"/>
  <c r="D27" i="4"/>
  <c r="I27" i="4" s="1"/>
  <c r="S27" i="4" s="1"/>
  <c r="N27" i="4"/>
  <c r="D9" i="4"/>
  <c r="D25" i="4"/>
  <c r="I25" i="4" s="1"/>
  <c r="S25" i="4" s="1"/>
  <c r="N25" i="4"/>
  <c r="D26" i="4"/>
  <c r="I26" i="4" s="1"/>
  <c r="S26" i="4" s="1"/>
  <c r="G33" i="4"/>
  <c r="Q27" i="4" l="1"/>
  <c r="Q28" i="4" s="1"/>
  <c r="Q32" i="4" s="1"/>
  <c r="G26" i="4"/>
  <c r="J25" i="4"/>
  <c r="G25" i="4"/>
  <c r="G27" i="4" l="1"/>
  <c r="G28" i="4" s="1"/>
  <c r="G32" i="4" s="1"/>
  <c r="T25" i="4"/>
  <c r="V25" i="4" s="1"/>
  <c r="L25" i="4"/>
  <c r="T26" i="4"/>
  <c r="V26" i="4" s="1"/>
  <c r="L26" i="4"/>
  <c r="Q30" i="4"/>
  <c r="Q31" i="4" s="1"/>
  <c r="Q35" i="4" s="1"/>
  <c r="Q36" i="4" l="1"/>
  <c r="Q38" i="4" s="1"/>
  <c r="Q39" i="4" s="1"/>
  <c r="Q40" i="4" s="1"/>
  <c r="Q41" i="4" s="1"/>
  <c r="T27" i="4"/>
  <c r="V27" i="4" s="1"/>
  <c r="V28" i="4" s="1"/>
  <c r="L27" i="4"/>
  <c r="L28" i="4" s="1"/>
  <c r="L32" i="4" s="1"/>
  <c r="G30" i="4"/>
  <c r="G31" i="4" s="1"/>
  <c r="G35" i="4" s="1"/>
  <c r="L30" i="4" l="1"/>
  <c r="L31" i="4" s="1"/>
  <c r="L35" i="4" s="1"/>
  <c r="G36" i="4"/>
  <c r="G38" i="4" s="1"/>
  <c r="G39" i="4" s="1"/>
  <c r="V30" i="4"/>
  <c r="V31" i="4" s="1"/>
  <c r="V35" i="4" s="1"/>
  <c r="V36" i="4" l="1"/>
  <c r="V38" i="4" s="1"/>
  <c r="V39" i="4" s="1"/>
  <c r="V40" i="4" s="1"/>
  <c r="L36" i="4"/>
  <c r="L38" i="4" s="1"/>
  <c r="L39" i="4" s="1"/>
  <c r="L40" i="4" s="1"/>
  <c r="L41" i="4" s="1"/>
  <c r="G40" i="4" l="1"/>
  <c r="G41" i="4" s="1"/>
</calcChain>
</file>

<file path=xl/sharedStrings.xml><?xml version="1.0" encoding="utf-8"?>
<sst xmlns="http://schemas.openxmlformats.org/spreadsheetml/2006/main" count="382" uniqueCount="262">
  <si>
    <t>Source</t>
  </si>
  <si>
    <t>Salary</t>
  </si>
  <si>
    <t>Tax &amp; Fringe</t>
  </si>
  <si>
    <t>Rate-to-rate CAF</t>
  </si>
  <si>
    <t>Massachusetts Economic Indicators</t>
  </si>
  <si>
    <t>Prepared by Michael Lynch, 781-301-9129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</si>
  <si>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</si>
  <si>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</si>
  <si>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</si>
  <si>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</si>
  <si>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</si>
  <si>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</si>
  <si>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</si>
  <si>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</si>
  <si>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</si>
  <si>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</si>
  <si>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</si>
  <si>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</si>
  <si>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</si>
  <si>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</si>
  <si>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</si>
  <si>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</si>
  <si>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</si>
  <si>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</si>
  <si>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</si>
  <si>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</si>
  <si>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</si>
  <si>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</si>
  <si>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</si>
  <si>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</si>
  <si>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</si>
  <si>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</si>
  <si>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</si>
  <si>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</si>
  <si>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</si>
  <si>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</si>
  <si>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</si>
  <si>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</si>
  <si>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</si>
  <si>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</si>
  <si>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</si>
  <si>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</si>
  <si>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</si>
  <si>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</si>
  <si>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</si>
  <si>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</si>
  <si>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</si>
  <si>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</si>
  <si>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</si>
  <si>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</si>
  <si>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</si>
  <si>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</si>
  <si>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</si>
  <si>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</si>
  <si>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</si>
  <si>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</si>
  <si>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</si>
  <si>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</si>
  <si>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</si>
  <si>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</si>
  <si>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</si>
  <si>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</si>
  <si>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</si>
  <si>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</si>
  <si>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</si>
  <si>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</si>
  <si>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</si>
  <si>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</si>
  <si>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</si>
  <si>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</si>
  <si>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</si>
  <si>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</si>
  <si>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</si>
  <si>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</si>
  <si>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</si>
  <si>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</si>
  <si>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</si>
  <si>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</si>
  <si>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</si>
  <si>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</si>
  <si>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</si>
  <si>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</si>
  <si>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</si>
  <si>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</si>
  <si>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</si>
  <si>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</si>
  <si>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 xml:space="preserve">Base period: </t>
  </si>
  <si>
    <t>Average</t>
  </si>
  <si>
    <t xml:space="preserve">Prospective rate period: </t>
  </si>
  <si>
    <t>CAF:</t>
  </si>
  <si>
    <t xml:space="preserve">DDS - Corporate Rep Payee - 3274 - Model Budget </t>
  </si>
  <si>
    <t>DDS - Corporate Rep Payee - 3274 - Model Budget - High Intensity</t>
  </si>
  <si>
    <t>Service Unit - Enrolled  Client Per Month</t>
  </si>
  <si>
    <t>Basic Intensity</t>
  </si>
  <si>
    <t>Moderate Intensity</t>
  </si>
  <si>
    <t>High Intensity</t>
  </si>
  <si>
    <t>Serving 1-15 clients per month</t>
  </si>
  <si>
    <t>Benchmark Salary</t>
  </si>
  <si>
    <t>Client Base</t>
  </si>
  <si>
    <t>Total Clients</t>
  </si>
  <si>
    <t>Position</t>
  </si>
  <si>
    <t>FTE</t>
  </si>
  <si>
    <t>Expense</t>
  </si>
  <si>
    <t>Benchmarked to DC Salary</t>
  </si>
  <si>
    <t>FTEs</t>
  </si>
  <si>
    <t>Total Program Staff</t>
  </si>
  <si>
    <t>Tax and Fringe</t>
  </si>
  <si>
    <t>Benchmark Expenses</t>
  </si>
  <si>
    <t>Total Compensation</t>
  </si>
  <si>
    <t>Occupancy</t>
  </si>
  <si>
    <t>Taxes &amp; Fringe</t>
  </si>
  <si>
    <t>Other Program Expenses Per client</t>
  </si>
  <si>
    <t>Admin. Allocation</t>
  </si>
  <si>
    <t>Total Reimb excl M&amp;G</t>
  </si>
  <si>
    <t>CAF Rate</t>
  </si>
  <si>
    <t>TOTAL</t>
  </si>
  <si>
    <t>Unit Rate</t>
  </si>
  <si>
    <t>Management</t>
  </si>
  <si>
    <t>Support</t>
  </si>
  <si>
    <t>Program Support</t>
  </si>
  <si>
    <t>Staff Training</t>
  </si>
  <si>
    <t>Master Data Look-up Table</t>
  </si>
  <si>
    <t>MRC Transition to Adulthood (TAP) - 2222</t>
  </si>
  <si>
    <t>Billable Hours</t>
  </si>
  <si>
    <t>Weeks</t>
  </si>
  <si>
    <t>Hours</t>
  </si>
  <si>
    <t>Total</t>
  </si>
  <si>
    <t>Benchmark Salaries</t>
  </si>
  <si>
    <t>Service Unit - Hour</t>
  </si>
  <si>
    <t>Total Hours</t>
  </si>
  <si>
    <t>Maximum Available DC Hours</t>
  </si>
  <si>
    <t>POSITION</t>
  </si>
  <si>
    <t>SALARY</t>
  </si>
  <si>
    <t>EXPENSE</t>
  </si>
  <si>
    <t>Non-direct service hours</t>
  </si>
  <si>
    <t>Vacation/Sick/Personal</t>
  </si>
  <si>
    <t>Holidays (10 Days)</t>
  </si>
  <si>
    <t>Supervision, Documentation)</t>
  </si>
  <si>
    <t>Subtotal non-direct hours</t>
  </si>
  <si>
    <t>Total Available Hours per DC FTE</t>
  </si>
  <si>
    <t>Total DC FTEs</t>
  </si>
  <si>
    <t>TOTAL PRODUCTIVE HOURS</t>
  </si>
  <si>
    <t>Total Other Expense</t>
  </si>
  <si>
    <t>Weighted Average FY16 Contract Data</t>
  </si>
  <si>
    <t>Direct Care Consultant</t>
  </si>
  <si>
    <t>Unit Rate - Per Hour</t>
  </si>
  <si>
    <t>Temporary help</t>
  </si>
  <si>
    <t>Staff Mileage/Travel</t>
  </si>
  <si>
    <t>Program Supplies and Materials</t>
  </si>
  <si>
    <t>Professional Fees and Other Admin. Expenses</t>
  </si>
  <si>
    <r>
      <t xml:space="preserve">Administration </t>
    </r>
    <r>
      <rPr>
        <sz val="10"/>
        <rFont val="Calibri"/>
        <family val="2"/>
      </rPr>
      <t xml:space="preserve">(Travel, Training, </t>
    </r>
  </si>
  <si>
    <t>Scaled to Average  Staffing Ratio from FY15 Contract Data</t>
  </si>
  <si>
    <t>Proportional to DC FTE (Average from FY16 Contract Data)</t>
  </si>
  <si>
    <t>DDS - Corporate Rep Payee - 3274 - Model Budget</t>
  </si>
  <si>
    <t>FY20</t>
  </si>
  <si>
    <t>FY21</t>
  </si>
  <si>
    <t>Total Tax &amp; Fringe</t>
  </si>
  <si>
    <t>Original Salary rebased with FY16 CAF</t>
  </si>
  <si>
    <t>Base FY18Q4-Prospective 7/1/18-6/30/20</t>
  </si>
  <si>
    <t>Benchmark FTEs</t>
  </si>
  <si>
    <t>Occupancy (Per DC FTE)</t>
  </si>
  <si>
    <t>Total Other Expense (Per DC FTE)</t>
  </si>
  <si>
    <t>Subtotal Compensation</t>
  </si>
  <si>
    <t>TOTAL COMPENSATION</t>
  </si>
  <si>
    <t>PFLMA</t>
  </si>
  <si>
    <t>PFMLA</t>
  </si>
  <si>
    <t>CAF for FY21</t>
  </si>
  <si>
    <t>CAF FY21</t>
  </si>
  <si>
    <t xml:space="preserve">  </t>
  </si>
  <si>
    <t>Proposed FY21 Rates</t>
  </si>
  <si>
    <t>LPN</t>
  </si>
  <si>
    <t>RN</t>
  </si>
  <si>
    <t>Direct Care</t>
  </si>
  <si>
    <t>Commonwealth FY20 Rate</t>
  </si>
  <si>
    <t>BLS /OES Massachusetts Median 2018</t>
  </si>
  <si>
    <t>IHS Markit, Fall 2019 Forecast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</si>
  <si>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</si>
  <si>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</si>
  <si>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</si>
  <si>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</si>
  <si>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</si>
  <si>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</si>
  <si>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</si>
  <si>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</si>
  <si>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</si>
  <si>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</si>
  <si>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</si>
  <si>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</si>
  <si>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</si>
  <si>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</si>
  <si>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Assumption for Rate Reviews that are to be promulgated  July 1, 2020</t>
  </si>
  <si>
    <t>FY20Q4</t>
  </si>
  <si>
    <t>FY21 - FY22</t>
  </si>
  <si>
    <t>Base FY20Q4-Prospective 7/1/20-6/30/22</t>
  </si>
  <si>
    <t>Benchmarked to Direct Care</t>
  </si>
  <si>
    <t>CAF</t>
  </si>
  <si>
    <t>Direct Care III</t>
  </si>
  <si>
    <t>Direct Care Productivity Chart</t>
  </si>
  <si>
    <t>Days</t>
  </si>
  <si>
    <t>Total Hours per FTE:</t>
  </si>
  <si>
    <t>Productivity Chart</t>
  </si>
  <si>
    <t>ALTR 101 CMR 420  Effective 7/1/20- 6/30/22</t>
  </si>
  <si>
    <t>Paid Time Off (PTO)</t>
  </si>
  <si>
    <t>Travel / Admin / Supervision / Training / Misc</t>
  </si>
  <si>
    <t>Master Look-Up Data - Corp Rep Payee</t>
  </si>
  <si>
    <t>DAY HAB SUPPORTS</t>
  </si>
  <si>
    <t>FY18 UFRs</t>
  </si>
  <si>
    <r>
      <t xml:space="preserve">Outliers, average, and weighted average are calculated from </t>
    </r>
    <r>
      <rPr>
        <i/>
        <sz val="11"/>
        <color rgb="FFFF0000"/>
        <rFont val="Calibri"/>
        <family val="2"/>
        <scheme val="minor"/>
      </rPr>
      <t>only those reporting expense in this category</t>
    </r>
    <r>
      <rPr>
        <sz val="11"/>
        <color rgb="FFFF0000"/>
        <rFont val="Calibri"/>
        <family val="2"/>
        <scheme val="minor"/>
      </rPr>
      <t xml:space="preserve">. No zero values are incorporated in these calculations. </t>
    </r>
  </si>
  <si>
    <t>Activity Code 2222 FY18 UFR Data</t>
  </si>
  <si>
    <t>18E</t>
  </si>
  <si>
    <t>19E</t>
  </si>
  <si>
    <t>22E</t>
  </si>
  <si>
    <t>23E</t>
  </si>
  <si>
    <t>24E</t>
  </si>
  <si>
    <t>25E</t>
  </si>
  <si>
    <t>33E</t>
  </si>
  <si>
    <t>35E</t>
  </si>
  <si>
    <t>42E</t>
  </si>
  <si>
    <t>43E</t>
  </si>
  <si>
    <t>44E</t>
  </si>
  <si>
    <t>48E</t>
  </si>
  <si>
    <t>Direct Care Consultant 201</t>
  </si>
  <si>
    <t>Temporary Help 202</t>
  </si>
  <si>
    <t>Staff Training 204</t>
  </si>
  <si>
    <t>Staff Mileage / Travel 205</t>
  </si>
  <si>
    <t>Meals 207</t>
  </si>
  <si>
    <t>Client Transportation 208</t>
  </si>
  <si>
    <t>Program Supplies &amp; Materials 215</t>
  </si>
  <si>
    <t>Other Expense</t>
  </si>
  <si>
    <t>Other Professional Fees &amp; Other Admin. Exp. 410</t>
  </si>
  <si>
    <t>Leased Office/Program Office Equip.410,390</t>
  </si>
  <si>
    <t>Office Equipment Depreciation 410</t>
  </si>
  <si>
    <t>Program Support 216</t>
  </si>
  <si>
    <t>OrganizationName</t>
  </si>
  <si>
    <t>Sum of FTE</t>
  </si>
  <si>
    <t>Sum of Actual</t>
  </si>
  <si>
    <t>Total Staff</t>
  </si>
  <si>
    <t>TOTALS</t>
  </si>
  <si>
    <t>17E</t>
  </si>
  <si>
    <t>Total Occupancy</t>
  </si>
  <si>
    <t>average pre-exclusions</t>
  </si>
  <si>
    <t>Wtg Avg</t>
  </si>
  <si>
    <r>
      <t>FY18 UFR - Wtg Avg</t>
    </r>
    <r>
      <rPr>
        <sz val="9"/>
        <rFont val="Calibri"/>
        <family val="2"/>
      </rPr>
      <t xml:space="preserve"> (Lines: 18E, 19E, 22E - 25E, 33E, 34E, 42E- 44E &amp; 48E)</t>
    </r>
  </si>
  <si>
    <t>Meals</t>
  </si>
  <si>
    <t>Client Transportation</t>
  </si>
  <si>
    <t>Other Expenses</t>
  </si>
  <si>
    <t>Leased Office/Program Office Equip &amp; Deprec</t>
  </si>
  <si>
    <r>
      <t xml:space="preserve">Note: </t>
    </r>
    <r>
      <rPr>
        <b/>
        <i/>
        <sz val="10.5"/>
        <rFont val="Calibri"/>
        <family val="2"/>
      </rPr>
      <t xml:space="preserve">TOTAL OTHER EXPENSE </t>
    </r>
    <r>
      <rPr>
        <sz val="10.5"/>
        <rFont val="Calibri"/>
        <family val="2"/>
      </rPr>
      <t xml:space="preserve">consists of the weighted average of all Reported FY18 UFR Expense Line Items </t>
    </r>
  </si>
  <si>
    <t>34E</t>
  </si>
  <si>
    <t>43E &amp; 44E</t>
  </si>
  <si>
    <t xml:space="preserve">Original Salary rebased </t>
  </si>
  <si>
    <t>Purchaser Reccomendation</t>
  </si>
  <si>
    <t xml:space="preserve">Original Expense rebased </t>
  </si>
  <si>
    <t>C.257 Benchmark FY21 &amp; FY22</t>
  </si>
  <si>
    <t>Training (Not OJT)</t>
  </si>
  <si>
    <t>Nursing Staff Productivity Chart</t>
  </si>
  <si>
    <t xml:space="preserve">Average from FY15 Contract Data </t>
  </si>
  <si>
    <t>Original Expense rebased with CAFs</t>
  </si>
  <si>
    <t>FY16 UFR - line 17E Wtg Avg with prior CAFs</t>
  </si>
  <si>
    <t>Hourly</t>
  </si>
  <si>
    <t>1/4 hour (15 Minute)</t>
  </si>
  <si>
    <t>Effective Oct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</si>
</sst>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0.000"/>
    <numFmt numFmtId="168" formatCode="\$#,##0"/>
    <numFmt numFmtId="169" formatCode="&quot;$&quot;#,##0.0000_);\(&quot;$&quot;#,##0.0000\)"/>
    <numFmt numFmtId="170" formatCode="0.00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7030A0"/>
      <name val="Calibri"/>
      <family val="2"/>
    </font>
    <font>
      <b/>
      <sz val="11"/>
      <color rgb="FF7030A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Calibri"/>
      <family val="2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charset val="129"/>
      <scheme val="minor"/>
    </font>
    <font>
      <sz val="10.5"/>
      <name val="Calibri"/>
      <family val="2"/>
    </font>
    <font>
      <b/>
      <i/>
      <sz val="10.5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u/>
      <sz val="11"/>
      <color indexed="12"/>
      <name val="Calibri"/>
      <family val="2"/>
      <charset val="1"/>
    </font>
    <font>
      <b/>
      <sz val="12"/>
      <color indexed="3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rgb="FF000000"/>
      <name val="Calibri"/>
      <family val="2"/>
    </font>
    <font>
      <b/>
      <u/>
      <sz val="9"/>
      <name val="Calibri"/>
      <family val="2"/>
    </font>
  </fonts>
  <fills count="7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7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5" fillId="0" borderId="0"/>
    <xf numFmtId="0" fontId="6" fillId="0" borderId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19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3" borderId="0" applyNumberFormat="0" applyBorder="0" applyAlignment="0" applyProtection="0"/>
    <xf numFmtId="0" fontId="32" fillId="17" borderId="0" applyNumberFormat="0" applyBorder="0" applyAlignment="0" applyProtection="0"/>
    <xf numFmtId="0" fontId="33" fillId="34" borderId="53" applyNumberFormat="0" applyAlignment="0" applyProtection="0"/>
    <xf numFmtId="0" fontId="34" fillId="35" borderId="54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8" borderId="0" applyNumberFormat="0" applyBorder="0" applyAlignment="0" applyProtection="0"/>
    <xf numFmtId="0" fontId="37" fillId="0" borderId="55" applyNumberFormat="0" applyFill="0" applyAlignment="0" applyProtection="0"/>
    <xf numFmtId="0" fontId="38" fillId="0" borderId="56" applyNumberFormat="0" applyFill="0" applyAlignment="0" applyProtection="0"/>
    <xf numFmtId="0" fontId="39" fillId="0" borderId="57" applyNumberFormat="0" applyFill="0" applyAlignment="0" applyProtection="0"/>
    <xf numFmtId="0" fontId="39" fillId="0" borderId="0" applyNumberFormat="0" applyFill="0" applyBorder="0" applyAlignment="0" applyProtection="0"/>
    <xf numFmtId="0" fontId="40" fillId="21" borderId="53" applyNumberFormat="0" applyAlignment="0" applyProtection="0"/>
    <xf numFmtId="0" fontId="41" fillId="0" borderId="58" applyNumberFormat="0" applyFill="0" applyAlignment="0" applyProtection="0"/>
    <xf numFmtId="0" fontId="42" fillId="36" borderId="0" applyNumberFormat="0" applyBorder="0" applyAlignment="0" applyProtection="0"/>
    <xf numFmtId="0" fontId="6" fillId="0" borderId="0"/>
    <xf numFmtId="0" fontId="18" fillId="0" borderId="0"/>
    <xf numFmtId="0" fontId="43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15" borderId="52" applyNumberFormat="0" applyFont="0" applyAlignment="0" applyProtection="0"/>
    <xf numFmtId="0" fontId="6" fillId="37" borderId="59" applyNumberFormat="0" applyFont="0" applyAlignment="0" applyProtection="0"/>
    <xf numFmtId="0" fontId="44" fillId="34" borderId="60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1" applyNumberFormat="0" applyFill="0" applyAlignment="0" applyProtection="0"/>
    <xf numFmtId="0" fontId="47" fillId="0" borderId="0" applyNumberForma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62" fillId="39" borderId="0" applyNumberFormat="0" applyBorder="0" applyAlignment="0" applyProtection="0"/>
    <xf numFmtId="0" fontId="63" fillId="0" borderId="70" applyNumberFormat="0" applyFont="0" applyProtection="0">
      <alignment wrapText="1"/>
    </xf>
    <xf numFmtId="0" fontId="33" fillId="34" borderId="53" applyNumberFormat="0" applyAlignment="0" applyProtection="0"/>
    <xf numFmtId="0" fontId="33" fillId="34" borderId="53" applyNumberFormat="0" applyAlignment="0" applyProtection="0"/>
    <xf numFmtId="41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71" applyNumberFormat="0" applyProtection="0">
      <alignment wrapText="1"/>
    </xf>
    <xf numFmtId="0" fontId="64" fillId="0" borderId="72" applyNumberFormat="0" applyProtection="0">
      <alignment wrapText="1"/>
    </xf>
    <xf numFmtId="0" fontId="53" fillId="0" borderId="65" applyNumberFormat="0" applyFill="0" applyAlignment="0" applyProtection="0"/>
    <xf numFmtId="0" fontId="37" fillId="0" borderId="55" applyNumberFormat="0" applyFill="0" applyAlignment="0" applyProtection="0"/>
    <xf numFmtId="0" fontId="54" fillId="0" borderId="66" applyNumberFormat="0" applyFill="0" applyAlignment="0" applyProtection="0"/>
    <xf numFmtId="0" fontId="38" fillId="0" borderId="56" applyNumberFormat="0" applyFill="0" applyAlignment="0" applyProtection="0"/>
    <xf numFmtId="0" fontId="55" fillId="0" borderId="67" applyNumberFormat="0" applyFill="0" applyAlignment="0" applyProtection="0"/>
    <xf numFmtId="0" fontId="39" fillId="0" borderId="57" applyNumberFormat="0" applyFill="0" applyAlignment="0" applyProtection="0"/>
    <xf numFmtId="0" fontId="5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0" fillId="21" borderId="53" applyNumberFormat="0" applyAlignment="0" applyProtection="0"/>
    <xf numFmtId="0" fontId="40" fillId="21" borderId="53" applyNumberFormat="0" applyAlignment="0" applyProtection="0"/>
    <xf numFmtId="0" fontId="56" fillId="0" borderId="68" applyNumberFormat="0" applyFill="0" applyAlignment="0" applyProtection="0"/>
    <xf numFmtId="0" fontId="41" fillId="0" borderId="58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28" fillId="0" borderId="0"/>
    <xf numFmtId="0" fontId="6" fillId="0" borderId="0"/>
    <xf numFmtId="0" fontId="1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49" fillId="0" borderId="0">
      <alignment vertical="top"/>
    </xf>
    <xf numFmtId="0" fontId="17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37" borderId="59" applyNumberFormat="0" applyFont="0" applyAlignment="0" applyProtection="0"/>
    <xf numFmtId="0" fontId="44" fillId="34" borderId="60" applyNumberFormat="0" applyAlignment="0" applyProtection="0"/>
    <xf numFmtId="0" fontId="44" fillId="34" borderId="60" applyNumberFormat="0" applyAlignment="0" applyProtection="0"/>
    <xf numFmtId="0" fontId="64" fillId="0" borderId="73" applyNumberFormat="0" applyProtection="0">
      <alignment wrapText="1"/>
    </xf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6" fillId="0" borderId="0" applyNumberFormat="0" applyProtection="0">
      <alignment horizontal="left"/>
    </xf>
    <xf numFmtId="0" fontId="45" fillId="0" borderId="0" applyNumberFormat="0" applyFill="0" applyBorder="0" applyAlignment="0" applyProtection="0"/>
    <xf numFmtId="0" fontId="24" fillId="0" borderId="69" applyNumberFormat="0" applyFill="0" applyAlignment="0" applyProtection="0"/>
    <xf numFmtId="0" fontId="46" fillId="0" borderId="61" applyNumberFormat="0" applyFill="0" applyAlignment="0" applyProtection="0"/>
    <xf numFmtId="0" fontId="3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3" fillId="0" borderId="65" applyNumberFormat="0" applyFill="0" applyAlignment="0" applyProtection="0"/>
    <xf numFmtId="0" fontId="54" fillId="0" borderId="66" applyNumberFormat="0" applyFill="0" applyAlignment="0" applyProtection="0"/>
    <xf numFmtId="0" fontId="55" fillId="0" borderId="67" applyNumberFormat="0" applyFill="0" applyAlignment="0" applyProtection="0"/>
    <xf numFmtId="0" fontId="55" fillId="0" borderId="0" applyNumberFormat="0" applyFill="0" applyBorder="0" applyAlignment="0" applyProtection="0"/>
    <xf numFmtId="0" fontId="67" fillId="43" borderId="0" applyNumberFormat="0" applyBorder="0" applyAlignment="0" applyProtection="0"/>
    <xf numFmtId="0" fontId="68" fillId="39" borderId="0" applyNumberFormat="0" applyBorder="0" applyAlignment="0" applyProtection="0"/>
    <xf numFmtId="0" fontId="69" fillId="44" borderId="0" applyNumberFormat="0" applyBorder="0" applyAlignment="0" applyProtection="0"/>
    <xf numFmtId="0" fontId="70" fillId="45" borderId="74" applyNumberFormat="0" applyAlignment="0" applyProtection="0"/>
    <xf numFmtId="0" fontId="71" fillId="46" borderId="75" applyNumberFormat="0" applyAlignment="0" applyProtection="0"/>
    <xf numFmtId="0" fontId="72" fillId="46" borderId="74" applyNumberFormat="0" applyAlignment="0" applyProtection="0"/>
    <xf numFmtId="0" fontId="56" fillId="0" borderId="68" applyNumberFormat="0" applyFill="0" applyAlignment="0" applyProtection="0"/>
    <xf numFmtId="0" fontId="73" fillId="47" borderId="76" applyNumberFormat="0" applyAlignment="0" applyProtection="0"/>
    <xf numFmtId="0" fontId="30" fillId="0" borderId="0" applyNumberFormat="0" applyFill="0" applyBorder="0" applyAlignment="0" applyProtection="0"/>
    <xf numFmtId="0" fontId="1" fillId="15" borderId="52" applyNumberFormat="0" applyFont="0" applyAlignment="0" applyProtection="0"/>
    <xf numFmtId="0" fontId="57" fillId="0" borderId="0" applyNumberFormat="0" applyFill="0" applyBorder="0" applyAlignment="0" applyProtection="0"/>
    <xf numFmtId="0" fontId="24" fillId="0" borderId="69" applyNumberFormat="0" applyFill="0" applyAlignment="0" applyProtection="0"/>
    <xf numFmtId="0" fontId="74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74" fillId="51" borderId="0" applyNumberFormat="0" applyBorder="0" applyAlignment="0" applyProtection="0"/>
    <xf numFmtId="0" fontId="74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74" fillId="55" borderId="0" applyNumberFormat="0" applyBorder="0" applyAlignment="0" applyProtection="0"/>
    <xf numFmtId="0" fontId="74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74" fillId="59" borderId="0" applyNumberFormat="0" applyBorder="0" applyAlignment="0" applyProtection="0"/>
    <xf numFmtId="0" fontId="74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74" fillId="63" borderId="0" applyNumberFormat="0" applyBorder="0" applyAlignment="0" applyProtection="0"/>
    <xf numFmtId="0" fontId="74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74" fillId="67" borderId="0" applyNumberFormat="0" applyBorder="0" applyAlignment="0" applyProtection="0"/>
    <xf numFmtId="0" fontId="74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74" fillId="71" borderId="0" applyNumberFormat="0" applyBorder="0" applyAlignment="0" applyProtection="0"/>
    <xf numFmtId="0" fontId="1" fillId="0" borderId="0"/>
    <xf numFmtId="0" fontId="43" fillId="0" borderId="0"/>
    <xf numFmtId="0" fontId="19" fillId="0" borderId="0"/>
    <xf numFmtId="0" fontId="19" fillId="0" borderId="0"/>
  </cellStyleXfs>
  <cellXfs count="451">
    <xf numFmtId="0" fontId="0" fillId="0" borderId="0" xfId="0"/>
    <xf numFmtId="0" fontId="16" fillId="0" borderId="0" xfId="0" applyFont="1" applyFill="1" applyBorder="1"/>
    <xf numFmtId="0" fontId="16" fillId="0" borderId="26" xfId="11" applyFont="1" applyFill="1" applyBorder="1" applyAlignment="1">
      <alignment horizontal="left"/>
    </xf>
    <xf numFmtId="0" fontId="16" fillId="0" borderId="26" xfId="11" applyFont="1" applyFill="1" applyBorder="1" applyAlignment="1"/>
    <xf numFmtId="0" fontId="16" fillId="0" borderId="28" xfId="11" applyFont="1" applyFill="1" applyBorder="1" applyAlignment="1">
      <alignment horizontal="left"/>
    </xf>
    <xf numFmtId="0" fontId="16" fillId="0" borderId="26" xfId="0" applyFont="1" applyFill="1" applyBorder="1" applyAlignment="1">
      <alignment horizontal="left"/>
    </xf>
    <xf numFmtId="0" fontId="20" fillId="9" borderId="23" xfId="0" applyFont="1" applyFill="1" applyBorder="1" applyAlignment="1">
      <alignment vertical="center"/>
    </xf>
    <xf numFmtId="0" fontId="20" fillId="9" borderId="42" xfId="0" applyFont="1" applyFill="1" applyBorder="1" applyAlignment="1">
      <alignment horizontal="center" vertical="center"/>
    </xf>
    <xf numFmtId="2" fontId="20" fillId="9" borderId="12" xfId="0" applyNumberFormat="1" applyFont="1" applyFill="1" applyBorder="1" applyAlignment="1">
      <alignment horizontal="right" vertical="center"/>
    </xf>
    <xf numFmtId="0" fontId="20" fillId="0" borderId="22" xfId="0" applyFont="1" applyFill="1" applyBorder="1" applyAlignment="1">
      <alignment horizontal="center" vertical="center"/>
    </xf>
    <xf numFmtId="0" fontId="20" fillId="8" borderId="45" xfId="0" applyFont="1" applyFill="1" applyBorder="1" applyAlignment="1">
      <alignment vertical="center"/>
    </xf>
    <xf numFmtId="3" fontId="20" fillId="8" borderId="43" xfId="0" applyNumberFormat="1" applyFont="1" applyFill="1" applyBorder="1" applyAlignment="1">
      <alignment horizontal="center" vertical="center"/>
    </xf>
    <xf numFmtId="3" fontId="20" fillId="8" borderId="46" xfId="0" applyNumberFormat="1" applyFont="1" applyFill="1" applyBorder="1" applyAlignment="1">
      <alignment horizontal="right" vertical="center"/>
    </xf>
    <xf numFmtId="0" fontId="21" fillId="8" borderId="31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8" borderId="32" xfId="0" applyFont="1" applyFill="1" applyBorder="1" applyAlignment="1">
      <alignment horizontal="center" vertical="center" wrapText="1"/>
    </xf>
    <xf numFmtId="0" fontId="21" fillId="8" borderId="33" xfId="0" applyFont="1" applyFill="1" applyBorder="1" applyAlignment="1">
      <alignment horizontal="right" vertical="center"/>
    </xf>
    <xf numFmtId="0" fontId="22" fillId="8" borderId="45" xfId="0" applyFont="1" applyFill="1" applyBorder="1" applyAlignment="1">
      <alignment vertical="center"/>
    </xf>
    <xf numFmtId="3" fontId="22" fillId="8" borderId="43" xfId="0" applyNumberFormat="1" applyFont="1" applyFill="1" applyBorder="1" applyAlignment="1">
      <alignment horizontal="center" vertical="center"/>
    </xf>
    <xf numFmtId="3" fontId="22" fillId="8" borderId="5" xfId="0" applyNumberFormat="1" applyFont="1" applyFill="1" applyBorder="1" applyAlignment="1">
      <alignment horizontal="center" vertical="center"/>
    </xf>
    <xf numFmtId="3" fontId="22" fillId="8" borderId="47" xfId="0" applyNumberFormat="1" applyFont="1" applyFill="1" applyBorder="1" applyAlignment="1">
      <alignment horizontal="right" vertical="center"/>
    </xf>
    <xf numFmtId="0" fontId="20" fillId="8" borderId="26" xfId="0" applyFont="1" applyFill="1" applyBorder="1" applyAlignment="1">
      <alignment horizontal="right" vertical="center"/>
    </xf>
    <xf numFmtId="3" fontId="20" fillId="8" borderId="39" xfId="0" applyNumberFormat="1" applyFont="1" applyFill="1" applyBorder="1" applyAlignment="1">
      <alignment horizontal="center" vertical="center"/>
    </xf>
    <xf numFmtId="3" fontId="20" fillId="8" borderId="7" xfId="0" applyNumberFormat="1" applyFont="1" applyFill="1" applyBorder="1" applyAlignment="1">
      <alignment horizontal="center" vertical="center"/>
    </xf>
    <xf numFmtId="3" fontId="20" fillId="8" borderId="38" xfId="0" applyNumberFormat="1" applyFont="1" applyFill="1" applyBorder="1" applyAlignment="1">
      <alignment horizontal="right" vertical="center"/>
    </xf>
    <xf numFmtId="0" fontId="20" fillId="8" borderId="26" xfId="0" applyFont="1" applyFill="1" applyBorder="1" applyAlignment="1">
      <alignment horizontal="right" vertical="center" wrapText="1"/>
    </xf>
    <xf numFmtId="3" fontId="20" fillId="8" borderId="38" xfId="0" applyNumberFormat="1" applyFont="1" applyFill="1" applyBorder="1" applyAlignment="1">
      <alignment horizontal="right" vertical="center" wrapText="1"/>
    </xf>
    <xf numFmtId="168" fontId="20" fillId="0" borderId="26" xfId="0" applyNumberFormat="1" applyFont="1" applyFill="1" applyBorder="1" applyAlignment="1">
      <alignment horizontal="left"/>
    </xf>
    <xf numFmtId="0" fontId="20" fillId="8" borderId="26" xfId="0" applyFont="1" applyFill="1" applyBorder="1" applyAlignment="1">
      <alignment horizontal="left" vertical="center" wrapText="1"/>
    </xf>
    <xf numFmtId="168" fontId="22" fillId="0" borderId="26" xfId="0" applyNumberFormat="1" applyFont="1" applyFill="1" applyBorder="1" applyAlignment="1">
      <alignment horizontal="left"/>
    </xf>
    <xf numFmtId="49" fontId="22" fillId="8" borderId="26" xfId="0" applyNumberFormat="1" applyFont="1" applyFill="1" applyBorder="1" applyAlignment="1">
      <alignment horizontal="right" vertical="center" wrapText="1"/>
    </xf>
    <xf numFmtId="3" fontId="22" fillId="8" borderId="39" xfId="0" applyNumberFormat="1" applyFont="1" applyFill="1" applyBorder="1" applyAlignment="1">
      <alignment horizontal="center" vertical="center"/>
    </xf>
    <xf numFmtId="3" fontId="22" fillId="8" borderId="0" xfId="0" applyNumberFormat="1" applyFont="1" applyFill="1" applyBorder="1" applyAlignment="1">
      <alignment horizontal="center" vertical="center"/>
    </xf>
    <xf numFmtId="3" fontId="22" fillId="8" borderId="38" xfId="0" applyNumberFormat="1" applyFont="1" applyFill="1" applyBorder="1" applyAlignment="1">
      <alignment horizontal="right" vertical="center" wrapText="1"/>
    </xf>
    <xf numFmtId="0" fontId="20" fillId="8" borderId="48" xfId="0" applyFont="1" applyFill="1" applyBorder="1" applyAlignment="1">
      <alignment horizontal="left" vertical="center"/>
    </xf>
    <xf numFmtId="3" fontId="20" fillId="8" borderId="40" xfId="0" applyNumberFormat="1" applyFont="1" applyFill="1" applyBorder="1" applyAlignment="1">
      <alignment horizontal="center" vertical="center"/>
    </xf>
    <xf numFmtId="3" fontId="20" fillId="8" borderId="41" xfId="0" applyNumberFormat="1" applyFont="1" applyFill="1" applyBorder="1" applyAlignment="1">
      <alignment horizontal="right" vertical="center"/>
    </xf>
    <xf numFmtId="0" fontId="20" fillId="8" borderId="28" xfId="0" applyFont="1" applyFill="1" applyBorder="1" applyAlignment="1">
      <alignment vertical="center"/>
    </xf>
    <xf numFmtId="3" fontId="22" fillId="8" borderId="16" xfId="0" applyNumberFormat="1" applyFont="1" applyFill="1" applyBorder="1" applyAlignment="1">
      <alignment horizontal="center" vertical="center"/>
    </xf>
    <xf numFmtId="3" fontId="22" fillId="8" borderId="29" xfId="0" applyNumberFormat="1" applyFont="1" applyFill="1" applyBorder="1" applyAlignment="1">
      <alignment horizontal="right" vertical="center"/>
    </xf>
    <xf numFmtId="0" fontId="20" fillId="8" borderId="26" xfId="0" applyFont="1" applyFill="1" applyBorder="1" applyAlignment="1">
      <alignment vertical="center"/>
    </xf>
    <xf numFmtId="4" fontId="20" fillId="8" borderId="0" xfId="1" applyNumberFormat="1" applyFont="1" applyFill="1" applyBorder="1" applyAlignment="1">
      <alignment horizontal="center" vertical="center"/>
    </xf>
    <xf numFmtId="4" fontId="20" fillId="8" borderId="13" xfId="1" applyNumberFormat="1" applyFont="1" applyFill="1" applyBorder="1" applyAlignment="1">
      <alignment horizontal="right" vertical="center"/>
    </xf>
    <xf numFmtId="0" fontId="22" fillId="0" borderId="26" xfId="0" applyFont="1" applyFill="1" applyBorder="1" applyAlignment="1">
      <alignment horizontal="left"/>
    </xf>
    <xf numFmtId="0" fontId="20" fillId="8" borderId="17" xfId="0" applyFont="1" applyFill="1" applyBorder="1" applyAlignment="1">
      <alignment vertical="center"/>
    </xf>
    <xf numFmtId="43" fontId="20" fillId="8" borderId="18" xfId="0" applyNumberFormat="1" applyFont="1" applyFill="1" applyBorder="1" applyAlignment="1">
      <alignment horizontal="center" vertical="center"/>
    </xf>
    <xf numFmtId="2" fontId="20" fillId="8" borderId="18" xfId="0" applyNumberFormat="1" applyFont="1" applyFill="1" applyBorder="1" applyAlignment="1">
      <alignment horizontal="center" vertical="center"/>
    </xf>
    <xf numFmtId="3" fontId="20" fillId="8" borderId="19" xfId="0" applyNumberFormat="1" applyFont="1" applyFill="1" applyBorder="1" applyAlignment="1">
      <alignment horizontal="right" vertical="center"/>
    </xf>
    <xf numFmtId="7" fontId="20" fillId="0" borderId="0" xfId="0" applyNumberFormat="1" applyFont="1" applyFill="1" applyBorder="1"/>
    <xf numFmtId="0" fontId="0" fillId="0" borderId="0" xfId="0" applyFill="1"/>
    <xf numFmtId="164" fontId="2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 applyBorder="1" applyAlignment="1">
      <alignment horizontal="center"/>
    </xf>
    <xf numFmtId="10" fontId="0" fillId="0" borderId="0" xfId="0" applyNumberFormat="1"/>
    <xf numFmtId="44" fontId="15" fillId="0" borderId="0" xfId="2" applyFont="1" applyFill="1" applyBorder="1"/>
    <xf numFmtId="0" fontId="0" fillId="0" borderId="13" xfId="0" applyBorder="1"/>
    <xf numFmtId="0" fontId="0" fillId="0" borderId="20" xfId="0" applyBorder="1"/>
    <xf numFmtId="0" fontId="2" fillId="0" borderId="21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2" fillId="0" borderId="26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3" xfId="0" applyFont="1" applyBorder="1"/>
    <xf numFmtId="14" fontId="26" fillId="0" borderId="0" xfId="0" applyNumberFormat="1" applyFont="1" applyBorder="1" applyAlignment="1">
      <alignment horizontal="left"/>
    </xf>
    <xf numFmtId="0" fontId="4" fillId="0" borderId="26" xfId="0" applyFont="1" applyBorder="1"/>
    <xf numFmtId="0" fontId="5" fillId="0" borderId="50" xfId="0" applyFont="1" applyBorder="1" applyAlignment="1">
      <alignment horizontal="right"/>
    </xf>
    <xf numFmtId="0" fontId="0" fillId="0" borderId="0" xfId="0" applyBorder="1"/>
    <xf numFmtId="0" fontId="0" fillId="0" borderId="26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14" xfId="0" applyBorder="1"/>
    <xf numFmtId="168" fontId="15" fillId="0" borderId="0" xfId="1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6" fillId="5" borderId="0" xfId="0" applyFont="1" applyFill="1" applyBorder="1"/>
    <xf numFmtId="0" fontId="15" fillId="0" borderId="0" xfId="11" applyFont="1" applyFill="1" applyBorder="1" applyAlignment="1">
      <alignment horizontal="center"/>
    </xf>
    <xf numFmtId="0" fontId="15" fillId="0" borderId="23" xfId="12" applyFont="1" applyFill="1" applyBorder="1"/>
    <xf numFmtId="3" fontId="15" fillId="0" borderId="25" xfId="12" applyNumberFormat="1" applyFont="1" applyFill="1" applyBorder="1" applyAlignment="1">
      <alignment horizontal="center"/>
    </xf>
    <xf numFmtId="0" fontId="15" fillId="5" borderId="23" xfId="12" applyFont="1" applyFill="1" applyBorder="1"/>
    <xf numFmtId="3" fontId="15" fillId="5" borderId="25" xfId="12" applyNumberFormat="1" applyFont="1" applyFill="1" applyBorder="1" applyAlignment="1">
      <alignment horizontal="center"/>
    </xf>
    <xf numFmtId="5" fontId="16" fillId="0" borderId="13" xfId="11" applyNumberFormat="1" applyFont="1" applyFill="1" applyBorder="1" applyAlignment="1">
      <alignment horizontal="center"/>
    </xf>
    <xf numFmtId="0" fontId="16" fillId="0" borderId="27" xfId="11" applyFont="1" applyFill="1" applyBorder="1" applyAlignment="1">
      <alignment horizontal="left"/>
    </xf>
    <xf numFmtId="0" fontId="16" fillId="0" borderId="0" xfId="11" applyFont="1" applyFill="1" applyBorder="1" applyAlignment="1">
      <alignment horizontal="left"/>
    </xf>
    <xf numFmtId="0" fontId="15" fillId="0" borderId="28" xfId="12" applyFont="1" applyFill="1" applyBorder="1"/>
    <xf numFmtId="0" fontId="15" fillId="0" borderId="16" xfId="12" applyFont="1" applyFill="1" applyBorder="1" applyAlignment="1">
      <alignment horizontal="center"/>
    </xf>
    <xf numFmtId="0" fontId="15" fillId="0" borderId="29" xfId="12" applyFont="1" applyFill="1" applyBorder="1" applyAlignment="1">
      <alignment horizontal="center"/>
    </xf>
    <xf numFmtId="0" fontId="15" fillId="5" borderId="28" xfId="12" applyFont="1" applyFill="1" applyBorder="1"/>
    <xf numFmtId="0" fontId="15" fillId="5" borderId="16" xfId="12" applyFont="1" applyFill="1" applyBorder="1" applyAlignment="1">
      <alignment horizontal="center"/>
    </xf>
    <xf numFmtId="0" fontId="15" fillId="5" borderId="29" xfId="12" applyFont="1" applyFill="1" applyBorder="1" applyAlignment="1">
      <alignment horizontal="center"/>
    </xf>
    <xf numFmtId="6" fontId="16" fillId="0" borderId="0" xfId="12" applyNumberFormat="1" applyFont="1" applyFill="1" applyBorder="1"/>
    <xf numFmtId="4" fontId="16" fillId="0" borderId="0" xfId="12" applyNumberFormat="1" applyFont="1" applyFill="1" applyBorder="1" applyAlignment="1">
      <alignment horizontal="center"/>
    </xf>
    <xf numFmtId="6" fontId="16" fillId="0" borderId="13" xfId="12" applyNumberFormat="1" applyFont="1" applyFill="1" applyBorder="1"/>
    <xf numFmtId="0" fontId="16" fillId="5" borderId="26" xfId="11" applyFont="1" applyFill="1" applyBorder="1" applyAlignment="1"/>
    <xf numFmtId="42" fontId="16" fillId="5" borderId="0" xfId="12" applyNumberFormat="1" applyFont="1" applyFill="1" applyBorder="1"/>
    <xf numFmtId="4" fontId="16" fillId="5" borderId="0" xfId="12" applyNumberFormat="1" applyFont="1" applyFill="1" applyBorder="1"/>
    <xf numFmtId="42" fontId="16" fillId="5" borderId="13" xfId="12" applyNumberFormat="1" applyFont="1" applyFill="1" applyBorder="1"/>
    <xf numFmtId="5" fontId="16" fillId="0" borderId="29" xfId="11" applyNumberFormat="1" applyFont="1" applyFill="1" applyBorder="1" applyAlignment="1">
      <alignment horizontal="center"/>
    </xf>
    <xf numFmtId="2" fontId="16" fillId="0" borderId="13" xfId="11" applyNumberFormat="1" applyFont="1" applyFill="1" applyBorder="1" applyAlignment="1">
      <alignment horizontal="center"/>
    </xf>
    <xf numFmtId="0" fontId="15" fillId="0" borderId="31" xfId="12" applyFont="1" applyFill="1" applyBorder="1"/>
    <xf numFmtId="0" fontId="15" fillId="0" borderId="32" xfId="12" applyFont="1" applyFill="1" applyBorder="1"/>
    <xf numFmtId="4" fontId="15" fillId="0" borderId="32" xfId="12" applyNumberFormat="1" applyFont="1" applyFill="1" applyBorder="1" applyAlignment="1">
      <alignment horizontal="center"/>
    </xf>
    <xf numFmtId="6" fontId="15" fillId="0" borderId="33" xfId="12" applyNumberFormat="1" applyFont="1" applyFill="1" applyBorder="1"/>
    <xf numFmtId="0" fontId="15" fillId="5" borderId="31" xfId="12" applyFont="1" applyFill="1" applyBorder="1"/>
    <xf numFmtId="0" fontId="15" fillId="5" borderId="32" xfId="12" applyFont="1" applyFill="1" applyBorder="1"/>
    <xf numFmtId="4" fontId="15" fillId="5" borderId="32" xfId="12" applyNumberFormat="1" applyFont="1" applyFill="1" applyBorder="1"/>
    <xf numFmtId="42" fontId="15" fillId="5" borderId="33" xfId="12" applyNumberFormat="1" applyFont="1" applyFill="1" applyBorder="1"/>
    <xf numFmtId="0" fontId="15" fillId="0" borderId="26" xfId="12" applyFont="1" applyFill="1" applyBorder="1"/>
    <xf numFmtId="0" fontId="16" fillId="0" borderId="0" xfId="12" applyFont="1" applyFill="1" applyBorder="1"/>
    <xf numFmtId="0" fontId="15" fillId="0" borderId="0" xfId="12" applyFont="1" applyFill="1" applyBorder="1" applyAlignment="1">
      <alignment horizontal="center"/>
    </xf>
    <xf numFmtId="0" fontId="15" fillId="5" borderId="26" xfId="12" applyFont="1" applyFill="1" applyBorder="1"/>
    <xf numFmtId="0" fontId="16" fillId="5" borderId="0" xfId="12" applyFont="1" applyFill="1" applyBorder="1"/>
    <xf numFmtId="0" fontId="15" fillId="5" borderId="0" xfId="12" applyFont="1" applyFill="1" applyBorder="1"/>
    <xf numFmtId="0" fontId="16" fillId="5" borderId="13" xfId="12" applyFont="1" applyFill="1" applyBorder="1"/>
    <xf numFmtId="2" fontId="16" fillId="0" borderId="29" xfId="11" applyNumberFormat="1" applyFont="1" applyFill="1" applyBorder="1" applyAlignment="1">
      <alignment horizontal="center"/>
    </xf>
    <xf numFmtId="0" fontId="16" fillId="0" borderId="26" xfId="12" applyFont="1" applyFill="1" applyBorder="1"/>
    <xf numFmtId="10" fontId="16" fillId="0" borderId="0" xfId="12" applyNumberFormat="1" applyFont="1" applyFill="1" applyBorder="1"/>
    <xf numFmtId="0" fontId="16" fillId="0" borderId="0" xfId="12" applyFont="1" applyFill="1" applyBorder="1" applyAlignment="1">
      <alignment horizontal="center"/>
    </xf>
    <xf numFmtId="0" fontId="16" fillId="5" borderId="26" xfId="12" applyFont="1" applyFill="1" applyBorder="1"/>
    <xf numFmtId="10" fontId="16" fillId="5" borderId="0" xfId="12" applyNumberFormat="1" applyFont="1" applyFill="1" applyBorder="1"/>
    <xf numFmtId="44" fontId="15" fillId="0" borderId="32" xfId="12" applyNumberFormat="1" applyFont="1" applyFill="1" applyBorder="1" applyAlignment="1">
      <alignment horizontal="center"/>
    </xf>
    <xf numFmtId="44" fontId="15" fillId="5" borderId="32" xfId="12" applyNumberFormat="1" applyFont="1" applyFill="1" applyBorder="1"/>
    <xf numFmtId="44" fontId="15" fillId="0" borderId="0" xfId="12" applyNumberFormat="1" applyFont="1" applyFill="1" applyBorder="1" applyAlignment="1">
      <alignment horizontal="center"/>
    </xf>
    <xf numFmtId="6" fontId="15" fillId="0" borderId="13" xfId="12" applyNumberFormat="1" applyFont="1" applyFill="1" applyBorder="1"/>
    <xf numFmtId="44" fontId="15" fillId="5" borderId="0" xfId="12" applyNumberFormat="1" applyFont="1" applyFill="1" applyBorder="1"/>
    <xf numFmtId="42" fontId="15" fillId="5" borderId="13" xfId="12" applyNumberFormat="1" applyFont="1" applyFill="1" applyBorder="1"/>
    <xf numFmtId="0" fontId="15" fillId="0" borderId="0" xfId="12" applyFont="1" applyFill="1" applyBorder="1"/>
    <xf numFmtId="10" fontId="16" fillId="0" borderId="13" xfId="13" applyNumberFormat="1" applyFont="1" applyFill="1" applyBorder="1" applyAlignment="1">
      <alignment horizontal="center"/>
    </xf>
    <xf numFmtId="42" fontId="16" fillId="0" borderId="0" xfId="12" applyNumberFormat="1" applyFont="1" applyFill="1" applyBorder="1"/>
    <xf numFmtId="166" fontId="16" fillId="5" borderId="13" xfId="12" applyNumberFormat="1" applyFont="1" applyFill="1" applyBorder="1"/>
    <xf numFmtId="0" fontId="16" fillId="0" borderId="26" xfId="12" applyFont="1" applyFill="1" applyBorder="1" applyAlignment="1">
      <alignment horizontal="left"/>
    </xf>
    <xf numFmtId="7" fontId="16" fillId="0" borderId="13" xfId="11" applyNumberFormat="1" applyFont="1" applyFill="1" applyBorder="1" applyAlignment="1">
      <alignment horizontal="center"/>
    </xf>
    <xf numFmtId="0" fontId="15" fillId="0" borderId="32" xfId="12" applyFont="1" applyFill="1" applyBorder="1" applyAlignment="1">
      <alignment horizontal="center"/>
    </xf>
    <xf numFmtId="10" fontId="16" fillId="0" borderId="13" xfId="14" applyNumberFormat="1" applyFont="1" applyFill="1" applyBorder="1" applyAlignment="1">
      <alignment horizontal="center"/>
    </xf>
    <xf numFmtId="0" fontId="16" fillId="0" borderId="34" xfId="11" applyFont="1" applyFill="1" applyBorder="1" applyAlignment="1">
      <alignment horizontal="left"/>
    </xf>
    <xf numFmtId="0" fontId="15" fillId="0" borderId="35" xfId="12" applyFont="1" applyFill="1" applyBorder="1"/>
    <xf numFmtId="0" fontId="16" fillId="0" borderId="4" xfId="12" applyFont="1" applyFill="1" applyBorder="1"/>
    <xf numFmtId="0" fontId="16" fillId="0" borderId="4" xfId="12" applyFont="1" applyFill="1" applyBorder="1" applyAlignment="1">
      <alignment horizontal="center"/>
    </xf>
    <xf numFmtId="6" fontId="15" fillId="0" borderId="36" xfId="12" applyNumberFormat="1" applyFont="1" applyFill="1" applyBorder="1"/>
    <xf numFmtId="0" fontId="15" fillId="5" borderId="35" xfId="12" applyFont="1" applyFill="1" applyBorder="1"/>
    <xf numFmtId="0" fontId="16" fillId="5" borderId="4" xfId="12" applyFont="1" applyFill="1" applyBorder="1"/>
    <xf numFmtId="42" fontId="15" fillId="5" borderId="36" xfId="12" applyNumberFormat="1" applyFont="1" applyFill="1" applyBorder="1"/>
    <xf numFmtId="166" fontId="16" fillId="5" borderId="13" xfId="15" applyNumberFormat="1" applyFont="1" applyFill="1" applyBorder="1"/>
    <xf numFmtId="0" fontId="15" fillId="0" borderId="20" xfId="12" applyFont="1" applyFill="1" applyBorder="1"/>
    <xf numFmtId="44" fontId="15" fillId="0" borderId="3" xfId="12" applyNumberFormat="1" applyFont="1" applyFill="1" applyBorder="1"/>
    <xf numFmtId="44" fontId="15" fillId="0" borderId="3" xfId="15" applyFont="1" applyFill="1" applyBorder="1" applyAlignment="1">
      <alignment horizontal="center"/>
    </xf>
    <xf numFmtId="8" fontId="15" fillId="2" borderId="14" xfId="15" applyNumberFormat="1" applyFont="1" applyFill="1" applyBorder="1"/>
    <xf numFmtId="0" fontId="15" fillId="5" borderId="20" xfId="12" applyFont="1" applyFill="1" applyBorder="1"/>
    <xf numFmtId="44" fontId="15" fillId="5" borderId="3" xfId="12" applyNumberFormat="1" applyFont="1" applyFill="1" applyBorder="1"/>
    <xf numFmtId="44" fontId="15" fillId="5" borderId="3" xfId="15" applyFont="1" applyFill="1" applyBorder="1"/>
    <xf numFmtId="44" fontId="15" fillId="5" borderId="14" xfId="15" applyFont="1" applyFill="1" applyBorder="1"/>
    <xf numFmtId="44" fontId="16" fillId="0" borderId="0" xfId="0" applyNumberFormat="1" applyFont="1" applyFill="1" applyBorder="1"/>
    <xf numFmtId="44" fontId="16" fillId="0" borderId="0" xfId="0" applyNumberFormat="1" applyFont="1" applyFill="1" applyBorder="1" applyAlignment="1">
      <alignment horizontal="center"/>
    </xf>
    <xf numFmtId="0" fontId="7" fillId="3" borderId="11" xfId="94" applyFont="1" applyFill="1" applyBorder="1"/>
    <xf numFmtId="0" fontId="8" fillId="3" borderId="12" xfId="94" applyFont="1" applyFill="1" applyBorder="1"/>
    <xf numFmtId="0" fontId="6" fillId="0" borderId="0" xfId="94"/>
    <xf numFmtId="0" fontId="8" fillId="3" borderId="0" xfId="94" applyFont="1" applyFill="1" applyBorder="1"/>
    <xf numFmtId="0" fontId="9" fillId="3" borderId="13" xfId="94" applyFont="1" applyFill="1" applyBorder="1"/>
    <xf numFmtId="0" fontId="10" fillId="3" borderId="3" xfId="94" applyFont="1" applyFill="1" applyBorder="1"/>
    <xf numFmtId="0" fontId="9" fillId="3" borderId="14" xfId="94" applyFont="1" applyFill="1" applyBorder="1"/>
    <xf numFmtId="0" fontId="9" fillId="0" borderId="0" xfId="94" applyFont="1"/>
    <xf numFmtId="0" fontId="11" fillId="10" borderId="0" xfId="95" applyFont="1" applyFill="1"/>
    <xf numFmtId="0" fontId="11" fillId="11" borderId="0" xfId="95" applyFont="1" applyFill="1"/>
    <xf numFmtId="0" fontId="11" fillId="4" borderId="0" xfId="95" applyFont="1" applyFill="1"/>
    <xf numFmtId="0" fontId="11" fillId="38" borderId="0" xfId="95" applyFont="1" applyFill="1"/>
    <xf numFmtId="14" fontId="9" fillId="0" borderId="0" xfId="94" applyNumberFormat="1" applyFont="1"/>
    <xf numFmtId="167" fontId="6" fillId="0" borderId="0" xfId="94" applyNumberFormat="1"/>
    <xf numFmtId="0" fontId="6" fillId="0" borderId="62" xfId="94" applyBorder="1"/>
    <xf numFmtId="0" fontId="6" fillId="0" borderId="63" xfId="94" applyBorder="1"/>
    <xf numFmtId="0" fontId="6" fillId="0" borderId="18" xfId="94" applyBorder="1"/>
    <xf numFmtId="0" fontId="6" fillId="0" borderId="19" xfId="94" applyBorder="1"/>
    <xf numFmtId="2" fontId="6" fillId="0" borderId="0" xfId="94" applyNumberFormat="1"/>
    <xf numFmtId="0" fontId="6" fillId="0" borderId="0" xfId="94" applyBorder="1"/>
    <xf numFmtId="0" fontId="9" fillId="0" borderId="0" xfId="81" applyFont="1"/>
    <xf numFmtId="0" fontId="6" fillId="0" borderId="0" xfId="81"/>
    <xf numFmtId="0" fontId="12" fillId="0" borderId="0" xfId="81" applyFont="1"/>
    <xf numFmtId="0" fontId="13" fillId="0" borderId="0" xfId="81" applyFont="1"/>
    <xf numFmtId="0" fontId="6" fillId="0" borderId="5" xfId="81" applyBorder="1"/>
    <xf numFmtId="0" fontId="6" fillId="0" borderId="15" xfId="81" applyBorder="1"/>
    <xf numFmtId="0" fontId="6" fillId="0" borderId="6" xfId="81" applyBorder="1"/>
    <xf numFmtId="0" fontId="6" fillId="0" borderId="7" xfId="81" applyBorder="1"/>
    <xf numFmtId="0" fontId="6" fillId="0" borderId="0" xfId="81" applyBorder="1" applyAlignment="1">
      <alignment horizontal="right"/>
    </xf>
    <xf numFmtId="0" fontId="6" fillId="0" borderId="0" xfId="81" applyBorder="1"/>
    <xf numFmtId="0" fontId="6" fillId="0" borderId="8" xfId="81" applyBorder="1"/>
    <xf numFmtId="0" fontId="14" fillId="0" borderId="8" xfId="81" applyFont="1" applyBorder="1" applyAlignment="1">
      <alignment horizontal="center"/>
    </xf>
    <xf numFmtId="167" fontId="6" fillId="0" borderId="62" xfId="94" applyNumberFormat="1" applyBorder="1"/>
    <xf numFmtId="0" fontId="6" fillId="0" borderId="64" xfId="81" applyBorder="1"/>
    <xf numFmtId="167" fontId="6" fillId="0" borderId="8" xfId="81" applyNumberFormat="1" applyBorder="1" applyAlignment="1">
      <alignment horizontal="center"/>
    </xf>
    <xf numFmtId="0" fontId="6" fillId="0" borderId="8" xfId="81" applyBorder="1" applyAlignment="1">
      <alignment horizontal="center"/>
    </xf>
    <xf numFmtId="0" fontId="9" fillId="2" borderId="0" xfId="81" applyFont="1" applyFill="1" applyBorder="1" applyAlignment="1">
      <alignment horizontal="right"/>
    </xf>
    <xf numFmtId="10" fontId="9" fillId="2" borderId="8" xfId="96" applyNumberFormat="1" applyFont="1" applyFill="1" applyBorder="1" applyAlignment="1">
      <alignment horizontal="center"/>
    </xf>
    <xf numFmtId="0" fontId="6" fillId="0" borderId="9" xfId="81" applyBorder="1"/>
    <xf numFmtId="0" fontId="6" fillId="0" borderId="16" xfId="81" applyBorder="1"/>
    <xf numFmtId="0" fontId="6" fillId="0" borderId="10" xfId="81" applyBorder="1"/>
    <xf numFmtId="0" fontId="4" fillId="0" borderId="0" xfId="0" applyFont="1"/>
    <xf numFmtId="49" fontId="20" fillId="0" borderId="0" xfId="0" applyNumberFormat="1" applyFont="1" applyFill="1" applyBorder="1" applyAlignment="1">
      <alignment horizontal="left"/>
    </xf>
    <xf numFmtId="0" fontId="22" fillId="0" borderId="0" xfId="0" applyFont="1" applyFill="1" applyBorder="1"/>
    <xf numFmtId="49" fontId="22" fillId="0" borderId="0" xfId="0" applyNumberFormat="1" applyFont="1" applyFill="1" applyBorder="1" applyAlignment="1">
      <alignment horizontal="right"/>
    </xf>
    <xf numFmtId="0" fontId="21" fillId="8" borderId="23" xfId="0" applyFont="1" applyFill="1" applyBorder="1" applyAlignment="1">
      <alignment horizontal="left"/>
    </xf>
    <xf numFmtId="3" fontId="21" fillId="8" borderId="25" xfId="0" applyNumberFormat="1" applyFont="1" applyFill="1" applyBorder="1" applyAlignment="1"/>
    <xf numFmtId="0" fontId="22" fillId="0" borderId="26" xfId="0" applyFont="1" applyFill="1" applyBorder="1" applyAlignment="1">
      <alignment vertical="center"/>
    </xf>
    <xf numFmtId="164" fontId="22" fillId="0" borderId="13" xfId="0" applyNumberFormat="1" applyFont="1" applyFill="1" applyBorder="1" applyAlignment="1">
      <alignment horizontal="right"/>
    </xf>
    <xf numFmtId="49" fontId="22" fillId="0" borderId="27" xfId="0" applyNumberFormat="1" applyFont="1" applyFill="1" applyBorder="1" applyAlignment="1"/>
    <xf numFmtId="0" fontId="22" fillId="0" borderId="26" xfId="0" applyFont="1" applyFill="1" applyBorder="1"/>
    <xf numFmtId="0" fontId="23" fillId="8" borderId="26" xfId="0" applyFont="1" applyFill="1" applyBorder="1"/>
    <xf numFmtId="5" fontId="23" fillId="8" borderId="0" xfId="0" applyNumberFormat="1" applyFont="1" applyFill="1" applyBorder="1"/>
    <xf numFmtId="39" fontId="23" fillId="8" borderId="0" xfId="0" applyNumberFormat="1" applyFont="1" applyFill="1" applyBorder="1" applyAlignment="1">
      <alignment horizontal="center"/>
    </xf>
    <xf numFmtId="5" fontId="23" fillId="8" borderId="13" xfId="0" applyNumberFormat="1" applyFont="1" applyFill="1" applyBorder="1"/>
    <xf numFmtId="0" fontId="22" fillId="0" borderId="28" xfId="0" applyFont="1" applyFill="1" applyBorder="1"/>
    <xf numFmtId="164" fontId="22" fillId="0" borderId="29" xfId="0" applyNumberFormat="1" applyFont="1" applyFill="1" applyBorder="1" applyAlignment="1">
      <alignment horizontal="right"/>
    </xf>
    <xf numFmtId="49" fontId="22" fillId="0" borderId="30" xfId="0" applyNumberFormat="1" applyFont="1" applyFill="1" applyBorder="1" applyAlignment="1"/>
    <xf numFmtId="1" fontId="20" fillId="0" borderId="13" xfId="0" applyNumberFormat="1" applyFont="1" applyFill="1" applyBorder="1" applyAlignment="1">
      <alignment horizontal="right"/>
    </xf>
    <xf numFmtId="4" fontId="22" fillId="0" borderId="13" xfId="0" applyNumberFormat="1" applyFont="1" applyFill="1" applyBorder="1" applyAlignment="1">
      <alignment horizontal="right"/>
    </xf>
    <xf numFmtId="4" fontId="22" fillId="0" borderId="29" xfId="0" applyNumberFormat="1" applyFont="1" applyFill="1" applyBorder="1" applyAlignment="1">
      <alignment horizontal="right"/>
    </xf>
    <xf numFmtId="0" fontId="22" fillId="0" borderId="27" xfId="0" applyFont="1" applyFill="1" applyBorder="1" applyAlignment="1">
      <alignment horizontal="left"/>
    </xf>
    <xf numFmtId="10" fontId="22" fillId="0" borderId="13" xfId="0" applyNumberFormat="1" applyFont="1" applyFill="1" applyBorder="1" applyAlignment="1">
      <alignment horizontal="right" vertical="center"/>
    </xf>
    <xf numFmtId="0" fontId="21" fillId="8" borderId="26" xfId="0" applyFont="1" applyFill="1" applyBorder="1"/>
    <xf numFmtId="164" fontId="21" fillId="8" borderId="13" xfId="2" applyNumberFormat="1" applyFont="1" applyFill="1" applyBorder="1"/>
    <xf numFmtId="0" fontId="22" fillId="0" borderId="0" xfId="0" applyFont="1" applyFill="1" applyBorder="1" applyAlignment="1">
      <alignment horizontal="center"/>
    </xf>
    <xf numFmtId="10" fontId="22" fillId="0" borderId="0" xfId="3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49" fontId="20" fillId="0" borderId="0" xfId="0" applyNumberFormat="1" applyFont="1" applyFill="1" applyBorder="1" applyAlignment="1">
      <alignment horizontal="right"/>
    </xf>
    <xf numFmtId="10" fontId="22" fillId="0" borderId="0" xfId="14" applyNumberFormat="1" applyFont="1" applyFill="1" applyBorder="1" applyAlignment="1">
      <alignment horizontal="right"/>
    </xf>
    <xf numFmtId="49" fontId="22" fillId="0" borderId="0" xfId="0" applyNumberFormat="1" applyFont="1" applyFill="1" applyBorder="1" applyAlignment="1"/>
    <xf numFmtId="0" fontId="51" fillId="0" borderId="21" xfId="0" applyFont="1" applyFill="1" applyBorder="1"/>
    <xf numFmtId="10" fontId="51" fillId="0" borderId="11" xfId="14" applyNumberFormat="1" applyFont="1" applyFill="1" applyBorder="1" applyAlignment="1">
      <alignment horizontal="right"/>
    </xf>
    <xf numFmtId="49" fontId="51" fillId="0" borderId="12" xfId="0" applyNumberFormat="1" applyFont="1" applyFill="1" applyBorder="1" applyAlignment="1"/>
    <xf numFmtId="0" fontId="51" fillId="0" borderId="26" xfId="0" applyFont="1" applyFill="1" applyBorder="1"/>
    <xf numFmtId="10" fontId="51" fillId="0" borderId="0" xfId="14" applyNumberFormat="1" applyFont="1" applyFill="1" applyBorder="1" applyAlignment="1">
      <alignment horizontal="right"/>
    </xf>
    <xf numFmtId="49" fontId="51" fillId="0" borderId="13" xfId="0" applyNumberFormat="1" applyFont="1" applyFill="1" applyBorder="1" applyAlignment="1"/>
    <xf numFmtId="0" fontId="21" fillId="8" borderId="0" xfId="0" applyFont="1" applyFill="1" applyBorder="1"/>
    <xf numFmtId="10" fontId="51" fillId="0" borderId="0" xfId="14" applyNumberFormat="1" applyFont="1" applyFill="1" applyBorder="1" applyAlignment="1"/>
    <xf numFmtId="0" fontId="21" fillId="8" borderId="48" xfId="0" applyFont="1" applyFill="1" applyBorder="1"/>
    <xf numFmtId="164" fontId="21" fillId="8" borderId="40" xfId="0" applyNumberFormat="1" applyFont="1" applyFill="1" applyBorder="1"/>
    <xf numFmtId="39" fontId="21" fillId="8" borderId="40" xfId="0" applyNumberFormat="1" applyFont="1" applyFill="1" applyBorder="1" applyAlignment="1">
      <alignment horizontal="right"/>
    </xf>
    <xf numFmtId="49" fontId="51" fillId="0" borderId="13" xfId="0" applyNumberFormat="1" applyFont="1" applyFill="1" applyBorder="1" applyAlignment="1">
      <alignment horizontal="right"/>
    </xf>
    <xf numFmtId="0" fontId="20" fillId="0" borderId="0" xfId="0" applyFont="1" applyFill="1" applyBorder="1"/>
    <xf numFmtId="164" fontId="20" fillId="0" borderId="0" xfId="0" applyNumberFormat="1" applyFont="1" applyFill="1" applyBorder="1"/>
    <xf numFmtId="39" fontId="20" fillId="0" borderId="0" xfId="0" applyNumberFormat="1" applyFont="1" applyFill="1" applyBorder="1" applyAlignment="1">
      <alignment horizontal="right"/>
    </xf>
    <xf numFmtId="49" fontId="51" fillId="0" borderId="0" xfId="0" applyNumberFormat="1" applyFont="1" applyFill="1" applyBorder="1" applyAlignment="1"/>
    <xf numFmtId="0" fontId="51" fillId="0" borderId="13" xfId="0" applyFont="1" applyFill="1" applyBorder="1"/>
    <xf numFmtId="0" fontId="51" fillId="0" borderId="0" xfId="0" applyFont="1" applyFill="1" applyBorder="1" applyAlignment="1"/>
    <xf numFmtId="49" fontId="16" fillId="0" borderId="0" xfId="0" applyNumberFormat="1" applyFont="1" applyFill="1" applyBorder="1" applyAlignment="1">
      <alignment horizontal="right"/>
    </xf>
    <xf numFmtId="0" fontId="51" fillId="0" borderId="3" xfId="0" applyFont="1" applyFill="1" applyBorder="1" applyAlignment="1"/>
    <xf numFmtId="0" fontId="51" fillId="0" borderId="14" xfId="0" applyFont="1" applyFill="1" applyBorder="1"/>
    <xf numFmtId="0" fontId="16" fillId="0" borderId="0" xfId="0" applyFont="1" applyFill="1" applyBorder="1" applyAlignment="1">
      <alignment horizontal="right"/>
    </xf>
    <xf numFmtId="0" fontId="22" fillId="0" borderId="0" xfId="0" applyFont="1" applyFill="1" applyBorder="1" applyAlignment="1"/>
    <xf numFmtId="10" fontId="22" fillId="0" borderId="13" xfId="3" applyNumberFormat="1" applyFont="1" applyFill="1" applyBorder="1" applyAlignment="1">
      <alignment horizontal="right"/>
    </xf>
    <xf numFmtId="169" fontId="22" fillId="0" borderId="0" xfId="0" applyNumberFormat="1" applyFont="1" applyFill="1" applyBorder="1" applyAlignment="1">
      <alignment horizontal="center"/>
    </xf>
    <xf numFmtId="10" fontId="4" fillId="0" borderId="32" xfId="0" applyNumberFormat="1" applyFont="1" applyBorder="1" applyAlignment="1">
      <alignment horizontal="center"/>
    </xf>
    <xf numFmtId="44" fontId="22" fillId="0" borderId="0" xfId="0" applyNumberFormat="1" applyFont="1" applyFill="1" applyBorder="1" applyAlignment="1">
      <alignment horizontal="right"/>
    </xf>
    <xf numFmtId="44" fontId="4" fillId="0" borderId="0" xfId="2" applyFont="1" applyFill="1" applyBorder="1"/>
    <xf numFmtId="0" fontId="4" fillId="0" borderId="33" xfId="0" applyFont="1" applyBorder="1" applyAlignment="1"/>
    <xf numFmtId="0" fontId="4" fillId="40" borderId="0" xfId="0" applyFont="1" applyFill="1"/>
    <xf numFmtId="0" fontId="0" fillId="40" borderId="0" xfId="0" applyFill="1" applyAlignment="1">
      <alignment horizontal="center"/>
    </xf>
    <xf numFmtId="0" fontId="0" fillId="40" borderId="0" xfId="0" applyFill="1" applyAlignment="1">
      <alignment horizontal="center" wrapText="1"/>
    </xf>
    <xf numFmtId="0" fontId="0" fillId="41" borderId="0" xfId="0" applyFill="1"/>
    <xf numFmtId="0" fontId="0" fillId="41" borderId="0" xfId="0" applyFill="1" applyAlignment="1">
      <alignment horizontal="center"/>
    </xf>
    <xf numFmtId="0" fontId="58" fillId="42" borderId="11" xfId="125" applyFont="1" applyFill="1" applyBorder="1"/>
    <xf numFmtId="0" fontId="58" fillId="42" borderId="11" xfId="125" applyFont="1" applyFill="1" applyBorder="1" applyAlignment="1">
      <alignment horizontal="center"/>
    </xf>
    <xf numFmtId="168" fontId="58" fillId="42" borderId="12" xfId="125" applyNumberFormat="1" applyFont="1" applyFill="1" applyBorder="1" applyAlignment="1">
      <alignment horizontal="center"/>
    </xf>
    <xf numFmtId="0" fontId="58" fillId="42" borderId="21" xfId="125" applyFont="1" applyFill="1" applyBorder="1"/>
    <xf numFmtId="0" fontId="48" fillId="42" borderId="0" xfId="125" applyFont="1" applyFill="1" applyBorder="1"/>
    <xf numFmtId="0" fontId="48" fillId="42" borderId="0" xfId="125" applyFont="1" applyFill="1" applyBorder="1" applyAlignment="1">
      <alignment horizontal="right"/>
    </xf>
    <xf numFmtId="0" fontId="59" fillId="42" borderId="0" xfId="125" applyFont="1" applyFill="1" applyBorder="1" applyAlignment="1">
      <alignment horizontal="center"/>
    </xf>
    <xf numFmtId="0" fontId="48" fillId="42" borderId="13" xfId="125" applyFont="1" applyFill="1" applyBorder="1" applyAlignment="1">
      <alignment horizontal="center"/>
    </xf>
    <xf numFmtId="0" fontId="60" fillId="0" borderId="0" xfId="0" applyFont="1"/>
    <xf numFmtId="0" fontId="48" fillId="42" borderId="26" xfId="125" applyFont="1" applyFill="1" applyBorder="1"/>
    <xf numFmtId="0" fontId="60" fillId="0" borderId="0" xfId="0" applyFont="1" applyAlignment="1">
      <alignment horizontal="left"/>
    </xf>
    <xf numFmtId="0" fontId="48" fillId="42" borderId="28" xfId="125" applyFont="1" applyFill="1" applyBorder="1" applyAlignment="1">
      <alignment horizontal="left"/>
    </xf>
    <xf numFmtId="0" fontId="61" fillId="42" borderId="16" xfId="125" applyFont="1" applyFill="1" applyBorder="1" applyAlignment="1">
      <alignment horizontal="right"/>
    </xf>
    <xf numFmtId="0" fontId="48" fillId="42" borderId="29" xfId="125" applyFont="1" applyFill="1" applyBorder="1" applyAlignment="1">
      <alignment horizontal="center"/>
    </xf>
    <xf numFmtId="0" fontId="48" fillId="42" borderId="16" xfId="125" applyFont="1" applyFill="1" applyBorder="1" applyAlignment="1">
      <alignment horizontal="right"/>
    </xf>
    <xf numFmtId="1" fontId="59" fillId="42" borderId="16" xfId="125" applyNumberFormat="1" applyFont="1" applyFill="1" applyBorder="1" applyAlignment="1">
      <alignment horizontal="center"/>
    </xf>
    <xf numFmtId="1" fontId="48" fillId="42" borderId="29" xfId="125" applyNumberFormat="1" applyFont="1" applyFill="1" applyBorder="1" applyAlignment="1">
      <alignment horizontal="center"/>
    </xf>
    <xf numFmtId="0" fontId="48" fillId="42" borderId="20" xfId="125" applyFont="1" applyFill="1" applyBorder="1"/>
    <xf numFmtId="0" fontId="48" fillId="42" borderId="3" xfId="125" applyFont="1" applyFill="1" applyBorder="1"/>
    <xf numFmtId="0" fontId="0" fillId="0" borderId="0" xfId="0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40" borderId="37" xfId="0" applyFont="1" applyFill="1" applyBorder="1" applyAlignment="1">
      <alignment horizontal="center"/>
    </xf>
    <xf numFmtId="0" fontId="5" fillId="41" borderId="37" xfId="0" applyFont="1" applyFill="1" applyBorder="1" applyAlignment="1">
      <alignment horizontal="center"/>
    </xf>
    <xf numFmtId="0" fontId="5" fillId="41" borderId="17" xfId="0" applyFont="1" applyFill="1" applyBorder="1" applyAlignment="1">
      <alignment horizontal="center"/>
    </xf>
    <xf numFmtId="164" fontId="5" fillId="0" borderId="44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0" fontId="24" fillId="0" borderId="1" xfId="0" applyNumberFormat="1" applyFont="1" applyBorder="1" applyAlignment="1">
      <alignment horizontal="center"/>
    </xf>
    <xf numFmtId="0" fontId="5" fillId="0" borderId="51" xfId="0" applyFont="1" applyBorder="1" applyAlignment="1">
      <alignment horizontal="right"/>
    </xf>
    <xf numFmtId="164" fontId="24" fillId="0" borderId="43" xfId="0" applyNumberFormat="1" applyFont="1" applyBorder="1" applyAlignment="1">
      <alignment horizontal="center"/>
    </xf>
    <xf numFmtId="0" fontId="5" fillId="0" borderId="50" xfId="0" applyFont="1" applyFill="1" applyBorder="1" applyAlignment="1">
      <alignment horizontal="right"/>
    </xf>
    <xf numFmtId="5" fontId="24" fillId="0" borderId="1" xfId="2" applyNumberFormat="1" applyFont="1" applyFill="1" applyBorder="1" applyAlignment="1">
      <alignment horizontal="center"/>
    </xf>
    <xf numFmtId="5" fontId="24" fillId="0" borderId="2" xfId="2" applyNumberFormat="1" applyFont="1" applyFill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5" fillId="0" borderId="33" xfId="0" applyFont="1" applyBorder="1" applyAlignment="1"/>
    <xf numFmtId="0" fontId="5" fillId="0" borderId="26" xfId="0" applyFont="1" applyBorder="1" applyAlignment="1">
      <alignment horizontal="right"/>
    </xf>
    <xf numFmtId="37" fontId="24" fillId="0" borderId="37" xfId="1" applyNumberFormat="1" applyFont="1" applyBorder="1" applyAlignment="1">
      <alignment horizontal="center"/>
    </xf>
    <xf numFmtId="0" fontId="5" fillId="0" borderId="37" xfId="0" applyFont="1" applyFill="1" applyBorder="1" applyAlignment="1">
      <alignment horizontal="right"/>
    </xf>
    <xf numFmtId="165" fontId="5" fillId="0" borderId="37" xfId="0" applyNumberFormat="1" applyFont="1" applyFill="1" applyBorder="1" applyAlignment="1">
      <alignment horizontal="center"/>
    </xf>
    <xf numFmtId="0" fontId="4" fillId="0" borderId="32" xfId="0" applyFont="1" applyFill="1" applyBorder="1" applyAlignment="1"/>
    <xf numFmtId="0" fontId="4" fillId="0" borderId="33" xfId="0" applyFont="1" applyFill="1" applyBorder="1" applyAlignment="1"/>
    <xf numFmtId="1" fontId="48" fillId="42" borderId="13" xfId="125" applyNumberFormat="1" applyFont="1" applyFill="1" applyBorder="1" applyAlignment="1">
      <alignment horizontal="center"/>
    </xf>
    <xf numFmtId="0" fontId="48" fillId="42" borderId="28" xfId="125" applyFont="1" applyFill="1" applyBorder="1"/>
    <xf numFmtId="0" fontId="48" fillId="42" borderId="3" xfId="125" applyFont="1" applyFill="1" applyBorder="1" applyAlignment="1">
      <alignment horizontal="right"/>
    </xf>
    <xf numFmtId="1" fontId="48" fillId="42" borderId="14" xfId="125" applyNumberFormat="1" applyFont="1" applyFill="1" applyBorder="1" applyAlignment="1">
      <alignment horizontal="center"/>
    </xf>
    <xf numFmtId="0" fontId="48" fillId="42" borderId="14" xfId="125" applyFont="1" applyFill="1" applyBorder="1" applyAlignment="1">
      <alignment horizontal="center"/>
    </xf>
    <xf numFmtId="0" fontId="5" fillId="0" borderId="33" xfId="0" applyFont="1" applyBorder="1" applyAlignment="1"/>
    <xf numFmtId="0" fontId="0" fillId="73" borderId="77" xfId="0" applyFill="1" applyBorder="1"/>
    <xf numFmtId="0" fontId="0" fillId="73" borderId="77" xfId="0" applyFill="1" applyBorder="1" applyAlignment="1">
      <alignment wrapText="1"/>
    </xf>
    <xf numFmtId="0" fontId="27" fillId="0" borderId="0" xfId="0" applyFont="1" applyAlignment="1">
      <alignment horizontal="right"/>
    </xf>
    <xf numFmtId="0" fontId="0" fillId="73" borderId="0" xfId="0" applyFill="1"/>
    <xf numFmtId="49" fontId="22" fillId="0" borderId="27" xfId="0" applyNumberFormat="1" applyFont="1" applyFill="1" applyBorder="1" applyAlignment="1">
      <alignment wrapText="1"/>
    </xf>
    <xf numFmtId="0" fontId="24" fillId="72" borderId="0" xfId="0" applyFont="1" applyFill="1"/>
    <xf numFmtId="166" fontId="24" fillId="72" borderId="0" xfId="0" applyNumberFormat="1" applyFont="1" applyFill="1"/>
    <xf numFmtId="0" fontId="0" fillId="0" borderId="0" xfId="0"/>
    <xf numFmtId="0" fontId="0" fillId="0" borderId="77" xfId="0" applyFill="1" applyBorder="1" applyAlignment="1">
      <alignment wrapText="1"/>
    </xf>
    <xf numFmtId="0" fontId="0" fillId="0" borderId="77" xfId="0" applyFill="1" applyBorder="1"/>
    <xf numFmtId="0" fontId="0" fillId="0" borderId="77" xfId="0" applyBorder="1"/>
    <xf numFmtId="0" fontId="0" fillId="0" borderId="78" xfId="0" applyBorder="1"/>
    <xf numFmtId="0" fontId="0" fillId="0" borderId="78" xfId="0" applyNumberFormat="1" applyBorder="1"/>
    <xf numFmtId="0" fontId="27" fillId="0" borderId="0" xfId="0" applyFont="1"/>
    <xf numFmtId="0" fontId="0" fillId="0" borderId="0" xfId="0" applyBorder="1"/>
    <xf numFmtId="0" fontId="0" fillId="0" borderId="79" xfId="0" applyBorder="1" applyAlignment="1">
      <alignment wrapText="1"/>
    </xf>
    <xf numFmtId="0" fontId="0" fillId="0" borderId="80" xfId="0" applyBorder="1" applyAlignment="1">
      <alignment wrapText="1"/>
    </xf>
    <xf numFmtId="166" fontId="24" fillId="72" borderId="0" xfId="2" applyNumberFormat="1" applyFont="1" applyFill="1"/>
    <xf numFmtId="0" fontId="24" fillId="0" borderId="0" xfId="0" applyFont="1"/>
    <xf numFmtId="0" fontId="0" fillId="0" borderId="81" xfId="0" applyNumberFormat="1" applyBorder="1"/>
    <xf numFmtId="0" fontId="24" fillId="0" borderId="79" xfId="0" applyFont="1" applyFill="1" applyBorder="1" applyAlignment="1">
      <alignment horizontal="right"/>
    </xf>
    <xf numFmtId="0" fontId="0" fillId="0" borderId="0" xfId="0" applyFill="1"/>
    <xf numFmtId="0" fontId="51" fillId="0" borderId="83" xfId="0" applyFont="1" applyFill="1" applyBorder="1" applyAlignment="1">
      <alignment horizontal="right"/>
    </xf>
    <xf numFmtId="49" fontId="51" fillId="0" borderId="83" xfId="0" applyNumberFormat="1" applyFont="1" applyFill="1" applyBorder="1" applyAlignment="1">
      <alignment horizontal="right"/>
    </xf>
    <xf numFmtId="0" fontId="51" fillId="0" borderId="82" xfId="0" applyFont="1" applyFill="1" applyBorder="1" applyAlignment="1">
      <alignment horizontal="right"/>
    </xf>
    <xf numFmtId="10" fontId="21" fillId="0" borderId="0" xfId="3" applyNumberFormat="1" applyFont="1" applyFill="1" applyBorder="1"/>
    <xf numFmtId="6" fontId="15" fillId="0" borderId="13" xfId="15" applyNumberFormat="1" applyFont="1" applyFill="1" applyBorder="1"/>
    <xf numFmtId="6" fontId="16" fillId="0" borderId="49" xfId="15" applyNumberFormat="1" applyFont="1" applyFill="1" applyBorder="1"/>
    <xf numFmtId="7" fontId="21" fillId="6" borderId="41" xfId="0" applyNumberFormat="1" applyFont="1" applyFill="1" applyBorder="1"/>
    <xf numFmtId="5" fontId="24" fillId="0" borderId="43" xfId="2" applyNumberFormat="1" applyFont="1" applyFill="1" applyBorder="1" applyAlignment="1">
      <alignment horizontal="center"/>
    </xf>
    <xf numFmtId="8" fontId="16" fillId="0" borderId="0" xfId="12" applyNumberFormat="1" applyFont="1" applyFill="1" applyBorder="1" applyAlignment="1">
      <alignment horizontal="center"/>
    </xf>
    <xf numFmtId="169" fontId="4" fillId="0" borderId="0" xfId="0" applyNumberFormat="1" applyFont="1"/>
    <xf numFmtId="170" fontId="5" fillId="0" borderId="0" xfId="0" applyNumberFormat="1" applyFont="1" applyFill="1" applyBorder="1"/>
    <xf numFmtId="10" fontId="15" fillId="0" borderId="0" xfId="12" applyNumberFormat="1" applyFont="1" applyFill="1" applyBorder="1"/>
    <xf numFmtId="0" fontId="22" fillId="0" borderId="9" xfId="0" applyFont="1" applyFill="1" applyBorder="1"/>
    <xf numFmtId="10" fontId="22" fillId="0" borderId="16" xfId="14" applyNumberFormat="1" applyFont="1" applyFill="1" applyBorder="1" applyAlignment="1">
      <alignment horizontal="right"/>
    </xf>
    <xf numFmtId="0" fontId="22" fillId="74" borderId="17" xfId="0" applyFont="1" applyFill="1" applyBorder="1"/>
    <xf numFmtId="10" fontId="22" fillId="74" borderId="19" xfId="14" applyNumberFormat="1" applyFont="1" applyFill="1" applyBorder="1" applyAlignment="1">
      <alignment horizontal="right"/>
    </xf>
    <xf numFmtId="49" fontId="22" fillId="74" borderId="37" xfId="0" applyNumberFormat="1" applyFont="1" applyFill="1" applyBorder="1" applyAlignment="1"/>
    <xf numFmtId="166" fontId="0" fillId="73" borderId="0" xfId="0" applyNumberFormat="1" applyFont="1" applyFill="1"/>
    <xf numFmtId="0" fontId="0" fillId="73" borderId="0" xfId="0" applyFont="1" applyFill="1"/>
    <xf numFmtId="0" fontId="0" fillId="0" borderId="0" xfId="0" applyFont="1"/>
    <xf numFmtId="44" fontId="0" fillId="73" borderId="0" xfId="0" applyNumberFormat="1" applyFont="1" applyFill="1"/>
    <xf numFmtId="0" fontId="23" fillId="0" borderId="26" xfId="0" applyFont="1" applyFill="1" applyBorder="1"/>
    <xf numFmtId="5" fontId="23" fillId="0" borderId="0" xfId="0" applyNumberFormat="1" applyFont="1" applyFill="1" applyBorder="1"/>
    <xf numFmtId="39" fontId="23" fillId="0" borderId="0" xfId="0" applyNumberFormat="1" applyFont="1" applyFill="1" applyBorder="1" applyAlignment="1">
      <alignment horizontal="center"/>
    </xf>
    <xf numFmtId="5" fontId="23" fillId="0" borderId="13" xfId="0" applyNumberFormat="1" applyFont="1" applyFill="1" applyBorder="1"/>
    <xf numFmtId="5" fontId="23" fillId="0" borderId="0" xfId="0" applyNumberFormat="1" applyFont="1" applyFill="1" applyBorder="1" applyAlignment="1">
      <alignment horizontal="right"/>
    </xf>
    <xf numFmtId="0" fontId="21" fillId="0" borderId="31" xfId="0" applyFont="1" applyFill="1" applyBorder="1"/>
    <xf numFmtId="5" fontId="21" fillId="0" borderId="32" xfId="0" applyNumberFormat="1" applyFont="1" applyFill="1" applyBorder="1"/>
    <xf numFmtId="39" fontId="21" fillId="0" borderId="32" xfId="0" applyNumberFormat="1" applyFont="1" applyFill="1" applyBorder="1" applyAlignment="1">
      <alignment horizontal="center"/>
    </xf>
    <xf numFmtId="164" fontId="21" fillId="0" borderId="33" xfId="2" applyNumberFormat="1" applyFont="1" applyFill="1" applyBorder="1"/>
    <xf numFmtId="37" fontId="23" fillId="0" borderId="0" xfId="0" applyNumberFormat="1" applyFont="1" applyFill="1" applyBorder="1"/>
    <xf numFmtId="39" fontId="21" fillId="0" borderId="0" xfId="0" applyNumberFormat="1" applyFont="1" applyFill="1" applyBorder="1" applyAlignment="1">
      <alignment horizontal="center"/>
    </xf>
    <xf numFmtId="37" fontId="23" fillId="0" borderId="13" xfId="0" applyNumberFormat="1" applyFont="1" applyFill="1" applyBorder="1"/>
    <xf numFmtId="0" fontId="23" fillId="0" borderId="35" xfId="0" applyFont="1" applyFill="1" applyBorder="1"/>
    <xf numFmtId="10" fontId="23" fillId="0" borderId="4" xfId="0" applyNumberFormat="1" applyFont="1" applyFill="1" applyBorder="1"/>
    <xf numFmtId="37" fontId="23" fillId="0" borderId="4" xfId="0" applyNumberFormat="1" applyFont="1" applyFill="1" applyBorder="1" applyAlignment="1">
      <alignment horizontal="center"/>
    </xf>
    <xf numFmtId="37" fontId="23" fillId="0" borderId="36" xfId="0" applyNumberFormat="1" applyFont="1" applyFill="1" applyBorder="1"/>
    <xf numFmtId="0" fontId="21" fillId="0" borderId="35" xfId="0" applyFont="1" applyFill="1" applyBorder="1"/>
    <xf numFmtId="37" fontId="21" fillId="0" borderId="4" xfId="0" applyNumberFormat="1" applyFont="1" applyFill="1" applyBorder="1"/>
    <xf numFmtId="164" fontId="21" fillId="0" borderId="49" xfId="2" applyNumberFormat="1" applyFont="1" applyFill="1" applyBorder="1"/>
    <xf numFmtId="0" fontId="21" fillId="0" borderId="26" xfId="0" applyFont="1" applyFill="1" applyBorder="1"/>
    <xf numFmtId="37" fontId="21" fillId="0" borderId="0" xfId="0" applyNumberFormat="1" applyFont="1" applyFill="1" applyBorder="1"/>
    <xf numFmtId="164" fontId="21" fillId="0" borderId="13" xfId="2" applyNumberFormat="1" applyFont="1" applyFill="1" applyBorder="1"/>
    <xf numFmtId="10" fontId="23" fillId="0" borderId="0" xfId="3" applyNumberFormat="1" applyFont="1" applyFill="1" applyBorder="1"/>
    <xf numFmtId="37" fontId="21" fillId="0" borderId="32" xfId="0" applyNumberFormat="1" applyFont="1" applyFill="1" applyBorder="1"/>
    <xf numFmtId="164" fontId="21" fillId="0" borderId="36" xfId="2" applyNumberFormat="1" applyFont="1" applyFill="1" applyBorder="1"/>
    <xf numFmtId="0" fontId="23" fillId="0" borderId="0" xfId="0" applyFont="1" applyFill="1" applyBorder="1"/>
    <xf numFmtId="0" fontId="23" fillId="0" borderId="13" xfId="0" applyFont="1" applyFill="1" applyBorder="1"/>
    <xf numFmtId="0" fontId="21" fillId="0" borderId="0" xfId="0" applyFont="1" applyFill="1" applyBorder="1"/>
    <xf numFmtId="0" fontId="20" fillId="0" borderId="0" xfId="0" applyFont="1" applyFill="1" applyBorder="1" applyAlignment="1">
      <alignment horizontal="left"/>
    </xf>
    <xf numFmtId="44" fontId="5" fillId="0" borderId="0" xfId="2" applyFont="1" applyFill="1" applyBorder="1"/>
    <xf numFmtId="0" fontId="4" fillId="0" borderId="0" xfId="0" applyFont="1" applyFill="1" applyBorder="1"/>
    <xf numFmtId="10" fontId="4" fillId="0" borderId="0" xfId="3" applyNumberFormat="1" applyFont="1" applyFill="1" applyBorder="1"/>
    <xf numFmtId="166" fontId="24" fillId="0" borderId="0" xfId="2" applyNumberFormat="1" applyFont="1" applyFill="1"/>
    <xf numFmtId="166" fontId="0" fillId="0" borderId="77" xfId="0" applyNumberFormat="1" applyFill="1" applyBorder="1"/>
    <xf numFmtId="166" fontId="0" fillId="73" borderId="77" xfId="0" applyNumberFormat="1" applyFill="1" applyBorder="1"/>
    <xf numFmtId="165" fontId="24" fillId="2" borderId="17" xfId="0" applyNumberFormat="1" applyFont="1" applyFill="1" applyBorder="1" applyAlignment="1">
      <alignment horizontal="center"/>
    </xf>
    <xf numFmtId="165" fontId="24" fillId="2" borderId="19" xfId="0" applyNumberFormat="1" applyFont="1" applyFill="1" applyBorder="1" applyAlignment="1">
      <alignment horizontal="center"/>
    </xf>
    <xf numFmtId="165" fontId="24" fillId="2" borderId="37" xfId="0" applyNumberFormat="1" applyFont="1" applyFill="1" applyBorder="1" applyAlignment="1">
      <alignment horizontal="center"/>
    </xf>
    <xf numFmtId="0" fontId="16" fillId="0" borderId="17" xfId="0" applyFont="1" applyFill="1" applyBorder="1"/>
    <xf numFmtId="10" fontId="16" fillId="0" borderId="18" xfId="3" applyNumberFormat="1" applyFont="1" applyFill="1" applyBorder="1" applyAlignment="1">
      <alignment horizontal="center"/>
    </xf>
    <xf numFmtId="0" fontId="15" fillId="0" borderId="17" xfId="11" quotePrefix="1" applyNumberFormat="1" applyFont="1" applyFill="1" applyBorder="1" applyAlignment="1"/>
    <xf numFmtId="0" fontId="15" fillId="0" borderId="19" xfId="11" quotePrefix="1" applyNumberFormat="1" applyFont="1" applyFill="1" applyBorder="1" applyAlignment="1"/>
    <xf numFmtId="0" fontId="16" fillId="0" borderId="17" xfId="11" applyFont="1" applyFill="1" applyBorder="1" applyAlignment="1"/>
    <xf numFmtId="0" fontId="16" fillId="0" borderId="18" xfId="11" applyFont="1" applyFill="1" applyBorder="1" applyAlignment="1"/>
    <xf numFmtId="0" fontId="16" fillId="0" borderId="19" xfId="11" applyFont="1" applyFill="1" applyBorder="1" applyAlignment="1"/>
    <xf numFmtId="0" fontId="15" fillId="0" borderId="17" xfId="0" applyFont="1" applyFill="1" applyBorder="1" applyAlignment="1"/>
    <xf numFmtId="0" fontId="15" fillId="0" borderId="19" xfId="0" applyFont="1" applyFill="1" applyBorder="1" applyAlignment="1"/>
    <xf numFmtId="168" fontId="15" fillId="0" borderId="17" xfId="11" applyNumberFormat="1" applyFont="1" applyFill="1" applyBorder="1" applyAlignment="1"/>
    <xf numFmtId="168" fontId="15" fillId="0" borderId="19" xfId="11" applyNumberFormat="1" applyFont="1" applyFill="1" applyBorder="1" applyAlignment="1"/>
    <xf numFmtId="0" fontId="15" fillId="0" borderId="17" xfId="11" applyFont="1" applyFill="1" applyBorder="1" applyAlignment="1"/>
    <xf numFmtId="0" fontId="15" fillId="0" borderId="18" xfId="11" applyFont="1" applyFill="1" applyBorder="1" applyAlignment="1"/>
    <xf numFmtId="0" fontId="15" fillId="0" borderId="19" xfId="11" applyFont="1" applyFill="1" applyBorder="1" applyAlignment="1"/>
    <xf numFmtId="0" fontId="15" fillId="0" borderId="26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168" fontId="77" fillId="0" borderId="21" xfId="11" applyNumberFormat="1" applyFont="1" applyFill="1" applyBorder="1" applyAlignment="1">
      <alignment horizontal="center"/>
    </xf>
    <xf numFmtId="168" fontId="77" fillId="0" borderId="11" xfId="11" applyNumberFormat="1" applyFont="1" applyFill="1" applyBorder="1" applyAlignment="1">
      <alignment horizontal="center"/>
    </xf>
    <xf numFmtId="168" fontId="77" fillId="0" borderId="12" xfId="11" applyNumberFormat="1" applyFont="1" applyFill="1" applyBorder="1" applyAlignment="1">
      <alignment horizontal="center"/>
    </xf>
    <xf numFmtId="0" fontId="16" fillId="0" borderId="26" xfId="11" applyFont="1" applyFill="1" applyBorder="1" applyAlignment="1">
      <alignment horizontal="left"/>
    </xf>
    <xf numFmtId="0" fontId="16" fillId="0" borderId="0" xfId="11" applyFont="1" applyFill="1" applyBorder="1" applyAlignment="1">
      <alignment horizontal="left"/>
    </xf>
    <xf numFmtId="0" fontId="16" fillId="0" borderId="13" xfId="11" applyFont="1" applyFill="1" applyBorder="1" applyAlignment="1">
      <alignment horizontal="left"/>
    </xf>
    <xf numFmtId="0" fontId="48" fillId="14" borderId="26" xfId="11" applyFont="1" applyFill="1" applyBorder="1" applyAlignment="1">
      <alignment horizontal="left" vertical="center" wrapText="1"/>
    </xf>
    <xf numFmtId="0" fontId="48" fillId="14" borderId="0" xfId="11" applyFont="1" applyFill="1" applyBorder="1" applyAlignment="1">
      <alignment horizontal="left" vertical="center" wrapText="1"/>
    </xf>
    <xf numFmtId="0" fontId="48" fillId="14" borderId="13" xfId="11" applyFont="1" applyFill="1" applyBorder="1" applyAlignment="1">
      <alignment horizontal="left" vertical="center" wrapText="1"/>
    </xf>
    <xf numFmtId="0" fontId="76" fillId="0" borderId="26" xfId="11" applyFont="1" applyFill="1" applyBorder="1" applyAlignment="1">
      <alignment horizontal="left"/>
    </xf>
    <xf numFmtId="0" fontId="76" fillId="0" borderId="0" xfId="11" applyFont="1" applyFill="1" applyBorder="1" applyAlignment="1">
      <alignment horizontal="left"/>
    </xf>
    <xf numFmtId="0" fontId="76" fillId="0" borderId="13" xfId="11" applyFont="1" applyFill="1" applyBorder="1" applyAlignment="1">
      <alignment horizontal="left"/>
    </xf>
    <xf numFmtId="0" fontId="15" fillId="5" borderId="24" xfId="12" applyFont="1" applyFill="1" applyBorder="1" applyAlignment="1">
      <alignment horizontal="right"/>
    </xf>
    <xf numFmtId="0" fontId="15" fillId="12" borderId="17" xfId="12" applyFont="1" applyFill="1" applyBorder="1" applyAlignment="1">
      <alignment horizontal="center"/>
    </xf>
    <xf numFmtId="0" fontId="15" fillId="12" borderId="18" xfId="12" applyFont="1" applyFill="1" applyBorder="1" applyAlignment="1">
      <alignment horizontal="center"/>
    </xf>
    <xf numFmtId="0" fontId="15" fillId="12" borderId="19" xfId="12" applyFont="1" applyFill="1" applyBorder="1" applyAlignment="1">
      <alignment horizontal="center"/>
    </xf>
    <xf numFmtId="0" fontId="15" fillId="13" borderId="17" xfId="12" applyFont="1" applyFill="1" applyBorder="1" applyAlignment="1">
      <alignment horizontal="center"/>
    </xf>
    <xf numFmtId="0" fontId="15" fillId="13" borderId="18" xfId="12" applyFont="1" applyFill="1" applyBorder="1" applyAlignment="1">
      <alignment horizontal="center"/>
    </xf>
    <xf numFmtId="0" fontId="15" fillId="13" borderId="19" xfId="12" applyFont="1" applyFill="1" applyBorder="1" applyAlignment="1">
      <alignment horizontal="center"/>
    </xf>
    <xf numFmtId="0" fontId="15" fillId="7" borderId="17" xfId="12" applyFont="1" applyFill="1" applyBorder="1" applyAlignment="1">
      <alignment horizontal="center"/>
    </xf>
    <xf numFmtId="0" fontId="15" fillId="7" borderId="18" xfId="12" applyFont="1" applyFill="1" applyBorder="1" applyAlignment="1">
      <alignment horizontal="center"/>
    </xf>
    <xf numFmtId="0" fontId="15" fillId="7" borderId="19" xfId="12" applyFont="1" applyFill="1" applyBorder="1" applyAlignment="1">
      <alignment horizontal="center"/>
    </xf>
    <xf numFmtId="0" fontId="15" fillId="0" borderId="24" xfId="12" applyFont="1" applyFill="1" applyBorder="1" applyAlignment="1">
      <alignment horizontal="right"/>
    </xf>
    <xf numFmtId="0" fontId="15" fillId="5" borderId="17" xfId="12" applyFont="1" applyFill="1" applyBorder="1" applyAlignment="1">
      <alignment horizontal="center"/>
    </xf>
    <xf numFmtId="0" fontId="15" fillId="5" borderId="18" xfId="12" applyFont="1" applyFill="1" applyBorder="1" applyAlignment="1">
      <alignment horizontal="center"/>
    </xf>
    <xf numFmtId="0" fontId="15" fillId="5" borderId="19" xfId="12" applyFont="1" applyFill="1" applyBorder="1" applyAlignment="1">
      <alignment horizontal="center"/>
    </xf>
    <xf numFmtId="0" fontId="20" fillId="9" borderId="17" xfId="0" applyFont="1" applyFill="1" applyBorder="1" applyAlignment="1">
      <alignment horizontal="center" vertical="center"/>
    </xf>
    <xf numFmtId="0" fontId="20" fillId="9" borderId="18" xfId="0" applyFont="1" applyFill="1" applyBorder="1" applyAlignment="1">
      <alignment horizontal="center" vertical="center"/>
    </xf>
    <xf numFmtId="0" fontId="20" fillId="9" borderId="19" xfId="0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horizontal="center" vertical="center"/>
    </xf>
    <xf numFmtId="0" fontId="21" fillId="9" borderId="18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/>
    </xf>
    <xf numFmtId="168" fontId="20" fillId="0" borderId="21" xfId="0" applyNumberFormat="1" applyFont="1" applyFill="1" applyBorder="1" applyAlignment="1">
      <alignment horizontal="center" vertical="center"/>
    </xf>
    <xf numFmtId="168" fontId="20" fillId="0" borderId="12" xfId="0" applyNumberFormat="1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right"/>
    </xf>
    <xf numFmtId="0" fontId="20" fillId="0" borderId="26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30" fillId="0" borderId="0" xfId="0" applyFont="1" applyAlignment="1">
      <alignment wrapText="1"/>
    </xf>
    <xf numFmtId="0" fontId="5" fillId="0" borderId="2" xfId="0" applyFont="1" applyBorder="1" applyAlignment="1"/>
    <xf numFmtId="0" fontId="5" fillId="0" borderId="33" xfId="0" applyFont="1" applyBorder="1" applyAlignment="1"/>
    <xf numFmtId="0" fontId="3" fillId="0" borderId="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4" fillId="0" borderId="19" xfId="0" applyFont="1" applyBorder="1" applyAlignment="1"/>
    <xf numFmtId="0" fontId="5" fillId="0" borderId="9" xfId="0" applyFont="1" applyBorder="1" applyAlignment="1"/>
    <xf numFmtId="0" fontId="5" fillId="0" borderId="29" xfId="0" applyFont="1" applyBorder="1" applyAlignment="1"/>
    <xf numFmtId="0" fontId="6" fillId="0" borderId="7" xfId="81" applyBorder="1" applyAlignment="1">
      <alignment horizontal="right"/>
    </xf>
    <xf numFmtId="0" fontId="6" fillId="0" borderId="0" xfId="81" applyBorder="1" applyAlignment="1">
      <alignment horizontal="right"/>
    </xf>
    <xf numFmtId="10" fontId="16" fillId="0" borderId="13" xfId="3" applyNumberFormat="1" applyFont="1" applyFill="1" applyBorder="1" applyAlignment="1">
      <alignment horizontal="center"/>
    </xf>
  </cellXfs>
  <cellStyles count="341">
    <cellStyle name="20% - Accent1" xfId="314" builtinId="30" customBuiltin="1"/>
    <cellStyle name="20% - Accent1 2" xfId="24"/>
    <cellStyle name="20% - Accent2" xfId="318" builtinId="34" customBuiltin="1"/>
    <cellStyle name="20% - Accent2 2" xfId="25"/>
    <cellStyle name="20% - Accent3" xfId="322" builtinId="38" customBuiltin="1"/>
    <cellStyle name="20% - Accent3 2" xfId="26"/>
    <cellStyle name="20% - Accent4" xfId="326" builtinId="42" customBuiltin="1"/>
    <cellStyle name="20% - Accent4 2" xfId="27"/>
    <cellStyle name="20% - Accent5" xfId="330" builtinId="46" customBuiltin="1"/>
    <cellStyle name="20% - Accent5 2" xfId="28"/>
    <cellStyle name="20% - Accent6" xfId="334" builtinId="50" customBuiltin="1"/>
    <cellStyle name="20% - Accent6 2" xfId="29"/>
    <cellStyle name="40% - Accent1" xfId="315" builtinId="31" customBuiltin="1"/>
    <cellStyle name="40% - Accent1 2" xfId="30"/>
    <cellStyle name="40% - Accent2" xfId="319" builtinId="35" customBuiltin="1"/>
    <cellStyle name="40% - Accent2 2" xfId="31"/>
    <cellStyle name="40% - Accent3" xfId="323" builtinId="39" customBuiltin="1"/>
    <cellStyle name="40% - Accent3 2" xfId="32"/>
    <cellStyle name="40% - Accent4" xfId="327" builtinId="43" customBuiltin="1"/>
    <cellStyle name="40% - Accent4 2" xfId="33"/>
    <cellStyle name="40% - Accent5" xfId="331" builtinId="47" customBuiltin="1"/>
    <cellStyle name="40% - Accent5 2" xfId="34"/>
    <cellStyle name="40% - Accent6" xfId="335" builtinId="51" customBuiltin="1"/>
    <cellStyle name="40% - Accent6 2" xfId="35"/>
    <cellStyle name="60% - Accent1" xfId="316" builtinId="32" customBuiltin="1"/>
    <cellStyle name="60% - Accent1 2" xfId="36"/>
    <cellStyle name="60% - Accent2" xfId="320" builtinId="36" customBuiltin="1"/>
    <cellStyle name="60% - Accent2 2" xfId="37"/>
    <cellStyle name="60% - Accent3" xfId="324" builtinId="40" customBuiltin="1"/>
    <cellStyle name="60% - Accent3 2" xfId="38"/>
    <cellStyle name="60% - Accent4" xfId="328" builtinId="44" customBuiltin="1"/>
    <cellStyle name="60% - Accent4 2" xfId="39"/>
    <cellStyle name="60% - Accent5" xfId="332" builtinId="48" customBuiltin="1"/>
    <cellStyle name="60% - Accent5 2" xfId="40"/>
    <cellStyle name="60% - Accent6" xfId="336" builtinId="52" customBuiltin="1"/>
    <cellStyle name="60% - Accent6 2" xfId="41"/>
    <cellStyle name="Accent1" xfId="313" builtinId="29" customBuiltin="1"/>
    <cellStyle name="Accent1 2" xfId="42"/>
    <cellStyle name="Accent2" xfId="317" builtinId="33" customBuiltin="1"/>
    <cellStyle name="Accent2 2" xfId="43"/>
    <cellStyle name="Accent3" xfId="321" builtinId="37" customBuiltin="1"/>
    <cellStyle name="Accent3 2" xfId="44"/>
    <cellStyle name="Accent4" xfId="325" builtinId="41" customBuiltin="1"/>
    <cellStyle name="Accent4 2" xfId="45"/>
    <cellStyle name="Accent5" xfId="329" builtinId="45" customBuiltin="1"/>
    <cellStyle name="Accent5 2" xfId="46"/>
    <cellStyle name="Accent6" xfId="333" builtinId="49" customBuiltin="1"/>
    <cellStyle name="Accent6 2" xfId="47"/>
    <cellStyle name="Bad" xfId="302" builtinId="27" customBuiltin="1"/>
    <cellStyle name="Bad 2" xfId="48"/>
    <cellStyle name="Bad 3" xfId="127"/>
    <cellStyle name="Body: normal cell" xfId="128"/>
    <cellStyle name="Calculation" xfId="306" builtinId="22" customBuiltin="1"/>
    <cellStyle name="Calculation 2" xfId="49"/>
    <cellStyle name="Calculation 2 2" xfId="129"/>
    <cellStyle name="Calculation 2 3" xfId="130"/>
    <cellStyle name="Check Cell" xfId="308" builtinId="23" customBuiltin="1"/>
    <cellStyle name="Check Cell 2" xfId="50"/>
    <cellStyle name="Comma" xfId="1" builtinId="3"/>
    <cellStyle name="Comma [0] 2" xfId="131"/>
    <cellStyle name="Comma 10" xfId="132"/>
    <cellStyle name="Comma 11" xfId="133"/>
    <cellStyle name="Comma 2" xfId="4"/>
    <cellStyle name="Comma 2 2" xfId="97"/>
    <cellStyle name="Comma 2 2 2" xfId="134"/>
    <cellStyle name="Comma 2 3" xfId="135"/>
    <cellStyle name="Comma 3" xfId="51"/>
    <cellStyle name="Comma 3 2" xfId="52"/>
    <cellStyle name="Comma 3 3" xfId="98"/>
    <cellStyle name="Comma 3 4" xfId="136"/>
    <cellStyle name="Comma 4" xfId="53"/>
    <cellStyle name="Comma 4 2" xfId="99"/>
    <cellStyle name="Comma 5" xfId="54"/>
    <cellStyle name="Comma 5 2" xfId="137"/>
    <cellStyle name="Comma 5 3" xfId="138"/>
    <cellStyle name="Comma 6" xfId="55"/>
    <cellStyle name="Comma 6 2" xfId="100"/>
    <cellStyle name="Comma 7" xfId="101"/>
    <cellStyle name="Comma 7 2" xfId="139"/>
    <cellStyle name="Comma 8" xfId="102"/>
    <cellStyle name="Comma 9" xfId="140"/>
    <cellStyle name="Currency" xfId="2" builtinId="4"/>
    <cellStyle name="Currency [0] 2" xfId="141"/>
    <cellStyle name="Currency 10" xfId="142"/>
    <cellStyle name="Currency 11" xfId="143"/>
    <cellStyle name="Currency 12" xfId="144"/>
    <cellStyle name="Currency 13" xfId="145"/>
    <cellStyle name="Currency 14" xfId="146"/>
    <cellStyle name="Currency 15" xfId="147"/>
    <cellStyle name="Currency 16" xfId="148"/>
    <cellStyle name="Currency 17" xfId="149"/>
    <cellStyle name="Currency 18" xfId="150"/>
    <cellStyle name="Currency 19" xfId="151"/>
    <cellStyle name="Currency 2" xfId="56"/>
    <cellStyle name="Currency 2 2" xfId="57"/>
    <cellStyle name="Currency 2 2 2" xfId="103"/>
    <cellStyle name="Currency 2 2 2 2" xfId="152"/>
    <cellStyle name="Currency 2 2 2 3" xfId="104"/>
    <cellStyle name="Currency 2 3" xfId="105"/>
    <cellStyle name="Currency 2 4" xfId="153"/>
    <cellStyle name="Currency 2 4 2" xfId="154"/>
    <cellStyle name="Currency 2 5" xfId="155"/>
    <cellStyle name="Currency 20" xfId="156"/>
    <cellStyle name="Currency 21" xfId="157"/>
    <cellStyle name="Currency 22" xfId="158"/>
    <cellStyle name="Currency 23" xfId="159"/>
    <cellStyle name="Currency 24" xfId="160"/>
    <cellStyle name="Currency 25" xfId="161"/>
    <cellStyle name="Currency 26" xfId="162"/>
    <cellStyle name="Currency 27" xfId="163"/>
    <cellStyle name="Currency 28" xfId="164"/>
    <cellStyle name="Currency 29" xfId="165"/>
    <cellStyle name="Currency 3" xfId="58"/>
    <cellStyle name="Currency 3 2" xfId="59"/>
    <cellStyle name="Currency 3 3" xfId="60"/>
    <cellStyle name="Currency 3 4" xfId="166"/>
    <cellStyle name="Currency 3 5" xfId="167"/>
    <cellStyle name="Currency 30" xfId="168"/>
    <cellStyle name="Currency 31" xfId="169"/>
    <cellStyle name="Currency 32" xfId="170"/>
    <cellStyle name="Currency 33" xfId="171"/>
    <cellStyle name="Currency 34" xfId="172"/>
    <cellStyle name="Currency 35" xfId="173"/>
    <cellStyle name="Currency 36" xfId="174"/>
    <cellStyle name="Currency 37" xfId="175"/>
    <cellStyle name="Currency 38" xfId="176"/>
    <cellStyle name="Currency 39" xfId="177"/>
    <cellStyle name="Currency 4" xfId="15"/>
    <cellStyle name="Currency 4 2" xfId="61"/>
    <cellStyle name="Currency 4 2 2" xfId="106"/>
    <cellStyle name="Currency 4 2 2 2" xfId="178"/>
    <cellStyle name="Currency 4 2 2 3" xfId="179"/>
    <cellStyle name="Currency 4 2 3" xfId="180"/>
    <cellStyle name="Currency 4 3" xfId="107"/>
    <cellStyle name="Currency 4 3 2" xfId="181"/>
    <cellStyle name="Currency 4 3 3" xfId="182"/>
    <cellStyle name="Currency 4 4" xfId="108"/>
    <cellStyle name="Currency 4 5" xfId="183"/>
    <cellStyle name="Currency 40" xfId="184"/>
    <cellStyle name="Currency 41" xfId="185"/>
    <cellStyle name="Currency 42" xfId="186"/>
    <cellStyle name="Currency 43" xfId="187"/>
    <cellStyle name="Currency 44" xfId="188"/>
    <cellStyle name="Currency 45" xfId="189"/>
    <cellStyle name="Currency 46" xfId="190"/>
    <cellStyle name="Currency 5" xfId="62"/>
    <cellStyle name="Currency 5 2" xfId="63"/>
    <cellStyle name="Currency 5 2 2" xfId="191"/>
    <cellStyle name="Currency 5 3" xfId="109"/>
    <cellStyle name="Currency 5 3 2" xfId="192"/>
    <cellStyle name="Currency 5 3 3" xfId="193"/>
    <cellStyle name="Currency 5 4" xfId="194"/>
    <cellStyle name="Currency 5 5" xfId="195"/>
    <cellStyle name="Currency 5 6" xfId="196"/>
    <cellStyle name="Currency 6" xfId="110"/>
    <cellStyle name="Currency 6 2" xfId="197"/>
    <cellStyle name="Currency 6 3" xfId="198"/>
    <cellStyle name="Currency 7" xfId="64"/>
    <cellStyle name="Currency 7 2" xfId="199"/>
    <cellStyle name="Currency 7 3" xfId="200"/>
    <cellStyle name="Currency 8" xfId="111"/>
    <cellStyle name="Currency 8 2" xfId="201"/>
    <cellStyle name="Currency 9" xfId="202"/>
    <cellStyle name="Explanatory Text" xfId="311" builtinId="53" customBuiltin="1"/>
    <cellStyle name="Explanatory Text 2" xfId="65"/>
    <cellStyle name="Explanatory Text 2 2" xfId="203"/>
    <cellStyle name="Explanatory Text 2 3" xfId="204"/>
    <cellStyle name="Font: Calibri, 9pt regular" xfId="205"/>
    <cellStyle name="Footnotes: top row" xfId="206"/>
    <cellStyle name="Good" xfId="301" builtinId="26" customBuiltin="1"/>
    <cellStyle name="Good 2" xfId="66"/>
    <cellStyle name="Header: bottom row" xfId="207"/>
    <cellStyle name="Heading 1" xfId="297" builtinId="16" customBuiltin="1"/>
    <cellStyle name="Heading 1 2" xfId="67"/>
    <cellStyle name="Heading 1 2 2" xfId="208"/>
    <cellStyle name="Heading 1 2 3" xfId="209"/>
    <cellStyle name="Heading 2" xfId="298" builtinId="17" customBuiltin="1"/>
    <cellStyle name="Heading 2 2" xfId="68"/>
    <cellStyle name="Heading 2 2 2" xfId="210"/>
    <cellStyle name="Heading 2 2 3" xfId="211"/>
    <cellStyle name="Heading 3" xfId="299" builtinId="18" customBuiltin="1"/>
    <cellStyle name="Heading 3 2" xfId="69"/>
    <cellStyle name="Heading 3 2 2" xfId="212"/>
    <cellStyle name="Heading 3 2 3" xfId="213"/>
    <cellStyle name="Heading 4" xfId="300" builtinId="19" customBuiltin="1"/>
    <cellStyle name="Heading 4 2" xfId="70"/>
    <cellStyle name="Heading 4 2 2" xfId="214"/>
    <cellStyle name="Heading 4 2 3" xfId="215"/>
    <cellStyle name="Hyperlink 2" xfId="216"/>
    <cellStyle name="Input" xfId="304" builtinId="20" customBuiltin="1"/>
    <cellStyle name="Input 2" xfId="71"/>
    <cellStyle name="Input 2 2" xfId="217"/>
    <cellStyle name="Input 2 3" xfId="218"/>
    <cellStyle name="Linked Cell" xfId="307" builtinId="24" customBuiltin="1"/>
    <cellStyle name="Linked Cell 2" xfId="72"/>
    <cellStyle name="Linked Cell 2 2" xfId="219"/>
    <cellStyle name="Linked Cell 2 3" xfId="220"/>
    <cellStyle name="Neutral" xfId="303" builtinId="28" customBuiltin="1"/>
    <cellStyle name="Neutral 2" xfId="73"/>
    <cellStyle name="Normal" xfId="0" builtinId="0"/>
    <cellStyle name="Normal 10" xfId="94"/>
    <cellStyle name="Normal 10 2" xfId="221"/>
    <cellStyle name="Normal 10 3" xfId="222"/>
    <cellStyle name="Normal 10 3 2" xfId="223"/>
    <cellStyle name="Normal 11" xfId="112"/>
    <cellStyle name="Normal 11 2" xfId="224"/>
    <cellStyle name="Normal 11 2 2" xfId="225"/>
    <cellStyle name="Normal 12" xfId="74"/>
    <cellStyle name="Normal 13" xfId="113"/>
    <cellStyle name="Normal 13 2" xfId="226"/>
    <cellStyle name="Normal 14" xfId="227"/>
    <cellStyle name="Normal 14 2" xfId="228"/>
    <cellStyle name="Normal 15" xfId="229"/>
    <cellStyle name="Normal 16" xfId="230"/>
    <cellStyle name="Normal 17" xfId="75"/>
    <cellStyle name="Normal 17 2" xfId="231"/>
    <cellStyle name="Normal 18" xfId="232"/>
    <cellStyle name="Normal 19" xfId="233"/>
    <cellStyle name="Normal 2" xfId="5"/>
    <cellStyle name="Normal 2 2" xfId="6"/>
    <cellStyle name="Normal 2 2 2" xfId="18"/>
    <cellStyle name="Normal 2 2 3" xfId="234"/>
    <cellStyle name="Normal 2 2 4" xfId="337"/>
    <cellStyle name="Normal 2 3" xfId="76"/>
    <cellStyle name="Normal 2 3 2" xfId="235"/>
    <cellStyle name="Normal 2 4" xfId="77"/>
    <cellStyle name="Normal 2 4 2" xfId="236"/>
    <cellStyle name="Normal 2 4 3" xfId="237"/>
    <cellStyle name="Normal 2 5" xfId="238"/>
    <cellStyle name="Normal 2 5 2" xfId="239"/>
    <cellStyle name="Normal 20" xfId="240"/>
    <cellStyle name="Normal 21" xfId="241"/>
    <cellStyle name="Normal 3" xfId="12"/>
    <cellStyle name="Normal 3 2" xfId="78"/>
    <cellStyle name="Normal 3 2 2" xfId="242"/>
    <cellStyle name="Normal 3 2 3" xfId="243"/>
    <cellStyle name="Normal 3 2 4" xfId="244"/>
    <cellStyle name="Normal 3 3" xfId="79"/>
    <cellStyle name="Normal 3 3 2" xfId="245"/>
    <cellStyle name="Normal 3 4" xfId="114"/>
    <cellStyle name="Normal 3 4 2" xfId="246"/>
    <cellStyle name="Normal 3 5" xfId="247"/>
    <cellStyle name="Normal 3 6" xfId="338"/>
    <cellStyle name="Normal 3 9" xfId="80"/>
    <cellStyle name="Normal 4" xfId="7"/>
    <cellStyle name="Normal 4 2" xfId="17"/>
    <cellStyle name="Normal 4 2 2" xfId="81"/>
    <cellStyle name="Normal 4 2 2 2" xfId="248"/>
    <cellStyle name="Normal 4 2 3" xfId="249"/>
    <cellStyle name="Normal 4 2 3 2" xfId="250"/>
    <cellStyle name="Normal 4 3" xfId="115"/>
    <cellStyle name="Normal 4 3 2" xfId="251"/>
    <cellStyle name="Normal 4 3 3" xfId="252"/>
    <cellStyle name="Normal 4 4" xfId="253"/>
    <cellStyle name="Normal 5" xfId="8"/>
    <cellStyle name="Normal 5 2" xfId="82"/>
    <cellStyle name="Normal 5 3" xfId="339"/>
    <cellStyle name="Normal 6" xfId="11"/>
    <cellStyle name="Normal 6 2" xfId="21"/>
    <cellStyle name="Normal 6 2 2" xfId="83"/>
    <cellStyle name="Normal 6 2 2 2" xfId="95"/>
    <cellStyle name="Normal 6 2 3" xfId="254"/>
    <cellStyle name="Normal 6 2 4" xfId="255"/>
    <cellStyle name="Normal 6 3" xfId="84"/>
    <cellStyle name="Normal 6 4" xfId="256"/>
    <cellStyle name="Normal 6 5" xfId="340"/>
    <cellStyle name="Normal 7" xfId="16"/>
    <cellStyle name="Normal 7 2" xfId="116"/>
    <cellStyle name="Normal 7 3" xfId="257"/>
    <cellStyle name="Normal 8" xfId="20"/>
    <cellStyle name="Normal 8 2" xfId="125"/>
    <cellStyle name="Normal 8 3" xfId="258"/>
    <cellStyle name="Normal 8 4" xfId="259"/>
    <cellStyle name="Normal 8 5" xfId="260"/>
    <cellStyle name="Normal 9" xfId="117"/>
    <cellStyle name="Normal 9 2" xfId="85"/>
    <cellStyle name="Normal 9 2 2" xfId="261"/>
    <cellStyle name="Normal 9 2 3" xfId="262"/>
    <cellStyle name="Normal 9 3" xfId="263"/>
    <cellStyle name="Note" xfId="310" builtinId="10" customBuiltin="1"/>
    <cellStyle name="Note 2" xfId="86"/>
    <cellStyle name="Note 2 2" xfId="87"/>
    <cellStyle name="Note 2 3" xfId="264"/>
    <cellStyle name="Output" xfId="305" builtinId="21" customBuiltin="1"/>
    <cellStyle name="Output 2" xfId="88"/>
    <cellStyle name="Output 2 2" xfId="265"/>
    <cellStyle name="Output 2 3" xfId="266"/>
    <cellStyle name="Parent row" xfId="267"/>
    <cellStyle name="Percent" xfId="3" builtinId="5"/>
    <cellStyle name="Percent 10" xfId="268"/>
    <cellStyle name="Percent 10 2" xfId="269"/>
    <cellStyle name="Percent 11" xfId="270"/>
    <cellStyle name="Percent 2" xfId="9"/>
    <cellStyle name="Percent 2 2" xfId="10"/>
    <cellStyle name="Percent 2 2 2" xfId="19"/>
    <cellStyle name="Percent 2 2 3" xfId="271"/>
    <cellStyle name="Percent 2 3" xfId="272"/>
    <cellStyle name="Percent 2 4" xfId="273"/>
    <cellStyle name="Percent 2 5" xfId="274"/>
    <cellStyle name="Percent 3" xfId="14"/>
    <cellStyle name="Percent 3 2" xfId="118"/>
    <cellStyle name="Percent 3 2 2" xfId="126"/>
    <cellStyle name="Percent 3 2 3" xfId="275"/>
    <cellStyle name="Percent 3 3" xfId="276"/>
    <cellStyle name="Percent 4" xfId="22"/>
    <cellStyle name="Percent 4 2" xfId="89"/>
    <cellStyle name="Percent 4 2 2" xfId="277"/>
    <cellStyle name="Percent 4 2 3" xfId="278"/>
    <cellStyle name="Percent 4 3" xfId="96"/>
    <cellStyle name="Percent 5" xfId="23"/>
    <cellStyle name="Percent 5 2" xfId="119"/>
    <cellStyle name="Percent 5 2 2" xfId="279"/>
    <cellStyle name="Percent 5 3" xfId="280"/>
    <cellStyle name="Percent 5 4" xfId="281"/>
    <cellStyle name="Percent 5 5" xfId="282"/>
    <cellStyle name="Percent 6" xfId="13"/>
    <cellStyle name="Percent 6 2" xfId="120"/>
    <cellStyle name="Percent 6 3" xfId="121"/>
    <cellStyle name="Percent 6 4" xfId="283"/>
    <cellStyle name="Percent 7" xfId="122"/>
    <cellStyle name="Percent 7 2" xfId="284"/>
    <cellStyle name="Percent 7 3" xfId="285"/>
    <cellStyle name="Percent 7 4" xfId="286"/>
    <cellStyle name="Percent 8" xfId="123"/>
    <cellStyle name="Percent 8 2" xfId="287"/>
    <cellStyle name="Percent 8 3" xfId="288"/>
    <cellStyle name="Percent 9" xfId="124"/>
    <cellStyle name="Percent 9 2" xfId="289"/>
    <cellStyle name="Table title" xfId="290"/>
    <cellStyle name="Title" xfId="296" builtinId="15" customBuiltin="1"/>
    <cellStyle name="Title 2" xfId="90"/>
    <cellStyle name="Title 2 2" xfId="91"/>
    <cellStyle name="Title 2 3" xfId="291"/>
    <cellStyle name="Total" xfId="312" builtinId="25" customBuiltin="1"/>
    <cellStyle name="Total 2" xfId="92"/>
    <cellStyle name="Total 2 2" xfId="292"/>
    <cellStyle name="Total 2 3" xfId="293"/>
    <cellStyle name="Warning Text" xfId="309" builtinId="11" customBuiltin="1"/>
    <cellStyle name="Warning Text 2" xfId="93"/>
    <cellStyle name="Warning Text 2 2" xfId="294"/>
    <cellStyle name="Warning Text 2 3" xfId="2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12</xdr:row>
      <xdr:rowOff>137160</xdr:rowOff>
    </xdr:from>
    <xdr:to>
      <xdr:col>0</xdr:col>
      <xdr:colOff>358140</xdr:colOff>
      <xdr:row>13</xdr:row>
      <xdr:rowOff>152400</xdr:rowOff>
    </xdr:to>
    <xdr:sp macro="" textlink="">
      <xdr:nvSpPr>
        <xdr:cNvPr id="2" name="5-Point Star 1"/>
        <xdr:cNvSpPr/>
      </xdr:nvSpPr>
      <xdr:spPr>
        <a:xfrm>
          <a:off x="106680" y="2461260"/>
          <a:ext cx="251460" cy="20574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/X/Data%20&amp;%20Reporting%20Tools/STARR%20Utilization/STARR%20Utilization%20Tool%20FY10%20Ju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-POS%20Policy%20Office\Rate%20Setting\Rate%20Projects\Developmental%20and%20Support%20Services\1.%20Strategy%20Team%20Materials\DDS%20-%20Corporate%20Rep%20Payee\2015-07-21%20Model%20Budget%20and%20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Budget"/>
      <sheetName val="FiscalImpact"/>
      <sheetName val="Spring 2015 CAF"/>
      <sheetName val="FY15 info (Sandy)"/>
      <sheetName val="BelowTheLine"/>
      <sheetName val="Staffing Summary"/>
      <sheetName val="for presentation"/>
      <sheetName val="FY15 encumb - query 07-13-15"/>
    </sheetNames>
    <sheetDataSet>
      <sheetData sheetId="0"/>
      <sheetData sheetId="1"/>
      <sheetData sheetId="2">
        <row r="21">
          <cell r="BB21">
            <v>2.5560797150283952E-2</v>
          </cell>
        </row>
      </sheetData>
      <sheetData sheetId="3"/>
      <sheetData sheetId="4">
        <row r="5">
          <cell r="S5" t="str">
            <v>Management</v>
          </cell>
        </row>
        <row r="7">
          <cell r="S7" t="str">
            <v>Support</v>
          </cell>
        </row>
      </sheetData>
      <sheetData sheetId="5">
        <row r="5">
          <cell r="V5">
            <v>46555.387596899229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3"/>
  <sheetViews>
    <sheetView tabSelected="1" workbookViewId="0">
      <selection activeCell="N10" sqref="N10"/>
    </sheetView>
  </sheetViews>
  <sheetFormatPr defaultColWidth="9.109375" defaultRowHeight="15" customHeight="1"/>
  <cols>
    <col min="1" max="1" width="2.88671875" style="1" customWidth="1"/>
    <col min="2" max="2" width="4.21875" style="1" customWidth="1"/>
    <col min="3" max="3" width="4.109375" style="1" customWidth="1"/>
    <col min="4" max="4" width="20.33203125" style="1" customWidth="1"/>
    <col min="5" max="5" width="8.88671875" style="1" customWidth="1"/>
    <col min="6" max="6" width="8.6640625" style="52" customWidth="1"/>
    <col min="7" max="7" width="8.88671875" style="1" customWidth="1"/>
    <col min="8" max="8" width="1.6640625" style="1" customWidth="1"/>
    <col min="9" max="9" width="18" style="1" customWidth="1"/>
    <col min="10" max="10" width="9.6640625" style="1" customWidth="1"/>
    <col min="11" max="11" width="8.6640625" style="52" customWidth="1"/>
    <col min="12" max="12" width="9.88671875" style="1" customWidth="1"/>
    <col min="13" max="13" width="1.6640625" style="1" customWidth="1"/>
    <col min="14" max="14" width="18" style="1" customWidth="1"/>
    <col min="15" max="15" width="9.6640625" style="1" customWidth="1"/>
    <col min="16" max="16" width="8.6640625" style="52" customWidth="1"/>
    <col min="17" max="17" width="9.88671875" style="1" customWidth="1"/>
    <col min="18" max="18" width="3.109375" style="1" customWidth="1"/>
    <col min="19" max="19" width="29.6640625" style="75" hidden="1" customWidth="1"/>
    <col min="20" max="20" width="7.5546875" style="75" hidden="1" customWidth="1"/>
    <col min="21" max="21" width="3.88671875" style="75" hidden="1" customWidth="1"/>
    <col min="22" max="22" width="10.33203125" style="75" hidden="1" customWidth="1"/>
    <col min="23" max="16384" width="9.109375" style="1"/>
  </cols>
  <sheetData>
    <row r="1" spans="4:10" ht="15" customHeight="1">
      <c r="D1" s="402" t="s">
        <v>204</v>
      </c>
      <c r="E1" s="403"/>
      <c r="F1" s="403"/>
      <c r="G1" s="403"/>
      <c r="H1" s="403"/>
      <c r="I1" s="403"/>
      <c r="J1" s="404"/>
    </row>
    <row r="2" spans="4:10" ht="15" customHeight="1" thickBot="1">
      <c r="D2" s="399" t="s">
        <v>92</v>
      </c>
      <c r="E2" s="400"/>
      <c r="F2" s="400"/>
      <c r="G2" s="400"/>
      <c r="H2" s="400"/>
      <c r="I2" s="400"/>
      <c r="J2" s="401"/>
    </row>
    <row r="3" spans="4:10" ht="15" customHeight="1" thickBot="1">
      <c r="D3" s="394" t="s">
        <v>97</v>
      </c>
      <c r="E3" s="395"/>
      <c r="F3" s="396" t="s">
        <v>0</v>
      </c>
      <c r="G3" s="397"/>
      <c r="H3" s="397"/>
      <c r="I3" s="397"/>
      <c r="J3" s="398"/>
    </row>
    <row r="4" spans="4:10" ht="15" customHeight="1">
      <c r="D4" s="2" t="str">
        <f>[8]BelowTheLine!S5</f>
        <v>Management</v>
      </c>
      <c r="E4" s="81">
        <f>48076.1875119252*(2.62%+1)</f>
        <v>49335.78362473764</v>
      </c>
      <c r="F4" s="405" t="s">
        <v>250</v>
      </c>
      <c r="G4" s="406"/>
      <c r="H4" s="406"/>
      <c r="I4" s="406"/>
      <c r="J4" s="407"/>
    </row>
    <row r="5" spans="4:10" ht="15" customHeight="1">
      <c r="D5" s="2" t="s">
        <v>196</v>
      </c>
      <c r="E5" s="81">
        <v>41516.800000000003</v>
      </c>
      <c r="F5" s="408" t="s">
        <v>174</v>
      </c>
      <c r="G5" s="409"/>
      <c r="H5" s="409"/>
      <c r="I5" s="409"/>
      <c r="J5" s="410"/>
    </row>
    <row r="6" spans="4:10" ht="15" customHeight="1" thickBot="1">
      <c r="D6" s="4" t="str">
        <f>[8]BelowTheLine!S7</f>
        <v>Support</v>
      </c>
      <c r="E6" s="97">
        <v>32198.400000000001</v>
      </c>
      <c r="F6" s="405" t="s">
        <v>103</v>
      </c>
      <c r="G6" s="406"/>
      <c r="H6" s="406"/>
      <c r="I6" s="406"/>
      <c r="J6" s="407"/>
    </row>
    <row r="7" spans="4:10" ht="15" customHeight="1" thickBot="1">
      <c r="D7" s="387" t="s">
        <v>159</v>
      </c>
      <c r="E7" s="388"/>
      <c r="F7" s="396" t="s">
        <v>0</v>
      </c>
      <c r="G7" s="390"/>
      <c r="H7" s="390"/>
      <c r="I7" s="390"/>
      <c r="J7" s="391"/>
    </row>
    <row r="8" spans="4:10" ht="15" customHeight="1">
      <c r="D8" s="2" t="str">
        <f>D4</f>
        <v>Management</v>
      </c>
      <c r="E8" s="98">
        <v>0.05</v>
      </c>
      <c r="F8" s="405" t="s">
        <v>151</v>
      </c>
      <c r="G8" s="406"/>
      <c r="H8" s="406"/>
      <c r="I8" s="406"/>
      <c r="J8" s="407"/>
    </row>
    <row r="9" spans="4:10" ht="15" customHeight="1">
      <c r="D9" s="2" t="str">
        <f>D5</f>
        <v>Direct Care III</v>
      </c>
      <c r="E9" s="98">
        <v>0.75</v>
      </c>
      <c r="F9" s="405" t="s">
        <v>151</v>
      </c>
      <c r="G9" s="406"/>
      <c r="H9" s="406"/>
      <c r="I9" s="406"/>
      <c r="J9" s="407"/>
    </row>
    <row r="10" spans="4:10" ht="15" customHeight="1" thickBot="1">
      <c r="D10" s="4" t="str">
        <f>D6</f>
        <v>Support</v>
      </c>
      <c r="E10" s="114">
        <v>0.2</v>
      </c>
      <c r="F10" s="405" t="s">
        <v>151</v>
      </c>
      <c r="G10" s="406"/>
      <c r="H10" s="406"/>
      <c r="I10" s="406"/>
      <c r="J10" s="407"/>
    </row>
    <row r="11" spans="4:10" ht="15" customHeight="1" thickBot="1">
      <c r="D11" s="392" t="s">
        <v>107</v>
      </c>
      <c r="E11" s="393"/>
      <c r="F11" s="396" t="s">
        <v>0</v>
      </c>
      <c r="G11" s="390"/>
      <c r="H11" s="390"/>
      <c r="I11" s="390"/>
      <c r="J11" s="391"/>
    </row>
    <row r="12" spans="4:10" ht="15" customHeight="1">
      <c r="D12" s="5" t="s">
        <v>165</v>
      </c>
      <c r="E12" s="450">
        <v>3.7000000000000002E-3</v>
      </c>
      <c r="F12" s="405" t="s">
        <v>261</v>
      </c>
      <c r="G12" s="406"/>
      <c r="H12" s="406"/>
      <c r="I12" s="406"/>
      <c r="J12" s="407"/>
    </row>
    <row r="13" spans="4:10" ht="15" customHeight="1">
      <c r="D13" s="5" t="s">
        <v>109</v>
      </c>
      <c r="E13" s="81">
        <f>2557.41979107041*(1+2.62%)</f>
        <v>2624.4241895964551</v>
      </c>
      <c r="F13" s="405" t="s">
        <v>252</v>
      </c>
      <c r="G13" s="406"/>
      <c r="H13" s="406"/>
      <c r="I13" s="406"/>
      <c r="J13" s="407"/>
    </row>
    <row r="14" spans="4:10" ht="15" customHeight="1">
      <c r="D14" s="2" t="s">
        <v>110</v>
      </c>
      <c r="E14" s="127">
        <v>0.22309999999999999</v>
      </c>
      <c r="F14" s="405" t="s">
        <v>253</v>
      </c>
      <c r="G14" s="406"/>
      <c r="H14" s="406"/>
      <c r="I14" s="406"/>
      <c r="J14" s="407"/>
    </row>
    <row r="15" spans="4:10" ht="15" customHeight="1">
      <c r="D15" s="130" t="s">
        <v>111</v>
      </c>
      <c r="E15" s="131">
        <v>4.1399999999999997</v>
      </c>
      <c r="F15" s="411" t="s">
        <v>257</v>
      </c>
      <c r="G15" s="412"/>
      <c r="H15" s="412"/>
      <c r="I15" s="412"/>
      <c r="J15" s="413"/>
    </row>
    <row r="16" spans="4:10" ht="15" customHeight="1" thickBot="1">
      <c r="D16" s="2" t="s">
        <v>112</v>
      </c>
      <c r="E16" s="127">
        <v>0.1056</v>
      </c>
      <c r="F16" s="411" t="s">
        <v>256</v>
      </c>
      <c r="G16" s="412"/>
      <c r="H16" s="412"/>
      <c r="I16" s="412"/>
      <c r="J16" s="413"/>
    </row>
    <row r="17" spans="2:22" ht="15" hidden="1" customHeight="1" thickBot="1">
      <c r="D17" s="2" t="s">
        <v>114</v>
      </c>
      <c r="E17" s="133">
        <v>2.6200000000000001E-2</v>
      </c>
      <c r="F17" s="405" t="s">
        <v>158</v>
      </c>
      <c r="G17" s="406"/>
      <c r="H17" s="406"/>
      <c r="I17" s="406"/>
      <c r="J17" s="407"/>
    </row>
    <row r="18" spans="2:22" ht="15" customHeight="1" thickBot="1">
      <c r="D18" s="385" t="s">
        <v>167</v>
      </c>
      <c r="E18" s="386">
        <f>'CAF 2019 Fall'!BZ25</f>
        <v>1.7780248869661817E-2</v>
      </c>
      <c r="F18" s="389" t="s">
        <v>193</v>
      </c>
      <c r="G18" s="390"/>
      <c r="H18" s="390"/>
      <c r="I18" s="390"/>
      <c r="J18" s="391"/>
    </row>
    <row r="20" spans="2:22" ht="18" customHeight="1" thickBot="1"/>
    <row r="21" spans="2:22" ht="15" customHeight="1" thickBot="1">
      <c r="B21" s="73"/>
      <c r="D21" s="415" t="s">
        <v>153</v>
      </c>
      <c r="E21" s="416"/>
      <c r="F21" s="416"/>
      <c r="G21" s="417"/>
      <c r="I21" s="418" t="s">
        <v>90</v>
      </c>
      <c r="J21" s="419"/>
      <c r="K21" s="419"/>
      <c r="L21" s="420"/>
      <c r="N21" s="421" t="s">
        <v>90</v>
      </c>
      <c r="O21" s="422"/>
      <c r="P21" s="422"/>
      <c r="Q21" s="423"/>
      <c r="S21" s="425" t="s">
        <v>91</v>
      </c>
      <c r="T21" s="426"/>
      <c r="U21" s="426"/>
      <c r="V21" s="427"/>
    </row>
    <row r="22" spans="2:22" ht="15" customHeight="1" thickBot="1">
      <c r="B22" s="73"/>
      <c r="D22" s="415" t="s">
        <v>93</v>
      </c>
      <c r="E22" s="416"/>
      <c r="F22" s="416"/>
      <c r="G22" s="417"/>
      <c r="I22" s="418" t="s">
        <v>94</v>
      </c>
      <c r="J22" s="419"/>
      <c r="K22" s="419"/>
      <c r="L22" s="420"/>
      <c r="N22" s="421" t="s">
        <v>95</v>
      </c>
      <c r="O22" s="422"/>
      <c r="P22" s="422"/>
      <c r="Q22" s="423"/>
      <c r="S22" s="425" t="s">
        <v>96</v>
      </c>
      <c r="T22" s="426"/>
      <c r="U22" s="426"/>
      <c r="V22" s="427"/>
    </row>
    <row r="23" spans="2:22" ht="15" customHeight="1">
      <c r="B23" s="76"/>
      <c r="D23" s="77"/>
      <c r="E23" s="424" t="s">
        <v>98</v>
      </c>
      <c r="F23" s="424"/>
      <c r="G23" s="78">
        <v>106</v>
      </c>
      <c r="I23" s="77"/>
      <c r="J23" s="424" t="s">
        <v>98</v>
      </c>
      <c r="K23" s="424"/>
      <c r="L23" s="78">
        <v>75</v>
      </c>
      <c r="N23" s="77"/>
      <c r="O23" s="424" t="s">
        <v>98</v>
      </c>
      <c r="P23" s="424"/>
      <c r="Q23" s="78">
        <v>32</v>
      </c>
      <c r="S23" s="79" t="s">
        <v>92</v>
      </c>
      <c r="T23" s="414" t="s">
        <v>99</v>
      </c>
      <c r="U23" s="414"/>
      <c r="V23" s="80">
        <v>13</v>
      </c>
    </row>
    <row r="24" spans="2:22" ht="15" customHeight="1">
      <c r="B24" s="83"/>
      <c r="D24" s="84" t="s">
        <v>100</v>
      </c>
      <c r="E24" s="85" t="s">
        <v>1</v>
      </c>
      <c r="F24" s="85" t="s">
        <v>101</v>
      </c>
      <c r="G24" s="86" t="s">
        <v>102</v>
      </c>
      <c r="I24" s="84" t="s">
        <v>100</v>
      </c>
      <c r="J24" s="85" t="s">
        <v>1</v>
      </c>
      <c r="K24" s="85" t="s">
        <v>101</v>
      </c>
      <c r="L24" s="86" t="s">
        <v>102</v>
      </c>
      <c r="N24" s="84" t="s">
        <v>100</v>
      </c>
      <c r="O24" s="85" t="s">
        <v>1</v>
      </c>
      <c r="P24" s="85" t="s">
        <v>101</v>
      </c>
      <c r="Q24" s="86" t="s">
        <v>102</v>
      </c>
      <c r="S24" s="87" t="s">
        <v>100</v>
      </c>
      <c r="T24" s="88" t="s">
        <v>1</v>
      </c>
      <c r="U24" s="88" t="s">
        <v>101</v>
      </c>
      <c r="V24" s="89" t="s">
        <v>102</v>
      </c>
    </row>
    <row r="25" spans="2:22" ht="15" customHeight="1">
      <c r="B25" s="83"/>
      <c r="D25" s="3" t="str">
        <f t="shared" ref="D25:E27" si="0">D4</f>
        <v>Management</v>
      </c>
      <c r="E25" s="90">
        <f t="shared" si="0"/>
        <v>49335.78362473764</v>
      </c>
      <c r="F25" s="91">
        <v>0.05</v>
      </c>
      <c r="G25" s="92">
        <f>E25*F25</f>
        <v>2466.7891812368821</v>
      </c>
      <c r="I25" s="3" t="str">
        <f>D25</f>
        <v>Management</v>
      </c>
      <c r="J25" s="90">
        <f>E25</f>
        <v>49335.78362473764</v>
      </c>
      <c r="K25" s="91">
        <v>0.05</v>
      </c>
      <c r="L25" s="92">
        <f>J25*K25</f>
        <v>2466.7891812368821</v>
      </c>
      <c r="N25" s="2" t="str">
        <f t="shared" ref="N25:O27" si="1">D4</f>
        <v>Management</v>
      </c>
      <c r="O25" s="90">
        <f t="shared" si="1"/>
        <v>49335.78362473764</v>
      </c>
      <c r="P25" s="91">
        <v>0.05</v>
      </c>
      <c r="Q25" s="92">
        <f>O25*P25</f>
        <v>2466.7891812368821</v>
      </c>
      <c r="S25" s="93" t="str">
        <f>I25</f>
        <v>Management</v>
      </c>
      <c r="T25" s="94">
        <f>J25</f>
        <v>49335.78362473764</v>
      </c>
      <c r="U25" s="95">
        <v>0.05</v>
      </c>
      <c r="V25" s="96">
        <f>T25*U25</f>
        <v>2466.7891812368821</v>
      </c>
    </row>
    <row r="26" spans="2:22" ht="15" customHeight="1">
      <c r="B26" s="83"/>
      <c r="D26" s="3" t="str">
        <f t="shared" si="0"/>
        <v>Direct Care III</v>
      </c>
      <c r="E26" s="90">
        <f t="shared" si="0"/>
        <v>41516.800000000003</v>
      </c>
      <c r="F26" s="91">
        <f>E9</f>
        <v>0.75</v>
      </c>
      <c r="G26" s="92">
        <f>E26*F26</f>
        <v>31137.600000000002</v>
      </c>
      <c r="I26" s="3" t="str">
        <f t="shared" ref="I26:I27" si="2">D26</f>
        <v>Direct Care III</v>
      </c>
      <c r="J26" s="90">
        <f>E5</f>
        <v>41516.800000000003</v>
      </c>
      <c r="K26" s="91">
        <f t="shared" ref="K26:K27" si="3">F26</f>
        <v>0.75</v>
      </c>
      <c r="L26" s="92">
        <f>J26*K26</f>
        <v>31137.600000000002</v>
      </c>
      <c r="N26" s="2" t="str">
        <f t="shared" si="1"/>
        <v>Direct Care III</v>
      </c>
      <c r="O26" s="90">
        <f t="shared" si="1"/>
        <v>41516.800000000003</v>
      </c>
      <c r="P26" s="91">
        <f t="shared" ref="P26:P27" si="4">K26</f>
        <v>0.75</v>
      </c>
      <c r="Q26" s="92">
        <f>O26*P26</f>
        <v>31137.600000000002</v>
      </c>
      <c r="S26" s="93" t="str">
        <f t="shared" ref="S26:S27" si="5">I26</f>
        <v>Direct Care III</v>
      </c>
      <c r="T26" s="94">
        <f>J26</f>
        <v>41516.800000000003</v>
      </c>
      <c r="U26" s="95">
        <v>0.75</v>
      </c>
      <c r="V26" s="96">
        <f>T26*U26</f>
        <v>31137.600000000002</v>
      </c>
    </row>
    <row r="27" spans="2:22" ht="15" customHeight="1">
      <c r="B27" s="83"/>
      <c r="D27" s="3" t="str">
        <f t="shared" si="0"/>
        <v>Support</v>
      </c>
      <c r="E27" s="90">
        <f t="shared" si="0"/>
        <v>32198.400000000001</v>
      </c>
      <c r="F27" s="91">
        <f>E10</f>
        <v>0.2</v>
      </c>
      <c r="G27" s="92">
        <f>E27*F27</f>
        <v>6439.68</v>
      </c>
      <c r="I27" s="3" t="str">
        <f t="shared" si="2"/>
        <v>Support</v>
      </c>
      <c r="J27" s="90">
        <f>E6</f>
        <v>32198.400000000001</v>
      </c>
      <c r="K27" s="91">
        <f t="shared" si="3"/>
        <v>0.2</v>
      </c>
      <c r="L27" s="92">
        <f>J27*K27</f>
        <v>6439.68</v>
      </c>
      <c r="N27" s="4" t="str">
        <f t="shared" si="1"/>
        <v>Support</v>
      </c>
      <c r="O27" s="90">
        <f t="shared" si="1"/>
        <v>32198.400000000001</v>
      </c>
      <c r="P27" s="91">
        <f t="shared" si="4"/>
        <v>0.2</v>
      </c>
      <c r="Q27" s="92">
        <f>O27*P27</f>
        <v>6439.68</v>
      </c>
      <c r="S27" s="93" t="str">
        <f t="shared" si="5"/>
        <v>Support</v>
      </c>
      <c r="T27" s="94">
        <f>J27</f>
        <v>32198.400000000001</v>
      </c>
      <c r="U27" s="95">
        <v>0.2</v>
      </c>
      <c r="V27" s="96">
        <f>T27*U27</f>
        <v>6439.68</v>
      </c>
    </row>
    <row r="28" spans="2:22" ht="15" customHeight="1">
      <c r="B28" s="83"/>
      <c r="D28" s="99" t="s">
        <v>105</v>
      </c>
      <c r="E28" s="100"/>
      <c r="F28" s="101">
        <f>SUM(F25:F27)</f>
        <v>1</v>
      </c>
      <c r="G28" s="102">
        <f>SUM(G25:G27)</f>
        <v>40044.069181236882</v>
      </c>
      <c r="I28" s="99" t="s">
        <v>105</v>
      </c>
      <c r="J28" s="100"/>
      <c r="K28" s="101">
        <f>SUM(K25:K27)</f>
        <v>1</v>
      </c>
      <c r="L28" s="102">
        <f>SUM(L25:L27)</f>
        <v>40044.069181236882</v>
      </c>
      <c r="N28" s="99" t="s">
        <v>105</v>
      </c>
      <c r="O28" s="100"/>
      <c r="P28" s="101">
        <f>SUM(P25:P27)</f>
        <v>1</v>
      </c>
      <c r="Q28" s="102">
        <f>SUM(Q25:Q27)</f>
        <v>40044.069181236882</v>
      </c>
      <c r="S28" s="103" t="s">
        <v>105</v>
      </c>
      <c r="T28" s="104"/>
      <c r="U28" s="105">
        <f>SUM(U25:U27)</f>
        <v>1</v>
      </c>
      <c r="V28" s="106">
        <f>SUM(V25:V27)</f>
        <v>40044.069181236882</v>
      </c>
    </row>
    <row r="29" spans="2:22" ht="15" customHeight="1">
      <c r="B29" s="83"/>
      <c r="D29" s="107"/>
      <c r="E29" s="108"/>
      <c r="F29" s="109"/>
      <c r="G29" s="92"/>
      <c r="I29" s="107"/>
      <c r="J29" s="108"/>
      <c r="K29" s="109"/>
      <c r="L29" s="92"/>
      <c r="N29" s="107"/>
      <c r="O29" s="108"/>
      <c r="P29" s="109"/>
      <c r="Q29" s="92"/>
      <c r="S29" s="110"/>
      <c r="T29" s="111"/>
      <c r="U29" s="112"/>
      <c r="V29" s="113"/>
    </row>
    <row r="30" spans="2:22" ht="15" customHeight="1">
      <c r="B30" s="83"/>
      <c r="D30" s="115" t="s">
        <v>106</v>
      </c>
      <c r="E30" s="116">
        <f>E14</f>
        <v>0.22309999999999999</v>
      </c>
      <c r="F30" s="117"/>
      <c r="G30" s="92">
        <f>E30*G28</f>
        <v>8933.8318343339488</v>
      </c>
      <c r="I30" s="115" t="s">
        <v>106</v>
      </c>
      <c r="J30" s="116">
        <f>E14</f>
        <v>0.22309999999999999</v>
      </c>
      <c r="K30" s="117"/>
      <c r="L30" s="92">
        <f>J30*L28</f>
        <v>8933.8318343339488</v>
      </c>
      <c r="N30" s="115" t="s">
        <v>106</v>
      </c>
      <c r="O30" s="116">
        <f>E14</f>
        <v>0.22309999999999999</v>
      </c>
      <c r="P30" s="117"/>
      <c r="Q30" s="92">
        <f>O30*Q28</f>
        <v>8933.8318343339488</v>
      </c>
      <c r="S30" s="118" t="s">
        <v>106</v>
      </c>
      <c r="T30" s="119">
        <f>E14</f>
        <v>0.22309999999999999</v>
      </c>
      <c r="U30" s="111"/>
      <c r="V30" s="96">
        <f>T30*V28</f>
        <v>8933.8318343339488</v>
      </c>
    </row>
    <row r="31" spans="2:22" ht="15" customHeight="1">
      <c r="B31" s="83"/>
      <c r="D31" s="99" t="s">
        <v>108</v>
      </c>
      <c r="E31" s="100"/>
      <c r="F31" s="120"/>
      <c r="G31" s="102">
        <f>SUM(G28:G30)</f>
        <v>48977.901015570831</v>
      </c>
      <c r="I31" s="99" t="s">
        <v>108</v>
      </c>
      <c r="J31" s="100"/>
      <c r="K31" s="120"/>
      <c r="L31" s="102">
        <f>SUM(L28:L30)</f>
        <v>48977.901015570831</v>
      </c>
      <c r="N31" s="99" t="s">
        <v>108</v>
      </c>
      <c r="O31" s="100"/>
      <c r="P31" s="120"/>
      <c r="Q31" s="102">
        <f>SUM(Q28:Q30)</f>
        <v>48977.901015570831</v>
      </c>
      <c r="S31" s="103" t="s">
        <v>108</v>
      </c>
      <c r="T31" s="104"/>
      <c r="U31" s="121"/>
      <c r="V31" s="106">
        <f>SUM(V28:V30)</f>
        <v>48977.901015570831</v>
      </c>
    </row>
    <row r="32" spans="2:22" ht="15" customHeight="1">
      <c r="B32" s="83"/>
      <c r="D32" s="107" t="str">
        <f>D12</f>
        <v>PFMLA</v>
      </c>
      <c r="E32" s="337">
        <f>E12</f>
        <v>3.7000000000000002E-3</v>
      </c>
      <c r="F32" s="122"/>
      <c r="G32" s="123">
        <f>G28*E32</f>
        <v>148.16305597057647</v>
      </c>
      <c r="I32" s="107" t="str">
        <f>D12</f>
        <v>PFMLA</v>
      </c>
      <c r="J32" s="337">
        <f>E12</f>
        <v>3.7000000000000002E-3</v>
      </c>
      <c r="K32" s="122"/>
      <c r="L32" s="123">
        <f>L28*J32</f>
        <v>148.16305597057647</v>
      </c>
      <c r="N32" s="107" t="str">
        <f>D12</f>
        <v>PFMLA</v>
      </c>
      <c r="O32" s="337">
        <f>E12</f>
        <v>3.7000000000000002E-3</v>
      </c>
      <c r="P32" s="122"/>
      <c r="Q32" s="123">
        <f>O32*Q28</f>
        <v>148.16305597057647</v>
      </c>
      <c r="S32" s="110"/>
      <c r="T32" s="112"/>
      <c r="U32" s="124"/>
      <c r="V32" s="125"/>
    </row>
    <row r="33" spans="2:22" ht="15" customHeight="1">
      <c r="B33" s="83" t="s">
        <v>168</v>
      </c>
      <c r="D33" s="115" t="str">
        <f>D13</f>
        <v>Occupancy</v>
      </c>
      <c r="E33" s="126"/>
      <c r="F33" s="122"/>
      <c r="G33" s="92">
        <f>E13*F28</f>
        <v>2624.4241895964551</v>
      </c>
      <c r="I33" s="115" t="str">
        <f>D13</f>
        <v>Occupancy</v>
      </c>
      <c r="J33" s="126"/>
      <c r="K33" s="122"/>
      <c r="L33" s="92">
        <f>K28*E13</f>
        <v>2624.4241895964551</v>
      </c>
      <c r="N33" s="115" t="str">
        <f>D13</f>
        <v>Occupancy</v>
      </c>
      <c r="O33" s="126"/>
      <c r="P33" s="122"/>
      <c r="Q33" s="92">
        <f>E13*P28</f>
        <v>2624.4241895964551</v>
      </c>
      <c r="S33" s="118" t="str">
        <f>I33</f>
        <v>Occupancy</v>
      </c>
      <c r="T33" s="112"/>
      <c r="U33" s="124"/>
      <c r="V33" s="96">
        <f>U28*E13</f>
        <v>2624.4241895964551</v>
      </c>
    </row>
    <row r="34" spans="2:22" ht="15" customHeight="1">
      <c r="B34" s="83"/>
      <c r="D34" s="115" t="str">
        <f>D15</f>
        <v>Other Program Expenses Per client</v>
      </c>
      <c r="E34" s="128"/>
      <c r="F34" s="334">
        <f>E15</f>
        <v>4.1399999999999997</v>
      </c>
      <c r="G34" s="92">
        <f>F34*G23*12</f>
        <v>5266.08</v>
      </c>
      <c r="I34" s="115" t="str">
        <f>D15</f>
        <v>Other Program Expenses Per client</v>
      </c>
      <c r="J34" s="128"/>
      <c r="K34" s="334">
        <f>E15</f>
        <v>4.1399999999999997</v>
      </c>
      <c r="L34" s="92">
        <f>K34*L23*12</f>
        <v>3726</v>
      </c>
      <c r="N34" s="115" t="str">
        <f>D15</f>
        <v>Other Program Expenses Per client</v>
      </c>
      <c r="O34" s="128"/>
      <c r="P34" s="334">
        <f>E15</f>
        <v>4.1399999999999997</v>
      </c>
      <c r="Q34" s="92">
        <f>P34*Q23*12</f>
        <v>1589.7599999999998</v>
      </c>
      <c r="S34" s="118" t="str">
        <f>I34</f>
        <v>Other Program Expenses Per client</v>
      </c>
      <c r="T34" s="94"/>
      <c r="U34" s="124"/>
      <c r="V34" s="129">
        <f>E15*V23*12</f>
        <v>645.83999999999992</v>
      </c>
    </row>
    <row r="35" spans="2:22" ht="15" customHeight="1">
      <c r="B35" s="83"/>
      <c r="D35" s="99" t="s">
        <v>113</v>
      </c>
      <c r="E35" s="100"/>
      <c r="F35" s="132"/>
      <c r="G35" s="102">
        <f>SUM(G31:G34)</f>
        <v>57016.568261137858</v>
      </c>
      <c r="I35" s="99" t="s">
        <v>113</v>
      </c>
      <c r="J35" s="100"/>
      <c r="K35" s="132"/>
      <c r="L35" s="102">
        <f>SUM(L31:L34)</f>
        <v>55476.488261137856</v>
      </c>
      <c r="N35" s="99" t="s">
        <v>113</v>
      </c>
      <c r="O35" s="100"/>
      <c r="P35" s="132"/>
      <c r="Q35" s="102">
        <f>SUM(Q31:Q34)</f>
        <v>53340.248261137858</v>
      </c>
      <c r="S35" s="103" t="s">
        <v>113</v>
      </c>
      <c r="T35" s="104"/>
      <c r="U35" s="104"/>
      <c r="V35" s="106">
        <f>SUM(V31:V34)</f>
        <v>52248.165205167286</v>
      </c>
    </row>
    <row r="36" spans="2:22" ht="15" customHeight="1">
      <c r="B36" s="83"/>
      <c r="D36" s="115" t="s">
        <v>112</v>
      </c>
      <c r="E36" s="116">
        <f>E16</f>
        <v>0.1056</v>
      </c>
      <c r="F36" s="117"/>
      <c r="G36" s="92">
        <f>E36*G35</f>
        <v>6020.9496083761578</v>
      </c>
      <c r="I36" s="115" t="s">
        <v>112</v>
      </c>
      <c r="J36" s="116">
        <f>E16</f>
        <v>0.1056</v>
      </c>
      <c r="K36" s="117"/>
      <c r="L36" s="92">
        <f>J36*L35</f>
        <v>5858.3171603761575</v>
      </c>
      <c r="N36" s="115" t="s">
        <v>112</v>
      </c>
      <c r="O36" s="116">
        <f>E16</f>
        <v>0.1056</v>
      </c>
      <c r="P36" s="117"/>
      <c r="Q36" s="92">
        <f>O36*Q35</f>
        <v>5632.7302163761578</v>
      </c>
      <c r="S36" s="118" t="s">
        <v>112</v>
      </c>
      <c r="T36" s="119">
        <f>E16</f>
        <v>0.1056</v>
      </c>
      <c r="U36" s="111"/>
      <c r="V36" s="96">
        <f>T36*V35</f>
        <v>5517.4062456656657</v>
      </c>
    </row>
    <row r="37" spans="2:22" ht="15" customHeight="1">
      <c r="B37" s="83"/>
      <c r="D37" s="115"/>
      <c r="E37" s="116"/>
      <c r="F37" s="117"/>
      <c r="G37" s="92"/>
      <c r="I37" s="115"/>
      <c r="J37" s="116"/>
      <c r="K37" s="117"/>
      <c r="L37" s="92"/>
      <c r="N37" s="115"/>
      <c r="O37" s="116"/>
      <c r="P37" s="117"/>
      <c r="Q37" s="92"/>
      <c r="S37" s="118"/>
      <c r="T37" s="119"/>
      <c r="U37" s="111"/>
      <c r="V37" s="96"/>
    </row>
    <row r="38" spans="2:22" ht="15" customHeight="1" thickBot="1">
      <c r="B38" s="83"/>
      <c r="D38" s="135" t="s">
        <v>115</v>
      </c>
      <c r="E38" s="136"/>
      <c r="F38" s="137"/>
      <c r="G38" s="138">
        <f>SUM(G35:G36)</f>
        <v>63037.517869514013</v>
      </c>
      <c r="I38" s="135" t="s">
        <v>115</v>
      </c>
      <c r="J38" s="136"/>
      <c r="K38" s="137"/>
      <c r="L38" s="138">
        <f>SUM(L35:L36)</f>
        <v>61334.805421514015</v>
      </c>
      <c r="N38" s="135" t="s">
        <v>115</v>
      </c>
      <c r="O38" s="136"/>
      <c r="P38" s="137"/>
      <c r="Q38" s="138">
        <f>SUM(Q35:Q36)</f>
        <v>58972.978477514014</v>
      </c>
      <c r="S38" s="139" t="s">
        <v>115</v>
      </c>
      <c r="T38" s="140"/>
      <c r="U38" s="140"/>
      <c r="V38" s="141">
        <f>SUM(V35:V36)</f>
        <v>57765.571450832955</v>
      </c>
    </row>
    <row r="39" spans="2:22" ht="15" customHeight="1" thickTop="1" thickBot="1">
      <c r="D39" s="115" t="s">
        <v>89</v>
      </c>
      <c r="E39" s="116">
        <f>E18</f>
        <v>1.7780248869661817E-2</v>
      </c>
      <c r="F39" s="117"/>
      <c r="G39" s="331">
        <f>(G38-G28)*(E39)</f>
        <v>408.82924004936643</v>
      </c>
      <c r="I39" s="115" t="s">
        <v>89</v>
      </c>
      <c r="J39" s="116">
        <f>E18</f>
        <v>1.7780248869661817E-2</v>
      </c>
      <c r="K39" s="117"/>
      <c r="L39" s="331">
        <f>(L38-L28)*J39</f>
        <v>378.55458897045537</v>
      </c>
      <c r="N39" s="115" t="s">
        <v>89</v>
      </c>
      <c r="O39" s="116">
        <f>E18</f>
        <v>1.7780248869661817E-2</v>
      </c>
      <c r="P39" s="117"/>
      <c r="Q39" s="331">
        <f>(Q38-Q28)*O39</f>
        <v>336.56071811906253</v>
      </c>
      <c r="S39" s="118" t="s">
        <v>89</v>
      </c>
      <c r="T39" s="119">
        <f>E17</f>
        <v>2.6200000000000001E-2</v>
      </c>
      <c r="U39" s="111"/>
      <c r="V39" s="142">
        <f>V38+(V38*T39)</f>
        <v>59279.029422844775</v>
      </c>
    </row>
    <row r="40" spans="2:22" ht="15" customHeight="1" thickTop="1" thickBot="1">
      <c r="D40" s="115" t="s">
        <v>126</v>
      </c>
      <c r="E40" s="116"/>
      <c r="F40" s="117"/>
      <c r="G40" s="330">
        <f>G39+G38</f>
        <v>63446.347109563379</v>
      </c>
      <c r="I40" s="115" t="s">
        <v>126</v>
      </c>
      <c r="J40" s="116"/>
      <c r="K40" s="117"/>
      <c r="L40" s="330">
        <f>L39+L38</f>
        <v>61713.360010484466</v>
      </c>
      <c r="N40" s="115" t="s">
        <v>126</v>
      </c>
      <c r="O40" s="116"/>
      <c r="P40" s="117"/>
      <c r="Q40" s="330">
        <f>Q39+Q38</f>
        <v>59309.539195633079</v>
      </c>
      <c r="S40" s="147" t="s">
        <v>116</v>
      </c>
      <c r="T40" s="148"/>
      <c r="U40" s="149"/>
      <c r="V40" s="150">
        <f>V39/V23/12</f>
        <v>379.99377835156906</v>
      </c>
    </row>
    <row r="41" spans="2:22" ht="15" customHeight="1" thickBot="1">
      <c r="D41" s="143" t="s">
        <v>116</v>
      </c>
      <c r="E41" s="144"/>
      <c r="F41" s="145"/>
      <c r="G41" s="146">
        <f>G40/G23/12</f>
        <v>49.879203702486933</v>
      </c>
      <c r="I41" s="143" t="s">
        <v>116</v>
      </c>
      <c r="J41" s="144"/>
      <c r="K41" s="145"/>
      <c r="L41" s="146">
        <f>L40/L23/12</f>
        <v>68.570400011649411</v>
      </c>
      <c r="N41" s="143" t="s">
        <v>116</v>
      </c>
      <c r="O41" s="144"/>
      <c r="P41" s="145"/>
      <c r="Q41" s="146">
        <f>Q40/Q23/12</f>
        <v>154.45192498862781</v>
      </c>
    </row>
    <row r="42" spans="2:22" ht="15" customHeight="1">
      <c r="S42" s="1"/>
      <c r="T42" s="1"/>
      <c r="U42" s="1"/>
      <c r="V42" s="1"/>
    </row>
    <row r="43" spans="2:22" s="54" customFormat="1" ht="15" customHeight="1">
      <c r="B43" s="1"/>
      <c r="D43" s="1"/>
      <c r="E43" s="1"/>
      <c r="F43" s="52"/>
      <c r="G43" s="1"/>
      <c r="H43" s="1"/>
      <c r="I43" s="1"/>
      <c r="J43" s="1"/>
      <c r="K43" s="1"/>
      <c r="L43" s="52"/>
      <c r="M43" s="1"/>
      <c r="N43" s="1"/>
      <c r="O43" s="1"/>
      <c r="P43" s="1"/>
      <c r="Q43" s="1"/>
    </row>
    <row r="44" spans="2:22" ht="15" customHeight="1">
      <c r="D44" s="151"/>
      <c r="F44" s="152"/>
      <c r="K44" s="1"/>
      <c r="L44" s="52"/>
      <c r="P44" s="1"/>
      <c r="S44" s="1"/>
      <c r="T44" s="1"/>
      <c r="U44" s="1"/>
      <c r="V44" s="1"/>
    </row>
    <row r="45" spans="2:22" ht="15" customHeight="1">
      <c r="D45" s="151"/>
      <c r="K45" s="1"/>
      <c r="L45" s="52"/>
      <c r="P45" s="1"/>
      <c r="S45" s="1"/>
      <c r="T45" s="1"/>
      <c r="U45" s="1"/>
      <c r="V45" s="1"/>
    </row>
    <row r="46" spans="2:22" ht="15" customHeight="1">
      <c r="K46" s="1"/>
      <c r="L46" s="52"/>
      <c r="P46" s="1"/>
      <c r="S46" s="1"/>
      <c r="T46" s="1"/>
      <c r="U46" s="1"/>
      <c r="V46" s="1"/>
    </row>
    <row r="47" spans="2:22" ht="15" customHeight="1">
      <c r="K47" s="1"/>
      <c r="L47" s="52"/>
      <c r="P47" s="1"/>
      <c r="S47" s="1"/>
      <c r="T47" s="1"/>
      <c r="U47" s="1"/>
      <c r="V47" s="1"/>
    </row>
    <row r="48" spans="2:22" ht="15" customHeight="1">
      <c r="K48" s="1"/>
      <c r="L48" s="52"/>
      <c r="P48" s="1"/>
      <c r="S48" s="1"/>
      <c r="T48" s="1"/>
      <c r="U48" s="1"/>
      <c r="V48" s="1"/>
    </row>
    <row r="49" spans="11:22" ht="15" customHeight="1">
      <c r="K49" s="1"/>
      <c r="L49" s="52"/>
      <c r="P49" s="1"/>
      <c r="S49" s="1"/>
      <c r="T49" s="1"/>
      <c r="U49" s="1"/>
      <c r="V49" s="1"/>
    </row>
    <row r="50" spans="11:22" ht="15" customHeight="1">
      <c r="K50" s="1"/>
      <c r="L50" s="52"/>
      <c r="P50" s="1"/>
      <c r="S50" s="1"/>
      <c r="T50" s="1"/>
      <c r="U50" s="1"/>
      <c r="V50" s="1"/>
    </row>
    <row r="51" spans="11:22" ht="15" customHeight="1">
      <c r="K51" s="1"/>
      <c r="L51" s="52"/>
      <c r="P51" s="1"/>
      <c r="S51" s="1"/>
      <c r="T51" s="1"/>
      <c r="U51" s="1"/>
      <c r="V51" s="1"/>
    </row>
    <row r="52" spans="11:22" ht="15" customHeight="1">
      <c r="K52" s="1"/>
      <c r="L52" s="52"/>
      <c r="P52" s="1"/>
      <c r="S52" s="1"/>
      <c r="T52" s="1"/>
      <c r="U52" s="1"/>
      <c r="V52" s="1"/>
    </row>
    <row r="53" spans="11:22" ht="15" customHeight="1">
      <c r="K53" s="1"/>
      <c r="L53" s="52"/>
      <c r="P53" s="1"/>
      <c r="S53" s="1"/>
      <c r="T53" s="1"/>
      <c r="U53" s="1"/>
      <c r="V53" s="1"/>
    </row>
    <row r="54" spans="11:22" ht="15" customHeight="1">
      <c r="K54" s="1"/>
      <c r="L54" s="52"/>
      <c r="P54" s="1"/>
      <c r="S54" s="1"/>
      <c r="T54" s="1"/>
      <c r="U54" s="1"/>
      <c r="V54" s="1"/>
    </row>
    <row r="55" spans="11:22" ht="15" customHeight="1">
      <c r="K55" s="1"/>
      <c r="L55" s="52"/>
      <c r="P55" s="1"/>
      <c r="S55" s="1"/>
      <c r="T55" s="1"/>
      <c r="U55" s="1"/>
      <c r="V55" s="1"/>
    </row>
    <row r="56" spans="11:22" ht="15" customHeight="1">
      <c r="K56" s="1"/>
      <c r="L56" s="52"/>
      <c r="P56" s="1"/>
      <c r="S56" s="1"/>
      <c r="T56" s="1"/>
      <c r="U56" s="1"/>
      <c r="V56" s="1"/>
    </row>
    <row r="57" spans="11:22" ht="15" customHeight="1">
      <c r="K57" s="1"/>
      <c r="L57" s="52"/>
      <c r="P57" s="1"/>
      <c r="S57" s="1"/>
      <c r="T57" s="1"/>
      <c r="U57" s="1"/>
      <c r="V57" s="1"/>
    </row>
    <row r="58" spans="11:22" ht="15" customHeight="1">
      <c r="K58" s="1"/>
      <c r="L58" s="52"/>
      <c r="P58" s="1"/>
      <c r="S58" s="1"/>
      <c r="T58" s="1"/>
      <c r="U58" s="1"/>
      <c r="V58" s="1"/>
    </row>
    <row r="59" spans="11:22" ht="15" customHeight="1">
      <c r="K59" s="1"/>
      <c r="L59" s="52"/>
      <c r="P59" s="1"/>
      <c r="S59" s="1"/>
      <c r="T59" s="1"/>
      <c r="U59" s="1"/>
      <c r="V59" s="1"/>
    </row>
    <row r="60" spans="11:22" ht="15" customHeight="1">
      <c r="P60" s="1"/>
      <c r="S60" s="1"/>
      <c r="T60" s="1"/>
      <c r="U60" s="1"/>
      <c r="V60" s="1"/>
    </row>
    <row r="61" spans="11:22" ht="15" customHeight="1">
      <c r="P61" s="1"/>
      <c r="S61" s="1"/>
      <c r="T61" s="1"/>
      <c r="U61" s="1"/>
      <c r="V61" s="1"/>
    </row>
    <row r="62" spans="11:22" ht="15" customHeight="1">
      <c r="P62" s="1"/>
      <c r="S62" s="1"/>
      <c r="T62" s="1"/>
      <c r="U62" s="1"/>
      <c r="V62" s="1"/>
    </row>
    <row r="63" spans="11:22" ht="15" customHeight="1">
      <c r="P63" s="1"/>
      <c r="S63" s="1"/>
      <c r="T63" s="1"/>
      <c r="U63" s="1"/>
      <c r="V63" s="1"/>
    </row>
  </sheetData>
  <mergeCells count="26">
    <mergeCell ref="T23:U23"/>
    <mergeCell ref="D21:G21"/>
    <mergeCell ref="I21:L21"/>
    <mergeCell ref="N21:Q21"/>
    <mergeCell ref="E23:F23"/>
    <mergeCell ref="J23:K23"/>
    <mergeCell ref="O23:P23"/>
    <mergeCell ref="S21:V21"/>
    <mergeCell ref="D22:G22"/>
    <mergeCell ref="I22:L22"/>
    <mergeCell ref="N22:Q22"/>
    <mergeCell ref="S22:V22"/>
    <mergeCell ref="F8:J8"/>
    <mergeCell ref="F17:J17"/>
    <mergeCell ref="F16:J16"/>
    <mergeCell ref="F15:J15"/>
    <mergeCell ref="F14:J14"/>
    <mergeCell ref="F13:J13"/>
    <mergeCell ref="F12:J12"/>
    <mergeCell ref="F10:J10"/>
    <mergeCell ref="F9:J9"/>
    <mergeCell ref="D2:J2"/>
    <mergeCell ref="D1:J1"/>
    <mergeCell ref="F4:J4"/>
    <mergeCell ref="F5:J5"/>
    <mergeCell ref="F6:J6"/>
  </mergeCells>
  <pageMargins left="0.25" right="0.2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I16" sqref="I16"/>
    </sheetView>
  </sheetViews>
  <sheetFormatPr defaultRowHeight="14.4"/>
  <cols>
    <col min="1" max="1" width="2.5546875" style="194" customWidth="1"/>
    <col min="2" max="2" width="26.5546875" style="194" customWidth="1"/>
    <col min="3" max="3" width="11.6640625" style="194" customWidth="1"/>
    <col min="4" max="4" width="51.33203125" style="194" customWidth="1"/>
    <col min="5" max="5" width="2.88671875" style="194" customWidth="1"/>
    <col min="6" max="6" width="19.77734375" style="194" bestFit="1" customWidth="1"/>
    <col min="7" max="7" width="9.6640625" style="194" customWidth="1"/>
    <col min="8" max="8" width="10" style="194" customWidth="1"/>
    <col min="9" max="9" width="9.5546875" style="194" customWidth="1"/>
    <col min="10" max="10" width="2.5546875" style="194" customWidth="1"/>
    <col min="11" max="11" width="32.109375" style="194" customWidth="1"/>
    <col min="12" max="12" width="6.33203125" style="194" bestFit="1" customWidth="1"/>
    <col min="13" max="13" width="5.6640625" style="194" bestFit="1" customWidth="1"/>
    <col min="14" max="14" width="6.88671875" style="194" customWidth="1"/>
    <col min="15" max="16384" width="8.88671875" style="194"/>
  </cols>
  <sheetData>
    <row r="1" spans="1:14" ht="15" thickBot="1"/>
    <row r="2" spans="1:14" ht="15" thickBot="1">
      <c r="A2" s="195"/>
      <c r="B2" s="428" t="s">
        <v>121</v>
      </c>
      <c r="C2" s="429"/>
      <c r="D2" s="430"/>
      <c r="E2" s="196"/>
      <c r="F2" s="431" t="s">
        <v>122</v>
      </c>
      <c r="G2" s="432"/>
      <c r="H2" s="432"/>
      <c r="I2" s="433"/>
      <c r="J2" s="196"/>
      <c r="K2" s="6" t="s">
        <v>200</v>
      </c>
      <c r="L2" s="7" t="s">
        <v>124</v>
      </c>
      <c r="M2" s="7" t="s">
        <v>125</v>
      </c>
      <c r="N2" s="8" t="s">
        <v>126</v>
      </c>
    </row>
    <row r="3" spans="1:14">
      <c r="A3" s="197"/>
      <c r="B3" s="434" t="s">
        <v>127</v>
      </c>
      <c r="C3" s="435"/>
      <c r="D3" s="9" t="s">
        <v>0</v>
      </c>
      <c r="E3" s="196"/>
      <c r="F3" s="198" t="s">
        <v>128</v>
      </c>
      <c r="G3" s="436" t="s">
        <v>129</v>
      </c>
      <c r="H3" s="436"/>
      <c r="I3" s="199">
        <f>N12</f>
        <v>1057.5</v>
      </c>
      <c r="J3" s="196"/>
      <c r="K3" s="10" t="s">
        <v>130</v>
      </c>
      <c r="L3" s="11">
        <v>52</v>
      </c>
      <c r="M3" s="11">
        <v>40</v>
      </c>
      <c r="N3" s="12">
        <f>52*40</f>
        <v>2080</v>
      </c>
    </row>
    <row r="4" spans="1:14">
      <c r="A4" s="197"/>
      <c r="B4" s="200" t="s">
        <v>117</v>
      </c>
      <c r="C4" s="201">
        <f>59539.8235713056*(2.62%+1)</f>
        <v>61099.766948873803</v>
      </c>
      <c r="D4" s="202" t="s">
        <v>157</v>
      </c>
      <c r="E4" s="196"/>
      <c r="F4" s="13" t="s">
        <v>131</v>
      </c>
      <c r="G4" s="14" t="s">
        <v>132</v>
      </c>
      <c r="H4" s="15" t="s">
        <v>104</v>
      </c>
      <c r="I4" s="16" t="s">
        <v>133</v>
      </c>
      <c r="J4" s="196"/>
      <c r="K4" s="17" t="s">
        <v>134</v>
      </c>
      <c r="L4" s="18"/>
      <c r="M4" s="19"/>
      <c r="N4" s="20"/>
    </row>
    <row r="5" spans="1:14">
      <c r="A5" s="197"/>
      <c r="B5" s="203" t="s">
        <v>196</v>
      </c>
      <c r="C5" s="201">
        <v>41516.800000000003</v>
      </c>
      <c r="D5" s="202" t="s">
        <v>174</v>
      </c>
      <c r="E5" s="196"/>
      <c r="F5" s="204" t="s">
        <v>117</v>
      </c>
      <c r="G5" s="205">
        <f>C4</f>
        <v>61099.766948873803</v>
      </c>
      <c r="H5" s="206">
        <f>C9</f>
        <v>5.5223880597014927E-2</v>
      </c>
      <c r="I5" s="207">
        <f>G5*H5</f>
        <v>3374.166234490046</v>
      </c>
      <c r="J5" s="196"/>
      <c r="K5" s="21" t="s">
        <v>135</v>
      </c>
      <c r="L5" s="22">
        <v>3</v>
      </c>
      <c r="M5" s="23">
        <v>40</v>
      </c>
      <c r="N5" s="24">
        <f>L5*M5</f>
        <v>120</v>
      </c>
    </row>
    <row r="6" spans="1:14">
      <c r="A6" s="197"/>
      <c r="B6" s="203" t="s">
        <v>172</v>
      </c>
      <c r="C6" s="201">
        <v>32198</v>
      </c>
      <c r="D6" s="202" t="s">
        <v>174</v>
      </c>
      <c r="E6" s="196"/>
      <c r="F6" s="347" t="str">
        <f>B5</f>
        <v>Direct Care III</v>
      </c>
      <c r="G6" s="348">
        <f>C5</f>
        <v>41516.800000000003</v>
      </c>
      <c r="H6" s="349">
        <f>C10</f>
        <v>0.7</v>
      </c>
      <c r="I6" s="350">
        <f>H6*G6</f>
        <v>29061.759999999998</v>
      </c>
      <c r="J6" s="196"/>
      <c r="K6" s="25" t="s">
        <v>136</v>
      </c>
      <c r="L6" s="22">
        <v>2</v>
      </c>
      <c r="M6" s="23">
        <v>40</v>
      </c>
      <c r="N6" s="26">
        <f>L6*M6</f>
        <v>80</v>
      </c>
    </row>
    <row r="7" spans="1:14">
      <c r="A7" s="197"/>
      <c r="B7" s="208" t="s">
        <v>118</v>
      </c>
      <c r="C7" s="209">
        <v>32198.400000000001</v>
      </c>
      <c r="D7" s="210" t="s">
        <v>194</v>
      </c>
      <c r="E7" s="196"/>
      <c r="F7" s="203" t="str">
        <f>B6</f>
        <v>Direct Care</v>
      </c>
      <c r="G7" s="348">
        <f>C6</f>
        <v>32198</v>
      </c>
      <c r="H7" s="349">
        <f>C11</f>
        <v>0.3</v>
      </c>
      <c r="I7" s="350">
        <f t="shared" ref="I7:I8" si="0">G7*H7</f>
        <v>9659.4</v>
      </c>
      <c r="J7" s="196"/>
      <c r="K7" s="28" t="s">
        <v>150</v>
      </c>
      <c r="L7" s="22">
        <v>47</v>
      </c>
      <c r="M7" s="23">
        <v>17.5</v>
      </c>
      <c r="N7" s="26">
        <f>L7*M7</f>
        <v>822.5</v>
      </c>
    </row>
    <row r="8" spans="1:14">
      <c r="A8" s="197"/>
      <c r="B8" s="27"/>
      <c r="C8" s="211" t="s">
        <v>104</v>
      </c>
      <c r="D8" s="202"/>
      <c r="E8" s="196"/>
      <c r="F8" s="347" t="s">
        <v>118</v>
      </c>
      <c r="G8" s="351">
        <f>C7</f>
        <v>32198.400000000001</v>
      </c>
      <c r="H8" s="349">
        <f>C12</f>
        <v>2.1641791044776121E-2</v>
      </c>
      <c r="I8" s="350">
        <f t="shared" si="0"/>
        <v>696.83104477611948</v>
      </c>
      <c r="J8" s="196"/>
      <c r="K8" s="30" t="s">
        <v>137</v>
      </c>
      <c r="L8" s="31"/>
      <c r="M8" s="32"/>
      <c r="N8" s="33"/>
    </row>
    <row r="9" spans="1:14" ht="15" thickBot="1">
      <c r="A9" s="197"/>
      <c r="B9" s="29" t="str">
        <f>B4</f>
        <v>Management</v>
      </c>
      <c r="C9" s="212">
        <v>5.5223880597014927E-2</v>
      </c>
      <c r="D9" s="202" t="s">
        <v>152</v>
      </c>
      <c r="E9" s="196"/>
      <c r="F9" s="352" t="s">
        <v>105</v>
      </c>
      <c r="G9" s="353"/>
      <c r="H9" s="354">
        <v>1.076865671641791</v>
      </c>
      <c r="I9" s="355">
        <f>SUM(I5:I8)</f>
        <v>42792.157279266161</v>
      </c>
      <c r="J9" s="196"/>
      <c r="K9" s="34" t="s">
        <v>138</v>
      </c>
      <c r="L9" s="35"/>
      <c r="M9" s="35"/>
      <c r="N9" s="36">
        <f>SUM(N4:N8)</f>
        <v>1022.5</v>
      </c>
    </row>
    <row r="10" spans="1:14">
      <c r="A10" s="197"/>
      <c r="B10" s="203" t="str">
        <f>B5</f>
        <v>Direct Care III</v>
      </c>
      <c r="C10" s="212">
        <v>0.7</v>
      </c>
      <c r="D10" s="82" t="s">
        <v>251</v>
      </c>
      <c r="E10" s="196"/>
      <c r="F10" s="347"/>
      <c r="G10" s="356"/>
      <c r="H10" s="357"/>
      <c r="I10" s="358"/>
      <c r="J10" s="196"/>
      <c r="K10" s="37" t="s">
        <v>139</v>
      </c>
      <c r="L10" s="38"/>
      <c r="M10" s="38"/>
      <c r="N10" s="39">
        <f>N3-N9</f>
        <v>1057.5</v>
      </c>
    </row>
    <row r="11" spans="1:14" ht="15" thickBot="1">
      <c r="A11" s="197"/>
      <c r="B11" s="203" t="s">
        <v>172</v>
      </c>
      <c r="C11" s="212">
        <v>0.3</v>
      </c>
      <c r="D11" s="82" t="s">
        <v>251</v>
      </c>
      <c r="E11" s="196"/>
      <c r="F11" s="359" t="s">
        <v>106</v>
      </c>
      <c r="G11" s="360">
        <f>C14</f>
        <v>0.22309999999999999</v>
      </c>
      <c r="H11" s="361"/>
      <c r="I11" s="362">
        <f>G11*I9</f>
        <v>9546.93028900428</v>
      </c>
      <c r="J11" s="196"/>
      <c r="K11" s="40" t="s">
        <v>140</v>
      </c>
      <c r="L11" s="41"/>
      <c r="M11" s="41"/>
      <c r="N11" s="42">
        <v>1</v>
      </c>
    </row>
    <row r="12" spans="1:14" ht="15.6" thickTop="1" thickBot="1">
      <c r="A12" s="197"/>
      <c r="B12" s="208" t="str">
        <f>B7</f>
        <v>Support</v>
      </c>
      <c r="C12" s="213">
        <v>2.1641791044776121E-2</v>
      </c>
      <c r="D12" s="210" t="s">
        <v>152</v>
      </c>
      <c r="E12" s="196"/>
      <c r="F12" s="363" t="s">
        <v>108</v>
      </c>
      <c r="G12" s="364"/>
      <c r="H12" s="364"/>
      <c r="I12" s="365">
        <f>I9+I11</f>
        <v>52339.087568270443</v>
      </c>
      <c r="J12" s="196"/>
      <c r="K12" s="44" t="s">
        <v>141</v>
      </c>
      <c r="L12" s="45"/>
      <c r="M12" s="46"/>
      <c r="N12" s="47">
        <f>N11*N10</f>
        <v>1057.5</v>
      </c>
    </row>
    <row r="13" spans="1:14" ht="15" thickTop="1">
      <c r="A13" s="197"/>
      <c r="B13" s="437" t="s">
        <v>107</v>
      </c>
      <c r="C13" s="438"/>
      <c r="D13" s="214"/>
      <c r="E13" s="196"/>
      <c r="F13" s="366"/>
      <c r="G13" s="367"/>
      <c r="H13" s="367"/>
      <c r="I13" s="368"/>
      <c r="J13" s="196"/>
      <c r="K13" s="196"/>
      <c r="L13" s="218"/>
      <c r="M13" s="218"/>
      <c r="N13" s="219"/>
    </row>
    <row r="14" spans="1:14">
      <c r="A14" s="197"/>
      <c r="B14" s="43" t="s">
        <v>110</v>
      </c>
      <c r="C14" s="215">
        <v>0.22309999999999999</v>
      </c>
      <c r="D14" s="202"/>
      <c r="E14" s="196"/>
      <c r="F14" s="347" t="str">
        <f>B17</f>
        <v>PFLMA</v>
      </c>
      <c r="G14" s="369">
        <f>C17</f>
        <v>3.7000000000000002E-3</v>
      </c>
      <c r="H14" s="356"/>
      <c r="I14" s="358">
        <f>I9*G14</f>
        <v>158.33098193328479</v>
      </c>
      <c r="J14" s="196"/>
      <c r="K14" s="196"/>
      <c r="L14" s="218"/>
      <c r="M14" s="218"/>
      <c r="N14" s="220"/>
    </row>
    <row r="15" spans="1:14">
      <c r="A15" s="221"/>
      <c r="B15" s="203" t="s">
        <v>160</v>
      </c>
      <c r="C15" s="201">
        <f>10173.248355278*(2.62%+1)</f>
        <v>10439.787462186283</v>
      </c>
      <c r="D15" s="202" t="s">
        <v>258</v>
      </c>
      <c r="E15" s="196"/>
      <c r="F15" s="347" t="s">
        <v>109</v>
      </c>
      <c r="G15" s="348"/>
      <c r="H15" s="356"/>
      <c r="I15" s="350">
        <f>C15</f>
        <v>10439.787462186283</v>
      </c>
      <c r="J15" s="196"/>
      <c r="K15" s="196"/>
      <c r="L15" s="218"/>
      <c r="M15" s="218"/>
      <c r="N15" s="220"/>
    </row>
    <row r="16" spans="1:14" ht="26.4">
      <c r="A16" s="197"/>
      <c r="B16" s="203" t="s">
        <v>161</v>
      </c>
      <c r="C16" s="201">
        <f>'2222 FY18 UFR BTL'!H28</f>
        <v>11042.436422663679</v>
      </c>
      <c r="D16" s="308" t="s">
        <v>242</v>
      </c>
      <c r="E16" s="196"/>
      <c r="F16" s="347" t="s">
        <v>142</v>
      </c>
      <c r="G16" s="348"/>
      <c r="H16" s="356"/>
      <c r="I16" s="350">
        <f>C16</f>
        <v>11042.436422663679</v>
      </c>
      <c r="J16" s="196"/>
      <c r="K16" s="196"/>
      <c r="L16" s="218"/>
      <c r="M16" s="218"/>
      <c r="N16" s="220"/>
    </row>
    <row r="17" spans="1:14" hidden="1">
      <c r="A17" s="221"/>
      <c r="B17" s="203" t="s">
        <v>164</v>
      </c>
      <c r="C17" s="247">
        <v>3.7000000000000002E-3</v>
      </c>
      <c r="D17" s="202"/>
      <c r="E17" s="196"/>
      <c r="F17" s="352" t="s">
        <v>113</v>
      </c>
      <c r="G17" s="370"/>
      <c r="H17" s="370"/>
      <c r="I17" s="355">
        <f>SUM(I12:I16)</f>
        <v>73979.642435053698</v>
      </c>
      <c r="J17" s="196"/>
      <c r="K17" s="196"/>
      <c r="L17" s="218"/>
      <c r="M17" s="218"/>
      <c r="N17" s="220"/>
    </row>
    <row r="18" spans="1:14" ht="15" thickBot="1">
      <c r="A18" s="221"/>
      <c r="B18" s="203" t="s">
        <v>112</v>
      </c>
      <c r="C18" s="215">
        <v>0.12580290397862559</v>
      </c>
      <c r="D18" s="202" t="s">
        <v>143</v>
      </c>
      <c r="E18" s="196"/>
      <c r="F18" s="347"/>
      <c r="G18" s="356"/>
      <c r="H18" s="356"/>
      <c r="I18" s="358"/>
      <c r="J18" s="196"/>
      <c r="K18" s="196"/>
      <c r="L18" s="218"/>
      <c r="M18" s="218"/>
      <c r="N18" s="220"/>
    </row>
    <row r="19" spans="1:14" ht="15" thickBot="1">
      <c r="A19" s="197"/>
      <c r="B19" s="340"/>
      <c r="C19" s="341"/>
      <c r="D19" s="342"/>
      <c r="E19" s="196"/>
      <c r="F19" s="347" t="s">
        <v>112</v>
      </c>
      <c r="G19" s="369">
        <f>C18</f>
        <v>0.12580290397862559</v>
      </c>
      <c r="H19" s="356"/>
      <c r="I19" s="350">
        <f>G19*I17</f>
        <v>9306.8538536301148</v>
      </c>
      <c r="J19" s="196"/>
      <c r="K19" s="196"/>
      <c r="L19" s="218"/>
      <c r="M19" s="218"/>
      <c r="N19" s="220"/>
    </row>
    <row r="20" spans="1:14" ht="15" thickBot="1">
      <c r="A20" s="197"/>
      <c r="B20" s="338" t="s">
        <v>166</v>
      </c>
      <c r="C20" s="339">
        <f>'CAF 2019 Fall'!BZ25</f>
        <v>1.7780248869661817E-2</v>
      </c>
      <c r="D20" s="134" t="s">
        <v>193</v>
      </c>
      <c r="E20" s="196"/>
      <c r="F20" s="363" t="s">
        <v>126</v>
      </c>
      <c r="G20" s="364"/>
      <c r="H20" s="364"/>
      <c r="I20" s="371">
        <f>I17+I19</f>
        <v>83286.496288683818</v>
      </c>
      <c r="J20" s="196"/>
      <c r="K20" s="196"/>
      <c r="L20" s="218"/>
      <c r="M20" s="218"/>
      <c r="N20" s="220"/>
    </row>
    <row r="21" spans="1:14" ht="5.4" customHeight="1" thickBot="1">
      <c r="A21" s="197"/>
      <c r="B21" s="196"/>
      <c r="C21" s="222"/>
      <c r="D21" s="223"/>
      <c r="E21" s="196"/>
      <c r="F21" s="347"/>
      <c r="G21" s="372"/>
      <c r="H21" s="372"/>
      <c r="I21" s="373"/>
      <c r="J21" s="196"/>
      <c r="K21" s="196"/>
      <c r="L21" s="218"/>
      <c r="M21" s="218"/>
      <c r="N21" s="220"/>
    </row>
    <row r="22" spans="1:14">
      <c r="A22" s="197"/>
      <c r="B22" s="224" t="s">
        <v>247</v>
      </c>
      <c r="C22" s="225"/>
      <c r="D22" s="226"/>
      <c r="E22" s="196"/>
      <c r="F22" s="366" t="str">
        <f>B20</f>
        <v>CAF for FY21</v>
      </c>
      <c r="G22" s="329">
        <f>C20</f>
        <v>1.7780248869661817E-2</v>
      </c>
      <c r="H22" s="374"/>
      <c r="I22" s="368">
        <f>(I20-I9)*G22</f>
        <v>719.9994253999007</v>
      </c>
      <c r="J22" s="196"/>
      <c r="K22" s="196"/>
      <c r="L22" s="218"/>
      <c r="M22" s="218"/>
      <c r="N22" s="220"/>
    </row>
    <row r="23" spans="1:14">
      <c r="A23" s="197"/>
      <c r="B23" s="227"/>
      <c r="C23" s="228"/>
      <c r="D23" s="229"/>
      <c r="E23" s="196"/>
      <c r="F23" s="216" t="s">
        <v>126</v>
      </c>
      <c r="G23" s="329"/>
      <c r="H23" s="230"/>
      <c r="I23" s="217">
        <f>I22+I20</f>
        <v>84006.495714083721</v>
      </c>
    </row>
    <row r="24" spans="1:14" ht="15" thickBot="1">
      <c r="A24" s="197"/>
      <c r="B24" s="326" t="s">
        <v>209</v>
      </c>
      <c r="C24" s="231" t="s">
        <v>144</v>
      </c>
      <c r="D24" s="229"/>
      <c r="E24" s="196"/>
      <c r="F24" s="232" t="s">
        <v>145</v>
      </c>
      <c r="G24" s="233"/>
      <c r="H24" s="234"/>
      <c r="I24" s="332">
        <f>I23/I3</f>
        <v>79.438766632703278</v>
      </c>
      <c r="K24" s="335"/>
    </row>
    <row r="25" spans="1:14">
      <c r="A25" s="197"/>
      <c r="B25" s="326" t="s">
        <v>210</v>
      </c>
      <c r="C25" s="231" t="s">
        <v>146</v>
      </c>
      <c r="D25" s="235"/>
      <c r="E25" s="196"/>
      <c r="F25" s="236"/>
      <c r="G25" s="237"/>
      <c r="H25" s="238"/>
      <c r="I25" s="48"/>
      <c r="K25" s="336"/>
      <c r="L25" s="251"/>
    </row>
    <row r="26" spans="1:14">
      <c r="A26" s="197"/>
      <c r="B26" s="327" t="s">
        <v>211</v>
      </c>
      <c r="C26" s="239" t="s">
        <v>120</v>
      </c>
      <c r="D26" s="235"/>
      <c r="E26" s="197"/>
      <c r="F26" s="218"/>
      <c r="G26" s="218"/>
      <c r="H26" s="220"/>
    </row>
    <row r="27" spans="1:14">
      <c r="A27" s="197"/>
      <c r="B27" s="327" t="s">
        <v>212</v>
      </c>
      <c r="C27" s="239" t="s">
        <v>147</v>
      </c>
      <c r="D27" s="235"/>
      <c r="E27" s="197"/>
      <c r="F27" s="218"/>
      <c r="G27" s="218"/>
      <c r="H27" s="375"/>
      <c r="I27" s="376"/>
      <c r="J27" s="377"/>
    </row>
    <row r="28" spans="1:14" ht="13.5" customHeight="1">
      <c r="A28" s="197"/>
      <c r="B28" s="327" t="s">
        <v>213</v>
      </c>
      <c r="C28" s="239" t="s">
        <v>243</v>
      </c>
      <c r="D28" s="235"/>
      <c r="E28" s="197"/>
      <c r="F28" s="218"/>
      <c r="G28" s="218"/>
      <c r="H28" s="375"/>
      <c r="I28" s="378"/>
      <c r="J28" s="377"/>
    </row>
    <row r="29" spans="1:14" ht="16.5" customHeight="1">
      <c r="A29" s="242"/>
      <c r="B29" s="327" t="s">
        <v>214</v>
      </c>
      <c r="C29" s="239" t="s">
        <v>244</v>
      </c>
      <c r="D29" s="235"/>
      <c r="E29" s="196"/>
      <c r="F29" s="218"/>
      <c r="G29" s="218"/>
      <c r="H29" s="220"/>
      <c r="I29" s="377"/>
      <c r="J29" s="377"/>
    </row>
    <row r="30" spans="1:14">
      <c r="A30" s="242"/>
      <c r="B30" s="326" t="s">
        <v>215</v>
      </c>
      <c r="C30" s="239" t="s">
        <v>148</v>
      </c>
      <c r="D30" s="240"/>
      <c r="E30" s="196"/>
      <c r="F30" s="218"/>
      <c r="G30" s="248"/>
      <c r="H30" s="250"/>
    </row>
    <row r="31" spans="1:14">
      <c r="B31" s="326" t="s">
        <v>248</v>
      </c>
      <c r="C31" s="239" t="s">
        <v>245</v>
      </c>
      <c r="D31" s="240"/>
      <c r="F31" s="218"/>
      <c r="G31" s="218"/>
      <c r="H31" s="196"/>
    </row>
    <row r="32" spans="1:14">
      <c r="B32" s="326" t="s">
        <v>217</v>
      </c>
      <c r="C32" s="241" t="s">
        <v>149</v>
      </c>
      <c r="D32" s="240"/>
      <c r="F32" s="52"/>
      <c r="G32" s="245"/>
      <c r="H32" s="196"/>
    </row>
    <row r="33" spans="2:7">
      <c r="B33" s="326" t="s">
        <v>249</v>
      </c>
      <c r="C33" s="241" t="s">
        <v>246</v>
      </c>
      <c r="D33" s="240"/>
      <c r="F33" s="52"/>
      <c r="G33" s="245"/>
    </row>
    <row r="34" spans="2:7" ht="15" thickBot="1">
      <c r="B34" s="328" t="s">
        <v>220</v>
      </c>
      <c r="C34" s="243" t="s">
        <v>119</v>
      </c>
      <c r="D34" s="244"/>
    </row>
    <row r="35" spans="2:7">
      <c r="B35" s="196"/>
      <c r="C35" s="246"/>
      <c r="D35" s="196"/>
    </row>
  </sheetData>
  <mergeCells count="5">
    <mergeCell ref="B2:D2"/>
    <mergeCell ref="F2:I2"/>
    <mergeCell ref="B3:C3"/>
    <mergeCell ref="G3:H3"/>
    <mergeCell ref="B13:C13"/>
  </mergeCells>
  <pageMargins left="0.25" right="0.25" top="0.75" bottom="0.75" header="0.3" footer="0.3"/>
  <pageSetup scale="67" fitToHeight="0" orientation="landscape" r:id="rId1"/>
  <ignoredErrors>
    <ignoredError sqref="I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opLeftCell="A4" zoomScale="90" zoomScaleNormal="90" workbookViewId="0">
      <selection activeCell="C28" sqref="C28"/>
    </sheetView>
  </sheetViews>
  <sheetFormatPr defaultRowHeight="14.4"/>
  <cols>
    <col min="1" max="1" width="16.77734375" customWidth="1"/>
    <col min="3" max="3" width="12.109375" customWidth="1"/>
    <col min="4" max="6" width="10.21875" customWidth="1"/>
    <col min="7" max="7" width="9.109375" customWidth="1"/>
    <col min="8" max="8" width="12.44140625" customWidth="1"/>
    <col min="9" max="9" width="9.109375" customWidth="1"/>
    <col min="10" max="10" width="11.21875" customWidth="1"/>
    <col min="11" max="12" width="10.77734375" customWidth="1"/>
    <col min="13" max="13" width="9.21875" customWidth="1"/>
    <col min="14" max="14" width="10.77734375" customWidth="1"/>
    <col min="15" max="15" width="3.21875" style="325" customWidth="1"/>
    <col min="16" max="16" width="18.6640625" style="311" customWidth="1"/>
  </cols>
  <sheetData>
    <row r="1" spans="1:17">
      <c r="A1" s="317">
        <v>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P1" s="306" t="s">
        <v>240</v>
      </c>
    </row>
    <row r="2" spans="1:17">
      <c r="A2" s="311" t="s">
        <v>206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P2" s="306"/>
    </row>
    <row r="3" spans="1:17">
      <c r="A3" s="439" t="s">
        <v>207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P3" s="306"/>
    </row>
    <row r="4" spans="1:17">
      <c r="A4" s="439"/>
      <c r="B4" s="311"/>
      <c r="C4" s="325" t="s">
        <v>208</v>
      </c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P4" s="306"/>
    </row>
    <row r="5" spans="1:17">
      <c r="A5" s="439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P5" s="306"/>
    </row>
    <row r="6" spans="1:17">
      <c r="A6" s="439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P6" s="306"/>
    </row>
    <row r="7" spans="1:17">
      <c r="A7" s="318"/>
      <c r="B7" s="318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</row>
    <row r="8" spans="1:17">
      <c r="A8" s="318"/>
      <c r="B8" s="318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</row>
    <row r="9" spans="1:17">
      <c r="A9" s="318"/>
      <c r="B9" s="318"/>
      <c r="C9" s="313" t="s">
        <v>209</v>
      </c>
      <c r="D9" s="313" t="s">
        <v>210</v>
      </c>
      <c r="E9" s="313" t="s">
        <v>211</v>
      </c>
      <c r="F9" s="313" t="s">
        <v>212</v>
      </c>
      <c r="G9" s="313" t="s">
        <v>213</v>
      </c>
      <c r="H9" s="313" t="s">
        <v>214</v>
      </c>
      <c r="I9" s="313" t="s">
        <v>215</v>
      </c>
      <c r="J9" s="313" t="s">
        <v>216</v>
      </c>
      <c r="K9" s="313" t="s">
        <v>217</v>
      </c>
      <c r="L9" s="313" t="s">
        <v>218</v>
      </c>
      <c r="M9" s="313" t="s">
        <v>219</v>
      </c>
      <c r="N9" s="313" t="s">
        <v>220</v>
      </c>
      <c r="O9" s="313"/>
      <c r="P9" s="304" t="s">
        <v>238</v>
      </c>
      <c r="Q9" s="307"/>
    </row>
    <row r="10" spans="1:17" ht="86.4">
      <c r="A10" s="319"/>
      <c r="B10" s="320"/>
      <c r="C10" s="312" t="s">
        <v>221</v>
      </c>
      <c r="D10" s="312" t="s">
        <v>222</v>
      </c>
      <c r="E10" s="312" t="s">
        <v>223</v>
      </c>
      <c r="F10" s="312" t="s">
        <v>224</v>
      </c>
      <c r="G10" s="312" t="s">
        <v>225</v>
      </c>
      <c r="H10" s="312" t="s">
        <v>226</v>
      </c>
      <c r="I10" s="312" t="s">
        <v>227</v>
      </c>
      <c r="J10" s="312" t="s">
        <v>228</v>
      </c>
      <c r="K10" s="312" t="s">
        <v>229</v>
      </c>
      <c r="L10" s="312" t="s">
        <v>230</v>
      </c>
      <c r="M10" s="312" t="s">
        <v>231</v>
      </c>
      <c r="N10" s="312" t="s">
        <v>232</v>
      </c>
      <c r="O10" s="312"/>
      <c r="P10" s="305" t="s">
        <v>239</v>
      </c>
      <c r="Q10" s="307"/>
    </row>
    <row r="11" spans="1:17">
      <c r="A11" s="314" t="s">
        <v>233</v>
      </c>
      <c r="B11" s="315" t="s">
        <v>234</v>
      </c>
      <c r="C11" s="313" t="s">
        <v>235</v>
      </c>
      <c r="D11" s="313" t="s">
        <v>235</v>
      </c>
      <c r="E11" s="313" t="s">
        <v>235</v>
      </c>
      <c r="F11" s="313" t="s">
        <v>235</v>
      </c>
      <c r="G11" s="313" t="s">
        <v>235</v>
      </c>
      <c r="H11" s="313" t="s">
        <v>235</v>
      </c>
      <c r="I11" s="313" t="s">
        <v>235</v>
      </c>
      <c r="J11" s="313" t="s">
        <v>235</v>
      </c>
      <c r="K11" s="313" t="s">
        <v>235</v>
      </c>
      <c r="L11" s="313" t="s">
        <v>235</v>
      </c>
      <c r="M11" s="313" t="s">
        <v>235</v>
      </c>
      <c r="N11" s="313" t="s">
        <v>235</v>
      </c>
      <c r="O11" s="313"/>
      <c r="P11" s="304" t="s">
        <v>235</v>
      </c>
      <c r="Q11" s="307"/>
    </row>
    <row r="12" spans="1:17">
      <c r="A12" s="314"/>
      <c r="B12" s="316">
        <v>0.86</v>
      </c>
      <c r="C12" s="380"/>
      <c r="D12" s="380"/>
      <c r="E12" s="380"/>
      <c r="F12" s="380">
        <v>2163</v>
      </c>
      <c r="G12" s="380"/>
      <c r="H12" s="380"/>
      <c r="I12" s="380"/>
      <c r="J12" s="380"/>
      <c r="K12" s="380">
        <v>415</v>
      </c>
      <c r="L12" s="380">
        <v>267</v>
      </c>
      <c r="M12" s="380"/>
      <c r="N12" s="380">
        <v>1629</v>
      </c>
      <c r="O12" s="380"/>
      <c r="P12" s="381">
        <v>2588</v>
      </c>
      <c r="Q12" s="307"/>
    </row>
    <row r="13" spans="1:17">
      <c r="A13" s="314"/>
      <c r="B13" s="316">
        <v>1.29</v>
      </c>
      <c r="C13" s="380">
        <v>4133</v>
      </c>
      <c r="D13" s="380"/>
      <c r="E13" s="380">
        <v>1963</v>
      </c>
      <c r="F13" s="380">
        <v>1138</v>
      </c>
      <c r="G13" s="380"/>
      <c r="H13" s="380"/>
      <c r="I13" s="380">
        <v>1344</v>
      </c>
      <c r="J13" s="380"/>
      <c r="K13" s="380">
        <v>6145</v>
      </c>
      <c r="L13" s="380"/>
      <c r="M13" s="380"/>
      <c r="N13" s="380"/>
      <c r="O13" s="380"/>
      <c r="P13" s="381">
        <v>13657</v>
      </c>
      <c r="Q13" s="307"/>
    </row>
    <row r="14" spans="1:17">
      <c r="A14" s="314"/>
      <c r="B14" s="316">
        <v>1.147</v>
      </c>
      <c r="C14" s="380"/>
      <c r="D14" s="380"/>
      <c r="E14" s="380"/>
      <c r="F14" s="380">
        <v>1523</v>
      </c>
      <c r="G14" s="380"/>
      <c r="H14" s="380"/>
      <c r="I14" s="380">
        <v>816</v>
      </c>
      <c r="J14" s="380"/>
      <c r="K14" s="380"/>
      <c r="L14" s="380"/>
      <c r="M14" s="380"/>
      <c r="N14" s="380">
        <v>13251</v>
      </c>
      <c r="O14" s="380"/>
      <c r="P14" s="381">
        <v>10486</v>
      </c>
      <c r="Q14" s="307"/>
    </row>
    <row r="15" spans="1:17">
      <c r="A15" s="314"/>
      <c r="B15" s="316">
        <v>1.61</v>
      </c>
      <c r="C15" s="380">
        <v>18</v>
      </c>
      <c r="D15" s="380"/>
      <c r="E15" s="380">
        <v>315</v>
      </c>
      <c r="F15" s="380">
        <v>2472</v>
      </c>
      <c r="G15" s="380"/>
      <c r="H15" s="380"/>
      <c r="I15" s="380">
        <v>586</v>
      </c>
      <c r="J15" s="380"/>
      <c r="K15" s="380">
        <v>5008</v>
      </c>
      <c r="L15" s="380">
        <v>664</v>
      </c>
      <c r="M15" s="380"/>
      <c r="N15" s="380"/>
      <c r="O15" s="380"/>
      <c r="P15" s="381">
        <v>4513</v>
      </c>
      <c r="Q15" s="307"/>
    </row>
    <row r="16" spans="1:17">
      <c r="A16" s="314"/>
      <c r="B16" s="316">
        <v>4</v>
      </c>
      <c r="C16" s="380"/>
      <c r="D16" s="380">
        <v>1052</v>
      </c>
      <c r="E16" s="380"/>
      <c r="F16" s="380">
        <v>5274</v>
      </c>
      <c r="G16" s="380">
        <v>1053</v>
      </c>
      <c r="H16" s="380"/>
      <c r="I16" s="380"/>
      <c r="J16" s="380">
        <v>23853</v>
      </c>
      <c r="K16" s="380">
        <v>9705</v>
      </c>
      <c r="L16" s="380"/>
      <c r="M16" s="380"/>
      <c r="N16" s="380"/>
      <c r="O16" s="380"/>
      <c r="P16" s="381">
        <v>38886</v>
      </c>
      <c r="Q16" s="307"/>
    </row>
    <row r="17" spans="1:22">
      <c r="A17" s="314"/>
      <c r="B17" s="316">
        <v>1.19</v>
      </c>
      <c r="C17" s="380"/>
      <c r="D17" s="380"/>
      <c r="E17" s="380">
        <v>13</v>
      </c>
      <c r="F17" s="380">
        <v>6774</v>
      </c>
      <c r="G17" s="380"/>
      <c r="H17" s="380"/>
      <c r="I17" s="380"/>
      <c r="J17" s="380"/>
      <c r="K17" s="380">
        <v>538</v>
      </c>
      <c r="L17" s="380">
        <v>289</v>
      </c>
      <c r="M17" s="380"/>
      <c r="N17" s="380">
        <v>3708</v>
      </c>
      <c r="O17" s="380"/>
      <c r="P17" s="381">
        <v>11038</v>
      </c>
      <c r="Q17" s="307"/>
    </row>
    <row r="18" spans="1:22">
      <c r="A18" s="314"/>
      <c r="B18" s="316">
        <v>0.82</v>
      </c>
      <c r="C18" s="380"/>
      <c r="D18" s="380"/>
      <c r="E18" s="380"/>
      <c r="F18" s="380">
        <v>2147</v>
      </c>
      <c r="G18" s="380"/>
      <c r="H18" s="380"/>
      <c r="I18" s="380"/>
      <c r="J18" s="380"/>
      <c r="K18" s="380"/>
      <c r="L18" s="380"/>
      <c r="M18" s="380"/>
      <c r="N18" s="380"/>
      <c r="O18" s="380"/>
      <c r="P18" s="381">
        <v>4277</v>
      </c>
      <c r="Q18" s="307"/>
    </row>
    <row r="19" spans="1:22">
      <c r="A19" s="314"/>
      <c r="B19" s="316">
        <v>0.27</v>
      </c>
      <c r="C19" s="380">
        <v>9105</v>
      </c>
      <c r="D19" s="380">
        <v>17968</v>
      </c>
      <c r="E19" s="380"/>
      <c r="F19" s="380">
        <v>442</v>
      </c>
      <c r="G19" s="380">
        <v>6675</v>
      </c>
      <c r="H19" s="380">
        <v>404</v>
      </c>
      <c r="I19" s="380">
        <v>694</v>
      </c>
      <c r="J19" s="380"/>
      <c r="K19" s="380">
        <v>1029</v>
      </c>
      <c r="L19" s="380"/>
      <c r="M19" s="380"/>
      <c r="N19" s="380"/>
      <c r="O19" s="380"/>
      <c r="P19" s="381">
        <v>5536</v>
      </c>
      <c r="Q19" s="307"/>
    </row>
    <row r="20" spans="1:22" ht="15" thickBot="1">
      <c r="A20" s="314"/>
      <c r="B20" s="323">
        <v>1.75</v>
      </c>
      <c r="C20" s="380">
        <v>33</v>
      </c>
      <c r="D20" s="380"/>
      <c r="E20" s="380">
        <v>65</v>
      </c>
      <c r="F20" s="380">
        <v>4255</v>
      </c>
      <c r="G20" s="380"/>
      <c r="H20" s="380">
        <v>178</v>
      </c>
      <c r="I20" s="380"/>
      <c r="J20" s="380"/>
      <c r="K20" s="380">
        <v>999</v>
      </c>
      <c r="L20" s="380">
        <v>242</v>
      </c>
      <c r="M20" s="380">
        <v>543</v>
      </c>
      <c r="N20" s="380">
        <v>1968</v>
      </c>
      <c r="O20" s="380"/>
      <c r="P20" s="381">
        <v>4260</v>
      </c>
      <c r="Q20" s="307"/>
    </row>
    <row r="21" spans="1:22" ht="15" thickTop="1">
      <c r="A21" s="324" t="s">
        <v>236</v>
      </c>
      <c r="B21" s="322">
        <v>12.936999999999999</v>
      </c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P21" s="307"/>
      <c r="Q21" s="307"/>
    </row>
    <row r="22" spans="1:22">
      <c r="A22" s="311"/>
      <c r="B22" s="311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P22" s="307"/>
      <c r="Q22" s="307"/>
    </row>
    <row r="23" spans="1:22">
      <c r="A23" s="322"/>
      <c r="B23" s="322" t="s">
        <v>237</v>
      </c>
      <c r="C23" s="321">
        <f>SUM(C12:C22)</f>
        <v>13289</v>
      </c>
      <c r="D23" s="321">
        <f t="shared" ref="D23:N23" si="0">SUM(D12:D22)</f>
        <v>19020</v>
      </c>
      <c r="E23" s="321">
        <f t="shared" si="0"/>
        <v>2356</v>
      </c>
      <c r="F23" s="321">
        <f t="shared" si="0"/>
        <v>26188</v>
      </c>
      <c r="G23" s="321">
        <f t="shared" si="0"/>
        <v>7728</v>
      </c>
      <c r="H23" s="321">
        <f t="shared" si="0"/>
        <v>582</v>
      </c>
      <c r="I23" s="321">
        <f t="shared" si="0"/>
        <v>3440</v>
      </c>
      <c r="J23" s="321">
        <f t="shared" si="0"/>
        <v>23853</v>
      </c>
      <c r="K23" s="321">
        <f t="shared" si="0"/>
        <v>23839</v>
      </c>
      <c r="L23" s="321">
        <f t="shared" si="0"/>
        <v>1462</v>
      </c>
      <c r="M23" s="321">
        <f t="shared" si="0"/>
        <v>543</v>
      </c>
      <c r="N23" s="321">
        <f t="shared" si="0"/>
        <v>20556</v>
      </c>
      <c r="O23" s="379"/>
      <c r="P23" s="343">
        <f>SUM(P12:P20)</f>
        <v>95241</v>
      </c>
      <c r="Q23" s="344" t="s">
        <v>126</v>
      </c>
    </row>
    <row r="24" spans="1:22">
      <c r="A24" s="311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P24" s="344"/>
      <c r="Q24" s="344"/>
      <c r="R24" s="345"/>
      <c r="S24" s="345"/>
      <c r="T24" s="345"/>
      <c r="U24" s="345"/>
      <c r="V24" s="345"/>
    </row>
    <row r="25" spans="1:22">
      <c r="A25" s="311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P25" s="344"/>
      <c r="Q25" s="344"/>
      <c r="R25" s="345"/>
      <c r="S25" s="345"/>
      <c r="T25" s="345"/>
      <c r="U25" s="345"/>
      <c r="V25" s="345"/>
    </row>
    <row r="26" spans="1:22">
      <c r="A26" s="311"/>
      <c r="B26" s="311"/>
      <c r="C26" s="311"/>
      <c r="D26" s="311"/>
      <c r="E26" s="311"/>
      <c r="F26" s="311"/>
      <c r="G26" s="311"/>
      <c r="H26" s="310">
        <f>SUM(C23:N23)</f>
        <v>142856</v>
      </c>
      <c r="I26" s="309" t="s">
        <v>126</v>
      </c>
      <c r="J26" s="311"/>
      <c r="K26" s="311"/>
      <c r="L26" s="311"/>
      <c r="M26" s="311"/>
      <c r="N26" s="311"/>
      <c r="P26" s="346"/>
      <c r="Q26" s="344"/>
      <c r="R26" s="345"/>
      <c r="S26" s="345"/>
      <c r="T26" s="345"/>
      <c r="U26" s="345"/>
      <c r="V26" s="345"/>
    </row>
    <row r="27" spans="1:22">
      <c r="A27" s="311"/>
      <c r="B27" s="311"/>
      <c r="C27" s="311"/>
      <c r="D27" s="311"/>
      <c r="E27" s="311"/>
      <c r="F27" s="311"/>
      <c r="G27" s="311"/>
      <c r="H27" s="309">
        <f>B21</f>
        <v>12.936999999999999</v>
      </c>
      <c r="I27" s="309" t="s">
        <v>101</v>
      </c>
      <c r="J27" s="311"/>
      <c r="K27" s="311"/>
      <c r="L27" s="311"/>
      <c r="M27" s="311"/>
      <c r="N27" s="311"/>
      <c r="P27" s="345"/>
      <c r="Q27" s="345"/>
      <c r="R27" s="345"/>
      <c r="S27" s="345"/>
      <c r="T27" s="345"/>
      <c r="U27" s="345"/>
      <c r="V27" s="345"/>
    </row>
    <row r="28" spans="1:22">
      <c r="A28" s="311"/>
      <c r="B28" s="311"/>
      <c r="C28" s="311"/>
      <c r="D28" s="311"/>
      <c r="E28" s="311"/>
      <c r="F28" s="311"/>
      <c r="G28" s="311"/>
      <c r="H28" s="310">
        <f>H26/H27</f>
        <v>11042.436422663679</v>
      </c>
      <c r="I28" s="309" t="s">
        <v>241</v>
      </c>
      <c r="J28" s="311"/>
      <c r="K28" s="311"/>
      <c r="L28" s="311"/>
      <c r="M28" s="311"/>
      <c r="N28" s="311"/>
      <c r="R28" s="345"/>
      <c r="S28" s="345"/>
      <c r="T28" s="345"/>
      <c r="U28" s="345"/>
      <c r="V28" s="345"/>
    </row>
    <row r="29" spans="1:22">
      <c r="A29" s="311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</row>
    <row r="30" spans="1:22">
      <c r="A30" s="311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</row>
  </sheetData>
  <mergeCells count="1">
    <mergeCell ref="A3:A6"/>
  </mergeCells>
  <pageMargins left="0.25" right="0.25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E27" sqref="E27"/>
    </sheetView>
  </sheetViews>
  <sheetFormatPr defaultRowHeight="14.4"/>
  <cols>
    <col min="1" max="1" width="25.5546875" bestFit="1" customWidth="1"/>
    <col min="2" max="2" width="16.21875" style="51" customWidth="1"/>
    <col min="3" max="3" width="13.33203125" style="277" customWidth="1"/>
    <col min="4" max="4" width="15.109375" style="51" bestFit="1" customWidth="1"/>
    <col min="5" max="5" width="16.5546875" style="51" customWidth="1"/>
    <col min="6" max="6" width="16.33203125" style="51" customWidth="1"/>
    <col min="7" max="7" width="15.109375" style="51" customWidth="1"/>
    <col min="8" max="8" width="2" style="51" customWidth="1"/>
    <col min="9" max="10" width="14.44140625" style="51" customWidth="1"/>
    <col min="11" max="11" width="24.6640625" customWidth="1"/>
    <col min="12" max="12" width="25.88671875" customWidth="1"/>
    <col min="13" max="13" width="14.6640625" customWidth="1"/>
    <col min="14" max="14" width="12" bestFit="1" customWidth="1"/>
    <col min="16" max="16" width="8.88671875" customWidth="1"/>
    <col min="19" max="20" width="10" bestFit="1" customWidth="1"/>
  </cols>
  <sheetData>
    <row r="1" spans="1:12" ht="15" thickBot="1"/>
    <row r="2" spans="1:12" ht="18">
      <c r="A2" s="57" t="s">
        <v>168</v>
      </c>
      <c r="B2" s="58"/>
      <c r="C2" s="278"/>
      <c r="D2" s="58"/>
      <c r="E2" s="58"/>
      <c r="F2" s="58"/>
      <c r="G2" s="58"/>
      <c r="H2" s="58"/>
      <c r="I2" s="58"/>
      <c r="J2" s="58"/>
      <c r="K2" s="59"/>
      <c r="L2" s="60"/>
    </row>
    <row r="3" spans="1:12" ht="18">
      <c r="A3" s="61"/>
      <c r="B3" s="442" t="s">
        <v>201</v>
      </c>
      <c r="C3" s="442"/>
      <c r="D3" s="442"/>
      <c r="E3" s="442"/>
      <c r="F3" s="442"/>
      <c r="G3" s="442"/>
      <c r="H3" s="442"/>
      <c r="I3" s="442"/>
      <c r="J3" s="442"/>
      <c r="K3" s="442"/>
      <c r="L3" s="443"/>
    </row>
    <row r="4" spans="1:12" ht="15.75" customHeight="1" thickBot="1">
      <c r="A4" s="61" t="s">
        <v>205</v>
      </c>
      <c r="B4" s="65"/>
      <c r="C4" s="62"/>
      <c r="D4" s="62"/>
      <c r="E4" s="63"/>
      <c r="F4" s="64"/>
      <c r="G4"/>
      <c r="H4"/>
      <c r="I4"/>
      <c r="J4"/>
    </row>
    <row r="5" spans="1:12" ht="15" thickBot="1">
      <c r="A5" s="66"/>
      <c r="B5" s="279" t="s">
        <v>172</v>
      </c>
      <c r="C5" s="280" t="s">
        <v>170</v>
      </c>
      <c r="D5" s="281" t="s">
        <v>171</v>
      </c>
      <c r="E5" s="444" t="s">
        <v>0</v>
      </c>
      <c r="F5" s="445"/>
      <c r="G5"/>
      <c r="H5"/>
      <c r="I5"/>
      <c r="J5"/>
    </row>
    <row r="6" spans="1:12">
      <c r="A6" s="67" t="s">
        <v>1</v>
      </c>
      <c r="B6" s="282">
        <v>32198</v>
      </c>
      <c r="C6" s="282">
        <v>57450</v>
      </c>
      <c r="D6" s="283">
        <v>86861</v>
      </c>
      <c r="E6" s="446" t="s">
        <v>174</v>
      </c>
      <c r="F6" s="447"/>
      <c r="G6"/>
      <c r="H6"/>
      <c r="I6"/>
      <c r="J6"/>
    </row>
    <row r="7" spans="1:12">
      <c r="A7" s="67" t="s">
        <v>2</v>
      </c>
      <c r="B7" s="284">
        <v>0.22309999999999999</v>
      </c>
      <c r="C7" s="284">
        <v>0.22309999999999999</v>
      </c>
      <c r="D7" s="284">
        <v>0.22309999999999999</v>
      </c>
      <c r="E7" s="440" t="s">
        <v>173</v>
      </c>
      <c r="F7" s="441"/>
      <c r="G7"/>
      <c r="H7"/>
      <c r="I7"/>
      <c r="J7"/>
    </row>
    <row r="8" spans="1:12">
      <c r="A8" s="285" t="s">
        <v>156</v>
      </c>
      <c r="B8" s="286">
        <f t="shared" ref="B8:D8" si="0">B6*B7</f>
        <v>7183.3737999999994</v>
      </c>
      <c r="C8" s="286">
        <f t="shared" si="0"/>
        <v>12817.094999999999</v>
      </c>
      <c r="D8" s="286">
        <f t="shared" si="0"/>
        <v>19378.6891</v>
      </c>
      <c r="E8" s="440"/>
      <c r="F8" s="441"/>
      <c r="G8"/>
      <c r="H8"/>
      <c r="I8"/>
      <c r="J8" s="53"/>
    </row>
    <row r="9" spans="1:12">
      <c r="A9" s="67" t="s">
        <v>162</v>
      </c>
      <c r="B9" s="50">
        <f>B6+B8</f>
        <v>39381.373800000001</v>
      </c>
      <c r="C9" s="50">
        <f t="shared" ref="C9:D9" si="1">C6+C8</f>
        <v>70267.095000000001</v>
      </c>
      <c r="D9" s="50">
        <f t="shared" si="1"/>
        <v>106239.6891</v>
      </c>
      <c r="E9" s="440"/>
      <c r="F9" s="441"/>
      <c r="G9"/>
      <c r="H9"/>
      <c r="I9"/>
      <c r="J9"/>
    </row>
    <row r="10" spans="1:12">
      <c r="A10" s="287" t="s">
        <v>165</v>
      </c>
      <c r="B10" s="288">
        <f>B6*E10</f>
        <v>119.13260000000001</v>
      </c>
      <c r="C10" s="288">
        <f>C6*E10</f>
        <v>212.565</v>
      </c>
      <c r="D10" s="289">
        <f>D6*E10</f>
        <v>321.38570000000004</v>
      </c>
      <c r="E10" s="290">
        <v>3.7000000000000002E-3</v>
      </c>
      <c r="F10" s="291"/>
      <c r="G10"/>
      <c r="H10"/>
      <c r="I10"/>
      <c r="J10"/>
    </row>
    <row r="11" spans="1:12" s="311" customFormat="1">
      <c r="A11" s="287" t="s">
        <v>195</v>
      </c>
      <c r="B11" s="333">
        <f>(B10+B8)*$E$11</f>
        <v>129.84038116429818</v>
      </c>
      <c r="C11" s="333">
        <f t="shared" ref="C11:D11" si="2">(C10+C8)*$E$11</f>
        <v>231.67059748707777</v>
      </c>
      <c r="D11" s="333">
        <f t="shared" si="2"/>
        <v>350.27223269495323</v>
      </c>
      <c r="E11" s="290">
        <f>'CAF 2019 Fall'!BZ25</f>
        <v>1.7780248869661817E-2</v>
      </c>
      <c r="F11" s="303"/>
    </row>
    <row r="12" spans="1:12" ht="15" thickBot="1">
      <c r="A12" s="67" t="s">
        <v>163</v>
      </c>
      <c r="B12" s="286">
        <f>B10+B9+B11</f>
        <v>39630.346781164299</v>
      </c>
      <c r="C12" s="286">
        <f t="shared" ref="C12:D12" si="3">C10+C9+C11</f>
        <v>70711.330597487075</v>
      </c>
      <c r="D12" s="286">
        <f t="shared" si="3"/>
        <v>106911.34703269496</v>
      </c>
      <c r="E12" s="440"/>
      <c r="F12" s="441"/>
      <c r="G12"/>
      <c r="H12"/>
      <c r="I12"/>
      <c r="J12"/>
    </row>
    <row r="13" spans="1:12" ht="15" thickBot="1">
      <c r="A13" s="292" t="s">
        <v>123</v>
      </c>
      <c r="B13" s="293">
        <f>D24</f>
        <v>1952</v>
      </c>
      <c r="C13" s="293">
        <f>$J$24</f>
        <v>1760</v>
      </c>
      <c r="D13" s="293">
        <f>$J$24</f>
        <v>1760</v>
      </c>
      <c r="E13" s="249"/>
      <c r="F13" s="252"/>
      <c r="G13"/>
      <c r="H13"/>
      <c r="I13"/>
      <c r="J13"/>
    </row>
    <row r="14" spans="1:12" s="49" customFormat="1" ht="15" thickBot="1">
      <c r="A14" s="294" t="s">
        <v>169</v>
      </c>
      <c r="B14" s="295">
        <f>(B12)/B13-0.02</f>
        <v>20.282431752645646</v>
      </c>
      <c r="C14" s="295">
        <f>(C12)/C13+0.02</f>
        <v>40.196892384935843</v>
      </c>
      <c r="D14" s="295">
        <f>(D12)/D13+0.01</f>
        <v>60.755083541303954</v>
      </c>
      <c r="E14" s="296" t="s">
        <v>259</v>
      </c>
      <c r="F14" s="297"/>
    </row>
    <row r="15" spans="1:12" ht="15" thickBot="1">
      <c r="A15" s="69"/>
      <c r="B15" s="382">
        <f>20.28*0.25</f>
        <v>5.07</v>
      </c>
      <c r="C15" s="384">
        <f>40.2*0.25</f>
        <v>10.050000000000001</v>
      </c>
      <c r="D15" s="383">
        <f>60.76*0.25</f>
        <v>15.19</v>
      </c>
      <c r="E15" s="68" t="s">
        <v>260</v>
      </c>
      <c r="F15" s="55"/>
      <c r="G15"/>
      <c r="H15"/>
      <c r="I15"/>
      <c r="J15"/>
    </row>
    <row r="16" spans="1:12" ht="15" thickBot="1">
      <c r="A16" s="56"/>
      <c r="B16" s="70"/>
      <c r="C16" s="70"/>
      <c r="D16" s="70"/>
      <c r="E16" s="71"/>
      <c r="F16" s="72"/>
      <c r="G16"/>
      <c r="H16"/>
      <c r="I16"/>
      <c r="J16"/>
    </row>
    <row r="17" spans="1:12">
      <c r="B17"/>
      <c r="C17" s="74"/>
      <c r="D17"/>
      <c r="E17"/>
      <c r="F17"/>
      <c r="G17"/>
      <c r="H17"/>
      <c r="I17"/>
      <c r="J17"/>
    </row>
    <row r="19" spans="1:12" ht="15" thickBot="1">
      <c r="A19" s="253" t="s">
        <v>197</v>
      </c>
      <c r="B19" s="254"/>
      <c r="C19" s="255"/>
      <c r="D19" s="254"/>
      <c r="F19" s="256" t="s">
        <v>255</v>
      </c>
      <c r="G19" s="257"/>
      <c r="H19" s="257"/>
      <c r="I19" s="257"/>
      <c r="J19" s="257"/>
    </row>
    <row r="20" spans="1:12">
      <c r="A20" s="261"/>
      <c r="B20" s="258"/>
      <c r="C20" s="259" t="s">
        <v>198</v>
      </c>
      <c r="D20" s="260" t="s">
        <v>125</v>
      </c>
      <c r="F20" s="261"/>
      <c r="G20" s="258"/>
      <c r="H20" s="258"/>
      <c r="I20" s="259" t="s">
        <v>198</v>
      </c>
      <c r="J20" s="260" t="s">
        <v>125</v>
      </c>
    </row>
    <row r="21" spans="1:12">
      <c r="A21" s="267"/>
      <c r="B21" s="263" t="s">
        <v>202</v>
      </c>
      <c r="C21" s="264">
        <v>15</v>
      </c>
      <c r="D21" s="265">
        <f>C21*8</f>
        <v>120</v>
      </c>
      <c r="E21" s="266"/>
      <c r="F21" s="267"/>
      <c r="G21" s="263" t="s">
        <v>202</v>
      </c>
      <c r="H21" s="263"/>
      <c r="I21" s="264">
        <v>15</v>
      </c>
      <c r="J21" s="265">
        <f>I21*8</f>
        <v>120</v>
      </c>
      <c r="K21" s="266"/>
      <c r="L21" s="68"/>
    </row>
    <row r="22" spans="1:12">
      <c r="A22" s="299"/>
      <c r="B22" s="272" t="s">
        <v>254</v>
      </c>
      <c r="C22" s="273">
        <v>1</v>
      </c>
      <c r="D22" s="274">
        <f>C22*8</f>
        <v>8</v>
      </c>
      <c r="E22" s="268"/>
      <c r="F22" s="269"/>
      <c r="G22" s="270" t="s">
        <v>203</v>
      </c>
      <c r="H22" s="270"/>
      <c r="I22" s="273">
        <v>25</v>
      </c>
      <c r="J22" s="271">
        <f>I22*8</f>
        <v>200</v>
      </c>
      <c r="K22" s="266"/>
    </row>
    <row r="23" spans="1:12">
      <c r="A23" s="267"/>
      <c r="B23" s="262"/>
      <c r="C23" s="263" t="s">
        <v>199</v>
      </c>
      <c r="D23" s="298">
        <f>SUM(D21:D22)</f>
        <v>128</v>
      </c>
      <c r="F23" s="267"/>
      <c r="G23" s="262"/>
      <c r="H23" s="262"/>
      <c r="I23" s="263" t="s">
        <v>199</v>
      </c>
      <c r="J23" s="265">
        <f>SUM(J21:J22)</f>
        <v>320</v>
      </c>
    </row>
    <row r="24" spans="1:12" ht="15" thickBot="1">
      <c r="A24" s="275"/>
      <c r="B24" s="276"/>
      <c r="C24" s="300" t="s">
        <v>123</v>
      </c>
      <c r="D24" s="301">
        <f>2080-D23</f>
        <v>1952</v>
      </c>
      <c r="F24" s="275"/>
      <c r="G24" s="276"/>
      <c r="H24" s="276"/>
      <c r="I24" s="300" t="s">
        <v>123</v>
      </c>
      <c r="J24" s="302">
        <f>2080-J23</f>
        <v>1760</v>
      </c>
    </row>
  </sheetData>
  <mergeCells count="7">
    <mergeCell ref="E12:F12"/>
    <mergeCell ref="B3:L3"/>
    <mergeCell ref="E5:F5"/>
    <mergeCell ref="E6:F6"/>
    <mergeCell ref="E7:F7"/>
    <mergeCell ref="E8:F8"/>
    <mergeCell ref="E9:F9"/>
  </mergeCells>
  <pageMargins left="0.25" right="0.25" top="0.75" bottom="0.75" header="0.3" footer="0.3"/>
  <pageSetup scale="8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6"/>
  <sheetViews>
    <sheetView topLeftCell="BG1" workbookViewId="0">
      <selection activeCell="BK22" sqref="BK22"/>
    </sheetView>
  </sheetViews>
  <sheetFormatPr defaultRowHeight="13.2"/>
  <cols>
    <col min="1" max="1" width="38.44140625" style="155" customWidth="1"/>
    <col min="2" max="2" width="12.88671875" style="160" customWidth="1"/>
    <col min="3" max="82" width="7.6640625" style="155" customWidth="1"/>
    <col min="83" max="256" width="8.88671875" style="155"/>
    <col min="257" max="257" width="38.44140625" style="155" customWidth="1"/>
    <col min="258" max="258" width="12.88671875" style="155" customWidth="1"/>
    <col min="259" max="338" width="7.6640625" style="155" customWidth="1"/>
    <col min="339" max="512" width="8.88671875" style="155"/>
    <col min="513" max="513" width="38.44140625" style="155" customWidth="1"/>
    <col min="514" max="514" width="12.88671875" style="155" customWidth="1"/>
    <col min="515" max="594" width="7.6640625" style="155" customWidth="1"/>
    <col min="595" max="768" width="8.88671875" style="155"/>
    <col min="769" max="769" width="38.44140625" style="155" customWidth="1"/>
    <col min="770" max="770" width="12.88671875" style="155" customWidth="1"/>
    <col min="771" max="850" width="7.6640625" style="155" customWidth="1"/>
    <col min="851" max="1024" width="8.88671875" style="155"/>
    <col min="1025" max="1025" width="38.44140625" style="155" customWidth="1"/>
    <col min="1026" max="1026" width="12.88671875" style="155" customWidth="1"/>
    <col min="1027" max="1106" width="7.6640625" style="155" customWidth="1"/>
    <col min="1107" max="1280" width="8.88671875" style="155"/>
    <col min="1281" max="1281" width="38.44140625" style="155" customWidth="1"/>
    <col min="1282" max="1282" width="12.88671875" style="155" customWidth="1"/>
    <col min="1283" max="1362" width="7.6640625" style="155" customWidth="1"/>
    <col min="1363" max="1536" width="8.88671875" style="155"/>
    <col min="1537" max="1537" width="38.44140625" style="155" customWidth="1"/>
    <col min="1538" max="1538" width="12.88671875" style="155" customWidth="1"/>
    <col min="1539" max="1618" width="7.6640625" style="155" customWidth="1"/>
    <col min="1619" max="1792" width="8.88671875" style="155"/>
    <col min="1793" max="1793" width="38.44140625" style="155" customWidth="1"/>
    <col min="1794" max="1794" width="12.88671875" style="155" customWidth="1"/>
    <col min="1795" max="1874" width="7.6640625" style="155" customWidth="1"/>
    <col min="1875" max="2048" width="8.88671875" style="155"/>
    <col min="2049" max="2049" width="38.44140625" style="155" customWidth="1"/>
    <col min="2050" max="2050" width="12.88671875" style="155" customWidth="1"/>
    <col min="2051" max="2130" width="7.6640625" style="155" customWidth="1"/>
    <col min="2131" max="2304" width="8.88671875" style="155"/>
    <col min="2305" max="2305" width="38.44140625" style="155" customWidth="1"/>
    <col min="2306" max="2306" width="12.88671875" style="155" customWidth="1"/>
    <col min="2307" max="2386" width="7.6640625" style="155" customWidth="1"/>
    <col min="2387" max="2560" width="8.88671875" style="155"/>
    <col min="2561" max="2561" width="38.44140625" style="155" customWidth="1"/>
    <col min="2562" max="2562" width="12.88671875" style="155" customWidth="1"/>
    <col min="2563" max="2642" width="7.6640625" style="155" customWidth="1"/>
    <col min="2643" max="2816" width="8.88671875" style="155"/>
    <col min="2817" max="2817" width="38.44140625" style="155" customWidth="1"/>
    <col min="2818" max="2818" width="12.88671875" style="155" customWidth="1"/>
    <col min="2819" max="2898" width="7.6640625" style="155" customWidth="1"/>
    <col min="2899" max="3072" width="8.88671875" style="155"/>
    <col min="3073" max="3073" width="38.44140625" style="155" customWidth="1"/>
    <col min="3074" max="3074" width="12.88671875" style="155" customWidth="1"/>
    <col min="3075" max="3154" width="7.6640625" style="155" customWidth="1"/>
    <col min="3155" max="3328" width="8.88671875" style="155"/>
    <col min="3329" max="3329" width="38.44140625" style="155" customWidth="1"/>
    <col min="3330" max="3330" width="12.88671875" style="155" customWidth="1"/>
    <col min="3331" max="3410" width="7.6640625" style="155" customWidth="1"/>
    <col min="3411" max="3584" width="8.88671875" style="155"/>
    <col min="3585" max="3585" width="38.44140625" style="155" customWidth="1"/>
    <col min="3586" max="3586" width="12.88671875" style="155" customWidth="1"/>
    <col min="3587" max="3666" width="7.6640625" style="155" customWidth="1"/>
    <col min="3667" max="3840" width="8.88671875" style="155"/>
    <col min="3841" max="3841" width="38.44140625" style="155" customWidth="1"/>
    <col min="3842" max="3842" width="12.88671875" style="155" customWidth="1"/>
    <col min="3843" max="3922" width="7.6640625" style="155" customWidth="1"/>
    <col min="3923" max="4096" width="8.88671875" style="155"/>
    <col min="4097" max="4097" width="38.44140625" style="155" customWidth="1"/>
    <col min="4098" max="4098" width="12.88671875" style="155" customWidth="1"/>
    <col min="4099" max="4178" width="7.6640625" style="155" customWidth="1"/>
    <col min="4179" max="4352" width="8.88671875" style="155"/>
    <col min="4353" max="4353" width="38.44140625" style="155" customWidth="1"/>
    <col min="4354" max="4354" width="12.88671875" style="155" customWidth="1"/>
    <col min="4355" max="4434" width="7.6640625" style="155" customWidth="1"/>
    <col min="4435" max="4608" width="8.88671875" style="155"/>
    <col min="4609" max="4609" width="38.44140625" style="155" customWidth="1"/>
    <col min="4610" max="4610" width="12.88671875" style="155" customWidth="1"/>
    <col min="4611" max="4690" width="7.6640625" style="155" customWidth="1"/>
    <col min="4691" max="4864" width="8.88671875" style="155"/>
    <col min="4865" max="4865" width="38.44140625" style="155" customWidth="1"/>
    <col min="4866" max="4866" width="12.88671875" style="155" customWidth="1"/>
    <col min="4867" max="4946" width="7.6640625" style="155" customWidth="1"/>
    <col min="4947" max="5120" width="8.88671875" style="155"/>
    <col min="5121" max="5121" width="38.44140625" style="155" customWidth="1"/>
    <col min="5122" max="5122" width="12.88671875" style="155" customWidth="1"/>
    <col min="5123" max="5202" width="7.6640625" style="155" customWidth="1"/>
    <col min="5203" max="5376" width="8.88671875" style="155"/>
    <col min="5377" max="5377" width="38.44140625" style="155" customWidth="1"/>
    <col min="5378" max="5378" width="12.88671875" style="155" customWidth="1"/>
    <col min="5379" max="5458" width="7.6640625" style="155" customWidth="1"/>
    <col min="5459" max="5632" width="8.88671875" style="155"/>
    <col min="5633" max="5633" width="38.44140625" style="155" customWidth="1"/>
    <col min="5634" max="5634" width="12.88671875" style="155" customWidth="1"/>
    <col min="5635" max="5714" width="7.6640625" style="155" customWidth="1"/>
    <col min="5715" max="5888" width="8.88671875" style="155"/>
    <col min="5889" max="5889" width="38.44140625" style="155" customWidth="1"/>
    <col min="5890" max="5890" width="12.88671875" style="155" customWidth="1"/>
    <col min="5891" max="5970" width="7.6640625" style="155" customWidth="1"/>
    <col min="5971" max="6144" width="8.88671875" style="155"/>
    <col min="6145" max="6145" width="38.44140625" style="155" customWidth="1"/>
    <col min="6146" max="6146" width="12.88671875" style="155" customWidth="1"/>
    <col min="6147" max="6226" width="7.6640625" style="155" customWidth="1"/>
    <col min="6227" max="6400" width="8.88671875" style="155"/>
    <col min="6401" max="6401" width="38.44140625" style="155" customWidth="1"/>
    <col min="6402" max="6402" width="12.88671875" style="155" customWidth="1"/>
    <col min="6403" max="6482" width="7.6640625" style="155" customWidth="1"/>
    <col min="6483" max="6656" width="8.88671875" style="155"/>
    <col min="6657" max="6657" width="38.44140625" style="155" customWidth="1"/>
    <col min="6658" max="6658" width="12.88671875" style="155" customWidth="1"/>
    <col min="6659" max="6738" width="7.6640625" style="155" customWidth="1"/>
    <col min="6739" max="6912" width="8.88671875" style="155"/>
    <col min="6913" max="6913" width="38.44140625" style="155" customWidth="1"/>
    <col min="6914" max="6914" width="12.88671875" style="155" customWidth="1"/>
    <col min="6915" max="6994" width="7.6640625" style="155" customWidth="1"/>
    <col min="6995" max="7168" width="8.88671875" style="155"/>
    <col min="7169" max="7169" width="38.44140625" style="155" customWidth="1"/>
    <col min="7170" max="7170" width="12.88671875" style="155" customWidth="1"/>
    <col min="7171" max="7250" width="7.6640625" style="155" customWidth="1"/>
    <col min="7251" max="7424" width="8.88671875" style="155"/>
    <col min="7425" max="7425" width="38.44140625" style="155" customWidth="1"/>
    <col min="7426" max="7426" width="12.88671875" style="155" customWidth="1"/>
    <col min="7427" max="7506" width="7.6640625" style="155" customWidth="1"/>
    <col min="7507" max="7680" width="8.88671875" style="155"/>
    <col min="7681" max="7681" width="38.44140625" style="155" customWidth="1"/>
    <col min="7682" max="7682" width="12.88671875" style="155" customWidth="1"/>
    <col min="7683" max="7762" width="7.6640625" style="155" customWidth="1"/>
    <col min="7763" max="7936" width="8.88671875" style="155"/>
    <col min="7937" max="7937" width="38.44140625" style="155" customWidth="1"/>
    <col min="7938" max="7938" width="12.88671875" style="155" customWidth="1"/>
    <col min="7939" max="8018" width="7.6640625" style="155" customWidth="1"/>
    <col min="8019" max="8192" width="8.88671875" style="155"/>
    <col min="8193" max="8193" width="38.44140625" style="155" customWidth="1"/>
    <col min="8194" max="8194" width="12.88671875" style="155" customWidth="1"/>
    <col min="8195" max="8274" width="7.6640625" style="155" customWidth="1"/>
    <col min="8275" max="8448" width="8.88671875" style="155"/>
    <col min="8449" max="8449" width="38.44140625" style="155" customWidth="1"/>
    <col min="8450" max="8450" width="12.88671875" style="155" customWidth="1"/>
    <col min="8451" max="8530" width="7.6640625" style="155" customWidth="1"/>
    <col min="8531" max="8704" width="8.88671875" style="155"/>
    <col min="8705" max="8705" width="38.44140625" style="155" customWidth="1"/>
    <col min="8706" max="8706" width="12.88671875" style="155" customWidth="1"/>
    <col min="8707" max="8786" width="7.6640625" style="155" customWidth="1"/>
    <col min="8787" max="8960" width="8.88671875" style="155"/>
    <col min="8961" max="8961" width="38.44140625" style="155" customWidth="1"/>
    <col min="8962" max="8962" width="12.88671875" style="155" customWidth="1"/>
    <col min="8963" max="9042" width="7.6640625" style="155" customWidth="1"/>
    <col min="9043" max="9216" width="8.88671875" style="155"/>
    <col min="9217" max="9217" width="38.44140625" style="155" customWidth="1"/>
    <col min="9218" max="9218" width="12.88671875" style="155" customWidth="1"/>
    <col min="9219" max="9298" width="7.6640625" style="155" customWidth="1"/>
    <col min="9299" max="9472" width="8.88671875" style="155"/>
    <col min="9473" max="9473" width="38.44140625" style="155" customWidth="1"/>
    <col min="9474" max="9474" width="12.88671875" style="155" customWidth="1"/>
    <col min="9475" max="9554" width="7.6640625" style="155" customWidth="1"/>
    <col min="9555" max="9728" width="8.88671875" style="155"/>
    <col min="9729" max="9729" width="38.44140625" style="155" customWidth="1"/>
    <col min="9730" max="9730" width="12.88671875" style="155" customWidth="1"/>
    <col min="9731" max="9810" width="7.6640625" style="155" customWidth="1"/>
    <col min="9811" max="9984" width="8.88671875" style="155"/>
    <col min="9985" max="9985" width="38.44140625" style="155" customWidth="1"/>
    <col min="9986" max="9986" width="12.88671875" style="155" customWidth="1"/>
    <col min="9987" max="10066" width="7.6640625" style="155" customWidth="1"/>
    <col min="10067" max="10240" width="8.88671875" style="155"/>
    <col min="10241" max="10241" width="38.44140625" style="155" customWidth="1"/>
    <col min="10242" max="10242" width="12.88671875" style="155" customWidth="1"/>
    <col min="10243" max="10322" width="7.6640625" style="155" customWidth="1"/>
    <col min="10323" max="10496" width="8.88671875" style="155"/>
    <col min="10497" max="10497" width="38.44140625" style="155" customWidth="1"/>
    <col min="10498" max="10498" width="12.88671875" style="155" customWidth="1"/>
    <col min="10499" max="10578" width="7.6640625" style="155" customWidth="1"/>
    <col min="10579" max="10752" width="8.88671875" style="155"/>
    <col min="10753" max="10753" width="38.44140625" style="155" customWidth="1"/>
    <col min="10754" max="10754" width="12.88671875" style="155" customWidth="1"/>
    <col min="10755" max="10834" width="7.6640625" style="155" customWidth="1"/>
    <col min="10835" max="11008" width="8.88671875" style="155"/>
    <col min="11009" max="11009" width="38.44140625" style="155" customWidth="1"/>
    <col min="11010" max="11010" width="12.88671875" style="155" customWidth="1"/>
    <col min="11011" max="11090" width="7.6640625" style="155" customWidth="1"/>
    <col min="11091" max="11264" width="8.88671875" style="155"/>
    <col min="11265" max="11265" width="38.44140625" style="155" customWidth="1"/>
    <col min="11266" max="11266" width="12.88671875" style="155" customWidth="1"/>
    <col min="11267" max="11346" width="7.6640625" style="155" customWidth="1"/>
    <col min="11347" max="11520" width="8.88671875" style="155"/>
    <col min="11521" max="11521" width="38.44140625" style="155" customWidth="1"/>
    <col min="11522" max="11522" width="12.88671875" style="155" customWidth="1"/>
    <col min="11523" max="11602" width="7.6640625" style="155" customWidth="1"/>
    <col min="11603" max="11776" width="8.88671875" style="155"/>
    <col min="11777" max="11777" width="38.44140625" style="155" customWidth="1"/>
    <col min="11778" max="11778" width="12.88671875" style="155" customWidth="1"/>
    <col min="11779" max="11858" width="7.6640625" style="155" customWidth="1"/>
    <col min="11859" max="12032" width="8.88671875" style="155"/>
    <col min="12033" max="12033" width="38.44140625" style="155" customWidth="1"/>
    <col min="12034" max="12034" width="12.88671875" style="155" customWidth="1"/>
    <col min="12035" max="12114" width="7.6640625" style="155" customWidth="1"/>
    <col min="12115" max="12288" width="8.88671875" style="155"/>
    <col min="12289" max="12289" width="38.44140625" style="155" customWidth="1"/>
    <col min="12290" max="12290" width="12.88671875" style="155" customWidth="1"/>
    <col min="12291" max="12370" width="7.6640625" style="155" customWidth="1"/>
    <col min="12371" max="12544" width="8.88671875" style="155"/>
    <col min="12545" max="12545" width="38.44140625" style="155" customWidth="1"/>
    <col min="12546" max="12546" width="12.88671875" style="155" customWidth="1"/>
    <col min="12547" max="12626" width="7.6640625" style="155" customWidth="1"/>
    <col min="12627" max="12800" width="8.88671875" style="155"/>
    <col min="12801" max="12801" width="38.44140625" style="155" customWidth="1"/>
    <col min="12802" max="12802" width="12.88671875" style="155" customWidth="1"/>
    <col min="12803" max="12882" width="7.6640625" style="155" customWidth="1"/>
    <col min="12883" max="13056" width="8.88671875" style="155"/>
    <col min="13057" max="13057" width="38.44140625" style="155" customWidth="1"/>
    <col min="13058" max="13058" width="12.88671875" style="155" customWidth="1"/>
    <col min="13059" max="13138" width="7.6640625" style="155" customWidth="1"/>
    <col min="13139" max="13312" width="8.88671875" style="155"/>
    <col min="13313" max="13313" width="38.44140625" style="155" customWidth="1"/>
    <col min="13314" max="13314" width="12.88671875" style="155" customWidth="1"/>
    <col min="13315" max="13394" width="7.6640625" style="155" customWidth="1"/>
    <col min="13395" max="13568" width="8.88671875" style="155"/>
    <col min="13569" max="13569" width="38.44140625" style="155" customWidth="1"/>
    <col min="13570" max="13570" width="12.88671875" style="155" customWidth="1"/>
    <col min="13571" max="13650" width="7.6640625" style="155" customWidth="1"/>
    <col min="13651" max="13824" width="8.88671875" style="155"/>
    <col min="13825" max="13825" width="38.44140625" style="155" customWidth="1"/>
    <col min="13826" max="13826" width="12.88671875" style="155" customWidth="1"/>
    <col min="13827" max="13906" width="7.6640625" style="155" customWidth="1"/>
    <col min="13907" max="14080" width="8.88671875" style="155"/>
    <col min="14081" max="14081" width="38.44140625" style="155" customWidth="1"/>
    <col min="14082" max="14082" width="12.88671875" style="155" customWidth="1"/>
    <col min="14083" max="14162" width="7.6640625" style="155" customWidth="1"/>
    <col min="14163" max="14336" width="8.88671875" style="155"/>
    <col min="14337" max="14337" width="38.44140625" style="155" customWidth="1"/>
    <col min="14338" max="14338" width="12.88671875" style="155" customWidth="1"/>
    <col min="14339" max="14418" width="7.6640625" style="155" customWidth="1"/>
    <col min="14419" max="14592" width="8.88671875" style="155"/>
    <col min="14593" max="14593" width="38.44140625" style="155" customWidth="1"/>
    <col min="14594" max="14594" width="12.88671875" style="155" customWidth="1"/>
    <col min="14595" max="14674" width="7.6640625" style="155" customWidth="1"/>
    <col min="14675" max="14848" width="8.88671875" style="155"/>
    <col min="14849" max="14849" width="38.44140625" style="155" customWidth="1"/>
    <col min="14850" max="14850" width="12.88671875" style="155" customWidth="1"/>
    <col min="14851" max="14930" width="7.6640625" style="155" customWidth="1"/>
    <col min="14931" max="15104" width="8.88671875" style="155"/>
    <col min="15105" max="15105" width="38.44140625" style="155" customWidth="1"/>
    <col min="15106" max="15106" width="12.88671875" style="155" customWidth="1"/>
    <col min="15107" max="15186" width="7.6640625" style="155" customWidth="1"/>
    <col min="15187" max="15360" width="8.88671875" style="155"/>
    <col min="15361" max="15361" width="38.44140625" style="155" customWidth="1"/>
    <col min="15362" max="15362" width="12.88671875" style="155" customWidth="1"/>
    <col min="15363" max="15442" width="7.6640625" style="155" customWidth="1"/>
    <col min="15443" max="15616" width="8.88671875" style="155"/>
    <col min="15617" max="15617" width="38.44140625" style="155" customWidth="1"/>
    <col min="15618" max="15618" width="12.88671875" style="155" customWidth="1"/>
    <col min="15619" max="15698" width="7.6640625" style="155" customWidth="1"/>
    <col min="15699" max="15872" width="8.88671875" style="155"/>
    <col min="15873" max="15873" width="38.44140625" style="155" customWidth="1"/>
    <col min="15874" max="15874" width="12.88671875" style="155" customWidth="1"/>
    <col min="15875" max="15954" width="7.6640625" style="155" customWidth="1"/>
    <col min="15955" max="16128" width="8.88671875" style="155"/>
    <col min="16129" max="16129" width="38.44140625" style="155" customWidth="1"/>
    <col min="16130" max="16130" width="12.88671875" style="155" customWidth="1"/>
    <col min="16131" max="16210" width="7.6640625" style="155" customWidth="1"/>
    <col min="16211" max="16384" width="8.88671875" style="155"/>
  </cols>
  <sheetData>
    <row r="1" spans="1:87" ht="17.399999999999999">
      <c r="A1" s="153" t="s">
        <v>4</v>
      </c>
      <c r="B1" s="154"/>
    </row>
    <row r="2" spans="1:87" ht="15.6">
      <c r="A2" s="156" t="s">
        <v>175</v>
      </c>
      <c r="B2" s="157"/>
    </row>
    <row r="3" spans="1:87" ht="14.4" thickBot="1">
      <c r="A3" s="158" t="s">
        <v>5</v>
      </c>
      <c r="B3" s="159"/>
    </row>
    <row r="6" spans="1:87">
      <c r="BM6" s="161" t="s">
        <v>154</v>
      </c>
      <c r="BN6" s="161" t="s">
        <v>154</v>
      </c>
      <c r="BO6" s="161" t="s">
        <v>154</v>
      </c>
      <c r="BP6" s="161" t="s">
        <v>154</v>
      </c>
      <c r="BQ6" s="162" t="s">
        <v>155</v>
      </c>
      <c r="BR6" s="162" t="s">
        <v>155</v>
      </c>
      <c r="BS6" s="162" t="s">
        <v>155</v>
      </c>
      <c r="BT6" s="162" t="s">
        <v>155</v>
      </c>
      <c r="BU6" s="163" t="s">
        <v>176</v>
      </c>
      <c r="BV6" s="163" t="s">
        <v>176</v>
      </c>
      <c r="BW6" s="163" t="s">
        <v>176</v>
      </c>
      <c r="BX6" s="163" t="s">
        <v>176</v>
      </c>
      <c r="BY6" s="164" t="s">
        <v>177</v>
      </c>
      <c r="BZ6" s="164" t="s">
        <v>177</v>
      </c>
      <c r="CA6" s="164" t="s">
        <v>177</v>
      </c>
      <c r="CB6" s="164" t="s">
        <v>177</v>
      </c>
    </row>
    <row r="7" spans="1:87" s="160" customFormat="1">
      <c r="B7" s="160" t="s">
        <v>6</v>
      </c>
      <c r="C7" s="165" t="s">
        <v>7</v>
      </c>
      <c r="D7" s="165" t="s">
        <v>8</v>
      </c>
      <c r="E7" s="165" t="s">
        <v>9</v>
      </c>
      <c r="F7" s="165" t="s">
        <v>10</v>
      </c>
      <c r="G7" s="165" t="s">
        <v>11</v>
      </c>
      <c r="H7" s="165" t="s">
        <v>12</v>
      </c>
      <c r="I7" s="165" t="s">
        <v>13</v>
      </c>
      <c r="J7" s="165" t="s">
        <v>14</v>
      </c>
      <c r="K7" s="165" t="s">
        <v>15</v>
      </c>
      <c r="L7" s="165" t="s">
        <v>16</v>
      </c>
      <c r="M7" s="165" t="s">
        <v>17</v>
      </c>
      <c r="N7" s="165" t="s">
        <v>18</v>
      </c>
      <c r="O7" s="165" t="s">
        <v>19</v>
      </c>
      <c r="P7" s="165" t="s">
        <v>20</v>
      </c>
      <c r="Q7" s="165" t="s">
        <v>21</v>
      </c>
      <c r="R7" s="165" t="s">
        <v>22</v>
      </c>
      <c r="S7" s="165" t="s">
        <v>23</v>
      </c>
      <c r="T7" s="165" t="s">
        <v>24</v>
      </c>
      <c r="U7" s="165" t="s">
        <v>25</v>
      </c>
      <c r="V7" s="165" t="s">
        <v>26</v>
      </c>
      <c r="W7" s="165" t="s">
        <v>27</v>
      </c>
      <c r="X7" s="165" t="s">
        <v>28</v>
      </c>
      <c r="Y7" s="165" t="s">
        <v>29</v>
      </c>
      <c r="Z7" s="165" t="s">
        <v>30</v>
      </c>
      <c r="AA7" s="165" t="s">
        <v>31</v>
      </c>
      <c r="AB7" s="165" t="s">
        <v>32</v>
      </c>
      <c r="AC7" s="165" t="s">
        <v>33</v>
      </c>
      <c r="AD7" s="165" t="s">
        <v>34</v>
      </c>
      <c r="AE7" s="165" t="s">
        <v>35</v>
      </c>
      <c r="AF7" s="165" t="s">
        <v>36</v>
      </c>
      <c r="AG7" s="165" t="s">
        <v>37</v>
      </c>
      <c r="AH7" s="165" t="s">
        <v>38</v>
      </c>
      <c r="AI7" s="165" t="s">
        <v>39</v>
      </c>
      <c r="AJ7" s="165" t="s">
        <v>40</v>
      </c>
      <c r="AK7" s="165" t="s">
        <v>41</v>
      </c>
      <c r="AL7" s="165" t="s">
        <v>42</v>
      </c>
      <c r="AM7" s="165" t="s">
        <v>43</v>
      </c>
      <c r="AN7" s="165" t="s">
        <v>44</v>
      </c>
      <c r="AO7" s="165" t="s">
        <v>45</v>
      </c>
      <c r="AP7" s="165" t="s">
        <v>46</v>
      </c>
      <c r="AQ7" s="165" t="s">
        <v>47</v>
      </c>
      <c r="AR7" s="165" t="s">
        <v>48</v>
      </c>
      <c r="AS7" s="165" t="s">
        <v>49</v>
      </c>
      <c r="AT7" s="165" t="s">
        <v>50</v>
      </c>
      <c r="AU7" s="160" t="s">
        <v>51</v>
      </c>
      <c r="AV7" s="160" t="s">
        <v>52</v>
      </c>
      <c r="AW7" s="160" t="s">
        <v>53</v>
      </c>
      <c r="AX7" s="160" t="s">
        <v>54</v>
      </c>
      <c r="AY7" s="160" t="s">
        <v>55</v>
      </c>
      <c r="AZ7" s="160" t="s">
        <v>56</v>
      </c>
      <c r="BA7" s="160" t="s">
        <v>57</v>
      </c>
      <c r="BB7" s="160" t="s">
        <v>58</v>
      </c>
      <c r="BC7" s="160" t="s">
        <v>59</v>
      </c>
      <c r="BD7" s="160" t="s">
        <v>60</v>
      </c>
      <c r="BE7" s="160" t="s">
        <v>61</v>
      </c>
      <c r="BF7" s="160" t="s">
        <v>62</v>
      </c>
      <c r="BG7" s="160" t="s">
        <v>63</v>
      </c>
      <c r="BH7" s="160" t="s">
        <v>64</v>
      </c>
      <c r="BI7" s="160" t="s">
        <v>65</v>
      </c>
      <c r="BJ7" s="160" t="s">
        <v>66</v>
      </c>
      <c r="BK7" s="160" t="s">
        <v>67</v>
      </c>
      <c r="BL7" s="160" t="s">
        <v>68</v>
      </c>
      <c r="BM7" s="160" t="s">
        <v>69</v>
      </c>
      <c r="BN7" s="160" t="s">
        <v>70</v>
      </c>
      <c r="BO7" s="160" t="s">
        <v>71</v>
      </c>
      <c r="BP7" s="160" t="s">
        <v>72</v>
      </c>
      <c r="BQ7" s="160" t="s">
        <v>73</v>
      </c>
      <c r="BR7" s="160" t="s">
        <v>74</v>
      </c>
      <c r="BS7" s="160" t="s">
        <v>75</v>
      </c>
      <c r="BT7" s="160" t="s">
        <v>76</v>
      </c>
      <c r="BU7" s="160" t="s">
        <v>77</v>
      </c>
      <c r="BV7" s="160" t="s">
        <v>78</v>
      </c>
      <c r="BW7" s="160" t="s">
        <v>178</v>
      </c>
      <c r="BX7" s="160" t="s">
        <v>179</v>
      </c>
      <c r="BY7" s="160" t="s">
        <v>180</v>
      </c>
      <c r="BZ7" s="160" t="s">
        <v>181</v>
      </c>
      <c r="CA7" s="160" t="s">
        <v>182</v>
      </c>
      <c r="CB7" s="160" t="s">
        <v>183</v>
      </c>
      <c r="CC7" s="160" t="s">
        <v>184</v>
      </c>
      <c r="CD7" s="160" t="s">
        <v>185</v>
      </c>
      <c r="CE7" s="160" t="s">
        <v>186</v>
      </c>
      <c r="CF7" s="160" t="s">
        <v>187</v>
      </c>
      <c r="CG7" s="160" t="s">
        <v>188</v>
      </c>
      <c r="CH7" s="160" t="s">
        <v>189</v>
      </c>
      <c r="CI7" s="160" t="s">
        <v>79</v>
      </c>
    </row>
    <row r="8" spans="1:87" ht="13.8" thickBot="1">
      <c r="A8" s="160" t="s">
        <v>80</v>
      </c>
      <c r="B8" s="160" t="s">
        <v>81</v>
      </c>
      <c r="C8" s="166">
        <v>2.0343964480826999</v>
      </c>
      <c r="D8" s="166">
        <v>2.05943632395637</v>
      </c>
      <c r="E8" s="166">
        <v>2.0644664349199</v>
      </c>
      <c r="F8" s="166">
        <v>2.0865413060551998</v>
      </c>
      <c r="G8" s="166">
        <v>2.1041383265898301</v>
      </c>
      <c r="H8" s="166">
        <v>2.1144127778695201</v>
      </c>
      <c r="I8" s="166">
        <v>2.1507704710507598</v>
      </c>
      <c r="J8" s="166">
        <v>2.1697119451171401</v>
      </c>
      <c r="K8" s="166">
        <v>2.18694695083656</v>
      </c>
      <c r="L8" s="166">
        <v>2.2122122749579498</v>
      </c>
      <c r="M8" s="166">
        <v>2.23480678878395</v>
      </c>
      <c r="N8" s="166">
        <v>2.2202677130356299</v>
      </c>
      <c r="O8" s="166">
        <v>2.23175261179881</v>
      </c>
      <c r="P8" s="166">
        <v>2.2580164013091002</v>
      </c>
      <c r="Q8" s="166">
        <v>2.2753709772035502</v>
      </c>
      <c r="R8" s="166">
        <v>2.30194291888919</v>
      </c>
      <c r="S8" s="166">
        <v>2.3192533891099099</v>
      </c>
      <c r="T8" s="166">
        <v>2.3629433902934598</v>
      </c>
      <c r="U8" s="166">
        <v>2.4039288645996799</v>
      </c>
      <c r="V8" s="166">
        <v>2.3508177475344398</v>
      </c>
      <c r="W8" s="166">
        <v>2.3395569969345802</v>
      </c>
      <c r="X8" s="166">
        <v>2.34609570313232</v>
      </c>
      <c r="Y8" s="166">
        <v>2.3657863595331099</v>
      </c>
      <c r="Z8" s="166">
        <v>2.3805218237276899</v>
      </c>
      <c r="AA8" s="166">
        <v>2.3783358335942402</v>
      </c>
      <c r="AB8" s="166">
        <v>2.3830414859475502</v>
      </c>
      <c r="AC8" s="166">
        <v>2.3975323184108199</v>
      </c>
      <c r="AD8" s="166">
        <v>2.4214524193269198</v>
      </c>
      <c r="AE8" s="166">
        <v>2.4313760255508901</v>
      </c>
      <c r="AF8" s="166">
        <v>2.4766460484572002</v>
      </c>
      <c r="AG8" s="166">
        <v>2.4881988275326701</v>
      </c>
      <c r="AH8" s="166">
        <v>2.4967467306687299</v>
      </c>
      <c r="AI8" s="166">
        <v>2.5126682010265902</v>
      </c>
      <c r="AJ8" s="166">
        <v>2.5190165748075999</v>
      </c>
      <c r="AK8" s="166">
        <v>2.52926548445051</v>
      </c>
      <c r="AL8" s="166">
        <v>2.5498254535670202</v>
      </c>
      <c r="AM8" s="166">
        <v>2.5565788634062199</v>
      </c>
      <c r="AN8" s="166">
        <v>2.5541938570175202</v>
      </c>
      <c r="AO8" s="166">
        <v>2.5733736468802801</v>
      </c>
      <c r="AP8" s="166">
        <v>2.5879825683785702</v>
      </c>
      <c r="AQ8" s="166">
        <v>2.5968750678528201</v>
      </c>
      <c r="AR8" s="166">
        <v>2.60749339976029</v>
      </c>
      <c r="AS8" s="166">
        <v>2.61387953217735</v>
      </c>
      <c r="AT8" s="166">
        <v>2.6160583623265499</v>
      </c>
      <c r="AU8" s="155">
        <v>2.61118766519375</v>
      </c>
      <c r="AV8" s="155">
        <v>2.6220108220798601</v>
      </c>
      <c r="AW8" s="155">
        <v>2.6188417055922</v>
      </c>
      <c r="AX8" s="155">
        <v>2.6260990473395398</v>
      </c>
      <c r="AY8" s="155">
        <v>2.6201146582822998</v>
      </c>
      <c r="AZ8" s="155">
        <v>2.6412696718547601</v>
      </c>
      <c r="BA8" s="155">
        <v>2.6622794798761902</v>
      </c>
      <c r="BB8" s="155">
        <v>2.6769828092859602</v>
      </c>
      <c r="BC8" s="155">
        <v>2.69301979781623</v>
      </c>
      <c r="BD8" s="155">
        <v>2.6949351579636902</v>
      </c>
      <c r="BE8" s="155">
        <v>2.7072510455133001</v>
      </c>
      <c r="BF8" s="155">
        <v>2.7194666205217501</v>
      </c>
      <c r="BG8" s="155">
        <v>2.7583872583557998</v>
      </c>
      <c r="BH8" s="155">
        <v>2.7712174411052799</v>
      </c>
      <c r="BI8" s="155">
        <v>2.7767772539950299</v>
      </c>
      <c r="BJ8" s="155">
        <v>2.7900362938944698</v>
      </c>
      <c r="BK8" s="155">
        <v>2.79504989885013</v>
      </c>
      <c r="BL8" s="155">
        <v>2.8124753429938698</v>
      </c>
      <c r="BM8" s="155">
        <v>2.8258429652208199</v>
      </c>
      <c r="BN8" s="155">
        <v>2.84827109602332</v>
      </c>
      <c r="BO8" s="155">
        <v>2.8648096227990201</v>
      </c>
      <c r="BP8" s="155">
        <v>2.87366388911181</v>
      </c>
      <c r="BQ8" s="155">
        <v>2.8888357489521002</v>
      </c>
      <c r="BR8" s="155">
        <v>2.8975460997816902</v>
      </c>
      <c r="BS8" s="155">
        <v>2.9097169947994401</v>
      </c>
      <c r="BT8" s="155">
        <v>2.9296333194362298</v>
      </c>
      <c r="BU8" s="155">
        <v>2.94689616214067</v>
      </c>
      <c r="BV8" s="155">
        <v>2.9583483780456699</v>
      </c>
      <c r="BW8" s="155">
        <v>2.9813259042976701</v>
      </c>
      <c r="BX8" s="155">
        <v>3.0046912726057902</v>
      </c>
      <c r="BY8" s="155">
        <v>3.0255581522131298</v>
      </c>
      <c r="BZ8" s="155">
        <v>3.04587440346724</v>
      </c>
      <c r="CA8" s="155">
        <v>3.0658590818670399</v>
      </c>
      <c r="CB8" s="155">
        <v>3.0832941540272398</v>
      </c>
      <c r="CC8" s="155">
        <v>3.1029951080744298</v>
      </c>
      <c r="CD8" s="155">
        <v>3.1221931367125899</v>
      </c>
      <c r="CE8" s="155">
        <v>3.1400314557673501</v>
      </c>
      <c r="CF8" s="155">
        <v>3.1597078634776099</v>
      </c>
      <c r="CG8" s="155">
        <v>3.1784171022252501</v>
      </c>
      <c r="CH8" s="155">
        <v>3.1965028368224302</v>
      </c>
    </row>
    <row r="9" spans="1:87" ht="13.8" thickBot="1">
      <c r="A9" s="160" t="s">
        <v>82</v>
      </c>
      <c r="B9" s="160" t="s">
        <v>83</v>
      </c>
      <c r="C9" s="166">
        <v>2.0343964480826999</v>
      </c>
      <c r="D9" s="166">
        <v>2.05943632395637</v>
      </c>
      <c r="E9" s="166">
        <v>2.0644664349199</v>
      </c>
      <c r="F9" s="166">
        <v>2.0865413060551998</v>
      </c>
      <c r="G9" s="166">
        <v>2.1041383265898301</v>
      </c>
      <c r="H9" s="166">
        <v>2.1144127778695201</v>
      </c>
      <c r="I9" s="166">
        <v>2.1507704710507598</v>
      </c>
      <c r="J9" s="166">
        <v>2.1697119451171401</v>
      </c>
      <c r="K9" s="166">
        <v>2.18694695083656</v>
      </c>
      <c r="L9" s="166">
        <v>2.2122122749579498</v>
      </c>
      <c r="M9" s="166">
        <v>2.23480678878395</v>
      </c>
      <c r="N9" s="166">
        <v>2.2202677130356299</v>
      </c>
      <c r="O9" s="166">
        <v>2.23175261179881</v>
      </c>
      <c r="P9" s="166">
        <v>2.2580164013091002</v>
      </c>
      <c r="Q9" s="166">
        <v>2.2753709772035502</v>
      </c>
      <c r="R9" s="166">
        <v>2.30194291888919</v>
      </c>
      <c r="S9" s="166">
        <v>2.3192533891099099</v>
      </c>
      <c r="T9" s="166">
        <v>2.3629433902934598</v>
      </c>
      <c r="U9" s="166">
        <v>2.4039288645996799</v>
      </c>
      <c r="V9" s="166">
        <v>2.3508177475344398</v>
      </c>
      <c r="W9" s="166">
        <v>2.3395569969345802</v>
      </c>
      <c r="X9" s="166">
        <v>2.34609570313232</v>
      </c>
      <c r="Y9" s="166">
        <v>2.3657863595331099</v>
      </c>
      <c r="Z9" s="166">
        <v>2.3805218237276899</v>
      </c>
      <c r="AA9" s="166">
        <v>2.3783358335942402</v>
      </c>
      <c r="AB9" s="166">
        <v>2.3830414859475502</v>
      </c>
      <c r="AC9" s="166">
        <v>2.3975323184108199</v>
      </c>
      <c r="AD9" s="166">
        <v>2.4214524193269198</v>
      </c>
      <c r="AE9" s="166">
        <v>2.4313760255508901</v>
      </c>
      <c r="AF9" s="166">
        <v>2.4766460484572002</v>
      </c>
      <c r="AG9" s="166">
        <v>2.4881988275326701</v>
      </c>
      <c r="AH9" s="166">
        <v>2.4967467306687299</v>
      </c>
      <c r="AI9" s="166">
        <v>2.5126682010265902</v>
      </c>
      <c r="AJ9" s="166">
        <v>2.5190165748075999</v>
      </c>
      <c r="AK9" s="166">
        <v>2.52926548445051</v>
      </c>
      <c r="AL9" s="166">
        <v>2.5498254535670202</v>
      </c>
      <c r="AM9" s="166">
        <v>2.5565788634062199</v>
      </c>
      <c r="AN9" s="166">
        <v>2.5541938570175202</v>
      </c>
      <c r="AO9" s="166">
        <v>2.5733736468802801</v>
      </c>
      <c r="AP9" s="166">
        <v>2.5879825683785702</v>
      </c>
      <c r="AQ9" s="166">
        <v>2.5968750678528201</v>
      </c>
      <c r="AR9" s="166">
        <v>2.60749339976029</v>
      </c>
      <c r="AS9" s="166">
        <v>2.61387953217735</v>
      </c>
      <c r="AT9" s="166">
        <v>2.6160583623265499</v>
      </c>
      <c r="AU9" s="155">
        <v>2.61118766519375</v>
      </c>
      <c r="AV9" s="155">
        <v>2.6220108220798601</v>
      </c>
      <c r="AW9" s="155">
        <v>2.6188417055922</v>
      </c>
      <c r="AX9" s="155">
        <v>2.6260990473395398</v>
      </c>
      <c r="AY9" s="155">
        <v>2.6201146582822998</v>
      </c>
      <c r="AZ9" s="155">
        <v>2.6412696718547601</v>
      </c>
      <c r="BA9" s="155">
        <v>2.6622794798761902</v>
      </c>
      <c r="BB9" s="155">
        <v>2.6769828092859602</v>
      </c>
      <c r="BC9" s="155">
        <v>2.69301979781623</v>
      </c>
      <c r="BD9" s="155">
        <v>2.6949351579636902</v>
      </c>
      <c r="BE9" s="155">
        <v>2.7072510455133001</v>
      </c>
      <c r="BF9" s="155">
        <v>2.7194666205217501</v>
      </c>
      <c r="BG9" s="155">
        <v>2.7583872583557998</v>
      </c>
      <c r="BH9" s="155">
        <v>2.7712174411052799</v>
      </c>
      <c r="BI9" s="155">
        <v>2.7767772539950299</v>
      </c>
      <c r="BJ9" s="155">
        <v>2.7900362938944698</v>
      </c>
      <c r="BK9" s="155">
        <v>2.79504989885013</v>
      </c>
      <c r="BL9" s="155">
        <v>2.8124753429938698</v>
      </c>
      <c r="BM9" s="155">
        <v>2.8258429652208199</v>
      </c>
      <c r="BN9" s="155">
        <v>2.84582069929911</v>
      </c>
      <c r="BO9" s="155">
        <v>2.86055636092141</v>
      </c>
      <c r="BP9" s="167">
        <v>2.86714152292299</v>
      </c>
      <c r="BQ9" s="168">
        <v>2.87979046783079</v>
      </c>
      <c r="BR9" s="169">
        <v>2.8862359962744399</v>
      </c>
      <c r="BS9" s="169">
        <v>2.8952255447313102</v>
      </c>
      <c r="BT9" s="169">
        <v>2.9114792295702099</v>
      </c>
      <c r="BU9" s="169">
        <v>2.92478764045907</v>
      </c>
      <c r="BV9" s="169">
        <v>2.9313520578905301</v>
      </c>
      <c r="BW9" s="169">
        <v>2.9488666202170299</v>
      </c>
      <c r="BX9" s="170">
        <v>2.9672225449874401</v>
      </c>
      <c r="BY9" s="155">
        <v>2.9827762298190601</v>
      </c>
      <c r="BZ9" s="155">
        <v>2.9973649977235501</v>
      </c>
      <c r="CA9" s="155">
        <v>3.01160898598325</v>
      </c>
      <c r="CB9" s="155">
        <v>3.0243751954104701</v>
      </c>
      <c r="CC9" s="155">
        <v>3.0393168799481201</v>
      </c>
      <c r="CD9" s="155">
        <v>3.0546372008786999</v>
      </c>
      <c r="CE9" s="155">
        <v>3.0677758980614298</v>
      </c>
      <c r="CF9" s="155">
        <v>3.08286200226184</v>
      </c>
      <c r="CG9" s="155">
        <v>3.09713585293321</v>
      </c>
      <c r="CH9" s="155">
        <v>3.1105686621575002</v>
      </c>
    </row>
    <row r="10" spans="1:87">
      <c r="A10" s="160" t="s">
        <v>84</v>
      </c>
      <c r="B10" s="160" t="s">
        <v>85</v>
      </c>
      <c r="C10" s="166">
        <v>2.0343964480826999</v>
      </c>
      <c r="D10" s="166">
        <v>2.05943632395637</v>
      </c>
      <c r="E10" s="166">
        <v>2.0644664349199</v>
      </c>
      <c r="F10" s="166">
        <v>2.0865413060551998</v>
      </c>
      <c r="G10" s="166">
        <v>2.1041383265898301</v>
      </c>
      <c r="H10" s="166">
        <v>2.1144127778695201</v>
      </c>
      <c r="I10" s="166">
        <v>2.1507704710507598</v>
      </c>
      <c r="J10" s="166">
        <v>2.1697119451171401</v>
      </c>
      <c r="K10" s="166">
        <v>2.18694695083656</v>
      </c>
      <c r="L10" s="166">
        <v>2.2122122749579498</v>
      </c>
      <c r="M10" s="166">
        <v>2.23480678878395</v>
      </c>
      <c r="N10" s="166">
        <v>2.2202677130356299</v>
      </c>
      <c r="O10" s="166">
        <v>2.23175261179881</v>
      </c>
      <c r="P10" s="166">
        <v>2.2580164013091002</v>
      </c>
      <c r="Q10" s="166">
        <v>2.2753709772035502</v>
      </c>
      <c r="R10" s="166">
        <v>2.30194291888919</v>
      </c>
      <c r="S10" s="166">
        <v>2.3192533891099099</v>
      </c>
      <c r="T10" s="166">
        <v>2.3629433902934598</v>
      </c>
      <c r="U10" s="166">
        <v>2.4039288645996799</v>
      </c>
      <c r="V10" s="166">
        <v>2.3508177475344398</v>
      </c>
      <c r="W10" s="166">
        <v>2.3395569969345802</v>
      </c>
      <c r="X10" s="166">
        <v>2.34609570313232</v>
      </c>
      <c r="Y10" s="166">
        <v>2.3657863595331099</v>
      </c>
      <c r="Z10" s="166">
        <v>2.3805218237276899</v>
      </c>
      <c r="AA10" s="166">
        <v>2.3783358335942402</v>
      </c>
      <c r="AB10" s="166">
        <v>2.3830414859475502</v>
      </c>
      <c r="AC10" s="166">
        <v>2.3975323184108199</v>
      </c>
      <c r="AD10" s="166">
        <v>2.4214524193269198</v>
      </c>
      <c r="AE10" s="166">
        <v>2.4313760255508901</v>
      </c>
      <c r="AF10" s="166">
        <v>2.4766460484572002</v>
      </c>
      <c r="AG10" s="166">
        <v>2.4881988275326701</v>
      </c>
      <c r="AH10" s="166">
        <v>2.4967467306687299</v>
      </c>
      <c r="AI10" s="166">
        <v>2.5126682010265902</v>
      </c>
      <c r="AJ10" s="166">
        <v>2.5190165748075999</v>
      </c>
      <c r="AK10" s="166">
        <v>2.52926548445051</v>
      </c>
      <c r="AL10" s="166">
        <v>2.5498254535670202</v>
      </c>
      <c r="AM10" s="166">
        <v>2.5565788634062199</v>
      </c>
      <c r="AN10" s="166">
        <v>2.5541938570175202</v>
      </c>
      <c r="AO10" s="166">
        <v>2.5733736468802801</v>
      </c>
      <c r="AP10" s="166">
        <v>2.5879825683785702</v>
      </c>
      <c r="AQ10" s="166">
        <v>2.5968750678528201</v>
      </c>
      <c r="AR10" s="166">
        <v>2.60749339976029</v>
      </c>
      <c r="AS10" s="166">
        <v>2.61387953217735</v>
      </c>
      <c r="AT10" s="166">
        <v>2.6160583623265499</v>
      </c>
      <c r="AU10" s="155">
        <v>2.61118766519375</v>
      </c>
      <c r="AV10" s="155">
        <v>2.6220108220798601</v>
      </c>
      <c r="AW10" s="155">
        <v>2.6188417055922</v>
      </c>
      <c r="AX10" s="155">
        <v>2.6260990473395398</v>
      </c>
      <c r="AY10" s="155">
        <v>2.6201146582822998</v>
      </c>
      <c r="AZ10" s="155">
        <v>2.6412696718547601</v>
      </c>
      <c r="BA10" s="155">
        <v>2.6622794798761902</v>
      </c>
      <c r="BB10" s="155">
        <v>2.6769828092859602</v>
      </c>
      <c r="BC10" s="155">
        <v>2.69301979781623</v>
      </c>
      <c r="BD10" s="155">
        <v>2.6949351579636902</v>
      </c>
      <c r="BE10" s="155">
        <v>2.7072510455133001</v>
      </c>
      <c r="BF10" s="155">
        <v>2.7194666205217501</v>
      </c>
      <c r="BG10" s="155">
        <v>2.7583872583557998</v>
      </c>
      <c r="BH10" s="155">
        <v>2.7712174411052799</v>
      </c>
      <c r="BI10" s="155">
        <v>2.7767772539950299</v>
      </c>
      <c r="BJ10" s="155">
        <v>2.7900362938944698</v>
      </c>
      <c r="BK10" s="155">
        <v>2.79504989885013</v>
      </c>
      <c r="BL10" s="155">
        <v>2.8124753429938698</v>
      </c>
      <c r="BM10" s="155">
        <v>2.8258429652208199</v>
      </c>
      <c r="BN10" s="155">
        <v>2.8508726138222098</v>
      </c>
      <c r="BO10" s="155">
        <v>2.8707703287451301</v>
      </c>
      <c r="BP10" s="155">
        <v>2.8838742724040798</v>
      </c>
      <c r="BQ10" s="155">
        <v>2.9041973957490499</v>
      </c>
      <c r="BR10" s="155">
        <v>2.9181801842111201</v>
      </c>
      <c r="BS10" s="155">
        <v>2.9363927339244902</v>
      </c>
      <c r="BT10" s="155">
        <v>2.96289077167628</v>
      </c>
      <c r="BU10" s="155">
        <v>2.9870211065969401</v>
      </c>
      <c r="BV10" s="155">
        <v>3.0057565286188099</v>
      </c>
      <c r="BW10" s="155">
        <v>3.0365761747820499</v>
      </c>
      <c r="BX10" s="155">
        <v>3.0681959808882899</v>
      </c>
      <c r="BY10" s="155">
        <v>3.0977145098143102</v>
      </c>
      <c r="BZ10" s="155">
        <v>3.1270435262635901</v>
      </c>
      <c r="CA10" s="155">
        <v>3.1563342945986901</v>
      </c>
      <c r="CB10" s="155">
        <v>3.1831997293388401</v>
      </c>
      <c r="CC10" s="155">
        <v>3.2125565050276701</v>
      </c>
      <c r="CD10" s="155">
        <v>3.2415902186312202</v>
      </c>
      <c r="CE10" s="155">
        <v>3.2694429238234299</v>
      </c>
      <c r="CF10" s="155">
        <v>3.2994498764972602</v>
      </c>
      <c r="CG10" s="155">
        <v>3.3287005383778001</v>
      </c>
      <c r="CH10" s="155">
        <v>3.3574479886706499</v>
      </c>
    </row>
    <row r="12" spans="1:87"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</row>
    <row r="13" spans="1:87"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</row>
    <row r="15" spans="1:87">
      <c r="BM15" s="172"/>
      <c r="BN15" s="172"/>
      <c r="BO15" s="173" t="s">
        <v>3</v>
      </c>
      <c r="BP15" s="174"/>
      <c r="BQ15" s="174"/>
      <c r="BR15" s="175" t="s">
        <v>190</v>
      </c>
      <c r="BS15" s="176"/>
      <c r="BT15" s="176"/>
      <c r="BU15" s="176"/>
      <c r="BV15" s="176"/>
      <c r="BW15" s="176"/>
      <c r="BX15" s="174"/>
      <c r="BY15" s="174"/>
      <c r="BZ15" s="174"/>
    </row>
    <row r="16" spans="1:87">
      <c r="BO16" s="177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9"/>
    </row>
    <row r="17" spans="67:78">
      <c r="BO17" s="180"/>
      <c r="BP17" s="181" t="s">
        <v>86</v>
      </c>
      <c r="BQ17" s="182" t="s">
        <v>191</v>
      </c>
      <c r="BR17" s="182"/>
      <c r="BS17" s="182"/>
      <c r="BT17" s="182"/>
      <c r="BU17" s="182"/>
      <c r="BV17" s="182"/>
      <c r="BW17" s="182"/>
      <c r="BX17" s="182"/>
      <c r="BY17" s="182"/>
      <c r="BZ17" s="183"/>
    </row>
    <row r="18" spans="67:78">
      <c r="BO18" s="180"/>
      <c r="BP18" s="182"/>
      <c r="BQ18" s="165" t="str">
        <f>BP7</f>
        <v>2020Q2</v>
      </c>
      <c r="BR18" s="182"/>
      <c r="BS18" s="182"/>
      <c r="BT18" s="182"/>
      <c r="BU18" s="182"/>
      <c r="BV18" s="182"/>
      <c r="BW18" s="182"/>
      <c r="BX18" s="182"/>
      <c r="BY18" s="182"/>
      <c r="BZ18" s="184" t="s">
        <v>87</v>
      </c>
    </row>
    <row r="19" spans="67:78">
      <c r="BO19" s="180"/>
      <c r="BP19" s="182"/>
      <c r="BQ19" s="185">
        <f>BP9</f>
        <v>2.86714152292299</v>
      </c>
      <c r="BR19" s="186"/>
      <c r="BS19" s="182"/>
      <c r="BT19" s="182"/>
      <c r="BU19" s="182"/>
      <c r="BV19" s="182"/>
      <c r="BW19" s="182"/>
      <c r="BX19" s="182"/>
      <c r="BY19" s="182"/>
      <c r="BZ19" s="187">
        <f>BQ19</f>
        <v>2.86714152292299</v>
      </c>
    </row>
    <row r="20" spans="67:78">
      <c r="BO20" s="180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8"/>
    </row>
    <row r="21" spans="67:78">
      <c r="BO21" s="448" t="s">
        <v>88</v>
      </c>
      <c r="BP21" s="449"/>
      <c r="BQ21" s="449"/>
      <c r="BR21" s="182" t="s">
        <v>192</v>
      </c>
      <c r="BS21" s="182"/>
      <c r="BT21" s="182"/>
      <c r="BU21" s="182"/>
      <c r="BV21" s="182"/>
      <c r="BW21" s="182"/>
      <c r="BX21" s="182"/>
      <c r="BY21" s="182"/>
      <c r="BZ21" s="188"/>
    </row>
    <row r="22" spans="67:78">
      <c r="BO22" s="180"/>
      <c r="BP22" s="182"/>
      <c r="BQ22" s="160" t="str">
        <f>BQ7</f>
        <v>2020Q3</v>
      </c>
      <c r="BR22" s="160" t="str">
        <f t="shared" ref="BR22:BX22" si="0">BR7</f>
        <v>2020Q4</v>
      </c>
      <c r="BS22" s="160" t="str">
        <f t="shared" si="0"/>
        <v>2021Q1</v>
      </c>
      <c r="BT22" s="160" t="str">
        <f t="shared" si="0"/>
        <v>2021Q2</v>
      </c>
      <c r="BU22" s="160" t="str">
        <f t="shared" si="0"/>
        <v>2021Q3</v>
      </c>
      <c r="BV22" s="160" t="str">
        <f t="shared" si="0"/>
        <v>2021Q4</v>
      </c>
      <c r="BW22" s="160" t="str">
        <f t="shared" si="0"/>
        <v>2022Q1</v>
      </c>
      <c r="BX22" s="160" t="str">
        <f t="shared" si="0"/>
        <v>2022Q2</v>
      </c>
      <c r="BY22" s="182"/>
      <c r="BZ22" s="188"/>
    </row>
    <row r="23" spans="67:78">
      <c r="BO23" s="180"/>
      <c r="BP23" s="182"/>
      <c r="BQ23" s="166">
        <f>BQ9</f>
        <v>2.87979046783079</v>
      </c>
      <c r="BR23" s="166">
        <f t="shared" ref="BR23:BX23" si="1">BR9</f>
        <v>2.8862359962744399</v>
      </c>
      <c r="BS23" s="166">
        <f t="shared" si="1"/>
        <v>2.8952255447313102</v>
      </c>
      <c r="BT23" s="166">
        <f t="shared" si="1"/>
        <v>2.9114792295702099</v>
      </c>
      <c r="BU23" s="166">
        <f t="shared" si="1"/>
        <v>2.92478764045907</v>
      </c>
      <c r="BV23" s="166">
        <f t="shared" si="1"/>
        <v>2.9313520578905301</v>
      </c>
      <c r="BW23" s="166">
        <f t="shared" si="1"/>
        <v>2.9488666202170299</v>
      </c>
      <c r="BX23" s="166">
        <f t="shared" si="1"/>
        <v>2.9672225449874401</v>
      </c>
      <c r="BY23" s="182"/>
      <c r="BZ23" s="187">
        <f>AVERAGE(BQ23:BX23)</f>
        <v>2.9181200127451019</v>
      </c>
    </row>
    <row r="24" spans="67:78">
      <c r="BO24" s="180"/>
      <c r="BP24" s="182"/>
      <c r="BQ24" s="182"/>
      <c r="BR24" s="182"/>
      <c r="BS24" s="182"/>
      <c r="BT24" s="182"/>
      <c r="BU24" s="182"/>
      <c r="BV24" s="182"/>
      <c r="BW24" s="182"/>
      <c r="BX24" s="182"/>
      <c r="BY24" s="182"/>
      <c r="BZ24" s="188"/>
    </row>
    <row r="25" spans="67:78">
      <c r="BO25" s="180"/>
      <c r="BP25" s="182"/>
      <c r="BQ25" s="182"/>
      <c r="BR25" s="182"/>
      <c r="BS25" s="182"/>
      <c r="BT25" s="182"/>
      <c r="BU25" s="182"/>
      <c r="BV25" s="182"/>
      <c r="BW25" s="182"/>
      <c r="BX25" s="182"/>
      <c r="BY25" s="189" t="s">
        <v>89</v>
      </c>
      <c r="BZ25" s="190">
        <f>(BZ23-BZ19)/BZ19</f>
        <v>1.7780248869661817E-2</v>
      </c>
    </row>
    <row r="26" spans="67:78">
      <c r="BO26" s="191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3"/>
    </row>
  </sheetData>
  <mergeCells count="1">
    <mergeCell ref="BO21:BQ21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CorpRepPayee 3274 Models</vt:lpstr>
      <vt:lpstr>TAP 2222 Model</vt:lpstr>
      <vt:lpstr>2222 FY18 UFR BTL</vt:lpstr>
      <vt:lpstr>Dau Hab 3285 Add on Rates</vt:lpstr>
      <vt:lpstr>CAF 2019 Fall</vt:lpstr>
      <vt:lpstr>'2222 FY18 UFR BTL'!Print_Area</vt:lpstr>
      <vt:lpstr>'CAF 2019 Fall'!Print_Area</vt:lpstr>
      <vt:lpstr>'CorpRepPayee 3274 Models'!Print_Area</vt:lpstr>
      <vt:lpstr>'Dau Hab 3285 Add on Rates'!Print_Area</vt:lpstr>
      <vt:lpstr>'CAF 2019 Fall'!Print_Titles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</dc:creator>
  <cp:lastModifiedBy>kara</cp:lastModifiedBy>
  <cp:lastPrinted>2020-03-09T12:45:22Z</cp:lastPrinted>
  <dcterms:created xsi:type="dcterms:W3CDTF">2016-02-29T13:51:07Z</dcterms:created>
  <dcterms:modified xsi:type="dcterms:W3CDTF">2020-03-10T17:11:34Z</dcterms:modified>
</cp:coreProperties>
</file>